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b2971e0c034c9/"/>
    </mc:Choice>
  </mc:AlternateContent>
  <xr:revisionPtr revIDLastSave="18" documentId="8_{B3A6589B-DA1F-471F-B24C-B12A2271E8B6}" xr6:coauthVersionLast="45" xr6:coauthVersionMax="45" xr10:uidLastSave="{19422B12-6582-43AC-8344-7C38283F3EB2}"/>
  <bookViews>
    <workbookView xWindow="66120" yWindow="-120" windowWidth="29040" windowHeight="15840" firstSheet="1" activeTab="1" xr2:uid="{00000000-000D-0000-FFFF-FFFF00000000}"/>
  </bookViews>
  <sheets>
    <sheet name="Points" sheetId="3" state="hidden" r:id="rId1"/>
    <sheet name="SR G-Barrels" sheetId="94" r:id="rId2"/>
    <sheet name="SR G-Poles" sheetId="95" r:id="rId3"/>
    <sheet name="SR G-Goats" sheetId="96" r:id="rId4"/>
    <sheet name="SR G-Breakaway" sheetId="97" r:id="rId5"/>
    <sheet name="SR G-AA" sheetId="102" r:id="rId6"/>
    <sheet name="SR-Team Roping-Results" sheetId="104" r:id="rId7"/>
    <sheet name="SR-Team Roping-Header" sheetId="106" r:id="rId8"/>
    <sheet name="SR-Team Roping-Header (2)" sheetId="98" state="hidden" r:id="rId9"/>
    <sheet name="SR-Team Roping-Heeler (2)" sheetId="99" state="hidden" r:id="rId10"/>
    <sheet name="SR-Team Roping-Heeler" sheetId="109" r:id="rId11"/>
    <sheet name="SR B-Calf Roping" sheetId="100" r:id="rId12"/>
    <sheet name="SR B-Steer Wrestling" sheetId="101" r:id="rId13"/>
    <sheet name="SR B-Chute Dogging" sheetId="116" r:id="rId14"/>
    <sheet name="SR B-AA" sheetId="103" r:id="rId15"/>
    <sheet name="JR G-Barrels" sheetId="88" r:id="rId16"/>
    <sheet name="JR G-Poles" sheetId="89" r:id="rId17"/>
    <sheet name="JR G-Goats" sheetId="90" r:id="rId18"/>
    <sheet name="JR G-Breakaway" sheetId="91" r:id="rId19"/>
    <sheet name="JR G-AA" sheetId="92" r:id="rId20"/>
    <sheet name="JR-Team Roping-Results" sheetId="112" r:id="rId21"/>
    <sheet name="JR-Team Roping-Header" sheetId="110" r:id="rId22"/>
    <sheet name="JR-Team Roping-Header (2)" sheetId="86" state="hidden" r:id="rId23"/>
    <sheet name="JR-Team Roping-Heeler" sheetId="111" r:id="rId24"/>
    <sheet name="JR-Team Roping-Heeler (2)" sheetId="93" state="hidden" r:id="rId25"/>
    <sheet name="JR B-Steer Riding" sheetId="82" r:id="rId26"/>
    <sheet name="JR B-Goats" sheetId="83" r:id="rId27"/>
    <sheet name="JR B-Calf Tying" sheetId="84" r:id="rId28"/>
    <sheet name="JR B-Breakaway" sheetId="85" r:id="rId29"/>
    <sheet name="JR B-AA" sheetId="87" r:id="rId30"/>
    <sheet name="PW G-Barrels" sheetId="77" r:id="rId31"/>
    <sheet name="PW G-Poles" sheetId="78" r:id="rId32"/>
    <sheet name="PW G-Goats" sheetId="79" r:id="rId33"/>
    <sheet name="PW G-Breakaway" sheetId="80" r:id="rId34"/>
    <sheet name="PW G-AA" sheetId="81" r:id="rId35"/>
    <sheet name="PW B-Calf Riding" sheetId="71" r:id="rId36"/>
    <sheet name="PW B-Goats" sheetId="72" r:id="rId37"/>
    <sheet name="PW B-Flags" sheetId="73" r:id="rId38"/>
    <sheet name="PW B-Breakaway" sheetId="74" r:id="rId39"/>
    <sheet name="PW B-Steer Daubing" sheetId="75" r:id="rId40"/>
    <sheet name="PW B-AA" sheetId="76" r:id="rId41"/>
    <sheet name="MM G-Dummy Roping" sheetId="53" r:id="rId42"/>
    <sheet name="MM G-Barrels" sheetId="54" r:id="rId43"/>
    <sheet name="MM G-Figure 8" sheetId="55" r:id="rId44"/>
    <sheet name="MM G-Goats" sheetId="56" r:id="rId45"/>
    <sheet name="MM G-AA" sheetId="57" r:id="rId46"/>
    <sheet name="MM B-Dummy Roping" sheetId="49" r:id="rId47"/>
    <sheet name="MM B-Goats" sheetId="50" r:id="rId48"/>
    <sheet name="MM B-Flags" sheetId="51" r:id="rId49"/>
    <sheet name="MM B-Figure 8" sheetId="52" r:id="rId50"/>
    <sheet name="MM B-AA" sheetId="70" r:id="rId51"/>
    <sheet name="Rookie-G" sheetId="115" r:id="rId52"/>
    <sheet name="Rookie-B" sheetId="114" r:id="rId5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15" l="1"/>
  <c r="D23" i="115" s="1"/>
  <c r="E23" i="115" s="1"/>
  <c r="E13" i="72" l="1"/>
  <c r="F13" i="72"/>
  <c r="G13" i="72"/>
  <c r="I13" i="72"/>
  <c r="J13" i="72"/>
  <c r="K13" i="72" s="1"/>
  <c r="M13" i="72"/>
  <c r="N13" i="72"/>
  <c r="O13" i="72" s="1"/>
  <c r="Q13" i="72"/>
  <c r="R13" i="72"/>
  <c r="U13" i="72"/>
  <c r="V13" i="72"/>
  <c r="W13" i="72"/>
  <c r="Y13" i="72"/>
  <c r="Z13" i="72"/>
  <c r="AA13" i="72" s="1"/>
  <c r="AC13" i="72"/>
  <c r="AD13" i="72"/>
  <c r="AE13" i="72"/>
  <c r="AF13" i="72"/>
  <c r="AG13" i="72" s="1"/>
  <c r="AH13" i="72"/>
  <c r="AI13" i="72" s="1"/>
  <c r="E19" i="72"/>
  <c r="F19" i="72"/>
  <c r="G19" i="72"/>
  <c r="I19" i="72"/>
  <c r="J19" i="72"/>
  <c r="K19" i="72" s="1"/>
  <c r="M19" i="72"/>
  <c r="N19" i="72"/>
  <c r="O19" i="72" s="1"/>
  <c r="Q19" i="72"/>
  <c r="R19" i="72"/>
  <c r="S19" i="72" s="1"/>
  <c r="U19" i="72"/>
  <c r="V19" i="72"/>
  <c r="W19" i="72" s="1"/>
  <c r="Y19" i="72"/>
  <c r="Z19" i="72"/>
  <c r="AA19" i="72" s="1"/>
  <c r="AC19" i="72"/>
  <c r="AD19" i="72"/>
  <c r="AE19" i="72"/>
  <c r="AF19" i="72"/>
  <c r="AG19" i="72"/>
  <c r="AH19" i="72"/>
  <c r="AI19" i="72" s="1"/>
  <c r="E26" i="79"/>
  <c r="F26" i="79"/>
  <c r="G26" i="79" s="1"/>
  <c r="I26" i="79"/>
  <c r="J26" i="79"/>
  <c r="K26" i="79" s="1"/>
  <c r="M26" i="79"/>
  <c r="N26" i="79"/>
  <c r="O26" i="79" s="1"/>
  <c r="Q26" i="79"/>
  <c r="R26" i="79"/>
  <c r="S26" i="79" s="1"/>
  <c r="U26" i="79"/>
  <c r="V26" i="79"/>
  <c r="W26" i="79" s="1"/>
  <c r="Y26" i="79"/>
  <c r="Z26" i="79"/>
  <c r="AC26" i="79"/>
  <c r="AD26" i="79"/>
  <c r="AE26" i="79"/>
  <c r="AF26" i="79"/>
  <c r="AG26" i="79" s="1"/>
  <c r="E20" i="78"/>
  <c r="F20" i="78"/>
  <c r="G20" i="78" s="1"/>
  <c r="C22" i="81" s="1"/>
  <c r="D22" i="81" s="1"/>
  <c r="I20" i="78"/>
  <c r="J20" i="78"/>
  <c r="K20" i="78" s="1"/>
  <c r="F22" i="81" s="1"/>
  <c r="M20" i="78"/>
  <c r="N20" i="78"/>
  <c r="O20" i="78" s="1"/>
  <c r="I22" i="81" s="1"/>
  <c r="K22" i="81" s="1"/>
  <c r="Q20" i="78"/>
  <c r="R20" i="78"/>
  <c r="S20" i="78" s="1"/>
  <c r="L22" i="81" s="1"/>
  <c r="M22" i="81" s="1"/>
  <c r="U20" i="78"/>
  <c r="V20" i="78"/>
  <c r="W20" i="78" s="1"/>
  <c r="O22" i="81" s="1"/>
  <c r="Q22" i="81" s="1"/>
  <c r="Y20" i="78"/>
  <c r="Z20" i="78"/>
  <c r="AA20" i="78" s="1"/>
  <c r="R22" i="81" s="1"/>
  <c r="S22" i="81" s="1"/>
  <c r="AC20" i="78"/>
  <c r="AD20" i="78"/>
  <c r="AE20" i="78"/>
  <c r="U22" i="81" s="1"/>
  <c r="V22" i="81" s="1"/>
  <c r="AF20" i="78"/>
  <c r="AG20" i="78" s="1"/>
  <c r="D33" i="112"/>
  <c r="E33" i="112"/>
  <c r="F33" i="112" s="1"/>
  <c r="H33" i="112"/>
  <c r="I33" i="112"/>
  <c r="J33" i="112" s="1"/>
  <c r="L33" i="112"/>
  <c r="M33" i="112"/>
  <c r="N33" i="112" s="1"/>
  <c r="P33" i="112"/>
  <c r="Q33" i="112"/>
  <c r="R33" i="112" s="1"/>
  <c r="T33" i="112"/>
  <c r="U33" i="112"/>
  <c r="V33" i="112"/>
  <c r="X33" i="112"/>
  <c r="Y33" i="112"/>
  <c r="Z33" i="112" s="1"/>
  <c r="AB33" i="112"/>
  <c r="AC33" i="112"/>
  <c r="AD33" i="112"/>
  <c r="AE33" i="112"/>
  <c r="AF33" i="112"/>
  <c r="AG33" i="112"/>
  <c r="AH33" i="112" s="1"/>
  <c r="D32" i="112"/>
  <c r="E32" i="112"/>
  <c r="F32" i="112" s="1"/>
  <c r="H32" i="112"/>
  <c r="I32" i="112"/>
  <c r="J32" i="112" s="1"/>
  <c r="L32" i="112"/>
  <c r="M32" i="112"/>
  <c r="N32" i="112" s="1"/>
  <c r="P32" i="112"/>
  <c r="Q32" i="112"/>
  <c r="R32" i="112" s="1"/>
  <c r="T32" i="112"/>
  <c r="U32" i="112"/>
  <c r="V32" i="112"/>
  <c r="X32" i="112"/>
  <c r="Y32" i="112"/>
  <c r="Z32" i="112"/>
  <c r="AB32" i="112"/>
  <c r="AC32" i="112"/>
  <c r="AD32" i="112" s="1"/>
  <c r="AE32" i="112"/>
  <c r="AF32" i="112"/>
  <c r="AG32" i="112"/>
  <c r="AH32" i="112" s="1"/>
  <c r="D31" i="112"/>
  <c r="E31" i="112"/>
  <c r="F31" i="112" s="1"/>
  <c r="H31" i="112"/>
  <c r="I31" i="112"/>
  <c r="J31" i="112" s="1"/>
  <c r="L31" i="112"/>
  <c r="M31" i="112"/>
  <c r="N31" i="112" s="1"/>
  <c r="P31" i="112"/>
  <c r="Q31" i="112"/>
  <c r="R31" i="112" s="1"/>
  <c r="T31" i="112"/>
  <c r="U31" i="112"/>
  <c r="V31" i="112"/>
  <c r="X31" i="112"/>
  <c r="Y31" i="112"/>
  <c r="Z31" i="112" s="1"/>
  <c r="AB31" i="112"/>
  <c r="AC31" i="112"/>
  <c r="AD31" i="112" s="1"/>
  <c r="AE31" i="112"/>
  <c r="AF31" i="112"/>
  <c r="AG31" i="112"/>
  <c r="AH31" i="112" s="1"/>
  <c r="D30" i="112"/>
  <c r="E30" i="112"/>
  <c r="F30" i="112" s="1"/>
  <c r="H30" i="112"/>
  <c r="I30" i="112"/>
  <c r="J30" i="112" s="1"/>
  <c r="L30" i="112"/>
  <c r="M30" i="112"/>
  <c r="N30" i="112" s="1"/>
  <c r="P30" i="112"/>
  <c r="Q30" i="112"/>
  <c r="R30" i="112" s="1"/>
  <c r="T30" i="112"/>
  <c r="U30" i="112"/>
  <c r="V30" i="112" s="1"/>
  <c r="X30" i="112"/>
  <c r="Y30" i="112"/>
  <c r="Z30" i="112" s="1"/>
  <c r="AB30" i="112"/>
  <c r="AC30" i="112"/>
  <c r="AD30" i="112" s="1"/>
  <c r="AE30" i="112"/>
  <c r="AF30" i="112"/>
  <c r="AG30" i="112"/>
  <c r="AH30" i="112" s="1"/>
  <c r="D28" i="112"/>
  <c r="E28" i="112"/>
  <c r="F28" i="112" s="1"/>
  <c r="H28" i="112"/>
  <c r="I28" i="112"/>
  <c r="J28" i="112" s="1"/>
  <c r="L28" i="112"/>
  <c r="M28" i="112"/>
  <c r="N28" i="112" s="1"/>
  <c r="P28" i="112"/>
  <c r="Q28" i="112"/>
  <c r="R28" i="112" s="1"/>
  <c r="T28" i="112"/>
  <c r="U28" i="112"/>
  <c r="V28" i="112" s="1"/>
  <c r="X28" i="112"/>
  <c r="Y28" i="112"/>
  <c r="Z28" i="112" s="1"/>
  <c r="AB28" i="112"/>
  <c r="AC28" i="112"/>
  <c r="AD28" i="112" s="1"/>
  <c r="AE28" i="112"/>
  <c r="AF28" i="112" s="1"/>
  <c r="AG28" i="112"/>
  <c r="AH28" i="112" s="1"/>
  <c r="D29" i="112"/>
  <c r="E29" i="112"/>
  <c r="F29" i="112" s="1"/>
  <c r="H29" i="112"/>
  <c r="I29" i="112"/>
  <c r="J29" i="112" s="1"/>
  <c r="L29" i="112"/>
  <c r="M29" i="112"/>
  <c r="N29" i="112" s="1"/>
  <c r="P29" i="112"/>
  <c r="Q29" i="112"/>
  <c r="R29" i="112" s="1"/>
  <c r="T29" i="112"/>
  <c r="U29" i="112"/>
  <c r="V29" i="112" s="1"/>
  <c r="X29" i="112"/>
  <c r="Y29" i="112"/>
  <c r="Z29" i="112" s="1"/>
  <c r="AB29" i="112"/>
  <c r="AC29" i="112"/>
  <c r="AD29" i="112" s="1"/>
  <c r="AE29" i="112"/>
  <c r="AG29" i="112" s="1"/>
  <c r="AH29" i="112" s="1"/>
  <c r="S13" i="72" l="1"/>
  <c r="AJ13" i="72" s="1"/>
  <c r="AK13" i="72" s="1"/>
  <c r="AJ19" i="72"/>
  <c r="AK19" i="72" s="1"/>
  <c r="AL19" i="72" s="1"/>
  <c r="AH26" i="79"/>
  <c r="AI26" i="79" s="1"/>
  <c r="AJ26" i="79" s="1"/>
  <c r="AK26" i="79" s="1"/>
  <c r="AH20" i="78"/>
  <c r="AI20" i="78" s="1"/>
  <c r="X22" i="81" s="1"/>
  <c r="Y22" i="81" s="1"/>
  <c r="N22" i="81"/>
  <c r="W22" i="81"/>
  <c r="G22" i="81"/>
  <c r="E22" i="81"/>
  <c r="P22" i="81"/>
  <c r="H22" i="81"/>
  <c r="T22" i="81"/>
  <c r="J22" i="81"/>
  <c r="AF29" i="112"/>
  <c r="AE18" i="53"/>
  <c r="AG14" i="104"/>
  <c r="AG13" i="104"/>
  <c r="AG12" i="104"/>
  <c r="AG11" i="104"/>
  <c r="AG5" i="104"/>
  <c r="AG6" i="104"/>
  <c r="AG8" i="104"/>
  <c r="AG9" i="104"/>
  <c r="AG15" i="112"/>
  <c r="AG14" i="112"/>
  <c r="AG5" i="112"/>
  <c r="AG13" i="112"/>
  <c r="AG23" i="112"/>
  <c r="AG22" i="112"/>
  <c r="AG19" i="112"/>
  <c r="AG16" i="112"/>
  <c r="AG21" i="112"/>
  <c r="AG17" i="112"/>
  <c r="AG20" i="112"/>
  <c r="AG10" i="112"/>
  <c r="AG7" i="112"/>
  <c r="AG6" i="112"/>
  <c r="AG24" i="112"/>
  <c r="AH17" i="91"/>
  <c r="AH14" i="91"/>
  <c r="AH5" i="91"/>
  <c r="AH15" i="91"/>
  <c r="AH13" i="91"/>
  <c r="AH12" i="91"/>
  <c r="AH19" i="100"/>
  <c r="AH6" i="100"/>
  <c r="AH7" i="100"/>
  <c r="AH8" i="100"/>
  <c r="AH5" i="100"/>
  <c r="AH8" i="97"/>
  <c r="AG8" i="97"/>
  <c r="AH7" i="97"/>
  <c r="AG7" i="97"/>
  <c r="AH10" i="97"/>
  <c r="AG10" i="97"/>
  <c r="AH12" i="97"/>
  <c r="AG12" i="97"/>
  <c r="AH9" i="97"/>
  <c r="AG9" i="97"/>
  <c r="AH17" i="51"/>
  <c r="AH5" i="51"/>
  <c r="AH15" i="51"/>
  <c r="AH10" i="51"/>
  <c r="AH12" i="75"/>
  <c r="AH17" i="73"/>
  <c r="AH19" i="74"/>
  <c r="AH18" i="74"/>
  <c r="U17" i="74"/>
  <c r="V17" i="74"/>
  <c r="U5" i="74"/>
  <c r="V5" i="74"/>
  <c r="U19" i="74"/>
  <c r="V19" i="74"/>
  <c r="U18" i="74"/>
  <c r="V18" i="74"/>
  <c r="U7" i="74"/>
  <c r="V7" i="74"/>
  <c r="U13" i="74"/>
  <c r="V13" i="74"/>
  <c r="U20" i="74"/>
  <c r="V20" i="74"/>
  <c r="U11" i="74"/>
  <c r="V11" i="74"/>
  <c r="U8" i="74"/>
  <c r="V8" i="74"/>
  <c r="U9" i="74"/>
  <c r="V9" i="74"/>
  <c r="U6" i="74"/>
  <c r="V6" i="74"/>
  <c r="U12" i="74"/>
  <c r="V12" i="74"/>
  <c r="U15" i="74"/>
  <c r="V15" i="74"/>
  <c r="U16" i="74"/>
  <c r="V16" i="74"/>
  <c r="U14" i="74"/>
  <c r="V14" i="74"/>
  <c r="AH9" i="80"/>
  <c r="E23" i="79"/>
  <c r="F23" i="79"/>
  <c r="G23" i="79" s="1"/>
  <c r="I23" i="79"/>
  <c r="J23" i="79"/>
  <c r="K23" i="79" s="1"/>
  <c r="M23" i="79"/>
  <c r="N23" i="79"/>
  <c r="O23" i="79" s="1"/>
  <c r="Q23" i="79"/>
  <c r="R23" i="79"/>
  <c r="S23" i="79" s="1"/>
  <c r="U23" i="79"/>
  <c r="V23" i="79"/>
  <c r="W23" i="79"/>
  <c r="Y23" i="79"/>
  <c r="Z23" i="79"/>
  <c r="AC23" i="79"/>
  <c r="AD23" i="79"/>
  <c r="AE23" i="79" s="1"/>
  <c r="AF23" i="79"/>
  <c r="AG23" i="79" s="1"/>
  <c r="E17" i="79"/>
  <c r="F17" i="79"/>
  <c r="G17" i="79" s="1"/>
  <c r="I17" i="79"/>
  <c r="J17" i="79"/>
  <c r="K17" i="79" s="1"/>
  <c r="M17" i="79"/>
  <c r="N17" i="79"/>
  <c r="O17" i="79" s="1"/>
  <c r="Q17" i="79"/>
  <c r="R17" i="79"/>
  <c r="S17" i="79" s="1"/>
  <c r="U17" i="79"/>
  <c r="V17" i="79"/>
  <c r="W17" i="79" s="1"/>
  <c r="Y17" i="79"/>
  <c r="Z17" i="79"/>
  <c r="AC17" i="79"/>
  <c r="AD17" i="79"/>
  <c r="AE17" i="79" s="1"/>
  <c r="AF17" i="79"/>
  <c r="AH17" i="79" s="1"/>
  <c r="AI17" i="79" s="1"/>
  <c r="E15" i="79"/>
  <c r="F15" i="79"/>
  <c r="G15" i="79" s="1"/>
  <c r="I15" i="79"/>
  <c r="J15" i="79"/>
  <c r="K15" i="79" s="1"/>
  <c r="M15" i="79"/>
  <c r="N15" i="79"/>
  <c r="O15" i="79" s="1"/>
  <c r="Q15" i="79"/>
  <c r="R15" i="79"/>
  <c r="S15" i="79" s="1"/>
  <c r="U15" i="79"/>
  <c r="V15" i="79"/>
  <c r="W15" i="79" s="1"/>
  <c r="Y15" i="79"/>
  <c r="Z15" i="79"/>
  <c r="AC15" i="79"/>
  <c r="AD15" i="79"/>
  <c r="AE15" i="79" s="1"/>
  <c r="AF15" i="79"/>
  <c r="AG15" i="79" s="1"/>
  <c r="E31" i="79"/>
  <c r="F31" i="79"/>
  <c r="G31" i="79" s="1"/>
  <c r="I31" i="79"/>
  <c r="J31" i="79"/>
  <c r="K31" i="79" s="1"/>
  <c r="M31" i="79"/>
  <c r="N31" i="79"/>
  <c r="O31" i="79" s="1"/>
  <c r="Q31" i="79"/>
  <c r="R31" i="79"/>
  <c r="S31" i="79" s="1"/>
  <c r="U31" i="79"/>
  <c r="V31" i="79"/>
  <c r="W31" i="79" s="1"/>
  <c r="Y31" i="79"/>
  <c r="Z31" i="79"/>
  <c r="AC31" i="79"/>
  <c r="AD31" i="79"/>
  <c r="AE31" i="79" s="1"/>
  <c r="AF31" i="79"/>
  <c r="AG31" i="79" s="1"/>
  <c r="E20" i="79"/>
  <c r="F20" i="79"/>
  <c r="G20" i="79" s="1"/>
  <c r="I20" i="79"/>
  <c r="J20" i="79"/>
  <c r="K20" i="79" s="1"/>
  <c r="M20" i="79"/>
  <c r="N20" i="79"/>
  <c r="O20" i="79" s="1"/>
  <c r="Q20" i="79"/>
  <c r="R20" i="79"/>
  <c r="S20" i="79" s="1"/>
  <c r="U20" i="79"/>
  <c r="V20" i="79"/>
  <c r="W20" i="79" s="1"/>
  <c r="Y20" i="79"/>
  <c r="Z20" i="79"/>
  <c r="AC20" i="79"/>
  <c r="AD20" i="79"/>
  <c r="AE20" i="79" s="1"/>
  <c r="AF20" i="79"/>
  <c r="AG20" i="79" s="1"/>
  <c r="E28" i="79"/>
  <c r="F28" i="79"/>
  <c r="G28" i="79" s="1"/>
  <c r="I28" i="79"/>
  <c r="J28" i="79"/>
  <c r="K28" i="79" s="1"/>
  <c r="M28" i="79"/>
  <c r="N28" i="79"/>
  <c r="O28" i="79" s="1"/>
  <c r="Q28" i="79"/>
  <c r="R28" i="79"/>
  <c r="S28" i="79" s="1"/>
  <c r="U28" i="79"/>
  <c r="V28" i="79"/>
  <c r="W28" i="79" s="1"/>
  <c r="Y28" i="79"/>
  <c r="Z28" i="79"/>
  <c r="AC28" i="79"/>
  <c r="AD28" i="79"/>
  <c r="AE28" i="79" s="1"/>
  <c r="AF28" i="79"/>
  <c r="AG28" i="79" s="1"/>
  <c r="E24" i="78"/>
  <c r="F24" i="78"/>
  <c r="G24" i="78" s="1"/>
  <c r="I24" i="78"/>
  <c r="J24" i="78"/>
  <c r="K24" i="78" s="1"/>
  <c r="M24" i="78"/>
  <c r="N24" i="78"/>
  <c r="O24" i="78" s="1"/>
  <c r="Q24" i="78"/>
  <c r="R24" i="78"/>
  <c r="U24" i="78"/>
  <c r="V24" i="78"/>
  <c r="W24" i="78" s="1"/>
  <c r="Y24" i="78"/>
  <c r="Z24" i="78"/>
  <c r="AA24" i="78" s="1"/>
  <c r="AC24" i="78"/>
  <c r="AD24" i="78"/>
  <c r="AE24" i="78" s="1"/>
  <c r="AF24" i="78"/>
  <c r="AG24" i="78" s="1"/>
  <c r="E15" i="78"/>
  <c r="F15" i="78"/>
  <c r="G15" i="78" s="1"/>
  <c r="I15" i="78"/>
  <c r="J15" i="78"/>
  <c r="K15" i="78"/>
  <c r="M15" i="78"/>
  <c r="N15" i="78"/>
  <c r="O15" i="78" s="1"/>
  <c r="Q15" i="78"/>
  <c r="R15" i="78"/>
  <c r="S15" i="78" s="1"/>
  <c r="U15" i="78"/>
  <c r="V15" i="78"/>
  <c r="W15" i="78"/>
  <c r="Y15" i="78"/>
  <c r="Z15" i="78"/>
  <c r="AA15" i="78" s="1"/>
  <c r="AC15" i="78"/>
  <c r="AD15" i="78"/>
  <c r="AE15" i="78" s="1"/>
  <c r="AF15" i="78"/>
  <c r="AG15" i="78" s="1"/>
  <c r="E13" i="78"/>
  <c r="F13" i="78"/>
  <c r="G13" i="78" s="1"/>
  <c r="I13" i="78"/>
  <c r="J13" i="78"/>
  <c r="K13" i="78" s="1"/>
  <c r="M13" i="78"/>
  <c r="N13" i="78"/>
  <c r="O13" i="78" s="1"/>
  <c r="Q13" i="78"/>
  <c r="R13" i="78"/>
  <c r="U13" i="78"/>
  <c r="V13" i="78"/>
  <c r="W13" i="78" s="1"/>
  <c r="Y13" i="78"/>
  <c r="Z13" i="78"/>
  <c r="AA13" i="78" s="1"/>
  <c r="AC13" i="78"/>
  <c r="AD13" i="78"/>
  <c r="AE13" i="78" s="1"/>
  <c r="AF13" i="78"/>
  <c r="AG13" i="78" s="1"/>
  <c r="E27" i="78"/>
  <c r="F27" i="78"/>
  <c r="G27" i="78" s="1"/>
  <c r="I27" i="78"/>
  <c r="J27" i="78"/>
  <c r="K27" i="78" s="1"/>
  <c r="M27" i="78"/>
  <c r="N27" i="78"/>
  <c r="O27" i="78" s="1"/>
  <c r="Q27" i="78"/>
  <c r="R27" i="78"/>
  <c r="S27" i="78" s="1"/>
  <c r="U27" i="78"/>
  <c r="V27" i="78"/>
  <c r="W27" i="78" s="1"/>
  <c r="Y27" i="78"/>
  <c r="Z27" i="78"/>
  <c r="AA27" i="78" s="1"/>
  <c r="AC27" i="78"/>
  <c r="AD27" i="78"/>
  <c r="AE27" i="78" s="1"/>
  <c r="AF27" i="78"/>
  <c r="AG27" i="78" s="1"/>
  <c r="E9" i="78"/>
  <c r="F9" i="78"/>
  <c r="G9" i="78" s="1"/>
  <c r="I9" i="78"/>
  <c r="J9" i="78"/>
  <c r="M9" i="78"/>
  <c r="N9" i="78"/>
  <c r="O9" i="78" s="1"/>
  <c r="Q9" i="78"/>
  <c r="R9" i="78"/>
  <c r="U9" i="78"/>
  <c r="V9" i="78"/>
  <c r="W9" i="78" s="1"/>
  <c r="Y9" i="78"/>
  <c r="Z9" i="78"/>
  <c r="AA9" i="78" s="1"/>
  <c r="AC9" i="78"/>
  <c r="AD9" i="78"/>
  <c r="AE9" i="78" s="1"/>
  <c r="AF9" i="78"/>
  <c r="AG9" i="78" s="1"/>
  <c r="E18" i="77"/>
  <c r="F18" i="77"/>
  <c r="G18" i="77" s="1"/>
  <c r="I18" i="77"/>
  <c r="J18" i="77"/>
  <c r="K18" i="77" s="1"/>
  <c r="M18" i="77"/>
  <c r="N18" i="77"/>
  <c r="O18" i="77" s="1"/>
  <c r="Q18" i="77"/>
  <c r="R18" i="77"/>
  <c r="S18" i="77" s="1"/>
  <c r="U18" i="77"/>
  <c r="V18" i="77"/>
  <c r="W18" i="77" s="1"/>
  <c r="Y18" i="77"/>
  <c r="Z18" i="77"/>
  <c r="AA18" i="77" s="1"/>
  <c r="AC18" i="77"/>
  <c r="AD18" i="77"/>
  <c r="AE18" i="77" s="1"/>
  <c r="AF18" i="77"/>
  <c r="AG18" i="77" s="1"/>
  <c r="E19" i="77"/>
  <c r="F19" i="77"/>
  <c r="G19" i="77" s="1"/>
  <c r="I19" i="77"/>
  <c r="J19" i="77"/>
  <c r="K19" i="77" s="1"/>
  <c r="M19" i="77"/>
  <c r="N19" i="77"/>
  <c r="O19" i="77" s="1"/>
  <c r="Q19" i="77"/>
  <c r="R19" i="77"/>
  <c r="S19" i="77" s="1"/>
  <c r="U19" i="77"/>
  <c r="V19" i="77"/>
  <c r="W19" i="77" s="1"/>
  <c r="Y19" i="77"/>
  <c r="Z19" i="77"/>
  <c r="AA19" i="77" s="1"/>
  <c r="AC19" i="77"/>
  <c r="AD19" i="77"/>
  <c r="AE19" i="77" s="1"/>
  <c r="AF19" i="77"/>
  <c r="AG19" i="77" s="1"/>
  <c r="E23" i="77"/>
  <c r="F23" i="77"/>
  <c r="G23" i="77" s="1"/>
  <c r="I23" i="77"/>
  <c r="J23" i="77"/>
  <c r="K23" i="77" s="1"/>
  <c r="M23" i="77"/>
  <c r="N23" i="77"/>
  <c r="O23" i="77" s="1"/>
  <c r="Q23" i="77"/>
  <c r="R23" i="77"/>
  <c r="S23" i="77" s="1"/>
  <c r="U23" i="77"/>
  <c r="V23" i="77"/>
  <c r="W23" i="77" s="1"/>
  <c r="Y23" i="77"/>
  <c r="Z23" i="77"/>
  <c r="AA23" i="77" s="1"/>
  <c r="AC23" i="77"/>
  <c r="AD23" i="77"/>
  <c r="AE23" i="77" s="1"/>
  <c r="AF23" i="77"/>
  <c r="AG23" i="77" s="1"/>
  <c r="E29" i="77"/>
  <c r="F29" i="77"/>
  <c r="G29" i="77" s="1"/>
  <c r="I29" i="77"/>
  <c r="J29" i="77"/>
  <c r="K29" i="77" s="1"/>
  <c r="M29" i="77"/>
  <c r="N29" i="77"/>
  <c r="O29" i="77" s="1"/>
  <c r="Q29" i="77"/>
  <c r="R29" i="77"/>
  <c r="S29" i="77" s="1"/>
  <c r="U29" i="77"/>
  <c r="V29" i="77"/>
  <c r="W29" i="77" s="1"/>
  <c r="Y29" i="77"/>
  <c r="Z29" i="77"/>
  <c r="AA29" i="77" s="1"/>
  <c r="AC29" i="77"/>
  <c r="AD29" i="77"/>
  <c r="AE29" i="77" s="1"/>
  <c r="AF29" i="77"/>
  <c r="AH29" i="77" s="1"/>
  <c r="AI29" i="77" s="1"/>
  <c r="E12" i="77"/>
  <c r="F12" i="77"/>
  <c r="G12" i="77" s="1"/>
  <c r="I12" i="77"/>
  <c r="J12" i="77"/>
  <c r="K12" i="77" s="1"/>
  <c r="M12" i="77"/>
  <c r="N12" i="77"/>
  <c r="O12" i="77" s="1"/>
  <c r="Q12" i="77"/>
  <c r="R12" i="77"/>
  <c r="U12" i="77"/>
  <c r="V12" i="77"/>
  <c r="W12" i="77" s="1"/>
  <c r="Y12" i="77"/>
  <c r="Z12" i="77"/>
  <c r="AA12" i="77" s="1"/>
  <c r="AC12" i="77"/>
  <c r="AD12" i="77"/>
  <c r="AE12" i="77" s="1"/>
  <c r="AF12" i="77"/>
  <c r="AG12" i="77" s="1"/>
  <c r="AH11" i="85"/>
  <c r="AH18" i="85"/>
  <c r="AH9" i="85"/>
  <c r="AH8" i="85"/>
  <c r="Q7" i="116"/>
  <c r="R7" i="116"/>
  <c r="Q14" i="116"/>
  <c r="R14" i="116"/>
  <c r="Q13" i="116"/>
  <c r="R13" i="116"/>
  <c r="Q5" i="116"/>
  <c r="R5" i="116"/>
  <c r="Q15" i="116"/>
  <c r="R15" i="116"/>
  <c r="Q6" i="116"/>
  <c r="R6" i="116"/>
  <c r="Q11" i="116"/>
  <c r="R11" i="116"/>
  <c r="Q9" i="116"/>
  <c r="R9" i="116"/>
  <c r="Q16" i="116"/>
  <c r="R16" i="116"/>
  <c r="E13" i="94"/>
  <c r="F13" i="94"/>
  <c r="G13" i="94" s="1"/>
  <c r="E17" i="94"/>
  <c r="F17" i="94"/>
  <c r="G17" i="94"/>
  <c r="E21" i="94"/>
  <c r="F21" i="94"/>
  <c r="G21" i="94" s="1"/>
  <c r="E10" i="94"/>
  <c r="F10" i="94"/>
  <c r="G10" i="94" s="1"/>
  <c r="E16" i="94"/>
  <c r="F16" i="94"/>
  <c r="G16" i="94" s="1"/>
  <c r="E19" i="94"/>
  <c r="F19" i="94"/>
  <c r="E9" i="94"/>
  <c r="F9" i="94"/>
  <c r="G9" i="94" s="1"/>
  <c r="E12" i="94"/>
  <c r="F12" i="94"/>
  <c r="G12" i="94" s="1"/>
  <c r="E6" i="94"/>
  <c r="F6" i="94"/>
  <c r="G6" i="94" s="1"/>
  <c r="E15" i="94"/>
  <c r="F15" i="94"/>
  <c r="G15" i="94" s="1"/>
  <c r="E14" i="94"/>
  <c r="F14" i="94"/>
  <c r="G14" i="94" s="1"/>
  <c r="E18" i="94"/>
  <c r="F18" i="94"/>
  <c r="G18" i="94"/>
  <c r="E11" i="94"/>
  <c r="F11" i="94"/>
  <c r="G11" i="94" s="1"/>
  <c r="E5" i="94"/>
  <c r="F5" i="94"/>
  <c r="G5" i="94" s="1"/>
  <c r="E7" i="94"/>
  <c r="F7" i="94"/>
  <c r="G7" i="94" s="1"/>
  <c r="I13" i="94"/>
  <c r="J13" i="94"/>
  <c r="I17" i="94"/>
  <c r="J17" i="94"/>
  <c r="I21" i="94"/>
  <c r="J21" i="94"/>
  <c r="K21" i="94" s="1"/>
  <c r="I10" i="94"/>
  <c r="J10" i="94"/>
  <c r="I16" i="94"/>
  <c r="J16" i="94"/>
  <c r="K16" i="94" s="1"/>
  <c r="I19" i="94"/>
  <c r="J19" i="94"/>
  <c r="I9" i="94"/>
  <c r="J9" i="94"/>
  <c r="K9" i="94" s="1"/>
  <c r="I12" i="94"/>
  <c r="J12" i="94"/>
  <c r="I6" i="94"/>
  <c r="J6" i="94"/>
  <c r="I8" i="94"/>
  <c r="J8" i="94"/>
  <c r="I15" i="94"/>
  <c r="J15" i="94"/>
  <c r="K15" i="94" s="1"/>
  <c r="I14" i="94"/>
  <c r="J14" i="94"/>
  <c r="K14" i="94" s="1"/>
  <c r="I18" i="94"/>
  <c r="J18" i="94"/>
  <c r="K18" i="94"/>
  <c r="I11" i="94"/>
  <c r="J11" i="94"/>
  <c r="K11" i="94" s="1"/>
  <c r="I5" i="94"/>
  <c r="J5" i="94"/>
  <c r="K5" i="94" s="1"/>
  <c r="I7" i="94"/>
  <c r="J7" i="94"/>
  <c r="K7" i="94" s="1"/>
  <c r="I20" i="94"/>
  <c r="J20" i="94"/>
  <c r="K20" i="94" s="1"/>
  <c r="M13" i="94"/>
  <c r="N13" i="94"/>
  <c r="O13" i="94" s="1"/>
  <c r="Q13" i="94"/>
  <c r="R13" i="94"/>
  <c r="S13" i="94" s="1"/>
  <c r="U13" i="94"/>
  <c r="V13" i="94"/>
  <c r="W13" i="94" s="1"/>
  <c r="Y13" i="94"/>
  <c r="Z13" i="94"/>
  <c r="AA13" i="94" s="1"/>
  <c r="AC13" i="94"/>
  <c r="AD13" i="94"/>
  <c r="AE13" i="94" s="1"/>
  <c r="AF13" i="94"/>
  <c r="M17" i="94"/>
  <c r="N17" i="94"/>
  <c r="O17" i="94" s="1"/>
  <c r="Q17" i="94"/>
  <c r="R17" i="94"/>
  <c r="S17" i="94"/>
  <c r="U17" i="94"/>
  <c r="V17" i="94"/>
  <c r="W17" i="94" s="1"/>
  <c r="Y17" i="94"/>
  <c r="Z17" i="94"/>
  <c r="AA17" i="94" s="1"/>
  <c r="AC17" i="94"/>
  <c r="AD17" i="94"/>
  <c r="AE17" i="94" s="1"/>
  <c r="AF17" i="94"/>
  <c r="M21" i="94"/>
  <c r="N21" i="94"/>
  <c r="O21" i="94" s="1"/>
  <c r="Q21" i="94"/>
  <c r="R21" i="94"/>
  <c r="S21" i="94" s="1"/>
  <c r="U21" i="94"/>
  <c r="V21" i="94"/>
  <c r="W21" i="94" s="1"/>
  <c r="Y21" i="94"/>
  <c r="Z21" i="94"/>
  <c r="AA21" i="94" s="1"/>
  <c r="AC21" i="94"/>
  <c r="AD21" i="94"/>
  <c r="AE21" i="94" s="1"/>
  <c r="AF21" i="94"/>
  <c r="M10" i="94"/>
  <c r="N10" i="94"/>
  <c r="O10" i="94" s="1"/>
  <c r="Q10" i="94"/>
  <c r="R10" i="94"/>
  <c r="S10" i="94" s="1"/>
  <c r="U10" i="94"/>
  <c r="V10" i="94"/>
  <c r="W10" i="94" s="1"/>
  <c r="Y10" i="94"/>
  <c r="Z10" i="94"/>
  <c r="AA10" i="94" s="1"/>
  <c r="AC10" i="94"/>
  <c r="AD10" i="94"/>
  <c r="AE10" i="94" s="1"/>
  <c r="AF10" i="94"/>
  <c r="AG10" i="94" s="1"/>
  <c r="M16" i="94"/>
  <c r="N16" i="94"/>
  <c r="O16" i="94" s="1"/>
  <c r="Q16" i="94"/>
  <c r="R16" i="94"/>
  <c r="S16" i="94" s="1"/>
  <c r="U16" i="94"/>
  <c r="V16" i="94"/>
  <c r="W16" i="94" s="1"/>
  <c r="Y16" i="94"/>
  <c r="Z16" i="94"/>
  <c r="AA16" i="94" s="1"/>
  <c r="AC16" i="94"/>
  <c r="AD16" i="94"/>
  <c r="AE16" i="94" s="1"/>
  <c r="AF16" i="94"/>
  <c r="M19" i="94"/>
  <c r="N19" i="94"/>
  <c r="O19" i="94" s="1"/>
  <c r="Q19" i="94"/>
  <c r="R19" i="94"/>
  <c r="S19" i="94"/>
  <c r="U19" i="94"/>
  <c r="V19" i="94"/>
  <c r="W19" i="94" s="1"/>
  <c r="Y19" i="94"/>
  <c r="Z19" i="94"/>
  <c r="AA19" i="94" s="1"/>
  <c r="AC19" i="94"/>
  <c r="AD19" i="94"/>
  <c r="AE19" i="94" s="1"/>
  <c r="AF19" i="94"/>
  <c r="AG19" i="94" s="1"/>
  <c r="M9" i="94"/>
  <c r="N9" i="94"/>
  <c r="O9" i="94" s="1"/>
  <c r="Q9" i="94"/>
  <c r="R9" i="94"/>
  <c r="U9" i="94"/>
  <c r="V9" i="94"/>
  <c r="W9" i="94" s="1"/>
  <c r="Y9" i="94"/>
  <c r="Z9" i="94"/>
  <c r="AA9" i="94" s="1"/>
  <c r="AC9" i="94"/>
  <c r="AD9" i="94"/>
  <c r="AE9" i="94" s="1"/>
  <c r="AF9" i="94"/>
  <c r="M12" i="94"/>
  <c r="N12" i="94"/>
  <c r="Q12" i="94"/>
  <c r="R12" i="94"/>
  <c r="S12" i="94" s="1"/>
  <c r="U12" i="94"/>
  <c r="V12" i="94"/>
  <c r="W12" i="94" s="1"/>
  <c r="Y12" i="94"/>
  <c r="Z12" i="94"/>
  <c r="AA12" i="94" s="1"/>
  <c r="AC12" i="94"/>
  <c r="AD12" i="94"/>
  <c r="AE12" i="94" s="1"/>
  <c r="AF12" i="94"/>
  <c r="M6" i="94"/>
  <c r="N6" i="94"/>
  <c r="O6" i="94" s="1"/>
  <c r="Q6" i="94"/>
  <c r="R6" i="94"/>
  <c r="S6" i="94" s="1"/>
  <c r="U6" i="94"/>
  <c r="V6" i="94"/>
  <c r="W6" i="94" s="1"/>
  <c r="Y6" i="94"/>
  <c r="Z6" i="94"/>
  <c r="AA6" i="94" s="1"/>
  <c r="AC6" i="94"/>
  <c r="AD6" i="94"/>
  <c r="AE6" i="94" s="1"/>
  <c r="AF6" i="94"/>
  <c r="AH6" i="94" s="1"/>
  <c r="AI6" i="94" s="1"/>
  <c r="M8" i="94"/>
  <c r="N8" i="94"/>
  <c r="O8" i="94" s="1"/>
  <c r="Q8" i="94"/>
  <c r="R8" i="94"/>
  <c r="U8" i="94"/>
  <c r="V8" i="94"/>
  <c r="W8" i="94" s="1"/>
  <c r="Y8" i="94"/>
  <c r="Z8" i="94"/>
  <c r="AA8" i="94" s="1"/>
  <c r="AC8" i="94"/>
  <c r="AD8" i="94"/>
  <c r="AE8" i="94" s="1"/>
  <c r="AF8" i="94"/>
  <c r="AG8" i="94" s="1"/>
  <c r="M15" i="94"/>
  <c r="N15" i="94"/>
  <c r="O15" i="94" s="1"/>
  <c r="Q15" i="94"/>
  <c r="R15" i="94"/>
  <c r="S15" i="94" s="1"/>
  <c r="U15" i="94"/>
  <c r="V15" i="94"/>
  <c r="W15" i="94" s="1"/>
  <c r="Y15" i="94"/>
  <c r="Z15" i="94"/>
  <c r="AA15" i="94" s="1"/>
  <c r="AC15" i="94"/>
  <c r="AD15" i="94"/>
  <c r="AE15" i="94" s="1"/>
  <c r="AF15" i="94"/>
  <c r="AG15" i="94" s="1"/>
  <c r="M14" i="94"/>
  <c r="N14" i="94"/>
  <c r="O14" i="94"/>
  <c r="Q14" i="94"/>
  <c r="R14" i="94"/>
  <c r="S14" i="94" s="1"/>
  <c r="U14" i="94"/>
  <c r="V14" i="94"/>
  <c r="W14" i="94" s="1"/>
  <c r="Y14" i="94"/>
  <c r="Z14" i="94"/>
  <c r="AA14" i="94"/>
  <c r="AC14" i="94"/>
  <c r="AD14" i="94"/>
  <c r="AE14" i="94"/>
  <c r="AF14" i="94"/>
  <c r="AG14" i="94" s="1"/>
  <c r="M18" i="94"/>
  <c r="N18" i="94"/>
  <c r="O18" i="94" s="1"/>
  <c r="Q18" i="94"/>
  <c r="R18" i="94"/>
  <c r="S18" i="94" s="1"/>
  <c r="U18" i="94"/>
  <c r="V18" i="94"/>
  <c r="W18" i="94" s="1"/>
  <c r="Y18" i="94"/>
  <c r="Z18" i="94"/>
  <c r="AA18" i="94" s="1"/>
  <c r="AC18" i="94"/>
  <c r="AD18" i="94"/>
  <c r="AE18" i="94" s="1"/>
  <c r="AF18" i="94"/>
  <c r="M11" i="94"/>
  <c r="N11" i="94"/>
  <c r="O11" i="94" s="1"/>
  <c r="Q11" i="94"/>
  <c r="R11" i="94"/>
  <c r="S11" i="94" s="1"/>
  <c r="U11" i="94"/>
  <c r="V11" i="94"/>
  <c r="Y11" i="94"/>
  <c r="Z11" i="94"/>
  <c r="AA11" i="94" s="1"/>
  <c r="AC11" i="94"/>
  <c r="AD11" i="94"/>
  <c r="AE11" i="94" s="1"/>
  <c r="AF11" i="94"/>
  <c r="M5" i="94"/>
  <c r="N5" i="94"/>
  <c r="O5" i="94" s="1"/>
  <c r="Q5" i="94"/>
  <c r="R5" i="94"/>
  <c r="U5" i="94"/>
  <c r="V5" i="94"/>
  <c r="W5" i="94" s="1"/>
  <c r="Y5" i="94"/>
  <c r="Z5" i="94"/>
  <c r="AA5" i="94" s="1"/>
  <c r="AC5" i="94"/>
  <c r="AD5" i="94"/>
  <c r="AE5" i="94"/>
  <c r="AF5" i="94"/>
  <c r="AG5" i="94" s="1"/>
  <c r="M7" i="94"/>
  <c r="N7" i="94"/>
  <c r="Q7" i="94"/>
  <c r="R7" i="94"/>
  <c r="U7" i="94"/>
  <c r="V7" i="94"/>
  <c r="W7" i="94" s="1"/>
  <c r="Y7" i="94"/>
  <c r="Z7" i="94"/>
  <c r="AA7" i="94" s="1"/>
  <c r="AC7" i="94"/>
  <c r="AD7" i="94"/>
  <c r="AE7" i="94" s="1"/>
  <c r="AF7" i="94"/>
  <c r="AG7" i="94" s="1"/>
  <c r="M20" i="94"/>
  <c r="N20" i="94"/>
  <c r="O20" i="94" s="1"/>
  <c r="Q20" i="94"/>
  <c r="R20" i="94"/>
  <c r="S20" i="94" s="1"/>
  <c r="U20" i="94"/>
  <c r="V20" i="94"/>
  <c r="W20" i="94" s="1"/>
  <c r="Y20" i="94"/>
  <c r="Z20" i="94"/>
  <c r="AA20" i="94"/>
  <c r="AC20" i="94"/>
  <c r="AD20" i="94"/>
  <c r="AE20" i="94" s="1"/>
  <c r="AF20" i="94"/>
  <c r="AG20" i="94" s="1"/>
  <c r="M22" i="94"/>
  <c r="N22" i="94"/>
  <c r="O22" i="94" s="1"/>
  <c r="Q22" i="94"/>
  <c r="R22" i="94"/>
  <c r="S22" i="94" s="1"/>
  <c r="U22" i="94"/>
  <c r="V22" i="94"/>
  <c r="W22" i="94" s="1"/>
  <c r="Y22" i="94"/>
  <c r="Z22" i="94"/>
  <c r="AA22" i="94" s="1"/>
  <c r="AC22" i="94"/>
  <c r="AD22" i="94"/>
  <c r="AE22" i="94" s="1"/>
  <c r="AF22" i="94"/>
  <c r="AG22" i="94" s="1"/>
  <c r="M23" i="94"/>
  <c r="N23" i="94"/>
  <c r="O23" i="94" s="1"/>
  <c r="Q23" i="94"/>
  <c r="R23" i="94"/>
  <c r="S23" i="94" s="1"/>
  <c r="U23" i="94"/>
  <c r="V23" i="94"/>
  <c r="W23" i="94" s="1"/>
  <c r="Y23" i="94"/>
  <c r="Z23" i="94"/>
  <c r="AA23" i="94" s="1"/>
  <c r="AC23" i="94"/>
  <c r="AD23" i="94"/>
  <c r="AE23" i="94" s="1"/>
  <c r="AF23" i="94"/>
  <c r="AG23" i="94" s="1"/>
  <c r="M24" i="94"/>
  <c r="N24" i="94"/>
  <c r="O24" i="94" s="1"/>
  <c r="Q24" i="94"/>
  <c r="R24" i="94"/>
  <c r="S24" i="94" s="1"/>
  <c r="U24" i="94"/>
  <c r="V24" i="94"/>
  <c r="W24" i="94" s="1"/>
  <c r="Y24" i="94"/>
  <c r="Z24" i="94"/>
  <c r="AA24" i="94" s="1"/>
  <c r="AC24" i="94"/>
  <c r="AD24" i="94"/>
  <c r="AE24" i="94" s="1"/>
  <c r="AF24" i="94"/>
  <c r="AH24" i="94" s="1"/>
  <c r="AI24" i="94" s="1"/>
  <c r="AJ20" i="78" l="1"/>
  <c r="AK20" i="78" s="1"/>
  <c r="AL20" i="78" s="1"/>
  <c r="Z22" i="81"/>
  <c r="AA22" i="81"/>
  <c r="AB22" i="81" s="1"/>
  <c r="AC22" i="81" s="1"/>
  <c r="S13" i="78"/>
  <c r="S24" i="78"/>
  <c r="S9" i="78"/>
  <c r="S12" i="77"/>
  <c r="O7" i="94"/>
  <c r="S5" i="94"/>
  <c r="AH17" i="94"/>
  <c r="S9" i="94"/>
  <c r="S7" i="94"/>
  <c r="S8" i="94"/>
  <c r="AH20" i="94"/>
  <c r="AI20" i="94" s="1"/>
  <c r="AG13" i="94"/>
  <c r="K9" i="78"/>
  <c r="AH23" i="79"/>
  <c r="AI23" i="79" s="1"/>
  <c r="AH24" i="78"/>
  <c r="AI24" i="78" s="1"/>
  <c r="AH18" i="77"/>
  <c r="AI18" i="77" s="1"/>
  <c r="AJ18" i="77" s="1"/>
  <c r="AK18" i="77" s="1"/>
  <c r="AH22" i="94"/>
  <c r="AI22" i="94" s="1"/>
  <c r="AG6" i="94"/>
  <c r="K13" i="94"/>
  <c r="AH8" i="94"/>
  <c r="AI8" i="94" s="1"/>
  <c r="K12" i="94"/>
  <c r="AG24" i="94"/>
  <c r="AJ23" i="79"/>
  <c r="AK23" i="79" s="1"/>
  <c r="AL23" i="79" s="1"/>
  <c r="AG17" i="79"/>
  <c r="AH15" i="79"/>
  <c r="AI15" i="79" s="1"/>
  <c r="AJ15" i="79" s="1"/>
  <c r="AK15" i="79" s="1"/>
  <c r="AJ17" i="79"/>
  <c r="AK17" i="79" s="1"/>
  <c r="AH31" i="79"/>
  <c r="AI31" i="79" s="1"/>
  <c r="AJ31" i="79" s="1"/>
  <c r="AK31" i="79" s="1"/>
  <c r="AL31" i="79" s="1"/>
  <c r="AH20" i="79"/>
  <c r="AI20" i="79" s="1"/>
  <c r="AH28" i="79"/>
  <c r="AI28" i="79" s="1"/>
  <c r="AJ28" i="79" s="1"/>
  <c r="AK28" i="79" s="1"/>
  <c r="AL28" i="79" s="1"/>
  <c r="AH27" i="78"/>
  <c r="AI27" i="78" s="1"/>
  <c r="AH15" i="78"/>
  <c r="AI15" i="78" s="1"/>
  <c r="AJ15" i="78"/>
  <c r="AK15" i="78" s="1"/>
  <c r="AL15" i="78" s="1"/>
  <c r="AH13" i="78"/>
  <c r="AI13" i="78" s="1"/>
  <c r="AJ27" i="78"/>
  <c r="AK27" i="78" s="1"/>
  <c r="AL27" i="78" s="1"/>
  <c r="AH9" i="78"/>
  <c r="AI9" i="78" s="1"/>
  <c r="AH19" i="77"/>
  <c r="AI19" i="77" s="1"/>
  <c r="AJ19" i="77" s="1"/>
  <c r="AK19" i="77" s="1"/>
  <c r="AL19" i="77" s="1"/>
  <c r="AH23" i="77"/>
  <c r="AI23" i="77" s="1"/>
  <c r="AJ23" i="77" s="1"/>
  <c r="AK23" i="77" s="1"/>
  <c r="AG29" i="77"/>
  <c r="AJ29" i="77"/>
  <c r="AK29" i="77" s="1"/>
  <c r="AH12" i="77"/>
  <c r="AI12" i="77" s="1"/>
  <c r="K6" i="94"/>
  <c r="K10" i="94"/>
  <c r="AH19" i="94"/>
  <c r="AI19" i="94" s="1"/>
  <c r="AG16" i="94"/>
  <c r="W11" i="94"/>
  <c r="O12" i="94"/>
  <c r="K8" i="94"/>
  <c r="K17" i="94"/>
  <c r="K19" i="94"/>
  <c r="G19" i="94"/>
  <c r="AH11" i="94"/>
  <c r="AI11" i="94" s="1"/>
  <c r="AG18" i="94"/>
  <c r="AH23" i="94"/>
  <c r="AI23" i="94" s="1"/>
  <c r="AH5" i="94"/>
  <c r="AI5" i="94" s="1"/>
  <c r="AG11" i="94"/>
  <c r="AH15" i="94"/>
  <c r="AI15" i="94" s="1"/>
  <c r="AH9" i="94"/>
  <c r="AH21" i="94"/>
  <c r="AG17" i="94"/>
  <c r="AI17" i="94" s="1"/>
  <c r="AH7" i="94"/>
  <c r="AI7" i="94" s="1"/>
  <c r="AH14" i="94"/>
  <c r="AI14" i="94" s="1"/>
  <c r="AH12" i="94"/>
  <c r="AI12" i="94" s="1"/>
  <c r="AG9" i="94"/>
  <c r="AH10" i="94"/>
  <c r="AI10" i="94" s="1"/>
  <c r="AG21" i="94"/>
  <c r="AH18" i="94"/>
  <c r="AI18" i="94" s="1"/>
  <c r="AG12" i="94"/>
  <c r="AH16" i="94"/>
  <c r="AI16" i="94" s="1"/>
  <c r="AH13" i="94"/>
  <c r="AI13" i="94" s="1"/>
  <c r="AJ13" i="78" l="1"/>
  <c r="AK13" i="78" s="1"/>
  <c r="AJ24" i="78"/>
  <c r="AK24" i="78" s="1"/>
  <c r="AJ9" i="78"/>
  <c r="AK9" i="78" s="1"/>
  <c r="AJ12" i="77"/>
  <c r="AK12" i="77" s="1"/>
  <c r="AJ20" i="79"/>
  <c r="AK20" i="79" s="1"/>
  <c r="AL20" i="79" s="1"/>
  <c r="AI9" i="94"/>
  <c r="AI21" i="94"/>
  <c r="AF24" i="85" l="1"/>
  <c r="AH24" i="85" s="1"/>
  <c r="AI24" i="85" s="1"/>
  <c r="AF23" i="85"/>
  <c r="AH23" i="85" s="1"/>
  <c r="AI23" i="85" s="1"/>
  <c r="AF22" i="85"/>
  <c r="AH22" i="85" s="1"/>
  <c r="AI22" i="85" s="1"/>
  <c r="AF21" i="85"/>
  <c r="AH21" i="85" s="1"/>
  <c r="AI21" i="85" s="1"/>
  <c r="AF13" i="85"/>
  <c r="AH13" i="85" s="1"/>
  <c r="AI13" i="85" s="1"/>
  <c r="AF20" i="85"/>
  <c r="AH20" i="85" s="1"/>
  <c r="AI20" i="85" s="1"/>
  <c r="AH16" i="85"/>
  <c r="AI16" i="85" s="1"/>
  <c r="AH5" i="85"/>
  <c r="AI5" i="85" s="1"/>
  <c r="AH15" i="85"/>
  <c r="AI15" i="85" s="1"/>
  <c r="AH17" i="85"/>
  <c r="AI17" i="85" s="1"/>
  <c r="AH6" i="85"/>
  <c r="AI6" i="85" s="1"/>
  <c r="AI9" i="85"/>
  <c r="AH12" i="85"/>
  <c r="AI12" i="85" s="1"/>
  <c r="AI18" i="85"/>
  <c r="AI8" i="85"/>
  <c r="AH14" i="85"/>
  <c r="AI14" i="85" s="1"/>
  <c r="AF24" i="84"/>
  <c r="AH24" i="84" s="1"/>
  <c r="AI24" i="84" s="1"/>
  <c r="AF23" i="84"/>
  <c r="AH23" i="84" s="1"/>
  <c r="AI23" i="84" s="1"/>
  <c r="AF22" i="84"/>
  <c r="AH22" i="84" s="1"/>
  <c r="AI22" i="84" s="1"/>
  <c r="AH21" i="84"/>
  <c r="AI21" i="84" s="1"/>
  <c r="AH20" i="84"/>
  <c r="AI20" i="84" s="1"/>
  <c r="AH18" i="84"/>
  <c r="AI18" i="84" s="1"/>
  <c r="AH14" i="84"/>
  <c r="AI14" i="84" s="1"/>
  <c r="AH17" i="84"/>
  <c r="AI17" i="84" s="1"/>
  <c r="AH8" i="84"/>
  <c r="AI8" i="84" s="1"/>
  <c r="AH11" i="84"/>
  <c r="AI11" i="84" s="1"/>
  <c r="AH10" i="84"/>
  <c r="AI10" i="84" s="1"/>
  <c r="AH7" i="84"/>
  <c r="AI7" i="84" s="1"/>
  <c r="AH12" i="84"/>
  <c r="AI12" i="84" s="1"/>
  <c r="AE34" i="112"/>
  <c r="AG34" i="112" s="1"/>
  <c r="AH34" i="112" s="1"/>
  <c r="AE27" i="112"/>
  <c r="AG27" i="112" s="1"/>
  <c r="AH27" i="112" s="1"/>
  <c r="AE26" i="112"/>
  <c r="AG26" i="112" s="1"/>
  <c r="AH26" i="112" s="1"/>
  <c r="AE25" i="112"/>
  <c r="AG25" i="112" s="1"/>
  <c r="AH25" i="112" s="1"/>
  <c r="AE18" i="112"/>
  <c r="AG18" i="112" s="1"/>
  <c r="AH18" i="112" s="1"/>
  <c r="AH15" i="112"/>
  <c r="AH14" i="112"/>
  <c r="AH5" i="112"/>
  <c r="AH13" i="112"/>
  <c r="AH23" i="112"/>
  <c r="AH22" i="112"/>
  <c r="AH19" i="112"/>
  <c r="AH16" i="112"/>
  <c r="AH21" i="112"/>
  <c r="AH17" i="112"/>
  <c r="AH20" i="112"/>
  <c r="AH10" i="112"/>
  <c r="AH7" i="112"/>
  <c r="AH6" i="112"/>
  <c r="AH24" i="112"/>
  <c r="AG12" i="112"/>
  <c r="AH12" i="112" s="1"/>
  <c r="AG8" i="112"/>
  <c r="AH8" i="112" s="1"/>
  <c r="AG9" i="112"/>
  <c r="AH9" i="112" s="1"/>
  <c r="AF24" i="91"/>
  <c r="AH24" i="91" s="1"/>
  <c r="AI24" i="91" s="1"/>
  <c r="AF23" i="91"/>
  <c r="AH23" i="91" s="1"/>
  <c r="AI23" i="91" s="1"/>
  <c r="AF22" i="91"/>
  <c r="AH22" i="91" s="1"/>
  <c r="AI22" i="91" s="1"/>
  <c r="AF21" i="91"/>
  <c r="AH21" i="91" s="1"/>
  <c r="AI21" i="91" s="1"/>
  <c r="AF20" i="91"/>
  <c r="AF19" i="91"/>
  <c r="AF18" i="91"/>
  <c r="AF11" i="91"/>
  <c r="AF8" i="91"/>
  <c r="AF10" i="91"/>
  <c r="AH10" i="91" s="1"/>
  <c r="AI10" i="91" s="1"/>
  <c r="AF6" i="91"/>
  <c r="AH6" i="91" s="1"/>
  <c r="AI6" i="91" s="1"/>
  <c r="AF16" i="91"/>
  <c r="AH16" i="91" s="1"/>
  <c r="AI16" i="91" s="1"/>
  <c r="AF7" i="91"/>
  <c r="AI17" i="91"/>
  <c r="AI14" i="91"/>
  <c r="AI5" i="91"/>
  <c r="AI13" i="91"/>
  <c r="AI12" i="91"/>
  <c r="AF24" i="100"/>
  <c r="AH24" i="100" s="1"/>
  <c r="AI24" i="100" s="1"/>
  <c r="AF23" i="100"/>
  <c r="AH23" i="100" s="1"/>
  <c r="AI23" i="100" s="1"/>
  <c r="AF22" i="100"/>
  <c r="AH22" i="100" s="1"/>
  <c r="AI22" i="100" s="1"/>
  <c r="AF21" i="100"/>
  <c r="AH21" i="100" s="1"/>
  <c r="AI21" i="100" s="1"/>
  <c r="AF20" i="100"/>
  <c r="AH20" i="100" s="1"/>
  <c r="AI20" i="100" s="1"/>
  <c r="AF16" i="100"/>
  <c r="AF17" i="100"/>
  <c r="AF15" i="100"/>
  <c r="AF9" i="100"/>
  <c r="AI8" i="100"/>
  <c r="AF18" i="100"/>
  <c r="AF13" i="100"/>
  <c r="AF10" i="100"/>
  <c r="AF11" i="100"/>
  <c r="AH11" i="100" s="1"/>
  <c r="AI11" i="100" s="1"/>
  <c r="AI19" i="100"/>
  <c r="AI5" i="100"/>
  <c r="AF14" i="100"/>
  <c r="AF12" i="100"/>
  <c r="AH12" i="100" s="1"/>
  <c r="AH9" i="100" l="1"/>
  <c r="AI9" i="100" s="1"/>
  <c r="AH17" i="100"/>
  <c r="AI17" i="100" s="1"/>
  <c r="AH14" i="100"/>
  <c r="AI14" i="100" s="1"/>
  <c r="AH16" i="100"/>
  <c r="AI16" i="100" s="1"/>
  <c r="AH10" i="100"/>
  <c r="AI10" i="100" s="1"/>
  <c r="AH13" i="100"/>
  <c r="AI13" i="100" s="1"/>
  <c r="AH15" i="100"/>
  <c r="AI15" i="100" s="1"/>
  <c r="AH18" i="100"/>
  <c r="AI18" i="100" s="1"/>
  <c r="AH18" i="91"/>
  <c r="AI18" i="91" s="1"/>
  <c r="AH19" i="91"/>
  <c r="AI19" i="91" s="1"/>
  <c r="AH8" i="91"/>
  <c r="AI8" i="91" s="1"/>
  <c r="AH20" i="91"/>
  <c r="AI20" i="91" s="1"/>
  <c r="AH7" i="91"/>
  <c r="AI7" i="91" s="1"/>
  <c r="AH11" i="91"/>
  <c r="AI11" i="91" s="1"/>
  <c r="AG14" i="85"/>
  <c r="AG18" i="85"/>
  <c r="AG12" i="85"/>
  <c r="AG6" i="85"/>
  <c r="AG17" i="85"/>
  <c r="AG15" i="85"/>
  <c r="AG5" i="85"/>
  <c r="AG16" i="85"/>
  <c r="AG20" i="85"/>
  <c r="AG13" i="85"/>
  <c r="AG21" i="85"/>
  <c r="AG22" i="85"/>
  <c r="AG23" i="85"/>
  <c r="AG24" i="85"/>
  <c r="AG12" i="84"/>
  <c r="AG7" i="84"/>
  <c r="AG10" i="84"/>
  <c r="AG11" i="84"/>
  <c r="AG8" i="84"/>
  <c r="AG17" i="84"/>
  <c r="AG14" i="84"/>
  <c r="AG18" i="84"/>
  <c r="AG20" i="84"/>
  <c r="AG21" i="84"/>
  <c r="AG22" i="84"/>
  <c r="AG23" i="84"/>
  <c r="AG24" i="84"/>
  <c r="AF9" i="112"/>
  <c r="AF8" i="112"/>
  <c r="AF12" i="112"/>
  <c r="AF24" i="112"/>
  <c r="AF7" i="112"/>
  <c r="AF10" i="112"/>
  <c r="AF20" i="112"/>
  <c r="AF17" i="112"/>
  <c r="AF21" i="112"/>
  <c r="AF16" i="112"/>
  <c r="AF19" i="112"/>
  <c r="AF22" i="112"/>
  <c r="AF23" i="112"/>
  <c r="AF5" i="112"/>
  <c r="AF14" i="112"/>
  <c r="AF15" i="112"/>
  <c r="AF18" i="112"/>
  <c r="AF25" i="112"/>
  <c r="AF26" i="112"/>
  <c r="AF27" i="112"/>
  <c r="AF34" i="112"/>
  <c r="AG17" i="91"/>
  <c r="AG7" i="91"/>
  <c r="AG16" i="91"/>
  <c r="AG6" i="91"/>
  <c r="AG10" i="91"/>
  <c r="AG8" i="91"/>
  <c r="AG11" i="91"/>
  <c r="AG18" i="91"/>
  <c r="AG19" i="91"/>
  <c r="AG20" i="91"/>
  <c r="AG21" i="91"/>
  <c r="AG22" i="91"/>
  <c r="AG23" i="91"/>
  <c r="AG24" i="91"/>
  <c r="AG14" i="100"/>
  <c r="AG11" i="100"/>
  <c r="AG10" i="100"/>
  <c r="AG13" i="100"/>
  <c r="AG18" i="100"/>
  <c r="AG9" i="100"/>
  <c r="AG15" i="100"/>
  <c r="AG17" i="100"/>
  <c r="AG16" i="100"/>
  <c r="AG20" i="100"/>
  <c r="AG21" i="100"/>
  <c r="AG22" i="100"/>
  <c r="AG23" i="100"/>
  <c r="AG24" i="100"/>
  <c r="AF24" i="54"/>
  <c r="AH24" i="54" s="1"/>
  <c r="AI24" i="54" s="1"/>
  <c r="AF13" i="54"/>
  <c r="AH13" i="54" s="1"/>
  <c r="AI13" i="54" s="1"/>
  <c r="AF12" i="54"/>
  <c r="AF6" i="54"/>
  <c r="AH6" i="54" s="1"/>
  <c r="AI6" i="54" s="1"/>
  <c r="AF7" i="54"/>
  <c r="AH7" i="54" s="1"/>
  <c r="AI7" i="54" s="1"/>
  <c r="AF22" i="54"/>
  <c r="AF21" i="54"/>
  <c r="AF8" i="54"/>
  <c r="AH8" i="54" s="1"/>
  <c r="AI8" i="54" s="1"/>
  <c r="AI16" i="54"/>
  <c r="AF16" i="54"/>
  <c r="AH16" i="54" s="1"/>
  <c r="AF11" i="54"/>
  <c r="AF23" i="54"/>
  <c r="AH23" i="54" s="1"/>
  <c r="AI23" i="54" s="1"/>
  <c r="AF10" i="54"/>
  <c r="AF20" i="54"/>
  <c r="AH20" i="54" s="1"/>
  <c r="AI20" i="54" s="1"/>
  <c r="AF5" i="54"/>
  <c r="AF14" i="54"/>
  <c r="AF17" i="54"/>
  <c r="AF9" i="54"/>
  <c r="AF18" i="54"/>
  <c r="AF19" i="54"/>
  <c r="AF15" i="54"/>
  <c r="AF24" i="75"/>
  <c r="AH24" i="75" s="1"/>
  <c r="AI24" i="75" s="1"/>
  <c r="AF23" i="75"/>
  <c r="AH23" i="75" s="1"/>
  <c r="AI23" i="75" s="1"/>
  <c r="AF22" i="75"/>
  <c r="AH22" i="75" s="1"/>
  <c r="AI22" i="75" s="1"/>
  <c r="AF7" i="75"/>
  <c r="AH7" i="75" s="1"/>
  <c r="AI7" i="75" s="1"/>
  <c r="AF15" i="75"/>
  <c r="AH15" i="75" s="1"/>
  <c r="AI15" i="75" s="1"/>
  <c r="AF21" i="75"/>
  <c r="AH21" i="75" s="1"/>
  <c r="AI21" i="75" s="1"/>
  <c r="AF19" i="75"/>
  <c r="AH19" i="75" s="1"/>
  <c r="AI19" i="75" s="1"/>
  <c r="AF17" i="75"/>
  <c r="AH17" i="75" s="1"/>
  <c r="AI17" i="75" s="1"/>
  <c r="AF5" i="75"/>
  <c r="AH5" i="75" s="1"/>
  <c r="AI5" i="75" s="1"/>
  <c r="AF18" i="75"/>
  <c r="AH18" i="75" s="1"/>
  <c r="AI18" i="75" s="1"/>
  <c r="AH13" i="75"/>
  <c r="AI13" i="75" s="1"/>
  <c r="AH11" i="75"/>
  <c r="AI11" i="75" s="1"/>
  <c r="AH14" i="75"/>
  <c r="AI14" i="75" s="1"/>
  <c r="AI12" i="75"/>
  <c r="AH16" i="75"/>
  <c r="AI16" i="75" s="1"/>
  <c r="AF24" i="52"/>
  <c r="AH24" i="52" s="1"/>
  <c r="AI24" i="52" s="1"/>
  <c r="AF23" i="52"/>
  <c r="AH23" i="52" s="1"/>
  <c r="AI23" i="52" s="1"/>
  <c r="AF22" i="52"/>
  <c r="AH22" i="52" s="1"/>
  <c r="AI22" i="52" s="1"/>
  <c r="AF16" i="52"/>
  <c r="AH16" i="52" s="1"/>
  <c r="AI16" i="52" s="1"/>
  <c r="AF14" i="52"/>
  <c r="AH14" i="52" s="1"/>
  <c r="AI14" i="52" s="1"/>
  <c r="AF21" i="52"/>
  <c r="AH21" i="52" s="1"/>
  <c r="AI21" i="52" s="1"/>
  <c r="AF20" i="52"/>
  <c r="AH20" i="52" s="1"/>
  <c r="AI20" i="52" s="1"/>
  <c r="AF12" i="52"/>
  <c r="AH12" i="52" s="1"/>
  <c r="AI12" i="52" s="1"/>
  <c r="AF19" i="52"/>
  <c r="AH19" i="52" s="1"/>
  <c r="AI19" i="52" s="1"/>
  <c r="AF15" i="52"/>
  <c r="AH15" i="52" s="1"/>
  <c r="AI15" i="52" s="1"/>
  <c r="AF8" i="52"/>
  <c r="AH8" i="52" s="1"/>
  <c r="AI8" i="52" s="1"/>
  <c r="AF18" i="52"/>
  <c r="AH18" i="52" s="1"/>
  <c r="AI18" i="52" s="1"/>
  <c r="AF13" i="52"/>
  <c r="AH13" i="52" s="1"/>
  <c r="AI13" i="52" s="1"/>
  <c r="AF7" i="52"/>
  <c r="AF17" i="52"/>
  <c r="AH17" i="52" s="1"/>
  <c r="AI17" i="52" s="1"/>
  <c r="AF9" i="52"/>
  <c r="AF10" i="52"/>
  <c r="AF6" i="52"/>
  <c r="AF5" i="52"/>
  <c r="AI17" i="51"/>
  <c r="AF24" i="51"/>
  <c r="AH24" i="51" s="1"/>
  <c r="AI24" i="51" s="1"/>
  <c r="AF23" i="51"/>
  <c r="AH23" i="51" s="1"/>
  <c r="AI23" i="51" s="1"/>
  <c r="AF22" i="51"/>
  <c r="AH22" i="51" s="1"/>
  <c r="AI22" i="51" s="1"/>
  <c r="AF16" i="51"/>
  <c r="AH16" i="51" s="1"/>
  <c r="AI16" i="51" s="1"/>
  <c r="AF11" i="51"/>
  <c r="AH11" i="51" s="1"/>
  <c r="AI11" i="51" s="1"/>
  <c r="AF13" i="51"/>
  <c r="AH13" i="51" s="1"/>
  <c r="AI13" i="51" s="1"/>
  <c r="AF20" i="51"/>
  <c r="AH20" i="51" s="1"/>
  <c r="AI20" i="51" s="1"/>
  <c r="AF21" i="51"/>
  <c r="AH21" i="51" s="1"/>
  <c r="AI21" i="51" s="1"/>
  <c r="AH19" i="51"/>
  <c r="AI19" i="51" s="1"/>
  <c r="AH8" i="51"/>
  <c r="AI8" i="51" s="1"/>
  <c r="AH18" i="51"/>
  <c r="AI18" i="51" s="1"/>
  <c r="AH6" i="51"/>
  <c r="AI6" i="51" s="1"/>
  <c r="AI10" i="51"/>
  <c r="AI15" i="51"/>
  <c r="AH7" i="51"/>
  <c r="AI7" i="51" s="1"/>
  <c r="AH14" i="54" l="1"/>
  <c r="AH9" i="54"/>
  <c r="AH18" i="54"/>
  <c r="AH17" i="54"/>
  <c r="AH10" i="54"/>
  <c r="AI10" i="54" s="1"/>
  <c r="AH5" i="54"/>
  <c r="AH22" i="54"/>
  <c r="AI22" i="54" s="1"/>
  <c r="AH21" i="54"/>
  <c r="AH19" i="54"/>
  <c r="AH12" i="54"/>
  <c r="AH11" i="54"/>
  <c r="AI11" i="54" s="1"/>
  <c r="AG19" i="54"/>
  <c r="AG18" i="54"/>
  <c r="AG9" i="54"/>
  <c r="AI9" i="54" s="1"/>
  <c r="AG17" i="54"/>
  <c r="AG14" i="54"/>
  <c r="AI14" i="54" s="1"/>
  <c r="AG5" i="54"/>
  <c r="AG20" i="54"/>
  <c r="AG10" i="54"/>
  <c r="AG23" i="54"/>
  <c r="AG11" i="54"/>
  <c r="AG16" i="54"/>
  <c r="AG8" i="54"/>
  <c r="AG21" i="54"/>
  <c r="AG22" i="54"/>
  <c r="AG7" i="54"/>
  <c r="AG6" i="54"/>
  <c r="AG12" i="54"/>
  <c r="AG13" i="54"/>
  <c r="AG24" i="54"/>
  <c r="AG15" i="54"/>
  <c r="AH15" i="54"/>
  <c r="AG16" i="75"/>
  <c r="AG14" i="75"/>
  <c r="AG11" i="75"/>
  <c r="AG13" i="75"/>
  <c r="AG18" i="75"/>
  <c r="AG5" i="75"/>
  <c r="AG17" i="75"/>
  <c r="AG19" i="75"/>
  <c r="AG21" i="75"/>
  <c r="AG15" i="75"/>
  <c r="AG7" i="75"/>
  <c r="AG22" i="75"/>
  <c r="AG23" i="75"/>
  <c r="AG24" i="75"/>
  <c r="AG17" i="52"/>
  <c r="AG13" i="52"/>
  <c r="AG18" i="52"/>
  <c r="AG8" i="52"/>
  <c r="AG15" i="52"/>
  <c r="AG19" i="52"/>
  <c r="AG12" i="52"/>
  <c r="AG20" i="52"/>
  <c r="AG21" i="52"/>
  <c r="AG14" i="52"/>
  <c r="AG16" i="52"/>
  <c r="AG22" i="52"/>
  <c r="AG23" i="52"/>
  <c r="AG24" i="52"/>
  <c r="AG7" i="51"/>
  <c r="AG10" i="51"/>
  <c r="AG6" i="51"/>
  <c r="AG18" i="51"/>
  <c r="AG8" i="51"/>
  <c r="AG19" i="51"/>
  <c r="AG21" i="51"/>
  <c r="AG20" i="51"/>
  <c r="AG13" i="51"/>
  <c r="AG11" i="51"/>
  <c r="AG16" i="51"/>
  <c r="AG22" i="51"/>
  <c r="AG23" i="51"/>
  <c r="AG24" i="51"/>
  <c r="AI5" i="54" l="1"/>
  <c r="AI17" i="54"/>
  <c r="AI15" i="54"/>
  <c r="AI18" i="54"/>
  <c r="AI21" i="54"/>
  <c r="AI19" i="54"/>
  <c r="AI12" i="54"/>
  <c r="D25" i="112"/>
  <c r="E25" i="112"/>
  <c r="F25" i="112" s="1"/>
  <c r="H25" i="112"/>
  <c r="I25" i="112"/>
  <c r="J25" i="112" s="1"/>
  <c r="L25" i="112"/>
  <c r="M25" i="112"/>
  <c r="N25" i="112" s="1"/>
  <c r="P25" i="112"/>
  <c r="Q25" i="112"/>
  <c r="R25" i="112" s="1"/>
  <c r="T25" i="112"/>
  <c r="U25" i="112"/>
  <c r="V25" i="112" s="1"/>
  <c r="X25" i="112"/>
  <c r="Y25" i="112"/>
  <c r="Z25" i="112" s="1"/>
  <c r="AB25" i="112"/>
  <c r="AC25" i="112"/>
  <c r="AD25" i="112" s="1"/>
  <c r="E6" i="78" l="1"/>
  <c r="F6" i="78"/>
  <c r="G6" i="78"/>
  <c r="I6" i="78"/>
  <c r="J6" i="78"/>
  <c r="M6" i="78"/>
  <c r="N6" i="78"/>
  <c r="Q6" i="78"/>
  <c r="R6" i="78"/>
  <c r="U6" i="78"/>
  <c r="V6" i="78"/>
  <c r="W6" i="78" s="1"/>
  <c r="Y6" i="78"/>
  <c r="Z6" i="78"/>
  <c r="AA6" i="78" s="1"/>
  <c r="AC6" i="78"/>
  <c r="AD6" i="78"/>
  <c r="AE6" i="78" s="1"/>
  <c r="AF6" i="78"/>
  <c r="E27" i="77"/>
  <c r="F27" i="77"/>
  <c r="G27" i="77"/>
  <c r="I27" i="77"/>
  <c r="J27" i="77"/>
  <c r="K27" i="77"/>
  <c r="M27" i="77"/>
  <c r="N27" i="77"/>
  <c r="O27" i="77" s="1"/>
  <c r="Q27" i="77"/>
  <c r="R27" i="77"/>
  <c r="S27" i="77"/>
  <c r="U27" i="77"/>
  <c r="V27" i="77"/>
  <c r="W27" i="77"/>
  <c r="Y27" i="77"/>
  <c r="Z27" i="77"/>
  <c r="AA27" i="77" s="1"/>
  <c r="AC27" i="77"/>
  <c r="AD27" i="77"/>
  <c r="AE27" i="77" s="1"/>
  <c r="AF27" i="77"/>
  <c r="AH27" i="77" s="1"/>
  <c r="AI27" i="77" s="1"/>
  <c r="D27" i="112"/>
  <c r="E27" i="112"/>
  <c r="F27" i="112" s="1"/>
  <c r="H27" i="112"/>
  <c r="I27" i="112"/>
  <c r="J27" i="112" s="1"/>
  <c r="L27" i="112"/>
  <c r="M27" i="112"/>
  <c r="N27" i="112" s="1"/>
  <c r="P27" i="112"/>
  <c r="Q27" i="112"/>
  <c r="R27" i="112" s="1"/>
  <c r="T27" i="112"/>
  <c r="U27" i="112"/>
  <c r="V27" i="112" s="1"/>
  <c r="X27" i="112"/>
  <c r="Y27" i="112"/>
  <c r="Z27" i="112" s="1"/>
  <c r="AB27" i="112"/>
  <c r="AC27" i="112"/>
  <c r="AD27" i="112" s="1"/>
  <c r="D26" i="112"/>
  <c r="E26" i="112"/>
  <c r="F26" i="112" s="1"/>
  <c r="H26" i="112"/>
  <c r="I26" i="112"/>
  <c r="J26" i="112" s="1"/>
  <c r="L26" i="112"/>
  <c r="M26" i="112"/>
  <c r="N26" i="112" s="1"/>
  <c r="P26" i="112"/>
  <c r="Q26" i="112"/>
  <c r="R26" i="112" s="1"/>
  <c r="T26" i="112"/>
  <c r="U26" i="112"/>
  <c r="V26" i="112" s="1"/>
  <c r="X26" i="112"/>
  <c r="Y26" i="112"/>
  <c r="Z26" i="112" s="1"/>
  <c r="AB26" i="112"/>
  <c r="AC26" i="112"/>
  <c r="AD26" i="112" s="1"/>
  <c r="D18" i="112"/>
  <c r="E18" i="112"/>
  <c r="F18" i="112" s="1"/>
  <c r="H18" i="112"/>
  <c r="I18" i="112"/>
  <c r="J18" i="112" s="1"/>
  <c r="L18" i="112"/>
  <c r="M18" i="112"/>
  <c r="N18" i="112" s="1"/>
  <c r="P18" i="112"/>
  <c r="Q18" i="112"/>
  <c r="R18" i="112" s="1"/>
  <c r="T18" i="112"/>
  <c r="U18" i="112"/>
  <c r="V18" i="112" s="1"/>
  <c r="X18" i="112"/>
  <c r="Y18" i="112"/>
  <c r="Z18" i="112" s="1"/>
  <c r="AB18" i="112"/>
  <c r="AC18" i="112"/>
  <c r="AD18" i="112" s="1"/>
  <c r="S6" i="78" l="1"/>
  <c r="O6" i="78"/>
  <c r="K6" i="78"/>
  <c r="AG27" i="77"/>
  <c r="AJ27" i="77"/>
  <c r="AK27" i="77" s="1"/>
  <c r="AL27" i="77" s="1"/>
  <c r="C24" i="114"/>
  <c r="D24" i="114" s="1"/>
  <c r="E24" i="114" s="1"/>
  <c r="C23" i="114"/>
  <c r="D23" i="114" s="1"/>
  <c r="E23" i="114" s="1"/>
  <c r="C22" i="114"/>
  <c r="D22" i="114" s="1"/>
  <c r="E22" i="114" s="1"/>
  <c r="C21" i="114"/>
  <c r="D21" i="114" s="1"/>
  <c r="E21" i="114" s="1"/>
  <c r="C20" i="114"/>
  <c r="D20" i="114" s="1"/>
  <c r="E20" i="114" s="1"/>
  <c r="C19" i="114"/>
  <c r="D19" i="114" s="1"/>
  <c r="E19" i="114" s="1"/>
  <c r="C18" i="114"/>
  <c r="D18" i="114" s="1"/>
  <c r="E18" i="114" s="1"/>
  <c r="C17" i="114"/>
  <c r="D17" i="114" s="1"/>
  <c r="E17" i="114" s="1"/>
  <c r="C16" i="114"/>
  <c r="D16" i="114" s="1"/>
  <c r="E16" i="114" s="1"/>
  <c r="E21" i="56" l="1"/>
  <c r="E10" i="56"/>
  <c r="E11" i="56"/>
  <c r="F21" i="56"/>
  <c r="G21" i="56" s="1"/>
  <c r="F10" i="56"/>
  <c r="G10" i="56" s="1"/>
  <c r="F11" i="56"/>
  <c r="G11" i="56" s="1"/>
  <c r="I21" i="56"/>
  <c r="I10" i="56"/>
  <c r="I11" i="56"/>
  <c r="J21" i="56"/>
  <c r="K21" i="56" s="1"/>
  <c r="J10" i="56"/>
  <c r="J11" i="56"/>
  <c r="M21" i="56"/>
  <c r="M10" i="56"/>
  <c r="M11" i="56"/>
  <c r="N21" i="56"/>
  <c r="O21" i="56" s="1"/>
  <c r="N10" i="56"/>
  <c r="O10" i="56" s="1"/>
  <c r="N11" i="56"/>
  <c r="Q21" i="56"/>
  <c r="Q10" i="56"/>
  <c r="Q11" i="56"/>
  <c r="R21" i="56"/>
  <c r="S21" i="56" s="1"/>
  <c r="R10" i="56"/>
  <c r="S10" i="56" s="1"/>
  <c r="R11" i="56"/>
  <c r="S11" i="56" s="1"/>
  <c r="U21" i="56"/>
  <c r="U10" i="56"/>
  <c r="U11" i="56"/>
  <c r="V21" i="56"/>
  <c r="W21" i="56" s="1"/>
  <c r="V10" i="56"/>
  <c r="W10" i="56" s="1"/>
  <c r="V11" i="56"/>
  <c r="W11" i="56" s="1"/>
  <c r="Y21" i="56"/>
  <c r="Y10" i="56"/>
  <c r="Y11" i="56"/>
  <c r="Z21" i="56"/>
  <c r="AA21" i="56" s="1"/>
  <c r="Z10" i="56"/>
  <c r="AA10" i="56" s="1"/>
  <c r="Z11" i="56"/>
  <c r="AA11" i="56" s="1"/>
  <c r="AC21" i="56"/>
  <c r="AC10" i="56"/>
  <c r="AC11" i="56"/>
  <c r="AD21" i="56"/>
  <c r="AE21" i="56" s="1"/>
  <c r="AD10" i="56"/>
  <c r="AE10" i="56" s="1"/>
  <c r="AD11" i="56"/>
  <c r="AE11" i="56" s="1"/>
  <c r="AF21" i="56"/>
  <c r="AH21" i="56" s="1"/>
  <c r="AI21" i="56" s="1"/>
  <c r="AF10" i="56"/>
  <c r="AG10" i="56" s="1"/>
  <c r="AF11" i="56"/>
  <c r="E24" i="55"/>
  <c r="E7" i="55"/>
  <c r="E13" i="55"/>
  <c r="E19" i="55"/>
  <c r="F24" i="55"/>
  <c r="F7" i="55"/>
  <c r="G7" i="55" s="1"/>
  <c r="F13" i="55"/>
  <c r="G13" i="55" s="1"/>
  <c r="F19" i="55"/>
  <c r="G19" i="55" s="1"/>
  <c r="G24" i="55"/>
  <c r="I24" i="55"/>
  <c r="I7" i="55"/>
  <c r="I13" i="55"/>
  <c r="I19" i="55"/>
  <c r="J24" i="55"/>
  <c r="K24" i="55" s="1"/>
  <c r="J7" i="55"/>
  <c r="J13" i="55"/>
  <c r="J19" i="55"/>
  <c r="K19" i="55" s="1"/>
  <c r="M24" i="55"/>
  <c r="M7" i="55"/>
  <c r="M13" i="55"/>
  <c r="M19" i="55"/>
  <c r="N24" i="55"/>
  <c r="O24" i="55" s="1"/>
  <c r="N7" i="55"/>
  <c r="O7" i="55" s="1"/>
  <c r="N13" i="55"/>
  <c r="O13" i="55" s="1"/>
  <c r="N19" i="55"/>
  <c r="O19" i="55" s="1"/>
  <c r="Q24" i="55"/>
  <c r="Q7" i="55"/>
  <c r="Q13" i="55"/>
  <c r="Q19" i="55"/>
  <c r="R24" i="55"/>
  <c r="S24" i="55" s="1"/>
  <c r="R7" i="55"/>
  <c r="S7" i="55" s="1"/>
  <c r="R13" i="55"/>
  <c r="R19" i="55"/>
  <c r="S19" i="55" s="1"/>
  <c r="U24" i="55"/>
  <c r="U7" i="55"/>
  <c r="U13" i="55"/>
  <c r="U19" i="55"/>
  <c r="V24" i="55"/>
  <c r="W24" i="55" s="1"/>
  <c r="V7" i="55"/>
  <c r="W7" i="55" s="1"/>
  <c r="V13" i="55"/>
  <c r="W13" i="55" s="1"/>
  <c r="V19" i="55"/>
  <c r="W19" i="55" s="1"/>
  <c r="Y24" i="55"/>
  <c r="Y7" i="55"/>
  <c r="Y13" i="55"/>
  <c r="Y19" i="55"/>
  <c r="Z24" i="55"/>
  <c r="AA24" i="55" s="1"/>
  <c r="Z7" i="55"/>
  <c r="AA7" i="55" s="1"/>
  <c r="Z13" i="55"/>
  <c r="AA13" i="55" s="1"/>
  <c r="Z19" i="55"/>
  <c r="AA19" i="55" s="1"/>
  <c r="AC24" i="55"/>
  <c r="AC7" i="55"/>
  <c r="AC13" i="55"/>
  <c r="AC19" i="55"/>
  <c r="AD24" i="55"/>
  <c r="AE24" i="55" s="1"/>
  <c r="AD7" i="55"/>
  <c r="AE7" i="55" s="1"/>
  <c r="AD13" i="55"/>
  <c r="AE13" i="55" s="1"/>
  <c r="AD19" i="55"/>
  <c r="AE19" i="55" s="1"/>
  <c r="AF24" i="55"/>
  <c r="AH24" i="55" s="1"/>
  <c r="AI24" i="55" s="1"/>
  <c r="AF7" i="55"/>
  <c r="AG7" i="55" s="1"/>
  <c r="AF13" i="55"/>
  <c r="AH13" i="55" s="1"/>
  <c r="AI13" i="55" s="1"/>
  <c r="AF19" i="55"/>
  <c r="E24" i="54"/>
  <c r="E6" i="54"/>
  <c r="E20" i="54"/>
  <c r="E19" i="54"/>
  <c r="E16" i="54"/>
  <c r="F24" i="54"/>
  <c r="G24" i="54" s="1"/>
  <c r="F6" i="54"/>
  <c r="G6" i="54" s="1"/>
  <c r="F20" i="54"/>
  <c r="G20" i="54" s="1"/>
  <c r="F19" i="54"/>
  <c r="G19" i="54" s="1"/>
  <c r="F16" i="54"/>
  <c r="G16" i="54"/>
  <c r="I24" i="54"/>
  <c r="I6" i="54"/>
  <c r="I20" i="54"/>
  <c r="I19" i="54"/>
  <c r="I16" i="54"/>
  <c r="J24" i="54"/>
  <c r="K24" i="54" s="1"/>
  <c r="J6" i="54"/>
  <c r="J20" i="54"/>
  <c r="J19" i="54"/>
  <c r="J16" i="54"/>
  <c r="K16" i="54" s="1"/>
  <c r="M24" i="54"/>
  <c r="M6" i="54"/>
  <c r="M20" i="54"/>
  <c r="M19" i="54"/>
  <c r="M16" i="54"/>
  <c r="N24" i="54"/>
  <c r="O24" i="54" s="1"/>
  <c r="N6" i="54"/>
  <c r="O6" i="54" s="1"/>
  <c r="N20" i="54"/>
  <c r="N19" i="54"/>
  <c r="N16" i="54"/>
  <c r="O16" i="54" s="1"/>
  <c r="Q24" i="54"/>
  <c r="Q6" i="54"/>
  <c r="Q20" i="54"/>
  <c r="Q19" i="54"/>
  <c r="Q16" i="54"/>
  <c r="R24" i="54"/>
  <c r="S24" i="54" s="1"/>
  <c r="R6" i="54"/>
  <c r="R20" i="54"/>
  <c r="R19" i="54"/>
  <c r="S19" i="54" s="1"/>
  <c r="R16" i="54"/>
  <c r="S16" i="54"/>
  <c r="U24" i="54"/>
  <c r="U6" i="54"/>
  <c r="U20" i="54"/>
  <c r="U19" i="54"/>
  <c r="U16" i="54"/>
  <c r="V24" i="54"/>
  <c r="V6" i="54"/>
  <c r="W6" i="54" s="1"/>
  <c r="V20" i="54"/>
  <c r="W20" i="54" s="1"/>
  <c r="V19" i="54"/>
  <c r="V16" i="54"/>
  <c r="W16" i="54" s="1"/>
  <c r="W24" i="54"/>
  <c r="Y24" i="54"/>
  <c r="Y6" i="54"/>
  <c r="Y20" i="54"/>
  <c r="Y19" i="54"/>
  <c r="Y16" i="54"/>
  <c r="Z24" i="54"/>
  <c r="AA24" i="54" s="1"/>
  <c r="Z6" i="54"/>
  <c r="AA6" i="54" s="1"/>
  <c r="Z20" i="54"/>
  <c r="AA20" i="54" s="1"/>
  <c r="Z19" i="54"/>
  <c r="AA19" i="54" s="1"/>
  <c r="Z16" i="54"/>
  <c r="AA16" i="54" s="1"/>
  <c r="AC24" i="54"/>
  <c r="AC6" i="54"/>
  <c r="AC20" i="54"/>
  <c r="AC19" i="54"/>
  <c r="AC16" i="54"/>
  <c r="AD24" i="54"/>
  <c r="AE24" i="54" s="1"/>
  <c r="AD6" i="54"/>
  <c r="AE6" i="54" s="1"/>
  <c r="AD20" i="54"/>
  <c r="AE20" i="54" s="1"/>
  <c r="AD19" i="54"/>
  <c r="AE19" i="54" s="1"/>
  <c r="AD16" i="54"/>
  <c r="AE16" i="54" s="1"/>
  <c r="K10" i="56" l="1"/>
  <c r="O11" i="56"/>
  <c r="S6" i="54"/>
  <c r="S20" i="54"/>
  <c r="AG21" i="56"/>
  <c r="K7" i="55"/>
  <c r="K11" i="56"/>
  <c r="K6" i="54"/>
  <c r="AJ24" i="54"/>
  <c r="AK24" i="54" s="1"/>
  <c r="AL24" i="54" s="1"/>
  <c r="AJ16" i="54"/>
  <c r="AK16" i="54" s="1"/>
  <c r="AL16" i="54" s="1"/>
  <c r="K19" i="54"/>
  <c r="W19" i="54"/>
  <c r="S13" i="55"/>
  <c r="O19" i="54"/>
  <c r="O20" i="54"/>
  <c r="AG24" i="55"/>
  <c r="K13" i="55"/>
  <c r="AH10" i="56"/>
  <c r="AI10" i="56" s="1"/>
  <c r="AH7" i="55"/>
  <c r="AI7" i="55" s="1"/>
  <c r="K20" i="54"/>
  <c r="AJ21" i="56"/>
  <c r="AK21" i="56" s="1"/>
  <c r="AJ24" i="55"/>
  <c r="AK24" i="55" s="1"/>
  <c r="AL24" i="55" s="1"/>
  <c r="AG13" i="55"/>
  <c r="X20" i="87"/>
  <c r="X21" i="87"/>
  <c r="X22" i="87"/>
  <c r="X23" i="87"/>
  <c r="X24" i="87"/>
  <c r="U20" i="87"/>
  <c r="U21" i="87"/>
  <c r="U22" i="87"/>
  <c r="U23" i="87"/>
  <c r="U24" i="87"/>
  <c r="R20" i="87"/>
  <c r="R21" i="87"/>
  <c r="R22" i="87"/>
  <c r="R23" i="87"/>
  <c r="R24" i="87"/>
  <c r="O20" i="87"/>
  <c r="O21" i="87"/>
  <c r="O22" i="87"/>
  <c r="O23" i="87"/>
  <c r="O24" i="87"/>
  <c r="L20" i="87"/>
  <c r="L21" i="87"/>
  <c r="L22" i="87"/>
  <c r="L23" i="87"/>
  <c r="L24" i="87"/>
  <c r="I20" i="87"/>
  <c r="I21" i="87"/>
  <c r="I22" i="87"/>
  <c r="I23" i="87"/>
  <c r="I24" i="87"/>
  <c r="F20" i="87"/>
  <c r="F21" i="87"/>
  <c r="F22" i="87"/>
  <c r="F23" i="87"/>
  <c r="F24" i="87"/>
  <c r="C20" i="87"/>
  <c r="C21" i="87"/>
  <c r="C22" i="87"/>
  <c r="C23" i="87"/>
  <c r="C24" i="87"/>
  <c r="X15" i="103"/>
  <c r="X16" i="103"/>
  <c r="X17" i="103"/>
  <c r="X18" i="103"/>
  <c r="X19" i="103"/>
  <c r="X20" i="103"/>
  <c r="X21" i="103"/>
  <c r="X22" i="103"/>
  <c r="X23" i="103"/>
  <c r="X24" i="103"/>
  <c r="U15" i="103"/>
  <c r="U16" i="103"/>
  <c r="U17" i="103"/>
  <c r="U18" i="103"/>
  <c r="U19" i="103"/>
  <c r="U20" i="103"/>
  <c r="U21" i="103"/>
  <c r="U22" i="103"/>
  <c r="U23" i="103"/>
  <c r="U24" i="103"/>
  <c r="R15" i="103"/>
  <c r="R16" i="103"/>
  <c r="R17" i="103"/>
  <c r="R18" i="103"/>
  <c r="R19" i="103"/>
  <c r="R20" i="103"/>
  <c r="R21" i="103"/>
  <c r="R22" i="103"/>
  <c r="R23" i="103"/>
  <c r="R24" i="103"/>
  <c r="O15" i="103"/>
  <c r="O16" i="103"/>
  <c r="O17" i="103"/>
  <c r="O18" i="103"/>
  <c r="O19" i="103"/>
  <c r="O20" i="103"/>
  <c r="O21" i="103"/>
  <c r="O22" i="103"/>
  <c r="O23" i="103"/>
  <c r="O24" i="103"/>
  <c r="L15" i="103"/>
  <c r="L16" i="103"/>
  <c r="L17" i="103"/>
  <c r="L18" i="103"/>
  <c r="L19" i="103"/>
  <c r="L20" i="103"/>
  <c r="L21" i="103"/>
  <c r="L22" i="103"/>
  <c r="L23" i="103"/>
  <c r="L24" i="103"/>
  <c r="I15" i="103"/>
  <c r="I16" i="103"/>
  <c r="I17" i="103"/>
  <c r="I18" i="103"/>
  <c r="I19" i="103"/>
  <c r="I20" i="103"/>
  <c r="I21" i="103"/>
  <c r="I22" i="103"/>
  <c r="I23" i="103"/>
  <c r="I24" i="103"/>
  <c r="F15" i="103"/>
  <c r="F16" i="103"/>
  <c r="F17" i="103"/>
  <c r="F18" i="103"/>
  <c r="F19" i="103"/>
  <c r="F20" i="103"/>
  <c r="F21" i="103"/>
  <c r="F22" i="103"/>
  <c r="F23" i="103"/>
  <c r="F24" i="103"/>
  <c r="C15" i="103"/>
  <c r="C16" i="103"/>
  <c r="C17" i="103"/>
  <c r="C18" i="103"/>
  <c r="C19" i="103"/>
  <c r="C20" i="103"/>
  <c r="C21" i="103"/>
  <c r="C22" i="103"/>
  <c r="C23" i="103"/>
  <c r="C24" i="103"/>
  <c r="D25" i="104"/>
  <c r="E25" i="104"/>
  <c r="AJ7" i="55" l="1"/>
  <c r="AK7" i="55" s="1"/>
  <c r="AJ6" i="54"/>
  <c r="AK6" i="54" s="1"/>
  <c r="AJ19" i="54"/>
  <c r="AK19" i="54" s="1"/>
  <c r="AJ13" i="55"/>
  <c r="AK13" i="55" s="1"/>
  <c r="AJ20" i="54"/>
  <c r="AK20" i="54" s="1"/>
  <c r="AJ10" i="56"/>
  <c r="AK10" i="56" s="1"/>
  <c r="AI18" i="74"/>
  <c r="AI7" i="80"/>
  <c r="AI11" i="80"/>
  <c r="AI12" i="97"/>
  <c r="AI9" i="97"/>
  <c r="AF24" i="116"/>
  <c r="AH24" i="116" s="1"/>
  <c r="AI24" i="116" s="1"/>
  <c r="AD24" i="116"/>
  <c r="AE24" i="116" s="1"/>
  <c r="AC24" i="116"/>
  <c r="Z24" i="116"/>
  <c r="AA24" i="116" s="1"/>
  <c r="Y24" i="116"/>
  <c r="V24" i="116"/>
  <c r="W24" i="116" s="1"/>
  <c r="U24" i="116"/>
  <c r="R24" i="116"/>
  <c r="S24" i="116" s="1"/>
  <c r="Q24" i="116"/>
  <c r="N24" i="116"/>
  <c r="O24" i="116" s="1"/>
  <c r="M24" i="116"/>
  <c r="J24" i="116"/>
  <c r="K24" i="116" s="1"/>
  <c r="I24" i="116"/>
  <c r="F24" i="116"/>
  <c r="G24" i="116" s="1"/>
  <c r="E24" i="116"/>
  <c r="AF23" i="116"/>
  <c r="AH23" i="116" s="1"/>
  <c r="AI23" i="116" s="1"/>
  <c r="AD23" i="116"/>
  <c r="AE23" i="116" s="1"/>
  <c r="AC23" i="116"/>
  <c r="Z23" i="116"/>
  <c r="AA23" i="116" s="1"/>
  <c r="Y23" i="116"/>
  <c r="V23" i="116"/>
  <c r="W23" i="116" s="1"/>
  <c r="U23" i="116"/>
  <c r="R23" i="116"/>
  <c r="S23" i="116" s="1"/>
  <c r="Q23" i="116"/>
  <c r="N23" i="116"/>
  <c r="O23" i="116" s="1"/>
  <c r="M23" i="116"/>
  <c r="J23" i="116"/>
  <c r="K23" i="116" s="1"/>
  <c r="I23" i="116"/>
  <c r="F23" i="116"/>
  <c r="G23" i="116" s="1"/>
  <c r="E23" i="116"/>
  <c r="AF22" i="116"/>
  <c r="AH22" i="116" s="1"/>
  <c r="AI22" i="116" s="1"/>
  <c r="AD22" i="116"/>
  <c r="AE22" i="116" s="1"/>
  <c r="AC22" i="116"/>
  <c r="Z22" i="116"/>
  <c r="AA22" i="116" s="1"/>
  <c r="Y22" i="116"/>
  <c r="V22" i="116"/>
  <c r="W22" i="116" s="1"/>
  <c r="U22" i="116"/>
  <c r="R22" i="116"/>
  <c r="S22" i="116" s="1"/>
  <c r="Q22" i="116"/>
  <c r="N22" i="116"/>
  <c r="O22" i="116" s="1"/>
  <c r="M22" i="116"/>
  <c r="J22" i="116"/>
  <c r="K22" i="116" s="1"/>
  <c r="I22" i="116"/>
  <c r="F22" i="116"/>
  <c r="G22" i="116" s="1"/>
  <c r="E22" i="116"/>
  <c r="AF21" i="116"/>
  <c r="AH21" i="116" s="1"/>
  <c r="AI21" i="116" s="1"/>
  <c r="AD21" i="116"/>
  <c r="AE21" i="116" s="1"/>
  <c r="AC21" i="116"/>
  <c r="Z21" i="116"/>
  <c r="AA21" i="116" s="1"/>
  <c r="Y21" i="116"/>
  <c r="V21" i="116"/>
  <c r="W21" i="116" s="1"/>
  <c r="U21" i="116"/>
  <c r="R21" i="116"/>
  <c r="S21" i="116" s="1"/>
  <c r="Q21" i="116"/>
  <c r="N21" i="116"/>
  <c r="O21" i="116" s="1"/>
  <c r="M21" i="116"/>
  <c r="J21" i="116"/>
  <c r="K21" i="116" s="1"/>
  <c r="I21" i="116"/>
  <c r="F21" i="116"/>
  <c r="G21" i="116" s="1"/>
  <c r="E21" i="116"/>
  <c r="AF20" i="116"/>
  <c r="AH20" i="116" s="1"/>
  <c r="AI20" i="116" s="1"/>
  <c r="AD20" i="116"/>
  <c r="AE20" i="116" s="1"/>
  <c r="AC20" i="116"/>
  <c r="Z20" i="116"/>
  <c r="AA20" i="116" s="1"/>
  <c r="Y20" i="116"/>
  <c r="V20" i="116"/>
  <c r="W20" i="116" s="1"/>
  <c r="U20" i="116"/>
  <c r="R20" i="116"/>
  <c r="S20" i="116" s="1"/>
  <c r="Q20" i="116"/>
  <c r="N20" i="116"/>
  <c r="O20" i="116" s="1"/>
  <c r="M20" i="116"/>
  <c r="J20" i="116"/>
  <c r="K20" i="116" s="1"/>
  <c r="I20" i="116"/>
  <c r="F20" i="116"/>
  <c r="G20" i="116" s="1"/>
  <c r="E20" i="116"/>
  <c r="AF19" i="116"/>
  <c r="AH19" i="116" s="1"/>
  <c r="AI19" i="116" s="1"/>
  <c r="AD19" i="116"/>
  <c r="AE19" i="116" s="1"/>
  <c r="AC19" i="116"/>
  <c r="Z19" i="116"/>
  <c r="AA19" i="116" s="1"/>
  <c r="Y19" i="116"/>
  <c r="V19" i="116"/>
  <c r="W19" i="116" s="1"/>
  <c r="U19" i="116"/>
  <c r="R19" i="116"/>
  <c r="S19" i="116" s="1"/>
  <c r="Q19" i="116"/>
  <c r="N19" i="116"/>
  <c r="O19" i="116" s="1"/>
  <c r="M19" i="116"/>
  <c r="J19" i="116"/>
  <c r="K19" i="116" s="1"/>
  <c r="I19" i="116"/>
  <c r="F19" i="116"/>
  <c r="G19" i="116" s="1"/>
  <c r="E19" i="116"/>
  <c r="AF18" i="116"/>
  <c r="AH18" i="116" s="1"/>
  <c r="AI18" i="116" s="1"/>
  <c r="AD18" i="116"/>
  <c r="AE18" i="116" s="1"/>
  <c r="AC18" i="116"/>
  <c r="Z18" i="116"/>
  <c r="AA18" i="116" s="1"/>
  <c r="Y18" i="116"/>
  <c r="V18" i="116"/>
  <c r="W18" i="116" s="1"/>
  <c r="U18" i="116"/>
  <c r="R18" i="116"/>
  <c r="S18" i="116" s="1"/>
  <c r="Q18" i="116"/>
  <c r="N18" i="116"/>
  <c r="O18" i="116" s="1"/>
  <c r="M18" i="116"/>
  <c r="J18" i="116"/>
  <c r="K18" i="116" s="1"/>
  <c r="I18" i="116"/>
  <c r="F18" i="116"/>
  <c r="G18" i="116" s="1"/>
  <c r="E18" i="116"/>
  <c r="AF17" i="116"/>
  <c r="AH17" i="116" s="1"/>
  <c r="AI17" i="116" s="1"/>
  <c r="AD17" i="116"/>
  <c r="AE17" i="116" s="1"/>
  <c r="AC17" i="116"/>
  <c r="Z17" i="116"/>
  <c r="AA17" i="116" s="1"/>
  <c r="Y17" i="116"/>
  <c r="V17" i="116"/>
  <c r="W17" i="116" s="1"/>
  <c r="U17" i="116"/>
  <c r="R17" i="116"/>
  <c r="S17" i="116" s="1"/>
  <c r="Q17" i="116"/>
  <c r="N17" i="116"/>
  <c r="O17" i="116" s="1"/>
  <c r="M17" i="116"/>
  <c r="J17" i="116"/>
  <c r="K17" i="116" s="1"/>
  <c r="I17" i="116"/>
  <c r="F17" i="116"/>
  <c r="G17" i="116" s="1"/>
  <c r="E17" i="116"/>
  <c r="AF8" i="116"/>
  <c r="AH8" i="116" s="1"/>
  <c r="AI8" i="116" s="1"/>
  <c r="X6" i="103" s="1"/>
  <c r="AD8" i="116"/>
  <c r="AE8" i="116" s="1"/>
  <c r="AC8" i="116"/>
  <c r="Z8" i="116"/>
  <c r="AA8" i="116" s="1"/>
  <c r="Y8" i="116"/>
  <c r="V8" i="116"/>
  <c r="W8" i="116" s="1"/>
  <c r="U8" i="116"/>
  <c r="R8" i="116"/>
  <c r="S8" i="116" s="1"/>
  <c r="Q8" i="116"/>
  <c r="N8" i="116"/>
  <c r="M8" i="116"/>
  <c r="J8" i="116"/>
  <c r="K8" i="116" s="1"/>
  <c r="I8" i="116"/>
  <c r="F8" i="116"/>
  <c r="G8" i="116" s="1"/>
  <c r="E8" i="116"/>
  <c r="AF12" i="116"/>
  <c r="AH12" i="116" s="1"/>
  <c r="AI12" i="116" s="1"/>
  <c r="X11" i="103" s="1"/>
  <c r="AD12" i="116"/>
  <c r="AE12" i="116" s="1"/>
  <c r="AC12" i="116"/>
  <c r="Z12" i="116"/>
  <c r="AA12" i="116" s="1"/>
  <c r="Y12" i="116"/>
  <c r="V12" i="116"/>
  <c r="W12" i="116" s="1"/>
  <c r="U12" i="116"/>
  <c r="R12" i="116"/>
  <c r="S12" i="116" s="1"/>
  <c r="Q12" i="116"/>
  <c r="N12" i="116"/>
  <c r="O12" i="116" s="1"/>
  <c r="M12" i="116"/>
  <c r="J12" i="116"/>
  <c r="K12" i="116" s="1"/>
  <c r="I12" i="116"/>
  <c r="F12" i="116"/>
  <c r="G12" i="116" s="1"/>
  <c r="E12" i="116"/>
  <c r="AH10" i="116"/>
  <c r="AI10" i="116" s="1"/>
  <c r="X10" i="103" s="1"/>
  <c r="AD10" i="116"/>
  <c r="AE10" i="116" s="1"/>
  <c r="AC10" i="116"/>
  <c r="Z10" i="116"/>
  <c r="AA10" i="116" s="1"/>
  <c r="Y10" i="116"/>
  <c r="V10" i="116"/>
  <c r="W10" i="116" s="1"/>
  <c r="U10" i="116"/>
  <c r="R10" i="116"/>
  <c r="Q10" i="116"/>
  <c r="N10" i="116"/>
  <c r="O10" i="116" s="1"/>
  <c r="M10" i="116"/>
  <c r="J10" i="116"/>
  <c r="K10" i="116" s="1"/>
  <c r="I10" i="116"/>
  <c r="F10" i="116"/>
  <c r="G10" i="116" s="1"/>
  <c r="E10" i="116"/>
  <c r="AH16" i="116"/>
  <c r="AI16" i="116" s="1"/>
  <c r="AD16" i="116"/>
  <c r="AE16" i="116" s="1"/>
  <c r="AC16" i="116"/>
  <c r="Z16" i="116"/>
  <c r="AA16" i="116" s="1"/>
  <c r="Y16" i="116"/>
  <c r="V16" i="116"/>
  <c r="W16" i="116" s="1"/>
  <c r="U16" i="116"/>
  <c r="S16" i="116"/>
  <c r="N16" i="116"/>
  <c r="O16" i="116" s="1"/>
  <c r="M16" i="116"/>
  <c r="J16" i="116"/>
  <c r="K16" i="116" s="1"/>
  <c r="I16" i="116"/>
  <c r="F16" i="116"/>
  <c r="G16" i="116" s="1"/>
  <c r="E16" i="116"/>
  <c r="AH9" i="116"/>
  <c r="AI9" i="116" s="1"/>
  <c r="X13" i="103" s="1"/>
  <c r="AD9" i="116"/>
  <c r="AE9" i="116" s="1"/>
  <c r="U13" i="103" s="1"/>
  <c r="AC9" i="116"/>
  <c r="Z9" i="116"/>
  <c r="AA9" i="116" s="1"/>
  <c r="R13" i="103" s="1"/>
  <c r="Y9" i="116"/>
  <c r="V9" i="116"/>
  <c r="W9" i="116" s="1"/>
  <c r="O13" i="103" s="1"/>
  <c r="U9" i="116"/>
  <c r="S9" i="116"/>
  <c r="L13" i="103" s="1"/>
  <c r="N9" i="116"/>
  <c r="O9" i="116" s="1"/>
  <c r="I13" i="103" s="1"/>
  <c r="M9" i="116"/>
  <c r="J9" i="116"/>
  <c r="I9" i="116"/>
  <c r="F9" i="116"/>
  <c r="G9" i="116" s="1"/>
  <c r="C13" i="103" s="1"/>
  <c r="E9" i="116"/>
  <c r="AH6" i="116"/>
  <c r="AI6" i="116" s="1"/>
  <c r="AD6" i="116"/>
  <c r="AE6" i="116" s="1"/>
  <c r="AC6" i="116"/>
  <c r="Z6" i="116"/>
  <c r="AA6" i="116" s="1"/>
  <c r="Y6" i="116"/>
  <c r="V6" i="116"/>
  <c r="W6" i="116" s="1"/>
  <c r="U6" i="116"/>
  <c r="S6" i="116"/>
  <c r="N6" i="116"/>
  <c r="M6" i="116"/>
  <c r="J6" i="116"/>
  <c r="K6" i="116" s="1"/>
  <c r="I6" i="116"/>
  <c r="F6" i="116"/>
  <c r="G6" i="116" s="1"/>
  <c r="E6" i="116"/>
  <c r="AH15" i="116"/>
  <c r="AI15" i="116" s="1"/>
  <c r="X14" i="103" s="1"/>
  <c r="AD15" i="116"/>
  <c r="AE15" i="116" s="1"/>
  <c r="U14" i="103" s="1"/>
  <c r="AC15" i="116"/>
  <c r="Z15" i="116"/>
  <c r="AA15" i="116" s="1"/>
  <c r="R14" i="103" s="1"/>
  <c r="Y15" i="116"/>
  <c r="V15" i="116"/>
  <c r="W15" i="116" s="1"/>
  <c r="O14" i="103" s="1"/>
  <c r="U15" i="116"/>
  <c r="S15" i="116"/>
  <c r="L14" i="103" s="1"/>
  <c r="N15" i="116"/>
  <c r="O15" i="116" s="1"/>
  <c r="I14" i="103" s="1"/>
  <c r="M15" i="116"/>
  <c r="J15" i="116"/>
  <c r="K15" i="116" s="1"/>
  <c r="F14" i="103" s="1"/>
  <c r="I15" i="116"/>
  <c r="F15" i="116"/>
  <c r="G15" i="116" s="1"/>
  <c r="C14" i="103" s="1"/>
  <c r="E15" i="116"/>
  <c r="AI5" i="116"/>
  <c r="AD5" i="116"/>
  <c r="AE5" i="116" s="1"/>
  <c r="AC5" i="116"/>
  <c r="Z5" i="116"/>
  <c r="Y5" i="116"/>
  <c r="V5" i="116"/>
  <c r="W5" i="116" s="1"/>
  <c r="U5" i="116"/>
  <c r="S5" i="116"/>
  <c r="N5" i="116"/>
  <c r="O5" i="116" s="1"/>
  <c r="M5" i="116"/>
  <c r="J5" i="116"/>
  <c r="I5" i="116"/>
  <c r="F5" i="116"/>
  <c r="G5" i="116" s="1"/>
  <c r="E5" i="116"/>
  <c r="AI13" i="116"/>
  <c r="AD13" i="116"/>
  <c r="AE13" i="116" s="1"/>
  <c r="AC13" i="116"/>
  <c r="Z13" i="116"/>
  <c r="AA13" i="116" s="1"/>
  <c r="Y13" i="116"/>
  <c r="V13" i="116"/>
  <c r="W13" i="116" s="1"/>
  <c r="U13" i="116"/>
  <c r="N13" i="116"/>
  <c r="O13" i="116" s="1"/>
  <c r="M13" i="116"/>
  <c r="J13" i="116"/>
  <c r="I13" i="116"/>
  <c r="F13" i="116"/>
  <c r="G13" i="116" s="1"/>
  <c r="E13" i="116"/>
  <c r="AH11" i="116"/>
  <c r="AI11" i="116" s="1"/>
  <c r="AD11" i="116"/>
  <c r="AE11" i="116" s="1"/>
  <c r="AC11" i="116"/>
  <c r="Z11" i="116"/>
  <c r="AA11" i="116" s="1"/>
  <c r="Y11" i="116"/>
  <c r="V11" i="116"/>
  <c r="W11" i="116" s="1"/>
  <c r="U11" i="116"/>
  <c r="S11" i="116"/>
  <c r="N11" i="116"/>
  <c r="O11" i="116" s="1"/>
  <c r="M11" i="116"/>
  <c r="J11" i="116"/>
  <c r="I11" i="116"/>
  <c r="F11" i="116"/>
  <c r="G11" i="116" s="1"/>
  <c r="E11" i="116"/>
  <c r="AD14" i="116"/>
  <c r="AC14" i="116"/>
  <c r="Z14" i="116"/>
  <c r="AA14" i="116" s="1"/>
  <c r="Y14" i="116"/>
  <c r="V14" i="116"/>
  <c r="W14" i="116" s="1"/>
  <c r="U14" i="116"/>
  <c r="S14" i="116"/>
  <c r="N14" i="116"/>
  <c r="O14" i="116" s="1"/>
  <c r="M14" i="116"/>
  <c r="J14" i="116"/>
  <c r="I14" i="116"/>
  <c r="F14" i="116"/>
  <c r="G14" i="116" s="1"/>
  <c r="E14" i="116"/>
  <c r="AH7" i="116"/>
  <c r="AD7" i="116"/>
  <c r="AC7" i="116"/>
  <c r="Z7" i="116"/>
  <c r="Y7" i="116"/>
  <c r="V7" i="116"/>
  <c r="U7" i="116"/>
  <c r="N7" i="116"/>
  <c r="M7" i="116"/>
  <c r="J7" i="116"/>
  <c r="I7" i="116"/>
  <c r="F7" i="116"/>
  <c r="E7" i="116"/>
  <c r="AH8" i="104"/>
  <c r="AH7" i="104"/>
  <c r="S10" i="116" l="1"/>
  <c r="O6" i="116"/>
  <c r="O8" i="116"/>
  <c r="K9" i="116"/>
  <c r="F13" i="103" s="1"/>
  <c r="K11" i="116"/>
  <c r="AJ11" i="116" s="1"/>
  <c r="AK11" i="116" s="1"/>
  <c r="K5" i="116"/>
  <c r="AJ5" i="116" s="1"/>
  <c r="AK5" i="116" s="1"/>
  <c r="K13" i="116"/>
  <c r="AH14" i="116"/>
  <c r="AE14" i="116"/>
  <c r="AE7" i="116"/>
  <c r="AA7" i="116"/>
  <c r="AA5" i="116"/>
  <c r="W7" i="116"/>
  <c r="O7" i="116"/>
  <c r="S7" i="116"/>
  <c r="S13" i="116"/>
  <c r="K7" i="116"/>
  <c r="K14" i="116"/>
  <c r="G7" i="116"/>
  <c r="AJ10" i="116"/>
  <c r="AK10" i="116" s="1"/>
  <c r="AJ8" i="116"/>
  <c r="AK8" i="116" s="1"/>
  <c r="AJ18" i="116"/>
  <c r="AK18" i="116" s="1"/>
  <c r="AL18" i="116" s="1"/>
  <c r="AJ20" i="116"/>
  <c r="AK20" i="116" s="1"/>
  <c r="AL20" i="116" s="1"/>
  <c r="AJ22" i="116"/>
  <c r="AK22" i="116" s="1"/>
  <c r="AL22" i="116" s="1"/>
  <c r="AJ24" i="116"/>
  <c r="AK24" i="116" s="1"/>
  <c r="AL24" i="116" s="1"/>
  <c r="AJ6" i="116"/>
  <c r="AK6" i="116" s="1"/>
  <c r="AJ15" i="116"/>
  <c r="AK15" i="116" s="1"/>
  <c r="AJ16" i="116"/>
  <c r="AK16" i="116" s="1"/>
  <c r="AL16" i="116" s="1"/>
  <c r="AJ12" i="116"/>
  <c r="AK12" i="116" s="1"/>
  <c r="AJ17" i="116"/>
  <c r="AK17" i="116" s="1"/>
  <c r="AL17" i="116" s="1"/>
  <c r="AJ19" i="116"/>
  <c r="AK19" i="116" s="1"/>
  <c r="AL19" i="116" s="1"/>
  <c r="AJ21" i="116"/>
  <c r="AK21" i="116" s="1"/>
  <c r="AL21" i="116" s="1"/>
  <c r="AJ23" i="116"/>
  <c r="AK23" i="116" s="1"/>
  <c r="AL23" i="116" s="1"/>
  <c r="AG7" i="116"/>
  <c r="AI7" i="116" s="1"/>
  <c r="AG14" i="116"/>
  <c r="AG11" i="116"/>
  <c r="AG15" i="116"/>
  <c r="AG6" i="116"/>
  <c r="AG9" i="116"/>
  <c r="AG16" i="116"/>
  <c r="AG10" i="116"/>
  <c r="AG12" i="116"/>
  <c r="AG8" i="116"/>
  <c r="AG17" i="116"/>
  <c r="AG18" i="116"/>
  <c r="AG19" i="116"/>
  <c r="AG20" i="116"/>
  <c r="AG21" i="116"/>
  <c r="AG22" i="116"/>
  <c r="AG23" i="116"/>
  <c r="AG24" i="116"/>
  <c r="AI14" i="116" l="1"/>
  <c r="AJ9" i="116"/>
  <c r="AK9" i="116" s="1"/>
  <c r="AJ13" i="116"/>
  <c r="AK13" i="116" s="1"/>
  <c r="AJ14" i="116"/>
  <c r="AK14" i="116" s="1"/>
  <c r="C9" i="114" s="1"/>
  <c r="D9" i="114" s="1"/>
  <c r="AJ7" i="116"/>
  <c r="AK7" i="116" s="1"/>
  <c r="Q25" i="104"/>
  <c r="Q24" i="104"/>
  <c r="Q23" i="104"/>
  <c r="Q22" i="104"/>
  <c r="Q21" i="104"/>
  <c r="Q20" i="104"/>
  <c r="Q19" i="104"/>
  <c r="Q18" i="104"/>
  <c r="Q17" i="104"/>
  <c r="Q16" i="104"/>
  <c r="Q15" i="104"/>
  <c r="Q14" i="104"/>
  <c r="Q13" i="104"/>
  <c r="Q12" i="104"/>
  <c r="Q5" i="104"/>
  <c r="Q6" i="104"/>
  <c r="Q10" i="104"/>
  <c r="Q7" i="104"/>
  <c r="Q11" i="104"/>
  <c r="Q8" i="104"/>
  <c r="AL10" i="116" l="1"/>
  <c r="AL12" i="116"/>
  <c r="AL8" i="116"/>
  <c r="AL6" i="116"/>
  <c r="AL11" i="116"/>
  <c r="AL9" i="116"/>
  <c r="AL7" i="116"/>
  <c r="AL5" i="116"/>
  <c r="AL13" i="116"/>
  <c r="AL15" i="116"/>
  <c r="AL14" i="116"/>
  <c r="F25" i="104"/>
  <c r="H25" i="104"/>
  <c r="I25" i="104"/>
  <c r="J25" i="104" s="1"/>
  <c r="L25" i="104"/>
  <c r="M25" i="104"/>
  <c r="N25" i="104" s="1"/>
  <c r="P25" i="104"/>
  <c r="R25" i="104"/>
  <c r="T25" i="104"/>
  <c r="U25" i="104"/>
  <c r="V25" i="104" s="1"/>
  <c r="X25" i="104"/>
  <c r="Y25" i="104"/>
  <c r="Z25" i="104" s="1"/>
  <c r="AB25" i="104"/>
  <c r="AC25" i="104"/>
  <c r="AD25" i="104" s="1"/>
  <c r="AE25" i="104"/>
  <c r="AF25" i="104" s="1"/>
  <c r="AF17" i="95"/>
  <c r="AF10" i="95"/>
  <c r="AF13" i="95"/>
  <c r="AF15" i="95"/>
  <c r="AF14" i="95"/>
  <c r="AH14" i="95" s="1"/>
  <c r="AF6" i="95"/>
  <c r="AF7" i="95"/>
  <c r="AH7" i="95" s="1"/>
  <c r="AF5" i="95"/>
  <c r="AF16" i="95"/>
  <c r="AF8" i="95"/>
  <c r="AG8" i="95" s="1"/>
  <c r="AF19" i="95"/>
  <c r="AH19" i="95" s="1"/>
  <c r="AF9" i="95"/>
  <c r="AF18" i="95"/>
  <c r="AG18" i="95" s="1"/>
  <c r="AF11" i="95"/>
  <c r="AF20" i="95"/>
  <c r="AH20" i="95" s="1"/>
  <c r="AF12" i="95"/>
  <c r="AG12" i="95" s="1"/>
  <c r="AF21" i="95"/>
  <c r="AG21" i="95" s="1"/>
  <c r="AF22" i="95"/>
  <c r="AG22" i="95" s="1"/>
  <c r="AF23" i="95"/>
  <c r="AG23" i="95" s="1"/>
  <c r="AF24" i="95"/>
  <c r="AG24" i="95" s="1"/>
  <c r="AG14" i="95"/>
  <c r="AH21" i="95"/>
  <c r="AF5" i="96"/>
  <c r="AF6" i="96"/>
  <c r="AF10" i="96"/>
  <c r="AF14" i="96"/>
  <c r="AG14" i="96" s="1"/>
  <c r="AF7" i="96"/>
  <c r="AG7" i="96" s="1"/>
  <c r="AF11" i="96"/>
  <c r="AG11" i="96" s="1"/>
  <c r="AF13" i="96"/>
  <c r="AG13" i="96" s="1"/>
  <c r="AF8" i="96"/>
  <c r="AF9" i="96"/>
  <c r="AH9" i="96" s="1"/>
  <c r="AF12" i="96"/>
  <c r="AG12" i="96" s="1"/>
  <c r="AF15" i="96"/>
  <c r="AG15" i="96" s="1"/>
  <c r="AF16" i="96"/>
  <c r="AH16" i="96" s="1"/>
  <c r="AF17" i="96"/>
  <c r="AG17" i="96" s="1"/>
  <c r="AF18" i="96"/>
  <c r="AG18" i="96" s="1"/>
  <c r="AF19" i="96"/>
  <c r="AG19" i="96" s="1"/>
  <c r="AF20" i="96"/>
  <c r="AG20" i="96" s="1"/>
  <c r="AF21" i="96"/>
  <c r="AH21" i="96" s="1"/>
  <c r="AF22" i="96"/>
  <c r="AG22" i="96" s="1"/>
  <c r="AF23" i="96"/>
  <c r="AG23" i="96" s="1"/>
  <c r="AF24" i="96"/>
  <c r="AH24" i="96" s="1"/>
  <c r="AH11" i="97"/>
  <c r="AI11" i="97" s="1"/>
  <c r="AG5" i="97"/>
  <c r="AG13" i="97"/>
  <c r="AF14" i="97"/>
  <c r="AH14" i="97" s="1"/>
  <c r="AI14" i="97" s="1"/>
  <c r="AF15" i="97"/>
  <c r="AF16" i="97"/>
  <c r="AG16" i="97" s="1"/>
  <c r="AF17" i="97"/>
  <c r="AH17" i="97" s="1"/>
  <c r="AI17" i="97" s="1"/>
  <c r="AF18" i="97"/>
  <c r="AG18" i="97" s="1"/>
  <c r="AF19" i="97"/>
  <c r="AG19" i="97" s="1"/>
  <c r="AF20" i="97"/>
  <c r="AG20" i="97" s="1"/>
  <c r="AF21" i="97"/>
  <c r="AH21" i="97" s="1"/>
  <c r="AI21" i="97" s="1"/>
  <c r="AF22" i="97"/>
  <c r="AG22" i="97" s="1"/>
  <c r="AF23" i="97"/>
  <c r="AH23" i="97" s="1"/>
  <c r="AI23" i="97" s="1"/>
  <c r="AF24" i="97"/>
  <c r="AG24" i="97" s="1"/>
  <c r="AG6" i="97"/>
  <c r="AG15" i="97"/>
  <c r="AI7" i="97"/>
  <c r="AH6" i="97"/>
  <c r="AI6" i="97" s="1"/>
  <c r="AH15" i="97"/>
  <c r="AI15" i="97" s="1"/>
  <c r="AG10" i="104"/>
  <c r="AH10" i="104" s="1"/>
  <c r="AH6" i="104"/>
  <c r="AF5" i="104"/>
  <c r="AF13" i="104"/>
  <c r="AF14" i="104"/>
  <c r="AF15" i="104"/>
  <c r="AF16" i="104"/>
  <c r="AF17" i="104"/>
  <c r="AG18" i="104"/>
  <c r="AH18" i="104" s="1"/>
  <c r="AF19" i="104"/>
  <c r="AF20" i="104"/>
  <c r="AE21" i="104"/>
  <c r="AG21" i="104" s="1"/>
  <c r="AH21" i="104" s="1"/>
  <c r="AE22" i="104"/>
  <c r="AF22" i="104" s="1"/>
  <c r="AE23" i="104"/>
  <c r="AF23" i="104" s="1"/>
  <c r="AE24" i="104"/>
  <c r="AF24" i="104" s="1"/>
  <c r="AF6" i="104"/>
  <c r="AH11" i="104"/>
  <c r="AH12" i="104"/>
  <c r="AH13" i="104"/>
  <c r="AG17" i="104"/>
  <c r="AH17" i="104" s="1"/>
  <c r="AG20" i="104"/>
  <c r="AH20" i="104" s="1"/>
  <c r="AF5" i="101"/>
  <c r="AG5" i="101" s="1"/>
  <c r="AF6" i="101"/>
  <c r="AF7" i="101"/>
  <c r="AF8" i="101"/>
  <c r="AG8" i="101" s="1"/>
  <c r="AF9" i="101"/>
  <c r="AF10" i="101"/>
  <c r="AG10" i="101" s="1"/>
  <c r="AF11" i="101"/>
  <c r="AG11" i="101" s="1"/>
  <c r="AF12" i="101"/>
  <c r="AF13" i="101"/>
  <c r="AG13" i="101" s="1"/>
  <c r="AF14" i="101"/>
  <c r="AF15" i="101"/>
  <c r="AF16" i="101"/>
  <c r="AG16" i="101" s="1"/>
  <c r="AF17" i="101"/>
  <c r="AF18" i="101"/>
  <c r="AG18" i="101" s="1"/>
  <c r="AF19" i="101"/>
  <c r="AG19" i="101" s="1"/>
  <c r="AF20" i="101"/>
  <c r="AF21" i="101"/>
  <c r="AG21" i="101" s="1"/>
  <c r="AF22" i="101"/>
  <c r="AF23" i="101"/>
  <c r="AF24" i="101"/>
  <c r="AG24" i="101" s="1"/>
  <c r="AG6" i="101"/>
  <c r="AG7" i="101"/>
  <c r="AG9" i="101"/>
  <c r="AG12" i="101"/>
  <c r="AG14" i="101"/>
  <c r="AG15" i="101"/>
  <c r="AG17" i="101"/>
  <c r="AG20" i="101"/>
  <c r="AG22" i="101"/>
  <c r="AG23" i="101"/>
  <c r="AH5" i="101"/>
  <c r="AI5" i="101" s="1"/>
  <c r="X5" i="103" s="1"/>
  <c r="AH6" i="101"/>
  <c r="AI6" i="101" s="1"/>
  <c r="AH7" i="101"/>
  <c r="AI7" i="101" s="1"/>
  <c r="AH8" i="101"/>
  <c r="AI8" i="101" s="1"/>
  <c r="AH9" i="101"/>
  <c r="AI9" i="101" s="1"/>
  <c r="AH10" i="101"/>
  <c r="AI10" i="101" s="1"/>
  <c r="AH12" i="101"/>
  <c r="AI12" i="101" s="1"/>
  <c r="AH13" i="101"/>
  <c r="AI13" i="101" s="1"/>
  <c r="AH14" i="101"/>
  <c r="AI14" i="101" s="1"/>
  <c r="AH15" i="101"/>
  <c r="AI15" i="101" s="1"/>
  <c r="AH16" i="101"/>
  <c r="AI16" i="101" s="1"/>
  <c r="AH17" i="101"/>
  <c r="AI17" i="101" s="1"/>
  <c r="AH18" i="101"/>
  <c r="AI18" i="101" s="1"/>
  <c r="AH19" i="101"/>
  <c r="AI19" i="101" s="1"/>
  <c r="AH20" i="101"/>
  <c r="AI20" i="101" s="1"/>
  <c r="AH21" i="101"/>
  <c r="AI21" i="101" s="1"/>
  <c r="AH22" i="101"/>
  <c r="AI22" i="101" s="1"/>
  <c r="AH23" i="101"/>
  <c r="AI23" i="101" s="1"/>
  <c r="AH24" i="101"/>
  <c r="AI24" i="101" s="1"/>
  <c r="AF15" i="88"/>
  <c r="AF19" i="88"/>
  <c r="AF5" i="88"/>
  <c r="AF16" i="88"/>
  <c r="AF8" i="88"/>
  <c r="AF14" i="88"/>
  <c r="AF12" i="88"/>
  <c r="AF22" i="88"/>
  <c r="AF13" i="88"/>
  <c r="AF7" i="88"/>
  <c r="AF9" i="88"/>
  <c r="AF21" i="88"/>
  <c r="AF17" i="88"/>
  <c r="AF24" i="88"/>
  <c r="AH24" i="88" s="1"/>
  <c r="AF10" i="88"/>
  <c r="AG10" i="88" s="1"/>
  <c r="AF23" i="88"/>
  <c r="AF20" i="88"/>
  <c r="AH20" i="88" s="1"/>
  <c r="AF11" i="88"/>
  <c r="AG11" i="88" s="1"/>
  <c r="AF18" i="88"/>
  <c r="AG18" i="88" s="1"/>
  <c r="AF6" i="88"/>
  <c r="AG6" i="88" s="1"/>
  <c r="AF7" i="89"/>
  <c r="AG7" i="89" s="1"/>
  <c r="AF13" i="89"/>
  <c r="AF16" i="89"/>
  <c r="AF20" i="89"/>
  <c r="AF11" i="89"/>
  <c r="AF21" i="89"/>
  <c r="AF14" i="89"/>
  <c r="AF15" i="89"/>
  <c r="AF6" i="89"/>
  <c r="AG6" i="89" s="1"/>
  <c r="AF10" i="89"/>
  <c r="AF22" i="89"/>
  <c r="AH22" i="89" s="1"/>
  <c r="AF12" i="89"/>
  <c r="AH12" i="89" s="1"/>
  <c r="AF8" i="89"/>
  <c r="AF5" i="89"/>
  <c r="AG5" i="89" s="1"/>
  <c r="AF19" i="89"/>
  <c r="AF17" i="89"/>
  <c r="AH17" i="89" s="1"/>
  <c r="AF9" i="89"/>
  <c r="AG9" i="89" s="1"/>
  <c r="AF23" i="89"/>
  <c r="AH23" i="89" s="1"/>
  <c r="AF18" i="89"/>
  <c r="AF24" i="89"/>
  <c r="AF21" i="90"/>
  <c r="AF7" i="90"/>
  <c r="AF16" i="90"/>
  <c r="AF9" i="90"/>
  <c r="AF18" i="90"/>
  <c r="AF12" i="90"/>
  <c r="AF14" i="90"/>
  <c r="AF15" i="90"/>
  <c r="AF5" i="90"/>
  <c r="AF11" i="90"/>
  <c r="AF10" i="90"/>
  <c r="AF20" i="90"/>
  <c r="AG20" i="90" s="1"/>
  <c r="AF19" i="90"/>
  <c r="AF6" i="90"/>
  <c r="AH6" i="90" s="1"/>
  <c r="AF13" i="90"/>
  <c r="AG13" i="90" s="1"/>
  <c r="AF17" i="90"/>
  <c r="AF8" i="90"/>
  <c r="AG8" i="90" s="1"/>
  <c r="AF22" i="90"/>
  <c r="AH22" i="90" s="1"/>
  <c r="AF23" i="90"/>
  <c r="AG23" i="90" s="1"/>
  <c r="AF24" i="90"/>
  <c r="AG24" i="90" s="1"/>
  <c r="AF11" i="83"/>
  <c r="AF10" i="83"/>
  <c r="AF15" i="83"/>
  <c r="AF6" i="83"/>
  <c r="AF13" i="83"/>
  <c r="AF12" i="83"/>
  <c r="AF7" i="83"/>
  <c r="AF9" i="83"/>
  <c r="AG9" i="83" s="1"/>
  <c r="AF8" i="83"/>
  <c r="AF5" i="83"/>
  <c r="AF16" i="83"/>
  <c r="AH16" i="83" s="1"/>
  <c r="AF17" i="83"/>
  <c r="AG17" i="83" s="1"/>
  <c r="AF14" i="83"/>
  <c r="AF18" i="83"/>
  <c r="AF19" i="83"/>
  <c r="AG19" i="83" s="1"/>
  <c r="AF20" i="83"/>
  <c r="AG20" i="83" s="1"/>
  <c r="AF21" i="83"/>
  <c r="AH21" i="83" s="1"/>
  <c r="AF22" i="83"/>
  <c r="AF23" i="83"/>
  <c r="AH23" i="83" s="1"/>
  <c r="AF24" i="83"/>
  <c r="AG24" i="83" s="1"/>
  <c r="AG16" i="83"/>
  <c r="AF10" i="82"/>
  <c r="AH10" i="82" s="1"/>
  <c r="AF9" i="82"/>
  <c r="AF5" i="82"/>
  <c r="AF14" i="82"/>
  <c r="AF15" i="82"/>
  <c r="AF8" i="82"/>
  <c r="AF11" i="82"/>
  <c r="AG11" i="82" s="1"/>
  <c r="AF16" i="82"/>
  <c r="AF7" i="82"/>
  <c r="AF13" i="82"/>
  <c r="AF6" i="82"/>
  <c r="AF12" i="82"/>
  <c r="AH12" i="82" s="1"/>
  <c r="AF17" i="82"/>
  <c r="AG17" i="82" s="1"/>
  <c r="AF18" i="82"/>
  <c r="AG18" i="82" s="1"/>
  <c r="AF19" i="82"/>
  <c r="AG19" i="82" s="1"/>
  <c r="AF20" i="82"/>
  <c r="AF21" i="82"/>
  <c r="AG21" i="82" s="1"/>
  <c r="AF22" i="82"/>
  <c r="AH22" i="82" s="1"/>
  <c r="AF23" i="82"/>
  <c r="AG23" i="82" s="1"/>
  <c r="AF24" i="82"/>
  <c r="AH24" i="82" s="1"/>
  <c r="AH11" i="101" l="1"/>
  <c r="AI11" i="101" s="1"/>
  <c r="AF21" i="104"/>
  <c r="AH20" i="90"/>
  <c r="AH18" i="95"/>
  <c r="AH19" i="83"/>
  <c r="AH20" i="83"/>
  <c r="AG23" i="83"/>
  <c r="AH22" i="97"/>
  <c r="AI22" i="97" s="1"/>
  <c r="AH18" i="97"/>
  <c r="AI18" i="97" s="1"/>
  <c r="AH23" i="96"/>
  <c r="AH19" i="96"/>
  <c r="AH13" i="83"/>
  <c r="AF10" i="104"/>
  <c r="AH19" i="85"/>
  <c r="AG19" i="85"/>
  <c r="AH7" i="85"/>
  <c r="AG7" i="85"/>
  <c r="AH10" i="85"/>
  <c r="AG10" i="85"/>
  <c r="AG11" i="85"/>
  <c r="AH19" i="84"/>
  <c r="AG6" i="84"/>
  <c r="AG5" i="84"/>
  <c r="AH13" i="84"/>
  <c r="AG19" i="84"/>
  <c r="AI19" i="84" s="1"/>
  <c r="AH9" i="84"/>
  <c r="AH6" i="84"/>
  <c r="AI6" i="84" s="1"/>
  <c r="AG9" i="84"/>
  <c r="AG15" i="84"/>
  <c r="AH15" i="84"/>
  <c r="AH5" i="84"/>
  <c r="AG13" i="84"/>
  <c r="AI13" i="84" s="1"/>
  <c r="AG16" i="84"/>
  <c r="AH16" i="84"/>
  <c r="AI16" i="84" s="1"/>
  <c r="AH14" i="83"/>
  <c r="AG13" i="83"/>
  <c r="AH8" i="83"/>
  <c r="AG22" i="82"/>
  <c r="AG6" i="82"/>
  <c r="AG5" i="82"/>
  <c r="AG21" i="90"/>
  <c r="AH17" i="90"/>
  <c r="AH10" i="89"/>
  <c r="AG20" i="89"/>
  <c r="AG10" i="89"/>
  <c r="AH17" i="88"/>
  <c r="AG16" i="88"/>
  <c r="AH8" i="88"/>
  <c r="AH14" i="88"/>
  <c r="AG12" i="100"/>
  <c r="AI12" i="100" s="1"/>
  <c r="X7" i="103" s="1"/>
  <c r="AH5" i="97"/>
  <c r="AI5" i="97" s="1"/>
  <c r="AG8" i="96"/>
  <c r="AG10" i="96"/>
  <c r="AG9" i="95"/>
  <c r="AH6" i="95"/>
  <c r="AG11" i="95"/>
  <c r="AG7" i="95"/>
  <c r="AH11" i="95"/>
  <c r="AG6" i="95"/>
  <c r="AG21" i="83"/>
  <c r="AH7" i="82"/>
  <c r="AG7" i="82"/>
  <c r="AG6" i="90"/>
  <c r="AH24" i="90"/>
  <c r="AG17" i="90"/>
  <c r="AH23" i="82"/>
  <c r="AG24" i="88"/>
  <c r="AH11" i="88"/>
  <c r="AH15" i="96"/>
  <c r="AH13" i="96"/>
  <c r="AH23" i="95"/>
  <c r="AG19" i="95"/>
  <c r="AG22" i="90"/>
  <c r="AG24" i="104"/>
  <c r="AH24" i="104" s="1"/>
  <c r="AG16" i="104"/>
  <c r="AH16" i="104" s="1"/>
  <c r="AH9" i="95"/>
  <c r="AH12" i="95"/>
  <c r="AG20" i="95"/>
  <c r="AH24" i="95"/>
  <c r="AH17" i="83"/>
  <c r="AH24" i="83"/>
  <c r="AH18" i="82"/>
  <c r="AH9" i="89"/>
  <c r="AG17" i="89"/>
  <c r="AG8" i="83"/>
  <c r="AG14" i="83"/>
  <c r="AG24" i="82"/>
  <c r="AH19" i="82"/>
  <c r="AG12" i="89"/>
  <c r="AG14" i="88"/>
  <c r="AH16" i="97"/>
  <c r="AI16" i="97" s="1"/>
  <c r="AG14" i="97"/>
  <c r="AH20" i="97"/>
  <c r="AI20" i="97" s="1"/>
  <c r="AH17" i="96"/>
  <c r="AH7" i="96"/>
  <c r="AG9" i="96"/>
  <c r="AG21" i="96"/>
  <c r="AH22" i="95"/>
  <c r="AH8" i="95"/>
  <c r="AH9" i="83"/>
  <c r="AG23" i="89"/>
  <c r="AH5" i="89"/>
  <c r="AG17" i="88"/>
  <c r="AH16" i="88"/>
  <c r="AF18" i="104"/>
  <c r="AG23" i="104"/>
  <c r="AH23" i="104" s="1"/>
  <c r="AG19" i="104"/>
  <c r="AH19" i="104" s="1"/>
  <c r="AG15" i="104"/>
  <c r="AH15" i="104" s="1"/>
  <c r="AH5" i="104"/>
  <c r="AH9" i="104"/>
  <c r="AG22" i="104"/>
  <c r="AH22" i="104" s="1"/>
  <c r="AH14" i="104"/>
  <c r="AH10" i="96"/>
  <c r="AH9" i="91"/>
  <c r="AG9" i="91"/>
  <c r="AG12" i="82"/>
  <c r="AH20" i="82"/>
  <c r="AG20" i="82"/>
  <c r="AG16" i="82"/>
  <c r="AH16" i="82"/>
  <c r="AG22" i="83"/>
  <c r="AH22" i="83"/>
  <c r="AG18" i="83"/>
  <c r="AH18" i="83"/>
  <c r="AG5" i="83"/>
  <c r="AH5" i="83"/>
  <c r="AG11" i="83"/>
  <c r="AH11" i="83"/>
  <c r="AG7" i="90"/>
  <c r="AG18" i="90"/>
  <c r="AH18" i="90"/>
  <c r="AH12" i="90"/>
  <c r="AH8" i="89"/>
  <c r="AH15" i="89"/>
  <c r="AH11" i="82"/>
  <c r="AH6" i="82"/>
  <c r="AH5" i="82"/>
  <c r="AH10" i="88"/>
  <c r="AH13" i="97"/>
  <c r="AI13" i="97" s="1"/>
  <c r="AG23" i="97"/>
  <c r="AG17" i="97"/>
  <c r="AI10" i="97"/>
  <c r="AH22" i="96"/>
  <c r="AH18" i="96"/>
  <c r="AH12" i="96"/>
  <c r="AH11" i="96"/>
  <c r="AG24" i="96"/>
  <c r="AG16" i="96"/>
  <c r="AH14" i="90"/>
  <c r="AH6" i="89"/>
  <c r="AH6" i="88"/>
  <c r="AH24" i="97"/>
  <c r="AI24" i="97" s="1"/>
  <c r="AH19" i="97"/>
  <c r="AI19" i="97" s="1"/>
  <c r="AG11" i="97"/>
  <c r="AH20" i="96"/>
  <c r="AH8" i="96"/>
  <c r="AH14" i="96"/>
  <c r="AH24" i="89"/>
  <c r="AH21" i="89"/>
  <c r="AI8" i="97"/>
  <c r="AG6" i="96"/>
  <c r="AG21" i="97"/>
  <c r="AH6" i="96"/>
  <c r="AG5" i="96"/>
  <c r="AH5" i="96"/>
  <c r="AH15" i="95"/>
  <c r="AG15" i="95"/>
  <c r="AH13" i="95"/>
  <c r="AG10" i="95"/>
  <c r="AH16" i="95"/>
  <c r="AG13" i="95"/>
  <c r="AH17" i="95"/>
  <c r="AH10" i="95"/>
  <c r="AG5" i="95"/>
  <c r="AG16" i="95"/>
  <c r="AH5" i="95"/>
  <c r="AG25" i="104"/>
  <c r="AH25" i="104" s="1"/>
  <c r="X12" i="103"/>
  <c r="AG11" i="112"/>
  <c r="AH11" i="112" s="1"/>
  <c r="AF11" i="112"/>
  <c r="AH8" i="90"/>
  <c r="AH21" i="90"/>
  <c r="AG19" i="90"/>
  <c r="AH23" i="90"/>
  <c r="AH13" i="90"/>
  <c r="AG14" i="90"/>
  <c r="AH10" i="90"/>
  <c r="AG11" i="90"/>
  <c r="AH11" i="90"/>
  <c r="AH16" i="90"/>
  <c r="AH19" i="90"/>
  <c r="AH5" i="90"/>
  <c r="AG12" i="90"/>
  <c r="AH15" i="90"/>
  <c r="AH9" i="90"/>
  <c r="AG10" i="90"/>
  <c r="AG16" i="90"/>
  <c r="AG9" i="90"/>
  <c r="AH7" i="90"/>
  <c r="AG5" i="90"/>
  <c r="AG15" i="90"/>
  <c r="AG24" i="89"/>
  <c r="AG8" i="89"/>
  <c r="AH13" i="89"/>
  <c r="AG19" i="89"/>
  <c r="AG15" i="89"/>
  <c r="AG14" i="89"/>
  <c r="AG21" i="89"/>
  <c r="AG11" i="89"/>
  <c r="AG13" i="89"/>
  <c r="AG16" i="89"/>
  <c r="AH14" i="89"/>
  <c r="AH16" i="89"/>
  <c r="AG22" i="89"/>
  <c r="AH19" i="89"/>
  <c r="AH7" i="89"/>
  <c r="AH18" i="89"/>
  <c r="AG18" i="89"/>
  <c r="AH11" i="89"/>
  <c r="AH20" i="89"/>
  <c r="AH18" i="88"/>
  <c r="AG20" i="88"/>
  <c r="AG15" i="88"/>
  <c r="AH7" i="88"/>
  <c r="AG5" i="88"/>
  <c r="AH13" i="88"/>
  <c r="AH5" i="88"/>
  <c r="AG7" i="88"/>
  <c r="AG8" i="88"/>
  <c r="AH15" i="88"/>
  <c r="AG13" i="88"/>
  <c r="AG21" i="88"/>
  <c r="AH12" i="88"/>
  <c r="AH19" i="88"/>
  <c r="AG12" i="88"/>
  <c r="AH21" i="88"/>
  <c r="AH23" i="88"/>
  <c r="AH22" i="88"/>
  <c r="AG9" i="88"/>
  <c r="AG19" i="88"/>
  <c r="AH9" i="88"/>
  <c r="AG22" i="88"/>
  <c r="AG23" i="88"/>
  <c r="AG10" i="83"/>
  <c r="AH6" i="83"/>
  <c r="AG6" i="83"/>
  <c r="AH7" i="83"/>
  <c r="AH15" i="83"/>
  <c r="AG7" i="83"/>
  <c r="AG15" i="83"/>
  <c r="AH12" i="83"/>
  <c r="AH10" i="83"/>
  <c r="AG12" i="83"/>
  <c r="AH21" i="82"/>
  <c r="AH17" i="82"/>
  <c r="AG9" i="82"/>
  <c r="AH15" i="82"/>
  <c r="AH14" i="82"/>
  <c r="AG10" i="82"/>
  <c r="AG8" i="82"/>
  <c r="AH13" i="82"/>
  <c r="AH8" i="82"/>
  <c r="AH9" i="82"/>
  <c r="AG13" i="82"/>
  <c r="AG14" i="82"/>
  <c r="AG15" i="82"/>
  <c r="AG17" i="95"/>
  <c r="AF24" i="74"/>
  <c r="AH24" i="74" s="1"/>
  <c r="AI24" i="74" s="1"/>
  <c r="AF23" i="74"/>
  <c r="AG23" i="74" s="1"/>
  <c r="AF22" i="74"/>
  <c r="AG22" i="74" s="1"/>
  <c r="AF21" i="74"/>
  <c r="AH21" i="74" s="1"/>
  <c r="AI21" i="74" s="1"/>
  <c r="AF10" i="74"/>
  <c r="AH10" i="74" s="1"/>
  <c r="AI10" i="74" s="1"/>
  <c r="AF14" i="74"/>
  <c r="AG14" i="74" s="1"/>
  <c r="AF16" i="74"/>
  <c r="AG16" i="74" s="1"/>
  <c r="AF15" i="74"/>
  <c r="AH15" i="74" s="1"/>
  <c r="AI15" i="74" s="1"/>
  <c r="AF12" i="74"/>
  <c r="AH12" i="74" s="1"/>
  <c r="AI12" i="74" s="1"/>
  <c r="AF6" i="74"/>
  <c r="AG6" i="74" s="1"/>
  <c r="AG20" i="74"/>
  <c r="AF9" i="74"/>
  <c r="AH9" i="74" s="1"/>
  <c r="AI9" i="74" s="1"/>
  <c r="AF8" i="74"/>
  <c r="AG8" i="74" s="1"/>
  <c r="AF11" i="74"/>
  <c r="AH11" i="74" s="1"/>
  <c r="AI11" i="74" s="1"/>
  <c r="AH10" i="73"/>
  <c r="AH20" i="73"/>
  <c r="AG15" i="73"/>
  <c r="AG12" i="73"/>
  <c r="AF8" i="73"/>
  <c r="AG8" i="73" s="1"/>
  <c r="AF11" i="73"/>
  <c r="AH11" i="73" s="1"/>
  <c r="AF13" i="73"/>
  <c r="AG13" i="73" s="1"/>
  <c r="AF21" i="73"/>
  <c r="AG21" i="73" s="1"/>
  <c r="AF22" i="73"/>
  <c r="AG22" i="73" s="1"/>
  <c r="AF23" i="73"/>
  <c r="AH23" i="73" s="1"/>
  <c r="AF24" i="73"/>
  <c r="AG24" i="73" s="1"/>
  <c r="AG10" i="73"/>
  <c r="AH22" i="73"/>
  <c r="AF15" i="72"/>
  <c r="AF23" i="72"/>
  <c r="AF20" i="72"/>
  <c r="AF25" i="72"/>
  <c r="AF11" i="72"/>
  <c r="AF21" i="72"/>
  <c r="AF5" i="72"/>
  <c r="AF12" i="72"/>
  <c r="AF14" i="72"/>
  <c r="AF22" i="72"/>
  <c r="AF26" i="72"/>
  <c r="AF24" i="72"/>
  <c r="AH24" i="72" s="1"/>
  <c r="AF8" i="72"/>
  <c r="AG8" i="72" s="1"/>
  <c r="AF6" i="72"/>
  <c r="AG6" i="72" s="1"/>
  <c r="AF10" i="72"/>
  <c r="AG10" i="72" s="1"/>
  <c r="AF18" i="72"/>
  <c r="AG18" i="72" s="1"/>
  <c r="AF7" i="72"/>
  <c r="AG7" i="72" s="1"/>
  <c r="AF9" i="72"/>
  <c r="AG9" i="72" s="1"/>
  <c r="AF17" i="72"/>
  <c r="AG17" i="72" s="1"/>
  <c r="AF16" i="72"/>
  <c r="AG16" i="72" s="1"/>
  <c r="AF16" i="71"/>
  <c r="AF14" i="71"/>
  <c r="AF10" i="71"/>
  <c r="AF7" i="71"/>
  <c r="AF8" i="71"/>
  <c r="AF5" i="71"/>
  <c r="AF18" i="71"/>
  <c r="AG18" i="71" s="1"/>
  <c r="AF15" i="71"/>
  <c r="AF17" i="71"/>
  <c r="AF20" i="71"/>
  <c r="AG20" i="71" s="1"/>
  <c r="AF13" i="71"/>
  <c r="AG13" i="71" s="1"/>
  <c r="AF12" i="71"/>
  <c r="AH12" i="71" s="1"/>
  <c r="AF6" i="71"/>
  <c r="AG6" i="71" s="1"/>
  <c r="AF11" i="71"/>
  <c r="AH11" i="71" s="1"/>
  <c r="AF19" i="71"/>
  <c r="AG19" i="71" s="1"/>
  <c r="AF9" i="71"/>
  <c r="AH9" i="71" s="1"/>
  <c r="AF21" i="71"/>
  <c r="AG21" i="71" s="1"/>
  <c r="AF22" i="71"/>
  <c r="AG22" i="71" s="1"/>
  <c r="AF23" i="71"/>
  <c r="AG23" i="71" s="1"/>
  <c r="AF24" i="71"/>
  <c r="AG24" i="71" s="1"/>
  <c r="AH22" i="71"/>
  <c r="AH23" i="71"/>
  <c r="AH18" i="80"/>
  <c r="AI18" i="80" s="1"/>
  <c r="AH14" i="80"/>
  <c r="AI14" i="80" s="1"/>
  <c r="AF13" i="80"/>
  <c r="AH13" i="80" s="1"/>
  <c r="AI13" i="80" s="1"/>
  <c r="AF15" i="80"/>
  <c r="AH15" i="80" s="1"/>
  <c r="AI15" i="80" s="1"/>
  <c r="AF12" i="80"/>
  <c r="AH12" i="80" s="1"/>
  <c r="AI12" i="80" s="1"/>
  <c r="AF17" i="80"/>
  <c r="AG17" i="80" s="1"/>
  <c r="AF16" i="80"/>
  <c r="AH16" i="80" s="1"/>
  <c r="AI16" i="80" s="1"/>
  <c r="AF20" i="80"/>
  <c r="AH20" i="80" s="1"/>
  <c r="AI20" i="80" s="1"/>
  <c r="AF21" i="80"/>
  <c r="AH21" i="80" s="1"/>
  <c r="AI21" i="80" s="1"/>
  <c r="AF22" i="80"/>
  <c r="AG22" i="80" s="1"/>
  <c r="AF23" i="80"/>
  <c r="AH23" i="80" s="1"/>
  <c r="AI23" i="80" s="1"/>
  <c r="AF24" i="80"/>
  <c r="AH24" i="80" s="1"/>
  <c r="AI24" i="80" s="1"/>
  <c r="AG14" i="80"/>
  <c r="AG5" i="80"/>
  <c r="AG13" i="80"/>
  <c r="AH5" i="80"/>
  <c r="AI5" i="80" s="1"/>
  <c r="AF14" i="79"/>
  <c r="AF29" i="79"/>
  <c r="AF5" i="79"/>
  <c r="AF6" i="79"/>
  <c r="AF16" i="79"/>
  <c r="AF10" i="79"/>
  <c r="AF13" i="79"/>
  <c r="AF27" i="79"/>
  <c r="AF19" i="79"/>
  <c r="AF30" i="79"/>
  <c r="AF7" i="79"/>
  <c r="AF11" i="79"/>
  <c r="AF18" i="79"/>
  <c r="AF25" i="79"/>
  <c r="AH25" i="79" s="1"/>
  <c r="AF9" i="79"/>
  <c r="AG9" i="79" s="1"/>
  <c r="AF24" i="79"/>
  <c r="AF12" i="79"/>
  <c r="AH12" i="79" s="1"/>
  <c r="AF8" i="79"/>
  <c r="AH8" i="79" s="1"/>
  <c r="AF22" i="79"/>
  <c r="AG22" i="79" s="1"/>
  <c r="AF21" i="79"/>
  <c r="AH21" i="79" s="1"/>
  <c r="AF19" i="78"/>
  <c r="AF14" i="78"/>
  <c r="AF30" i="78"/>
  <c r="AF28" i="78"/>
  <c r="AF18" i="78"/>
  <c r="AH18" i="78" s="1"/>
  <c r="AF17" i="78"/>
  <c r="AF16" i="78"/>
  <c r="AF26" i="78"/>
  <c r="AF12" i="78"/>
  <c r="AG12" i="78" s="1"/>
  <c r="AF5" i="78"/>
  <c r="AF11" i="78"/>
  <c r="AF29" i="78"/>
  <c r="AF31" i="78"/>
  <c r="AF23" i="78"/>
  <c r="AG23" i="78" s="1"/>
  <c r="AF7" i="78"/>
  <c r="AF25" i="78"/>
  <c r="AF22" i="78"/>
  <c r="AH22" i="78" s="1"/>
  <c r="AF10" i="78"/>
  <c r="AG10" i="78" s="1"/>
  <c r="AF21" i="78"/>
  <c r="AG21" i="78" s="1"/>
  <c r="AF8" i="78"/>
  <c r="AG18" i="78"/>
  <c r="AF13" i="77"/>
  <c r="AF25" i="77"/>
  <c r="AF16" i="77"/>
  <c r="AG16" i="77" s="1"/>
  <c r="AF15" i="77"/>
  <c r="AF6" i="77"/>
  <c r="AF30" i="77"/>
  <c r="AF24" i="77"/>
  <c r="AF5" i="77"/>
  <c r="AF20" i="77"/>
  <c r="AF10" i="77"/>
  <c r="AF22" i="77"/>
  <c r="AF14" i="77"/>
  <c r="AG14" i="77" s="1"/>
  <c r="AF26" i="77"/>
  <c r="AF28" i="77"/>
  <c r="AF9" i="77"/>
  <c r="AF11" i="77"/>
  <c r="AF7" i="77"/>
  <c r="AH7" i="77" s="1"/>
  <c r="AF17" i="77"/>
  <c r="AF21" i="77"/>
  <c r="AG21" i="77" s="1"/>
  <c r="AF8" i="77"/>
  <c r="AH8" i="77" s="1"/>
  <c r="AF11" i="52"/>
  <c r="AF19" i="50"/>
  <c r="AF13" i="50"/>
  <c r="AF10" i="50"/>
  <c r="AF6" i="50"/>
  <c r="AF8" i="50"/>
  <c r="AF20" i="50"/>
  <c r="AF12" i="50"/>
  <c r="AG12" i="50" s="1"/>
  <c r="AF17" i="50"/>
  <c r="AF7" i="50"/>
  <c r="AF5" i="50"/>
  <c r="AF11" i="50"/>
  <c r="AG11" i="50" s="1"/>
  <c r="AF16" i="50"/>
  <c r="AH16" i="50" s="1"/>
  <c r="AF21" i="50"/>
  <c r="AF14" i="50"/>
  <c r="AH14" i="50" s="1"/>
  <c r="AF22" i="50"/>
  <c r="AG22" i="50" s="1"/>
  <c r="AF15" i="50"/>
  <c r="AH15" i="50" s="1"/>
  <c r="AF9" i="50"/>
  <c r="AG9" i="50" s="1"/>
  <c r="AF18" i="50"/>
  <c r="AH18" i="50" s="1"/>
  <c r="AF23" i="50"/>
  <c r="AH23" i="50" s="1"/>
  <c r="AF24" i="50"/>
  <c r="AG24" i="50" s="1"/>
  <c r="AF21" i="49"/>
  <c r="AF13" i="49"/>
  <c r="AF9" i="49"/>
  <c r="AF14" i="49"/>
  <c r="AF12" i="49"/>
  <c r="AF11" i="49"/>
  <c r="AF10" i="49"/>
  <c r="AF6" i="49"/>
  <c r="AF8" i="49"/>
  <c r="AH8" i="49" s="1"/>
  <c r="AF7" i="49"/>
  <c r="AF5" i="49"/>
  <c r="AG5" i="49" s="1"/>
  <c r="AF16" i="49"/>
  <c r="AG16" i="49" s="1"/>
  <c r="AF22" i="49"/>
  <c r="AG22" i="49" s="1"/>
  <c r="AF23" i="49"/>
  <c r="AF15" i="49"/>
  <c r="AG15" i="49" s="1"/>
  <c r="AF24" i="49"/>
  <c r="AH24" i="49" s="1"/>
  <c r="AF17" i="49"/>
  <c r="AG17" i="49" s="1"/>
  <c r="AF20" i="49"/>
  <c r="AH20" i="49" s="1"/>
  <c r="AF18" i="49"/>
  <c r="AG18" i="49" s="1"/>
  <c r="AF19" i="49"/>
  <c r="AG19" i="49" s="1"/>
  <c r="AF6" i="55"/>
  <c r="AF11" i="55"/>
  <c r="AF9" i="55"/>
  <c r="AF14" i="55"/>
  <c r="AH14" i="55" s="1"/>
  <c r="AF18" i="55"/>
  <c r="AF21" i="55"/>
  <c r="AF12" i="55"/>
  <c r="AF16" i="55"/>
  <c r="AF22" i="55"/>
  <c r="AF23" i="55"/>
  <c r="AF17" i="55"/>
  <c r="AF15" i="55"/>
  <c r="AF8" i="55"/>
  <c r="AF20" i="55"/>
  <c r="AF5" i="55"/>
  <c r="AF10" i="55"/>
  <c r="AF24" i="56"/>
  <c r="AF14" i="56"/>
  <c r="AG14" i="56" s="1"/>
  <c r="AF23" i="56"/>
  <c r="AF17" i="56"/>
  <c r="AF5" i="56"/>
  <c r="AF12" i="56"/>
  <c r="AF20" i="56"/>
  <c r="AF22" i="56"/>
  <c r="AF19" i="56"/>
  <c r="AF18" i="56"/>
  <c r="AF8" i="56"/>
  <c r="AF15" i="56"/>
  <c r="AF7" i="56"/>
  <c r="AF16" i="56"/>
  <c r="AF13" i="56"/>
  <c r="AF9" i="56"/>
  <c r="AF6" i="56"/>
  <c r="AF24" i="53"/>
  <c r="AH24" i="53" s="1"/>
  <c r="AF5" i="53"/>
  <c r="AF15" i="53"/>
  <c r="AF10" i="53"/>
  <c r="AG10" i="53" s="1"/>
  <c r="AF9" i="53"/>
  <c r="AH9" i="53" s="1"/>
  <c r="AF16" i="53"/>
  <c r="AG16" i="53" s="1"/>
  <c r="AF6" i="53"/>
  <c r="AF21" i="53"/>
  <c r="AF8" i="53"/>
  <c r="AF7" i="53"/>
  <c r="AF13" i="53"/>
  <c r="AF11" i="53"/>
  <c r="AF12" i="53"/>
  <c r="AF17" i="53"/>
  <c r="AF18" i="53"/>
  <c r="AF20" i="53"/>
  <c r="AF19" i="53"/>
  <c r="AF22" i="53"/>
  <c r="AF23" i="53"/>
  <c r="AF14" i="53"/>
  <c r="AH8" i="73" l="1"/>
  <c r="AH5" i="49"/>
  <c r="AH22" i="80"/>
  <c r="AI22" i="80" s="1"/>
  <c r="AG8" i="49"/>
  <c r="AH17" i="80"/>
  <c r="AI17" i="80" s="1"/>
  <c r="AH21" i="73"/>
  <c r="AH18" i="71"/>
  <c r="AG21" i="79"/>
  <c r="AG20" i="50"/>
  <c r="AG21" i="53"/>
  <c r="AI11" i="85"/>
  <c r="AI7" i="85"/>
  <c r="X11" i="87" s="1"/>
  <c r="AI10" i="85"/>
  <c r="AI19" i="85"/>
  <c r="AI9" i="84"/>
  <c r="AI5" i="84"/>
  <c r="AI15" i="84"/>
  <c r="AI15" i="91"/>
  <c r="AI9" i="91"/>
  <c r="AI7" i="100"/>
  <c r="X9" i="103" s="1"/>
  <c r="AI6" i="100"/>
  <c r="X8" i="103" s="1"/>
  <c r="AG24" i="56"/>
  <c r="AG5" i="56"/>
  <c r="AH11" i="56"/>
  <c r="AG11" i="56"/>
  <c r="AH23" i="56"/>
  <c r="AG6" i="56"/>
  <c r="AG17" i="56"/>
  <c r="AG11" i="55"/>
  <c r="AH15" i="55"/>
  <c r="AG5" i="55"/>
  <c r="AH19" i="55"/>
  <c r="AG19" i="55"/>
  <c r="AH16" i="55"/>
  <c r="AH8" i="53"/>
  <c r="AH20" i="75"/>
  <c r="AG9" i="75"/>
  <c r="AH9" i="75"/>
  <c r="AG10" i="75"/>
  <c r="AH8" i="75"/>
  <c r="AG20" i="75"/>
  <c r="AH10" i="75"/>
  <c r="AG8" i="75"/>
  <c r="AH24" i="73"/>
  <c r="AH16" i="73"/>
  <c r="AG6" i="73"/>
  <c r="AG7" i="73"/>
  <c r="AH26" i="72"/>
  <c r="AG25" i="72"/>
  <c r="AH12" i="72"/>
  <c r="AG10" i="71"/>
  <c r="AH7" i="79"/>
  <c r="AH11" i="79"/>
  <c r="AG24" i="79"/>
  <c r="AH30" i="79"/>
  <c r="AG11" i="79"/>
  <c r="AH18" i="79"/>
  <c r="AH24" i="79"/>
  <c r="AG19" i="79"/>
  <c r="AH19" i="79"/>
  <c r="AH8" i="78"/>
  <c r="AG11" i="78"/>
  <c r="AH6" i="78"/>
  <c r="AI6" i="78" s="1"/>
  <c r="AJ6" i="78" s="1"/>
  <c r="AK6" i="78" s="1"/>
  <c r="AG6" i="78"/>
  <c r="AG5" i="78"/>
  <c r="AH31" i="78"/>
  <c r="AH29" i="78"/>
  <c r="AG7" i="78"/>
  <c r="AH11" i="77"/>
  <c r="AG9" i="77"/>
  <c r="AH15" i="77"/>
  <c r="AG8" i="77"/>
  <c r="AG24" i="77"/>
  <c r="AH28" i="77"/>
  <c r="AH26" i="77"/>
  <c r="AH10" i="77"/>
  <c r="AH17" i="77"/>
  <c r="AG11" i="77"/>
  <c r="AH6" i="52"/>
  <c r="AH9" i="52"/>
  <c r="AG9" i="52"/>
  <c r="AG6" i="52"/>
  <c r="AG10" i="52"/>
  <c r="AH10" i="52"/>
  <c r="AG5" i="52"/>
  <c r="AH5" i="52"/>
  <c r="AG7" i="52"/>
  <c r="AH7" i="52"/>
  <c r="AH14" i="51"/>
  <c r="AG14" i="51"/>
  <c r="AG5" i="51"/>
  <c r="AI5" i="51" s="1"/>
  <c r="AH12" i="51"/>
  <c r="AG12" i="51"/>
  <c r="AH22" i="50"/>
  <c r="AH12" i="50"/>
  <c r="AH5" i="50"/>
  <c r="AH20" i="50"/>
  <c r="AG19" i="50"/>
  <c r="AG20" i="49"/>
  <c r="AH18" i="49"/>
  <c r="AH15" i="49"/>
  <c r="AG5" i="53"/>
  <c r="AG7" i="53"/>
  <c r="AH15" i="53"/>
  <c r="AH10" i="71"/>
  <c r="AH15" i="71"/>
  <c r="AG15" i="71"/>
  <c r="AG17" i="71"/>
  <c r="AH8" i="71"/>
  <c r="AG18" i="50"/>
  <c r="AG5" i="50"/>
  <c r="AG10" i="49"/>
  <c r="AG23" i="80"/>
  <c r="AG18" i="79"/>
  <c r="AH22" i="79"/>
  <c r="AG10" i="77"/>
  <c r="AG15" i="77"/>
  <c r="AG16" i="50"/>
  <c r="AH13" i="73"/>
  <c r="AH13" i="71"/>
  <c r="AG16" i="80"/>
  <c r="AH9" i="77"/>
  <c r="AG14" i="50"/>
  <c r="AH22" i="49"/>
  <c r="AH17" i="49"/>
  <c r="AH17" i="72"/>
  <c r="AH10" i="72"/>
  <c r="AG26" i="72"/>
  <c r="AG6" i="80"/>
  <c r="AH6" i="80"/>
  <c r="AI6" i="80" s="1"/>
  <c r="AG21" i="80"/>
  <c r="AG12" i="80"/>
  <c r="AG19" i="80"/>
  <c r="AH19" i="80"/>
  <c r="AI19" i="80" s="1"/>
  <c r="AG24" i="80"/>
  <c r="AG20" i="80"/>
  <c r="AG15" i="80"/>
  <c r="AG18" i="80"/>
  <c r="AH8" i="80"/>
  <c r="AI8" i="80" s="1"/>
  <c r="AG8" i="80"/>
  <c r="AH9" i="79"/>
  <c r="AG7" i="79"/>
  <c r="AH6" i="75"/>
  <c r="AG6" i="75"/>
  <c r="AI19" i="74"/>
  <c r="AH15" i="73"/>
  <c r="AG11" i="73"/>
  <c r="AG23" i="73"/>
  <c r="AG8" i="79"/>
  <c r="AG25" i="79"/>
  <c r="AG30" i="79"/>
  <c r="AG12" i="79"/>
  <c r="AH10" i="78"/>
  <c r="AH23" i="78"/>
  <c r="AH5" i="78"/>
  <c r="AH14" i="77"/>
  <c r="AH11" i="52"/>
  <c r="AG11" i="52"/>
  <c r="AG9" i="51"/>
  <c r="AH9" i="51"/>
  <c r="AH5" i="53"/>
  <c r="AG15" i="50"/>
  <c r="AH24" i="50"/>
  <c r="AH10" i="53"/>
  <c r="AG15" i="74"/>
  <c r="AH7" i="72"/>
  <c r="AG9" i="71"/>
  <c r="AG12" i="71"/>
  <c r="AH24" i="71"/>
  <c r="AH21" i="77"/>
  <c r="AG17" i="77"/>
  <c r="AH5" i="56"/>
  <c r="AH16" i="53"/>
  <c r="AH18" i="53"/>
  <c r="AH21" i="53"/>
  <c r="AH7" i="53"/>
  <c r="AH20" i="74"/>
  <c r="AI20" i="74" s="1"/>
  <c r="AH12" i="73"/>
  <c r="AG16" i="73"/>
  <c r="AH8" i="72"/>
  <c r="AH25" i="72"/>
  <c r="AH20" i="71"/>
  <c r="AG11" i="71"/>
  <c r="AH17" i="71"/>
  <c r="AH19" i="71"/>
  <c r="AH10" i="80"/>
  <c r="AI10" i="80" s="1"/>
  <c r="AG5" i="77"/>
  <c r="AG28" i="77"/>
  <c r="AG14" i="53"/>
  <c r="AH20" i="53"/>
  <c r="AH11" i="53"/>
  <c r="AH23" i="53"/>
  <c r="AH13" i="53"/>
  <c r="AH5" i="77"/>
  <c r="AH25" i="78"/>
  <c r="AG25" i="78"/>
  <c r="AG17" i="53"/>
  <c r="AG8" i="78"/>
  <c r="AH6" i="53"/>
  <c r="AH17" i="53"/>
  <c r="AG13" i="53"/>
  <c r="AG21" i="50"/>
  <c r="AH21" i="50"/>
  <c r="AG17" i="50"/>
  <c r="AH8" i="50"/>
  <c r="AG22" i="53"/>
  <c r="AH22" i="53"/>
  <c r="AG6" i="55"/>
  <c r="AH6" i="55"/>
  <c r="AH12" i="53"/>
  <c r="AG15" i="53"/>
  <c r="AG23" i="53"/>
  <c r="AG15" i="56"/>
  <c r="AG22" i="56"/>
  <c r="AH6" i="49"/>
  <c r="AG29" i="78"/>
  <c r="AG19" i="78"/>
  <c r="AH16" i="79"/>
  <c r="AH21" i="71"/>
  <c r="AH6" i="71"/>
  <c r="AH17" i="55"/>
  <c r="AG17" i="55"/>
  <c r="AG23" i="49"/>
  <c r="AH23" i="49"/>
  <c r="AH14" i="49"/>
  <c r="AG21" i="49"/>
  <c r="AG7" i="50"/>
  <c r="AH7" i="50"/>
  <c r="AG6" i="50"/>
  <c r="AG13" i="50"/>
  <c r="AH13" i="50"/>
  <c r="AH17" i="50"/>
  <c r="AH6" i="50"/>
  <c r="AG13" i="77"/>
  <c r="AH20" i="77"/>
  <c r="AG18" i="53"/>
  <c r="AH19" i="53"/>
  <c r="AH14" i="53"/>
  <c r="AG20" i="53"/>
  <c r="AG11" i="53"/>
  <c r="AG6" i="53"/>
  <c r="AH13" i="56"/>
  <c r="AG16" i="56"/>
  <c r="AH9" i="50"/>
  <c r="AH8" i="56"/>
  <c r="AH20" i="56"/>
  <c r="AH12" i="55"/>
  <c r="AH9" i="55"/>
  <c r="AG24" i="49"/>
  <c r="AH11" i="50"/>
  <c r="AG23" i="50"/>
  <c r="AH24" i="77"/>
  <c r="AH30" i="78"/>
  <c r="AH16" i="72"/>
  <c r="AH18" i="72"/>
  <c r="AH6" i="73"/>
  <c r="AH16" i="74"/>
  <c r="AI16" i="74" s="1"/>
  <c r="AG21" i="74"/>
  <c r="AG24" i="53"/>
  <c r="AG8" i="53"/>
  <c r="AG12" i="53"/>
  <c r="AG19" i="53"/>
  <c r="AH18" i="55"/>
  <c r="AG7" i="71"/>
  <c r="AG9" i="53"/>
  <c r="AG8" i="55"/>
  <c r="AG12" i="72"/>
  <c r="AH19" i="73"/>
  <c r="AG9" i="56"/>
  <c r="AG7" i="56"/>
  <c r="AG19" i="56"/>
  <c r="AH14" i="56"/>
  <c r="AH5" i="55"/>
  <c r="AG22" i="55"/>
  <c r="AG18" i="55"/>
  <c r="AH11" i="55"/>
  <c r="AH19" i="49"/>
  <c r="AH16" i="49"/>
  <c r="AH9" i="49"/>
  <c r="AH16" i="77"/>
  <c r="AG17" i="78"/>
  <c r="AH7" i="71"/>
  <c r="AG8" i="71"/>
  <c r="AH9" i="72"/>
  <c r="AH6" i="72"/>
  <c r="AG5" i="72"/>
  <c r="AH7" i="73"/>
  <c r="AH22" i="74"/>
  <c r="AI22" i="74" s="1"/>
  <c r="AH5" i="74"/>
  <c r="AI5" i="74" s="1"/>
  <c r="AG11" i="74"/>
  <c r="AH13" i="74"/>
  <c r="AI13" i="74" s="1"/>
  <c r="AH8" i="74"/>
  <c r="AI8" i="74" s="1"/>
  <c r="AH6" i="74"/>
  <c r="AI6" i="74" s="1"/>
  <c r="AH14" i="74"/>
  <c r="AI14" i="74" s="1"/>
  <c r="AH23" i="74"/>
  <c r="AI23" i="74" s="1"/>
  <c r="AG7" i="74"/>
  <c r="AG13" i="74"/>
  <c r="AG9" i="74"/>
  <c r="AH7" i="74"/>
  <c r="AI7" i="74" s="1"/>
  <c r="AG12" i="74"/>
  <c r="AG10" i="74"/>
  <c r="AG24" i="74"/>
  <c r="AG5" i="74"/>
  <c r="AG20" i="73"/>
  <c r="AG19" i="73"/>
  <c r="AH5" i="73"/>
  <c r="AH9" i="73"/>
  <c r="AH18" i="73"/>
  <c r="AG5" i="73"/>
  <c r="AG9" i="73"/>
  <c r="AG18" i="73"/>
  <c r="AH14" i="73"/>
  <c r="AG14" i="73"/>
  <c r="AG20" i="72"/>
  <c r="AH5" i="72"/>
  <c r="AH20" i="72"/>
  <c r="AG22" i="72"/>
  <c r="AG21" i="72"/>
  <c r="AG23" i="72"/>
  <c r="AH22" i="72"/>
  <c r="AH21" i="72"/>
  <c r="AH23" i="72"/>
  <c r="AG14" i="72"/>
  <c r="AH14" i="72"/>
  <c r="AH11" i="72"/>
  <c r="AG24" i="72"/>
  <c r="AG15" i="72"/>
  <c r="AH15" i="72"/>
  <c r="AG11" i="72"/>
  <c r="AG16" i="71"/>
  <c r="AH5" i="71"/>
  <c r="AH14" i="71"/>
  <c r="AG5" i="71"/>
  <c r="AG14" i="71"/>
  <c r="AH16" i="71"/>
  <c r="AI9" i="80"/>
  <c r="AG14" i="79"/>
  <c r="AH6" i="79"/>
  <c r="AG6" i="79"/>
  <c r="AG29" i="79"/>
  <c r="AH13" i="79"/>
  <c r="AH5" i="79"/>
  <c r="AG5" i="79"/>
  <c r="AG16" i="79"/>
  <c r="AH10" i="79"/>
  <c r="AG10" i="79"/>
  <c r="AG13" i="79"/>
  <c r="AH27" i="79"/>
  <c r="AH14" i="79"/>
  <c r="AH29" i="79"/>
  <c r="AG27" i="79"/>
  <c r="AH21" i="78"/>
  <c r="AH7" i="78"/>
  <c r="AH11" i="78"/>
  <c r="AG22" i="78"/>
  <c r="AG31" i="78"/>
  <c r="AG14" i="78"/>
  <c r="AH12" i="78"/>
  <c r="AG30" i="78"/>
  <c r="AH28" i="78"/>
  <c r="AH16" i="78"/>
  <c r="AH14" i="78"/>
  <c r="AG16" i="78"/>
  <c r="AH26" i="78"/>
  <c r="AH17" i="78"/>
  <c r="AG28" i="78"/>
  <c r="AH19" i="78"/>
  <c r="AG26" i="78"/>
  <c r="AG7" i="77"/>
  <c r="AG26" i="77"/>
  <c r="AG20" i="77"/>
  <c r="AG6" i="77"/>
  <c r="AH13" i="77"/>
  <c r="AH22" i="77"/>
  <c r="AH6" i="77"/>
  <c r="AG22" i="77"/>
  <c r="AG30" i="77"/>
  <c r="AH30" i="77"/>
  <c r="AG25" i="77"/>
  <c r="AH25" i="77"/>
  <c r="AH19" i="50"/>
  <c r="AG8" i="50"/>
  <c r="AG10" i="50"/>
  <c r="AH10" i="50"/>
  <c r="AH10" i="49"/>
  <c r="AG13" i="49"/>
  <c r="AH7" i="49"/>
  <c r="AH11" i="49"/>
  <c r="AH13" i="49"/>
  <c r="AG7" i="49"/>
  <c r="AH12" i="49"/>
  <c r="AH21" i="49"/>
  <c r="AG11" i="49"/>
  <c r="AG12" i="49"/>
  <c r="AG9" i="49"/>
  <c r="AG6" i="49"/>
  <c r="AG14" i="49"/>
  <c r="AH21" i="55"/>
  <c r="AG10" i="55"/>
  <c r="AG15" i="55"/>
  <c r="AG16" i="55"/>
  <c r="AG14" i="55"/>
  <c r="AH23" i="55"/>
  <c r="AG12" i="55"/>
  <c r="AG9" i="55"/>
  <c r="AH10" i="55"/>
  <c r="AH20" i="55"/>
  <c r="AG20" i="55"/>
  <c r="AH8" i="55"/>
  <c r="AG23" i="55"/>
  <c r="AH22" i="55"/>
  <c r="AG21" i="55"/>
  <c r="AH18" i="56"/>
  <c r="AH9" i="56"/>
  <c r="AH15" i="56"/>
  <c r="AH22" i="56"/>
  <c r="AH17" i="56"/>
  <c r="AH24" i="56"/>
  <c r="AH7" i="56"/>
  <c r="AG18" i="56"/>
  <c r="AH19" i="56"/>
  <c r="AG12" i="56"/>
  <c r="AH6" i="56"/>
  <c r="AG13" i="56"/>
  <c r="AG8" i="56"/>
  <c r="AG20" i="56"/>
  <c r="AH12" i="56"/>
  <c r="AG23" i="56"/>
  <c r="AH16" i="56"/>
  <c r="X24" i="92"/>
  <c r="U24" i="92"/>
  <c r="R24" i="92"/>
  <c r="O24" i="92"/>
  <c r="L24" i="92"/>
  <c r="I24" i="92"/>
  <c r="F24" i="92"/>
  <c r="C24" i="92"/>
  <c r="AC34" i="112"/>
  <c r="AD34" i="112" s="1"/>
  <c r="AB34" i="112"/>
  <c r="Y34" i="112"/>
  <c r="Z34" i="112" s="1"/>
  <c r="X34" i="112"/>
  <c r="U34" i="112"/>
  <c r="V34" i="112" s="1"/>
  <c r="T34" i="112"/>
  <c r="Q34" i="112"/>
  <c r="R34" i="112" s="1"/>
  <c r="P34" i="112"/>
  <c r="M34" i="112"/>
  <c r="N34" i="112" s="1"/>
  <c r="L34" i="112"/>
  <c r="I34" i="112"/>
  <c r="J34" i="112" s="1"/>
  <c r="H34" i="112"/>
  <c r="E34" i="112"/>
  <c r="F34" i="112" s="1"/>
  <c r="D34" i="112"/>
  <c r="AC15" i="112"/>
  <c r="AD15" i="112" s="1"/>
  <c r="AB15" i="112"/>
  <c r="Y15" i="112"/>
  <c r="Z15" i="112" s="1"/>
  <c r="X15" i="112"/>
  <c r="U15" i="112"/>
  <c r="V15" i="112" s="1"/>
  <c r="T15" i="112"/>
  <c r="Q15" i="112"/>
  <c r="R15" i="112" s="1"/>
  <c r="P15" i="112"/>
  <c r="M15" i="112"/>
  <c r="L15" i="112"/>
  <c r="I15" i="112"/>
  <c r="J15" i="112" s="1"/>
  <c r="H15" i="112"/>
  <c r="E15" i="112"/>
  <c r="F15" i="112" s="1"/>
  <c r="D15" i="112"/>
  <c r="AC14" i="112"/>
  <c r="AD14" i="112" s="1"/>
  <c r="AB14" i="112"/>
  <c r="Y14" i="112"/>
  <c r="Z14" i="112" s="1"/>
  <c r="X14" i="112"/>
  <c r="U14" i="112"/>
  <c r="V14" i="112" s="1"/>
  <c r="T14" i="112"/>
  <c r="Q14" i="112"/>
  <c r="R14" i="112" s="1"/>
  <c r="P14" i="112"/>
  <c r="M14" i="112"/>
  <c r="N14" i="112" s="1"/>
  <c r="L14" i="112"/>
  <c r="I14" i="112"/>
  <c r="J14" i="112" s="1"/>
  <c r="H14" i="112"/>
  <c r="E14" i="112"/>
  <c r="F14" i="112" s="1"/>
  <c r="D14" i="112"/>
  <c r="AC5" i="112"/>
  <c r="AD5" i="112" s="1"/>
  <c r="AB5" i="112"/>
  <c r="Y5" i="112"/>
  <c r="Z5" i="112" s="1"/>
  <c r="X5" i="112"/>
  <c r="U5" i="112"/>
  <c r="V5" i="112" s="1"/>
  <c r="T5" i="112"/>
  <c r="Q5" i="112"/>
  <c r="R5" i="112" s="1"/>
  <c r="P5" i="112"/>
  <c r="M5" i="112"/>
  <c r="L5" i="112"/>
  <c r="I5" i="112"/>
  <c r="H5" i="112"/>
  <c r="E5" i="112"/>
  <c r="F5" i="112" s="1"/>
  <c r="D5" i="112"/>
  <c r="AC23" i="112"/>
  <c r="AD23" i="112" s="1"/>
  <c r="AB23" i="112"/>
  <c r="Y23" i="112"/>
  <c r="Z23" i="112" s="1"/>
  <c r="X23" i="112"/>
  <c r="U23" i="112"/>
  <c r="V23" i="112" s="1"/>
  <c r="T23" i="112"/>
  <c r="Q23" i="112"/>
  <c r="P23" i="112"/>
  <c r="M23" i="112"/>
  <c r="N23" i="112" s="1"/>
  <c r="L23" i="112"/>
  <c r="I23" i="112"/>
  <c r="J23" i="112" s="1"/>
  <c r="H23" i="112"/>
  <c r="E23" i="112"/>
  <c r="F23" i="112" s="1"/>
  <c r="D23" i="112"/>
  <c r="AC20" i="112"/>
  <c r="AD20" i="112" s="1"/>
  <c r="AB20" i="112"/>
  <c r="Y20" i="112"/>
  <c r="Z20" i="112" s="1"/>
  <c r="X20" i="112"/>
  <c r="U20" i="112"/>
  <c r="V20" i="112" s="1"/>
  <c r="T20" i="112"/>
  <c r="Q20" i="112"/>
  <c r="R20" i="112" s="1"/>
  <c r="P20" i="112"/>
  <c r="M20" i="112"/>
  <c r="N20" i="112" s="1"/>
  <c r="L20" i="112"/>
  <c r="I20" i="112"/>
  <c r="J20" i="112" s="1"/>
  <c r="H20" i="112"/>
  <c r="E20" i="112"/>
  <c r="F20" i="112" s="1"/>
  <c r="D20" i="112"/>
  <c r="AC16" i="112"/>
  <c r="AD16" i="112" s="1"/>
  <c r="AB16" i="112"/>
  <c r="Y16" i="112"/>
  <c r="Z16" i="112" s="1"/>
  <c r="X16" i="112"/>
  <c r="U16" i="112"/>
  <c r="V16" i="112" s="1"/>
  <c r="T16" i="112"/>
  <c r="Q16" i="112"/>
  <c r="P16" i="112"/>
  <c r="M16" i="112"/>
  <c r="N16" i="112" s="1"/>
  <c r="L16" i="112"/>
  <c r="I16" i="112"/>
  <c r="J16" i="112" s="1"/>
  <c r="H16" i="112"/>
  <c r="E16" i="112"/>
  <c r="F16" i="112" s="1"/>
  <c r="D16" i="112"/>
  <c r="AC21" i="112"/>
  <c r="AD21" i="112" s="1"/>
  <c r="AB21" i="112"/>
  <c r="Y21" i="112"/>
  <c r="Z21" i="112" s="1"/>
  <c r="X21" i="112"/>
  <c r="U21" i="112"/>
  <c r="V21" i="112" s="1"/>
  <c r="T21" i="112"/>
  <c r="Q21" i="112"/>
  <c r="P21" i="112"/>
  <c r="M21" i="112"/>
  <c r="N21" i="112" s="1"/>
  <c r="L21" i="112"/>
  <c r="I21" i="112"/>
  <c r="H21" i="112"/>
  <c r="E21" i="112"/>
  <c r="F21" i="112" s="1"/>
  <c r="D21" i="112"/>
  <c r="AC19" i="112"/>
  <c r="AD19" i="112" s="1"/>
  <c r="AB19" i="112"/>
  <c r="Y19" i="112"/>
  <c r="Z19" i="112" s="1"/>
  <c r="X19" i="112"/>
  <c r="U19" i="112"/>
  <c r="V19" i="112" s="1"/>
  <c r="T19" i="112"/>
  <c r="Q19" i="112"/>
  <c r="R19" i="112" s="1"/>
  <c r="P19" i="112"/>
  <c r="M19" i="112"/>
  <c r="N19" i="112" s="1"/>
  <c r="L19" i="112"/>
  <c r="I19" i="112"/>
  <c r="H19" i="112"/>
  <c r="E19" i="112"/>
  <c r="F19" i="112" s="1"/>
  <c r="D19" i="112"/>
  <c r="AC9" i="112"/>
  <c r="AD9" i="112" s="1"/>
  <c r="AB9" i="112"/>
  <c r="Y9" i="112"/>
  <c r="Z9" i="112" s="1"/>
  <c r="X9" i="112"/>
  <c r="U9" i="112"/>
  <c r="V9" i="112" s="1"/>
  <c r="T9" i="112"/>
  <c r="Q9" i="112"/>
  <c r="R9" i="112" s="1"/>
  <c r="P9" i="112"/>
  <c r="M9" i="112"/>
  <c r="L9" i="112"/>
  <c r="I9" i="112"/>
  <c r="H9" i="112"/>
  <c r="E9" i="112"/>
  <c r="F9" i="112" s="1"/>
  <c r="D9" i="112"/>
  <c r="AC7" i="112"/>
  <c r="AD7" i="112" s="1"/>
  <c r="AB7" i="112"/>
  <c r="Y7" i="112"/>
  <c r="Z7" i="112" s="1"/>
  <c r="X7" i="112"/>
  <c r="U7" i="112"/>
  <c r="V7" i="112" s="1"/>
  <c r="T7" i="112"/>
  <c r="Q7" i="112"/>
  <c r="R7" i="112" s="1"/>
  <c r="P7" i="112"/>
  <c r="M7" i="112"/>
  <c r="N7" i="112" s="1"/>
  <c r="L7" i="112"/>
  <c r="I7" i="112"/>
  <c r="H7" i="112"/>
  <c r="E7" i="112"/>
  <c r="D7" i="112"/>
  <c r="AC22" i="112"/>
  <c r="AD22" i="112" s="1"/>
  <c r="AB22" i="112"/>
  <c r="Y22" i="112"/>
  <c r="Z22" i="112" s="1"/>
  <c r="X22" i="112"/>
  <c r="U22" i="112"/>
  <c r="V22" i="112" s="1"/>
  <c r="T22" i="112"/>
  <c r="Q22" i="112"/>
  <c r="R22" i="112" s="1"/>
  <c r="P22" i="112"/>
  <c r="M22" i="112"/>
  <c r="L22" i="112"/>
  <c r="I22" i="112"/>
  <c r="J22" i="112" s="1"/>
  <c r="H22" i="112"/>
  <c r="E22" i="112"/>
  <c r="D22" i="112"/>
  <c r="AC13" i="112"/>
  <c r="AD13" i="112" s="1"/>
  <c r="AB13" i="112"/>
  <c r="Y13" i="112"/>
  <c r="Z13" i="112" s="1"/>
  <c r="X13" i="112"/>
  <c r="U13" i="112"/>
  <c r="T13" i="112"/>
  <c r="Q13" i="112"/>
  <c r="R13" i="112" s="1"/>
  <c r="P13" i="112"/>
  <c r="M13" i="112"/>
  <c r="N13" i="112" s="1"/>
  <c r="L13" i="112"/>
  <c r="I13" i="112"/>
  <c r="J13" i="112" s="1"/>
  <c r="H13" i="112"/>
  <c r="E13" i="112"/>
  <c r="F13" i="112" s="1"/>
  <c r="D13" i="112"/>
  <c r="AC12" i="112"/>
  <c r="AB12" i="112"/>
  <c r="Y12" i="112"/>
  <c r="Z12" i="112" s="1"/>
  <c r="X12" i="112"/>
  <c r="U12" i="112"/>
  <c r="T12" i="112"/>
  <c r="Q12" i="112"/>
  <c r="P12" i="112"/>
  <c r="M12" i="112"/>
  <c r="L12" i="112"/>
  <c r="I12" i="112"/>
  <c r="H12" i="112"/>
  <c r="E12" i="112"/>
  <c r="F12" i="112" s="1"/>
  <c r="D12" i="112"/>
  <c r="AC17" i="112"/>
  <c r="AB17" i="112"/>
  <c r="Y17" i="112"/>
  <c r="Z17" i="112" s="1"/>
  <c r="X17" i="112"/>
  <c r="U17" i="112"/>
  <c r="T17" i="112"/>
  <c r="Q17" i="112"/>
  <c r="P17" i="112"/>
  <c r="M17" i="112"/>
  <c r="L17" i="112"/>
  <c r="I17" i="112"/>
  <c r="J17" i="112" s="1"/>
  <c r="H17" i="112"/>
  <c r="E17" i="112"/>
  <c r="F17" i="112" s="1"/>
  <c r="D17" i="112"/>
  <c r="AC10" i="112"/>
  <c r="AB10" i="112"/>
  <c r="Y10" i="112"/>
  <c r="Z10" i="112" s="1"/>
  <c r="X10" i="112"/>
  <c r="U10" i="112"/>
  <c r="T10" i="112"/>
  <c r="Q10" i="112"/>
  <c r="R10" i="112" s="1"/>
  <c r="P10" i="112"/>
  <c r="M10" i="112"/>
  <c r="L10" i="112"/>
  <c r="I10" i="112"/>
  <c r="H10" i="112"/>
  <c r="E10" i="112"/>
  <c r="D10" i="112"/>
  <c r="AC8" i="112"/>
  <c r="AB8" i="112"/>
  <c r="Y8" i="112"/>
  <c r="Z8" i="112" s="1"/>
  <c r="X8" i="112"/>
  <c r="U8" i="112"/>
  <c r="V8" i="112" s="1"/>
  <c r="T8" i="112"/>
  <c r="Q8" i="112"/>
  <c r="P8" i="112"/>
  <c r="M8" i="112"/>
  <c r="N8" i="112" s="1"/>
  <c r="L8" i="112"/>
  <c r="I8" i="112"/>
  <c r="H8" i="112"/>
  <c r="E8" i="112"/>
  <c r="D8" i="112"/>
  <c r="AC24" i="112"/>
  <c r="AB24" i="112"/>
  <c r="Y24" i="112"/>
  <c r="X24" i="112"/>
  <c r="U24" i="112"/>
  <c r="V24" i="112" s="1"/>
  <c r="T24" i="112"/>
  <c r="Q24" i="112"/>
  <c r="P24" i="112"/>
  <c r="M24" i="112"/>
  <c r="N24" i="112" s="1"/>
  <c r="L24" i="112"/>
  <c r="I24" i="112"/>
  <c r="H24" i="112"/>
  <c r="E24" i="112"/>
  <c r="D24" i="112"/>
  <c r="AC11" i="112"/>
  <c r="AB11" i="112"/>
  <c r="Y11" i="112"/>
  <c r="X11" i="112"/>
  <c r="U11" i="112"/>
  <c r="V11" i="112" s="1"/>
  <c r="T11" i="112"/>
  <c r="Q11" i="112"/>
  <c r="P11" i="112"/>
  <c r="M11" i="112"/>
  <c r="L11" i="112"/>
  <c r="I11" i="112"/>
  <c r="H11" i="112"/>
  <c r="E11" i="112"/>
  <c r="D11" i="112"/>
  <c r="AC6" i="112"/>
  <c r="AD6" i="112" s="1"/>
  <c r="AB6" i="112"/>
  <c r="Y6" i="112"/>
  <c r="X6" i="112"/>
  <c r="U6" i="112"/>
  <c r="V6" i="112" s="1"/>
  <c r="T6" i="112"/>
  <c r="Q6" i="112"/>
  <c r="P6" i="112"/>
  <c r="M6" i="112"/>
  <c r="L6" i="112"/>
  <c r="I6" i="112"/>
  <c r="H6" i="112"/>
  <c r="E6" i="112"/>
  <c r="F6" i="112" s="1"/>
  <c r="D6" i="112"/>
  <c r="L24" i="111"/>
  <c r="M24" i="111" s="1"/>
  <c r="N24" i="111" s="1"/>
  <c r="L23" i="111"/>
  <c r="M23" i="111" s="1"/>
  <c r="N23" i="111" s="1"/>
  <c r="L9" i="111"/>
  <c r="M9" i="111" s="1"/>
  <c r="L11" i="111"/>
  <c r="M11" i="111" s="1"/>
  <c r="L16" i="111"/>
  <c r="M16" i="111" s="1"/>
  <c r="N16" i="111" s="1"/>
  <c r="L22" i="111"/>
  <c r="M22" i="111" s="1"/>
  <c r="N22" i="111" s="1"/>
  <c r="L15" i="111"/>
  <c r="M15" i="111" s="1"/>
  <c r="N15" i="111" s="1"/>
  <c r="L21" i="111"/>
  <c r="M21" i="111" s="1"/>
  <c r="N21" i="111" s="1"/>
  <c r="L20" i="111"/>
  <c r="M20" i="111" s="1"/>
  <c r="N20" i="111" s="1"/>
  <c r="L19" i="111"/>
  <c r="M19" i="111" s="1"/>
  <c r="N19" i="111" s="1"/>
  <c r="L18" i="111"/>
  <c r="M18" i="111" s="1"/>
  <c r="N18" i="111" s="1"/>
  <c r="L14" i="111"/>
  <c r="M14" i="111" s="1"/>
  <c r="N14" i="111" s="1"/>
  <c r="L13" i="111"/>
  <c r="M13" i="111" s="1"/>
  <c r="L17" i="111"/>
  <c r="M17" i="111" s="1"/>
  <c r="L8" i="111"/>
  <c r="M8" i="111" s="1"/>
  <c r="L7" i="111"/>
  <c r="M7" i="111" s="1"/>
  <c r="L6" i="111"/>
  <c r="M6" i="111" s="1"/>
  <c r="L10" i="111"/>
  <c r="M10" i="111" s="1"/>
  <c r="L5" i="111"/>
  <c r="M5" i="111" s="1"/>
  <c r="L12" i="111"/>
  <c r="M12" i="111" s="1"/>
  <c r="L24" i="110"/>
  <c r="M24" i="110" s="1"/>
  <c r="N24" i="110" s="1"/>
  <c r="L12" i="110"/>
  <c r="M12" i="110" s="1"/>
  <c r="L8" i="110"/>
  <c r="M8" i="110" s="1"/>
  <c r="L10" i="110"/>
  <c r="M10" i="110" s="1"/>
  <c r="L23" i="110"/>
  <c r="M23" i="110" s="1"/>
  <c r="N23" i="110" s="1"/>
  <c r="L16" i="110"/>
  <c r="M16" i="110" s="1"/>
  <c r="N16" i="110" s="1"/>
  <c r="L15" i="110"/>
  <c r="M15" i="110" s="1"/>
  <c r="N15" i="110" s="1"/>
  <c r="L22" i="110"/>
  <c r="M22" i="110" s="1"/>
  <c r="N22" i="110" s="1"/>
  <c r="L21" i="110"/>
  <c r="M21" i="110" s="1"/>
  <c r="N21" i="110" s="1"/>
  <c r="L20" i="110"/>
  <c r="M20" i="110" s="1"/>
  <c r="N20" i="110" s="1"/>
  <c r="L19" i="110"/>
  <c r="M19" i="110" s="1"/>
  <c r="N19" i="110" s="1"/>
  <c r="L7" i="110"/>
  <c r="M7" i="110" s="1"/>
  <c r="L9" i="110"/>
  <c r="M9" i="110" s="1"/>
  <c r="L11" i="110"/>
  <c r="M11" i="110" s="1"/>
  <c r="L18" i="110"/>
  <c r="M18" i="110" s="1"/>
  <c r="L17" i="110"/>
  <c r="M17" i="110" s="1"/>
  <c r="L13" i="110"/>
  <c r="M13" i="110" s="1"/>
  <c r="L14" i="110"/>
  <c r="M14" i="110" s="1"/>
  <c r="L5" i="110"/>
  <c r="M5" i="110" s="1"/>
  <c r="L6" i="110"/>
  <c r="M6" i="110" s="1"/>
  <c r="X24" i="102"/>
  <c r="X23" i="102"/>
  <c r="X22" i="102"/>
  <c r="X21" i="102"/>
  <c r="U24" i="102"/>
  <c r="U23" i="102"/>
  <c r="U22" i="102"/>
  <c r="U21" i="102"/>
  <c r="R24" i="102"/>
  <c r="R23" i="102"/>
  <c r="R22" i="102"/>
  <c r="R21" i="102"/>
  <c r="O24" i="102"/>
  <c r="O23" i="102"/>
  <c r="O22" i="102"/>
  <c r="O21" i="102"/>
  <c r="L24" i="102"/>
  <c r="L23" i="102"/>
  <c r="L22" i="102"/>
  <c r="L21" i="102"/>
  <c r="I24" i="102"/>
  <c r="I23" i="102"/>
  <c r="I22" i="102"/>
  <c r="I21" i="102"/>
  <c r="F21" i="102"/>
  <c r="F22" i="102"/>
  <c r="F23" i="102"/>
  <c r="F24" i="102"/>
  <c r="C21" i="102"/>
  <c r="C22" i="102"/>
  <c r="C23" i="102"/>
  <c r="C24" i="102"/>
  <c r="AI20" i="75" l="1"/>
  <c r="N11" i="111"/>
  <c r="N9" i="111"/>
  <c r="N12" i="110"/>
  <c r="N10" i="110"/>
  <c r="N7" i="110"/>
  <c r="N8" i="110"/>
  <c r="R16" i="112"/>
  <c r="R17" i="112"/>
  <c r="R23" i="112"/>
  <c r="R11" i="112"/>
  <c r="R6" i="112"/>
  <c r="R8" i="112"/>
  <c r="N22" i="112"/>
  <c r="N15" i="112"/>
  <c r="AI6" i="52"/>
  <c r="AI8" i="75"/>
  <c r="J5" i="112"/>
  <c r="J19" i="112"/>
  <c r="J10" i="112"/>
  <c r="J7" i="112"/>
  <c r="AI11" i="56"/>
  <c r="AJ11" i="56" s="1"/>
  <c r="AK11" i="56" s="1"/>
  <c r="AI19" i="55"/>
  <c r="AJ19" i="55" s="1"/>
  <c r="AK19" i="55" s="1"/>
  <c r="AI10" i="75"/>
  <c r="AI9" i="75"/>
  <c r="AI5" i="52"/>
  <c r="AI9" i="52"/>
  <c r="AI7" i="52"/>
  <c r="AI10" i="52"/>
  <c r="AI12" i="51"/>
  <c r="AI14" i="51"/>
  <c r="N9" i="110"/>
  <c r="N12" i="112"/>
  <c r="N9" i="112"/>
  <c r="N5" i="112"/>
  <c r="N6" i="112"/>
  <c r="N13" i="111"/>
  <c r="N11" i="110"/>
  <c r="R24" i="112"/>
  <c r="R12" i="112"/>
  <c r="R21" i="112"/>
  <c r="N11" i="112"/>
  <c r="J12" i="112"/>
  <c r="J6" i="112"/>
  <c r="J24" i="112"/>
  <c r="J9" i="112"/>
  <c r="J11" i="112"/>
  <c r="J8" i="112"/>
  <c r="F10" i="112"/>
  <c r="F7" i="112"/>
  <c r="F11" i="112"/>
  <c r="AD24" i="112"/>
  <c r="J21" i="112"/>
  <c r="Z24" i="112"/>
  <c r="AD12" i="112"/>
  <c r="AD11" i="112"/>
  <c r="AD17" i="112"/>
  <c r="AD10" i="112"/>
  <c r="AD8" i="112"/>
  <c r="Z11" i="112"/>
  <c r="Z6" i="112"/>
  <c r="F8" i="112"/>
  <c r="N10" i="112"/>
  <c r="V10" i="112"/>
  <c r="N17" i="112"/>
  <c r="V17" i="112"/>
  <c r="V12" i="112"/>
  <c r="V13" i="112"/>
  <c r="F22" i="112"/>
  <c r="F24" i="112"/>
  <c r="N7" i="111"/>
  <c r="N17" i="111"/>
  <c r="N8" i="111"/>
  <c r="N18" i="110"/>
  <c r="N17" i="110"/>
  <c r="N14" i="110"/>
  <c r="N13" i="110"/>
  <c r="N5" i="111"/>
  <c r="N10" i="111"/>
  <c r="N12" i="111"/>
  <c r="N6" i="111"/>
  <c r="N6" i="110"/>
  <c r="N5" i="110"/>
  <c r="L24" i="109"/>
  <c r="M24" i="109" s="1"/>
  <c r="N24" i="109" s="1"/>
  <c r="L23" i="109"/>
  <c r="M23" i="109" s="1"/>
  <c r="N23" i="109" s="1"/>
  <c r="L22" i="109"/>
  <c r="M22" i="109" s="1"/>
  <c r="N22" i="109" s="1"/>
  <c r="L21" i="109"/>
  <c r="M21" i="109" s="1"/>
  <c r="N21" i="109" s="1"/>
  <c r="L20" i="109"/>
  <c r="M20" i="109" s="1"/>
  <c r="N20" i="109" s="1"/>
  <c r="L19" i="109"/>
  <c r="M19" i="109" s="1"/>
  <c r="N19" i="109" s="1"/>
  <c r="L18" i="109"/>
  <c r="M18" i="109" s="1"/>
  <c r="N18" i="109" s="1"/>
  <c r="L17" i="109"/>
  <c r="M17" i="109" s="1"/>
  <c r="N17" i="109" s="1"/>
  <c r="L16" i="109"/>
  <c r="M16" i="109" s="1"/>
  <c r="N16" i="109" s="1"/>
  <c r="L15" i="109"/>
  <c r="M15" i="109" s="1"/>
  <c r="N15" i="109" s="1"/>
  <c r="L14" i="109"/>
  <c r="M14" i="109" s="1"/>
  <c r="N14" i="109" s="1"/>
  <c r="L13" i="109"/>
  <c r="M13" i="109" s="1"/>
  <c r="N13" i="109" s="1"/>
  <c r="L12" i="109"/>
  <c r="M12" i="109" s="1"/>
  <c r="N12" i="109" s="1"/>
  <c r="L11" i="109"/>
  <c r="M11" i="109" s="1"/>
  <c r="L8" i="109"/>
  <c r="M8" i="109" s="1"/>
  <c r="L7" i="109"/>
  <c r="M7" i="109" s="1"/>
  <c r="L5" i="109"/>
  <c r="M5" i="109" s="1"/>
  <c r="L6" i="109"/>
  <c r="M6" i="109" s="1"/>
  <c r="L9" i="109"/>
  <c r="M9" i="109" s="1"/>
  <c r="L10" i="109"/>
  <c r="M10" i="109" s="1"/>
  <c r="N8" i="109" l="1"/>
  <c r="N7" i="109"/>
  <c r="N6" i="109"/>
  <c r="N11" i="109"/>
  <c r="N10" i="109"/>
  <c r="N5" i="109"/>
  <c r="N9" i="109"/>
  <c r="L10" i="106"/>
  <c r="M10" i="106" s="1"/>
  <c r="N10" i="106" s="1"/>
  <c r="L16" i="106"/>
  <c r="M16" i="106" s="1"/>
  <c r="N16" i="106" s="1"/>
  <c r="L23" i="106"/>
  <c r="M23" i="106" s="1"/>
  <c r="N23" i="106" s="1"/>
  <c r="L8" i="106"/>
  <c r="M8" i="106" s="1"/>
  <c r="L20" i="106"/>
  <c r="M20" i="106" s="1"/>
  <c r="N20" i="106" s="1"/>
  <c r="L11" i="106"/>
  <c r="M11" i="106" s="1"/>
  <c r="L17" i="106"/>
  <c r="M17" i="106" s="1"/>
  <c r="N17" i="106" s="1"/>
  <c r="L24" i="106"/>
  <c r="M24" i="106" s="1"/>
  <c r="N24" i="106" s="1"/>
  <c r="L5" i="106"/>
  <c r="M5" i="106" s="1"/>
  <c r="L9" i="106"/>
  <c r="M9" i="106" s="1"/>
  <c r="L21" i="106"/>
  <c r="M21" i="106" s="1"/>
  <c r="N21" i="106" s="1"/>
  <c r="L13" i="106"/>
  <c r="M13" i="106" s="1"/>
  <c r="L7" i="106"/>
  <c r="M7" i="106" s="1"/>
  <c r="L15" i="106"/>
  <c r="M15" i="106" s="1"/>
  <c r="N15" i="106" s="1"/>
  <c r="L19" i="106"/>
  <c r="M19" i="106" s="1"/>
  <c r="N19" i="106" s="1"/>
  <c r="L12" i="106"/>
  <c r="M12" i="106" s="1"/>
  <c r="L6" i="106"/>
  <c r="M6" i="106" s="1"/>
  <c r="L14" i="106"/>
  <c r="M14" i="106" s="1"/>
  <c r="N14" i="106" s="1"/>
  <c r="L18" i="106"/>
  <c r="M18" i="106" s="1"/>
  <c r="N18" i="106" s="1"/>
  <c r="L22" i="106"/>
  <c r="M22" i="106" s="1"/>
  <c r="N22" i="106" s="1"/>
  <c r="N8" i="106" l="1"/>
  <c r="N9" i="106"/>
  <c r="N7" i="106"/>
  <c r="N6" i="106"/>
  <c r="N5" i="106"/>
  <c r="N12" i="106"/>
  <c r="N13" i="106"/>
  <c r="N11" i="106"/>
  <c r="E5" i="98" l="1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AC24" i="104"/>
  <c r="AD24" i="104" s="1"/>
  <c r="AB24" i="104"/>
  <c r="Y24" i="104"/>
  <c r="Z24" i="104" s="1"/>
  <c r="X24" i="104"/>
  <c r="U24" i="104"/>
  <c r="V24" i="104" s="1"/>
  <c r="T24" i="104"/>
  <c r="R24" i="104"/>
  <c r="P24" i="104"/>
  <c r="M24" i="104"/>
  <c r="N24" i="104" s="1"/>
  <c r="L24" i="104"/>
  <c r="I24" i="104"/>
  <c r="J24" i="104" s="1"/>
  <c r="H24" i="104"/>
  <c r="E24" i="104"/>
  <c r="F24" i="104" s="1"/>
  <c r="D24" i="104"/>
  <c r="AC23" i="104"/>
  <c r="AD23" i="104" s="1"/>
  <c r="AB23" i="104"/>
  <c r="Y23" i="104"/>
  <c r="Z23" i="104" s="1"/>
  <c r="X23" i="104"/>
  <c r="U23" i="104"/>
  <c r="V23" i="104" s="1"/>
  <c r="T23" i="104"/>
  <c r="R23" i="104"/>
  <c r="P23" i="104"/>
  <c r="M23" i="104"/>
  <c r="N23" i="104" s="1"/>
  <c r="L23" i="104"/>
  <c r="I23" i="104"/>
  <c r="J23" i="104" s="1"/>
  <c r="H23" i="104"/>
  <c r="E23" i="104"/>
  <c r="F23" i="104" s="1"/>
  <c r="D23" i="104"/>
  <c r="AC22" i="104"/>
  <c r="AD22" i="104" s="1"/>
  <c r="AB22" i="104"/>
  <c r="Y22" i="104"/>
  <c r="Z22" i="104" s="1"/>
  <c r="X22" i="104"/>
  <c r="U22" i="104"/>
  <c r="T22" i="104"/>
  <c r="R22" i="104"/>
  <c r="P22" i="104"/>
  <c r="M22" i="104"/>
  <c r="N22" i="104" s="1"/>
  <c r="L22" i="104"/>
  <c r="I22" i="104"/>
  <c r="J22" i="104" s="1"/>
  <c r="H22" i="104"/>
  <c r="E22" i="104"/>
  <c r="F22" i="104" s="1"/>
  <c r="D22" i="104"/>
  <c r="AC21" i="104"/>
  <c r="AD21" i="104" s="1"/>
  <c r="AB21" i="104"/>
  <c r="Y21" i="104"/>
  <c r="Z21" i="104" s="1"/>
  <c r="X21" i="104"/>
  <c r="U21" i="104"/>
  <c r="V21" i="104" s="1"/>
  <c r="T21" i="104"/>
  <c r="R21" i="104"/>
  <c r="P21" i="104"/>
  <c r="M21" i="104"/>
  <c r="N21" i="104" s="1"/>
  <c r="L21" i="104"/>
  <c r="I21" i="104"/>
  <c r="J21" i="104" s="1"/>
  <c r="H21" i="104"/>
  <c r="E21" i="104"/>
  <c r="F21" i="104" s="1"/>
  <c r="D21" i="104"/>
  <c r="AC20" i="104"/>
  <c r="AD20" i="104" s="1"/>
  <c r="AB20" i="104"/>
  <c r="Y20" i="104"/>
  <c r="Z20" i="104" s="1"/>
  <c r="X20" i="104"/>
  <c r="U20" i="104"/>
  <c r="V20" i="104" s="1"/>
  <c r="T20" i="104"/>
  <c r="R20" i="104"/>
  <c r="P20" i="104"/>
  <c r="M20" i="104"/>
  <c r="N20" i="104" s="1"/>
  <c r="L20" i="104"/>
  <c r="I20" i="104"/>
  <c r="J20" i="104" s="1"/>
  <c r="H20" i="104"/>
  <c r="E20" i="104"/>
  <c r="F20" i="104" s="1"/>
  <c r="D20" i="104"/>
  <c r="AC19" i="104"/>
  <c r="AD19" i="104" s="1"/>
  <c r="AB19" i="104"/>
  <c r="Y19" i="104"/>
  <c r="Z19" i="104" s="1"/>
  <c r="X19" i="104"/>
  <c r="U19" i="104"/>
  <c r="V19" i="104" s="1"/>
  <c r="T19" i="104"/>
  <c r="R19" i="104"/>
  <c r="P19" i="104"/>
  <c r="M19" i="104"/>
  <c r="N19" i="104" s="1"/>
  <c r="L19" i="104"/>
  <c r="I19" i="104"/>
  <c r="J19" i="104" s="1"/>
  <c r="H19" i="104"/>
  <c r="E19" i="104"/>
  <c r="F19" i="104" s="1"/>
  <c r="D19" i="104"/>
  <c r="AC18" i="104"/>
  <c r="AD18" i="104" s="1"/>
  <c r="AB18" i="104"/>
  <c r="Y18" i="104"/>
  <c r="Z18" i="104" s="1"/>
  <c r="X18" i="104"/>
  <c r="U18" i="104"/>
  <c r="V18" i="104" s="1"/>
  <c r="T18" i="104"/>
  <c r="R18" i="104"/>
  <c r="P18" i="104"/>
  <c r="M18" i="104"/>
  <c r="N18" i="104" s="1"/>
  <c r="L18" i="104"/>
  <c r="I18" i="104"/>
  <c r="J18" i="104" s="1"/>
  <c r="H18" i="104"/>
  <c r="E18" i="104"/>
  <c r="F18" i="104" s="1"/>
  <c r="D18" i="104"/>
  <c r="AC17" i="104"/>
  <c r="AD17" i="104" s="1"/>
  <c r="AB17" i="104"/>
  <c r="Y17" i="104"/>
  <c r="Z17" i="104" s="1"/>
  <c r="X17" i="104"/>
  <c r="U17" i="104"/>
  <c r="V17" i="104" s="1"/>
  <c r="T17" i="104"/>
  <c r="R17" i="104"/>
  <c r="P17" i="104"/>
  <c r="M17" i="104"/>
  <c r="L17" i="104"/>
  <c r="I17" i="104"/>
  <c r="J17" i="104" s="1"/>
  <c r="H17" i="104"/>
  <c r="E17" i="104"/>
  <c r="F17" i="104" s="1"/>
  <c r="D17" i="104"/>
  <c r="AC16" i="104"/>
  <c r="AD16" i="104" s="1"/>
  <c r="AB16" i="104"/>
  <c r="Y16" i="104"/>
  <c r="Z16" i="104" s="1"/>
  <c r="X16" i="104"/>
  <c r="U16" i="104"/>
  <c r="V16" i="104" s="1"/>
  <c r="T16" i="104"/>
  <c r="P16" i="104"/>
  <c r="R16" i="104" s="1"/>
  <c r="M16" i="104"/>
  <c r="N16" i="104" s="1"/>
  <c r="L16" i="104"/>
  <c r="I16" i="104"/>
  <c r="J16" i="104" s="1"/>
  <c r="H16" i="104"/>
  <c r="E16" i="104"/>
  <c r="F16" i="104" s="1"/>
  <c r="D16" i="104"/>
  <c r="AC15" i="104"/>
  <c r="AD15" i="104" s="1"/>
  <c r="AB15" i="104"/>
  <c r="Y15" i="104"/>
  <c r="Z15" i="104" s="1"/>
  <c r="X15" i="104"/>
  <c r="U15" i="104"/>
  <c r="V15" i="104" s="1"/>
  <c r="T15" i="104"/>
  <c r="P15" i="104"/>
  <c r="R15" i="104" s="1"/>
  <c r="M15" i="104"/>
  <c r="N15" i="104" s="1"/>
  <c r="L15" i="104"/>
  <c r="I15" i="104"/>
  <c r="J15" i="104" s="1"/>
  <c r="H15" i="104"/>
  <c r="E15" i="104"/>
  <c r="F15" i="104" s="1"/>
  <c r="D15" i="104"/>
  <c r="AC14" i="104"/>
  <c r="AD14" i="104" s="1"/>
  <c r="AB14" i="104"/>
  <c r="Y14" i="104"/>
  <c r="Z14" i="104" s="1"/>
  <c r="X14" i="104"/>
  <c r="U14" i="104"/>
  <c r="V14" i="104" s="1"/>
  <c r="T14" i="104"/>
  <c r="R14" i="104"/>
  <c r="P14" i="104"/>
  <c r="M14" i="104"/>
  <c r="N14" i="104" s="1"/>
  <c r="L14" i="104"/>
  <c r="I14" i="104"/>
  <c r="J14" i="104" s="1"/>
  <c r="H14" i="104"/>
  <c r="E14" i="104"/>
  <c r="F14" i="104" s="1"/>
  <c r="D14" i="104"/>
  <c r="AC13" i="104"/>
  <c r="AD13" i="104" s="1"/>
  <c r="AB13" i="104"/>
  <c r="Y13" i="104"/>
  <c r="Z13" i="104" s="1"/>
  <c r="X13" i="104"/>
  <c r="U13" i="104"/>
  <c r="V13" i="104" s="1"/>
  <c r="T13" i="104"/>
  <c r="R13" i="104"/>
  <c r="P13" i="104"/>
  <c r="M13" i="104"/>
  <c r="L13" i="104"/>
  <c r="I13" i="104"/>
  <c r="J13" i="104" s="1"/>
  <c r="H13" i="104"/>
  <c r="E13" i="104"/>
  <c r="F13" i="104" s="1"/>
  <c r="D13" i="104"/>
  <c r="AC12" i="104"/>
  <c r="AD12" i="104" s="1"/>
  <c r="AB12" i="104"/>
  <c r="Y12" i="104"/>
  <c r="X12" i="104"/>
  <c r="U12" i="104"/>
  <c r="T12" i="104"/>
  <c r="R12" i="104"/>
  <c r="P12" i="104"/>
  <c r="M12" i="104"/>
  <c r="L12" i="104"/>
  <c r="I12" i="104"/>
  <c r="J12" i="104" s="1"/>
  <c r="H12" i="104"/>
  <c r="E12" i="104"/>
  <c r="F12" i="104" s="1"/>
  <c r="D12" i="104"/>
  <c r="AC5" i="104"/>
  <c r="AD5" i="104" s="1"/>
  <c r="AB5" i="104"/>
  <c r="Y5" i="104"/>
  <c r="Z5" i="104" s="1"/>
  <c r="X5" i="104"/>
  <c r="U5" i="104"/>
  <c r="V5" i="104" s="1"/>
  <c r="T5" i="104"/>
  <c r="R5" i="104"/>
  <c r="P5" i="104"/>
  <c r="M5" i="104"/>
  <c r="L5" i="104"/>
  <c r="I5" i="104"/>
  <c r="H5" i="104"/>
  <c r="E5" i="104"/>
  <c r="F5" i="104" s="1"/>
  <c r="D5" i="104"/>
  <c r="AC6" i="104"/>
  <c r="AD6" i="104" s="1"/>
  <c r="AB6" i="104"/>
  <c r="Y6" i="104"/>
  <c r="Z6" i="104" s="1"/>
  <c r="X6" i="104"/>
  <c r="U6" i="104"/>
  <c r="V6" i="104" s="1"/>
  <c r="T6" i="104"/>
  <c r="R6" i="104"/>
  <c r="P6" i="104"/>
  <c r="M6" i="104"/>
  <c r="N6" i="104" s="1"/>
  <c r="L6" i="104"/>
  <c r="I6" i="104"/>
  <c r="J6" i="104" s="1"/>
  <c r="H6" i="104"/>
  <c r="E6" i="104"/>
  <c r="F6" i="104" s="1"/>
  <c r="D6" i="104"/>
  <c r="AC10" i="104"/>
  <c r="AD10" i="104" s="1"/>
  <c r="AB10" i="104"/>
  <c r="Y10" i="104"/>
  <c r="Z10" i="104" s="1"/>
  <c r="X10" i="104"/>
  <c r="U10" i="104"/>
  <c r="T10" i="104"/>
  <c r="R10" i="104"/>
  <c r="P10" i="104"/>
  <c r="M10" i="104"/>
  <c r="N10" i="104" s="1"/>
  <c r="L10" i="104"/>
  <c r="I10" i="104"/>
  <c r="H10" i="104"/>
  <c r="E10" i="104"/>
  <c r="F10" i="104" s="1"/>
  <c r="D10" i="104"/>
  <c r="AC7" i="104"/>
  <c r="AB7" i="104"/>
  <c r="Y7" i="104"/>
  <c r="Z7" i="104" s="1"/>
  <c r="X7" i="104"/>
  <c r="U7" i="104"/>
  <c r="V7" i="104" s="1"/>
  <c r="T7" i="104"/>
  <c r="R7" i="104"/>
  <c r="P7" i="104"/>
  <c r="M7" i="104"/>
  <c r="N7" i="104" s="1"/>
  <c r="L7" i="104"/>
  <c r="I7" i="104"/>
  <c r="H7" i="104"/>
  <c r="E7" i="104"/>
  <c r="F7" i="104" s="1"/>
  <c r="D7" i="104"/>
  <c r="AC11" i="104"/>
  <c r="AD11" i="104" s="1"/>
  <c r="AB11" i="104"/>
  <c r="Y11" i="104"/>
  <c r="Z11" i="104" s="1"/>
  <c r="X11" i="104"/>
  <c r="U11" i="104"/>
  <c r="V11" i="104" s="1"/>
  <c r="T11" i="104"/>
  <c r="P11" i="104"/>
  <c r="R11" i="104" s="1"/>
  <c r="M11" i="104"/>
  <c r="N11" i="104" s="1"/>
  <c r="L11" i="104"/>
  <c r="I11" i="104"/>
  <c r="J11" i="104" s="1"/>
  <c r="H11" i="104"/>
  <c r="E11" i="104"/>
  <c r="D11" i="104"/>
  <c r="AC8" i="104"/>
  <c r="AB8" i="104"/>
  <c r="Y8" i="104"/>
  <c r="Z8" i="104" s="1"/>
  <c r="X8" i="104"/>
  <c r="U8" i="104"/>
  <c r="V8" i="104" s="1"/>
  <c r="T8" i="104"/>
  <c r="P8" i="104"/>
  <c r="R8" i="104" s="1"/>
  <c r="M8" i="104"/>
  <c r="L8" i="104"/>
  <c r="I8" i="104"/>
  <c r="J8" i="104" s="1"/>
  <c r="H8" i="104"/>
  <c r="E8" i="104"/>
  <c r="F8" i="104" s="1"/>
  <c r="D8" i="104"/>
  <c r="AC9" i="104"/>
  <c r="AD9" i="104" s="1"/>
  <c r="AB9" i="104"/>
  <c r="Y9" i="104"/>
  <c r="X9" i="104"/>
  <c r="U9" i="104"/>
  <c r="V9" i="104" s="1"/>
  <c r="T9" i="104"/>
  <c r="Q9" i="104"/>
  <c r="R9" i="104" s="1"/>
  <c r="P9" i="104"/>
  <c r="M9" i="104"/>
  <c r="N9" i="104" s="1"/>
  <c r="L9" i="104"/>
  <c r="I9" i="104"/>
  <c r="J9" i="104" s="1"/>
  <c r="H9" i="104"/>
  <c r="E9" i="104"/>
  <c r="D9" i="104"/>
  <c r="N17" i="104" l="1"/>
  <c r="Z12" i="104"/>
  <c r="Z9" i="104"/>
  <c r="V10" i="104"/>
  <c r="N5" i="104"/>
  <c r="N12" i="104"/>
  <c r="J10" i="104"/>
  <c r="J7" i="104"/>
  <c r="F11" i="104"/>
  <c r="F9" i="104"/>
  <c r="J5" i="104"/>
  <c r="AD8" i="104"/>
  <c r="AD7" i="104"/>
  <c r="V12" i="104"/>
  <c r="V22" i="104"/>
  <c r="N8" i="104"/>
  <c r="N13" i="104"/>
  <c r="AI11" i="52"/>
  <c r="AI9" i="51"/>
  <c r="AI19" i="50"/>
  <c r="AI13" i="50"/>
  <c r="AI10" i="50"/>
  <c r="AI6" i="50"/>
  <c r="AI8" i="50"/>
  <c r="AI20" i="50"/>
  <c r="AI12" i="50"/>
  <c r="AI17" i="50"/>
  <c r="AI7" i="50"/>
  <c r="AI5" i="50"/>
  <c r="AI11" i="50"/>
  <c r="AI16" i="50"/>
  <c r="AI21" i="50"/>
  <c r="AI14" i="50"/>
  <c r="AI22" i="50"/>
  <c r="AI15" i="50"/>
  <c r="AI9" i="50"/>
  <c r="AI18" i="50"/>
  <c r="AI23" i="50"/>
  <c r="AI24" i="50"/>
  <c r="AI17" i="56"/>
  <c r="AI23" i="56"/>
  <c r="AI11" i="55"/>
  <c r="AI9" i="53"/>
  <c r="AI6" i="75"/>
  <c r="AI19" i="73"/>
  <c r="AI17" i="73"/>
  <c r="AI9" i="73"/>
  <c r="AI7" i="73"/>
  <c r="AI10" i="73"/>
  <c r="AI6" i="73"/>
  <c r="AI5" i="73"/>
  <c r="AI20" i="73"/>
  <c r="AI16" i="73"/>
  <c r="AI14" i="73"/>
  <c r="AI15" i="73"/>
  <c r="AI18" i="73"/>
  <c r="AI12" i="73"/>
  <c r="AI8" i="73"/>
  <c r="AI11" i="73"/>
  <c r="X11" i="76" s="1"/>
  <c r="AI13" i="73"/>
  <c r="AI21" i="73"/>
  <c r="AI22" i="73"/>
  <c r="AI23" i="73"/>
  <c r="AI24" i="73"/>
  <c r="AI15" i="72"/>
  <c r="AI23" i="72"/>
  <c r="AI20" i="72"/>
  <c r="AI25" i="72"/>
  <c r="AI11" i="72"/>
  <c r="AI21" i="72"/>
  <c r="AI5" i="72"/>
  <c r="AI12" i="72"/>
  <c r="AI14" i="72"/>
  <c r="AI22" i="72"/>
  <c r="AI26" i="72"/>
  <c r="AI24" i="72"/>
  <c r="AI8" i="72"/>
  <c r="AI6" i="72"/>
  <c r="AI10" i="72"/>
  <c r="AI18" i="72"/>
  <c r="AI7" i="72"/>
  <c r="AI9" i="72"/>
  <c r="AI17" i="72"/>
  <c r="AI16" i="72"/>
  <c r="X16" i="76" s="1"/>
  <c r="AI14" i="79"/>
  <c r="AI29" i="79"/>
  <c r="AI5" i="79"/>
  <c r="AI6" i="79"/>
  <c r="AI16" i="79"/>
  <c r="AI10" i="79"/>
  <c r="AI13" i="79"/>
  <c r="AI27" i="79"/>
  <c r="AI19" i="79"/>
  <c r="AI30" i="79"/>
  <c r="AI7" i="79"/>
  <c r="AI11" i="79"/>
  <c r="AI18" i="79"/>
  <c r="AI25" i="79"/>
  <c r="AI9" i="79"/>
  <c r="AI24" i="79"/>
  <c r="AI12" i="79"/>
  <c r="AI8" i="79"/>
  <c r="AI22" i="79"/>
  <c r="AI21" i="79"/>
  <c r="AI13" i="77"/>
  <c r="AI25" i="77"/>
  <c r="AI16" i="77"/>
  <c r="AI15" i="77"/>
  <c r="AI6" i="77"/>
  <c r="AI30" i="77"/>
  <c r="AI24" i="77"/>
  <c r="AI5" i="77"/>
  <c r="AI20" i="77"/>
  <c r="AI10" i="77"/>
  <c r="AI22" i="77"/>
  <c r="AI14" i="77"/>
  <c r="AI26" i="77"/>
  <c r="AI28" i="77"/>
  <c r="AI9" i="77"/>
  <c r="AI11" i="77"/>
  <c r="AI7" i="77"/>
  <c r="AI17" i="77"/>
  <c r="AI21" i="77"/>
  <c r="AI8" i="77"/>
  <c r="AI11" i="83"/>
  <c r="AI10" i="83"/>
  <c r="AI15" i="83"/>
  <c r="AI6" i="83"/>
  <c r="AI13" i="83"/>
  <c r="AI12" i="83"/>
  <c r="AI7" i="83"/>
  <c r="AI9" i="83"/>
  <c r="AI8" i="83"/>
  <c r="AI5" i="83"/>
  <c r="AI16" i="83"/>
  <c r="AI17" i="83"/>
  <c r="X13" i="87" s="1"/>
  <c r="AI14" i="83"/>
  <c r="X16" i="87" s="1"/>
  <c r="AI18" i="83"/>
  <c r="AI19" i="83"/>
  <c r="AI20" i="83"/>
  <c r="AI21" i="83"/>
  <c r="AI22" i="83"/>
  <c r="AI23" i="83"/>
  <c r="AI24" i="83"/>
  <c r="AI21" i="90"/>
  <c r="AI7" i="90"/>
  <c r="AI16" i="90"/>
  <c r="AI9" i="90"/>
  <c r="AI18" i="90"/>
  <c r="AI12" i="90"/>
  <c r="AI14" i="90"/>
  <c r="AI15" i="90"/>
  <c r="AI5" i="90"/>
  <c r="AI11" i="90"/>
  <c r="AI10" i="90"/>
  <c r="AI20" i="90"/>
  <c r="AI19" i="90"/>
  <c r="AI6" i="90"/>
  <c r="AI13" i="90"/>
  <c r="AI17" i="90"/>
  <c r="AI8" i="90"/>
  <c r="AI22" i="90"/>
  <c r="AI23" i="90"/>
  <c r="AI24" i="90"/>
  <c r="AI7" i="89"/>
  <c r="AI13" i="89"/>
  <c r="AI16" i="89"/>
  <c r="AI20" i="89"/>
  <c r="AI11" i="89"/>
  <c r="AI21" i="89"/>
  <c r="AI14" i="89"/>
  <c r="AI15" i="89"/>
  <c r="AI6" i="89"/>
  <c r="AI10" i="89"/>
  <c r="AI22" i="89"/>
  <c r="AI12" i="89"/>
  <c r="AI8" i="89"/>
  <c r="AI5" i="89"/>
  <c r="AI19" i="89"/>
  <c r="AI17" i="89"/>
  <c r="AI9" i="89"/>
  <c r="AI23" i="89"/>
  <c r="AI18" i="89"/>
  <c r="AI24" i="89"/>
  <c r="AI10" i="88"/>
  <c r="AI20" i="88"/>
  <c r="AI11" i="88"/>
  <c r="AI5" i="96"/>
  <c r="AI6" i="96"/>
  <c r="AI10" i="96"/>
  <c r="AI14" i="96"/>
  <c r="AI7" i="96"/>
  <c r="AI11" i="96"/>
  <c r="AI13" i="96"/>
  <c r="AI8" i="96"/>
  <c r="AI9" i="96"/>
  <c r="AI12" i="96"/>
  <c r="AI15" i="96"/>
  <c r="AI16" i="96"/>
  <c r="AI17" i="96"/>
  <c r="AI18" i="96"/>
  <c r="AI19" i="96"/>
  <c r="AI20" i="96"/>
  <c r="AI21" i="96"/>
  <c r="AI22" i="96"/>
  <c r="AI23" i="96"/>
  <c r="AI24" i="96"/>
  <c r="AI17" i="95"/>
  <c r="AI10" i="95"/>
  <c r="AI13" i="95"/>
  <c r="AI15" i="95"/>
  <c r="AI14" i="95"/>
  <c r="AI6" i="95"/>
  <c r="AI7" i="95"/>
  <c r="AI5" i="95"/>
  <c r="AI16" i="95"/>
  <c r="AI8" i="95"/>
  <c r="AI19" i="95"/>
  <c r="AI9" i="95"/>
  <c r="AI18" i="95"/>
  <c r="AI11" i="95"/>
  <c r="AI20" i="95"/>
  <c r="AI12" i="95"/>
  <c r="AI21" i="95"/>
  <c r="AI22" i="95"/>
  <c r="AI23" i="95"/>
  <c r="AI24" i="95"/>
  <c r="X11" i="102" l="1"/>
  <c r="X6" i="102"/>
  <c r="X19" i="102"/>
  <c r="X9" i="102"/>
  <c r="X8" i="102"/>
  <c r="X20" i="102"/>
  <c r="X14" i="102"/>
  <c r="X18" i="102"/>
  <c r="X13" i="102"/>
  <c r="X7" i="102"/>
  <c r="X12" i="102"/>
  <c r="X5" i="102"/>
  <c r="X17" i="102"/>
  <c r="X16" i="102"/>
  <c r="X15" i="102"/>
  <c r="X10" i="102"/>
  <c r="M7" i="96"/>
  <c r="N7" i="96"/>
  <c r="M13" i="96"/>
  <c r="N13" i="96"/>
  <c r="O13" i="96" s="1"/>
  <c r="M8" i="96"/>
  <c r="N8" i="96"/>
  <c r="O8" i="96" s="1"/>
  <c r="J24" i="52"/>
  <c r="K24" i="52" s="1"/>
  <c r="I24" i="52"/>
  <c r="J23" i="52"/>
  <c r="K23" i="52" s="1"/>
  <c r="I23" i="52"/>
  <c r="J22" i="52"/>
  <c r="K22" i="52" s="1"/>
  <c r="I22" i="52"/>
  <c r="J16" i="52"/>
  <c r="K16" i="52" s="1"/>
  <c r="I16" i="52"/>
  <c r="J14" i="52"/>
  <c r="K14" i="52" s="1"/>
  <c r="I14" i="52"/>
  <c r="J21" i="52"/>
  <c r="K21" i="52" s="1"/>
  <c r="I21" i="52"/>
  <c r="J20" i="52"/>
  <c r="K20" i="52" s="1"/>
  <c r="I20" i="52"/>
  <c r="J12" i="52"/>
  <c r="K12" i="52" s="1"/>
  <c r="I12" i="52"/>
  <c r="J19" i="52"/>
  <c r="K19" i="52" s="1"/>
  <c r="I19" i="52"/>
  <c r="J15" i="52"/>
  <c r="K15" i="52" s="1"/>
  <c r="I15" i="52"/>
  <c r="J8" i="52"/>
  <c r="I8" i="52"/>
  <c r="J18" i="52"/>
  <c r="K18" i="52" s="1"/>
  <c r="I18" i="52"/>
  <c r="J13" i="52"/>
  <c r="K13" i="52" s="1"/>
  <c r="I13" i="52"/>
  <c r="J11" i="52"/>
  <c r="I11" i="52"/>
  <c r="J9" i="52"/>
  <c r="I9" i="52"/>
  <c r="J5" i="52"/>
  <c r="I5" i="52"/>
  <c r="J7" i="52"/>
  <c r="I7" i="52"/>
  <c r="J17" i="52"/>
  <c r="I17" i="52"/>
  <c r="J10" i="52"/>
  <c r="I10" i="52"/>
  <c r="J24" i="51"/>
  <c r="K24" i="51" s="1"/>
  <c r="I24" i="51"/>
  <c r="J23" i="51"/>
  <c r="K23" i="51" s="1"/>
  <c r="I23" i="51"/>
  <c r="J22" i="51"/>
  <c r="K22" i="51" s="1"/>
  <c r="I22" i="51"/>
  <c r="J16" i="51"/>
  <c r="K16" i="51" s="1"/>
  <c r="I16" i="51"/>
  <c r="J11" i="51"/>
  <c r="K11" i="51" s="1"/>
  <c r="I11" i="51"/>
  <c r="J13" i="51"/>
  <c r="K13" i="51" s="1"/>
  <c r="I13" i="51"/>
  <c r="J20" i="51"/>
  <c r="K20" i="51" s="1"/>
  <c r="I20" i="51"/>
  <c r="J21" i="51"/>
  <c r="K21" i="51" s="1"/>
  <c r="I21" i="51"/>
  <c r="J19" i="51"/>
  <c r="K19" i="51" s="1"/>
  <c r="I19" i="51"/>
  <c r="J8" i="51"/>
  <c r="I8" i="51"/>
  <c r="J18" i="51"/>
  <c r="K18" i="51" s="1"/>
  <c r="I18" i="51"/>
  <c r="J6" i="51"/>
  <c r="I6" i="51"/>
  <c r="J10" i="51"/>
  <c r="I10" i="51"/>
  <c r="J5" i="51"/>
  <c r="I5" i="51"/>
  <c r="J9" i="51"/>
  <c r="I9" i="51"/>
  <c r="J12" i="51"/>
  <c r="I12" i="51"/>
  <c r="J15" i="51"/>
  <c r="K15" i="51" s="1"/>
  <c r="I15" i="51"/>
  <c r="J14" i="51"/>
  <c r="I14" i="51"/>
  <c r="J7" i="51"/>
  <c r="I7" i="51"/>
  <c r="J24" i="50"/>
  <c r="K24" i="50" s="1"/>
  <c r="I24" i="50"/>
  <c r="J23" i="50"/>
  <c r="K23" i="50" s="1"/>
  <c r="I23" i="50"/>
  <c r="J18" i="50"/>
  <c r="K18" i="50" s="1"/>
  <c r="I18" i="50"/>
  <c r="J9" i="50"/>
  <c r="K9" i="50" s="1"/>
  <c r="I9" i="50"/>
  <c r="J15" i="50"/>
  <c r="K15" i="50" s="1"/>
  <c r="I15" i="50"/>
  <c r="J22" i="50"/>
  <c r="K22" i="50" s="1"/>
  <c r="I22" i="50"/>
  <c r="J14" i="50"/>
  <c r="K14" i="50" s="1"/>
  <c r="I14" i="50"/>
  <c r="J21" i="50"/>
  <c r="K21" i="50" s="1"/>
  <c r="I21" i="50"/>
  <c r="J16" i="50"/>
  <c r="K16" i="50" s="1"/>
  <c r="I16" i="50"/>
  <c r="J11" i="50"/>
  <c r="I11" i="50"/>
  <c r="J5" i="50"/>
  <c r="I5" i="50"/>
  <c r="J7" i="50"/>
  <c r="I7" i="50"/>
  <c r="J17" i="50"/>
  <c r="I17" i="50"/>
  <c r="J12" i="50"/>
  <c r="K12" i="50" s="1"/>
  <c r="I12" i="50"/>
  <c r="J20" i="50"/>
  <c r="I20" i="50"/>
  <c r="J8" i="50"/>
  <c r="I8" i="50"/>
  <c r="J6" i="50"/>
  <c r="I6" i="50"/>
  <c r="J10" i="50"/>
  <c r="I10" i="50"/>
  <c r="J13" i="50"/>
  <c r="I13" i="50"/>
  <c r="J19" i="49"/>
  <c r="K19" i="49" s="1"/>
  <c r="I19" i="49"/>
  <c r="J18" i="49"/>
  <c r="K18" i="49" s="1"/>
  <c r="I18" i="49"/>
  <c r="J20" i="49"/>
  <c r="K20" i="49" s="1"/>
  <c r="I20" i="49"/>
  <c r="J17" i="49"/>
  <c r="K17" i="49" s="1"/>
  <c r="I17" i="49"/>
  <c r="J24" i="49"/>
  <c r="K24" i="49" s="1"/>
  <c r="I24" i="49"/>
  <c r="J15" i="49"/>
  <c r="K15" i="49" s="1"/>
  <c r="I15" i="49"/>
  <c r="J23" i="49"/>
  <c r="K23" i="49" s="1"/>
  <c r="I23" i="49"/>
  <c r="J22" i="49"/>
  <c r="K22" i="49" s="1"/>
  <c r="I22" i="49"/>
  <c r="J16" i="49"/>
  <c r="K16" i="49" s="1"/>
  <c r="I16" i="49"/>
  <c r="J5" i="49"/>
  <c r="I5" i="49"/>
  <c r="J7" i="49"/>
  <c r="K7" i="49" s="1"/>
  <c r="I7" i="49"/>
  <c r="J8" i="49"/>
  <c r="I8" i="49"/>
  <c r="J6" i="49"/>
  <c r="I6" i="49"/>
  <c r="J10" i="49"/>
  <c r="K10" i="49" s="1"/>
  <c r="I10" i="49"/>
  <c r="J11" i="49"/>
  <c r="I11" i="49"/>
  <c r="J12" i="49"/>
  <c r="I12" i="49"/>
  <c r="J14" i="49"/>
  <c r="I14" i="49"/>
  <c r="J9" i="49"/>
  <c r="I9" i="49"/>
  <c r="J13" i="49"/>
  <c r="I13" i="49"/>
  <c r="J24" i="56"/>
  <c r="I24" i="56"/>
  <c r="J14" i="56"/>
  <c r="K14" i="56" s="1"/>
  <c r="I14" i="56"/>
  <c r="J23" i="56"/>
  <c r="K23" i="56" s="1"/>
  <c r="I23" i="56"/>
  <c r="J17" i="56"/>
  <c r="K17" i="56" s="1"/>
  <c r="I17" i="56"/>
  <c r="J5" i="56"/>
  <c r="I5" i="56"/>
  <c r="J12" i="56"/>
  <c r="K12" i="56" s="1"/>
  <c r="I12" i="56"/>
  <c r="J20" i="56"/>
  <c r="I20" i="56"/>
  <c r="J22" i="56"/>
  <c r="I22" i="56"/>
  <c r="J19" i="56"/>
  <c r="I19" i="56"/>
  <c r="J15" i="56"/>
  <c r="K15" i="56" s="1"/>
  <c r="I15" i="56"/>
  <c r="J18" i="56"/>
  <c r="I18" i="56"/>
  <c r="J8" i="56"/>
  <c r="K8" i="56" s="1"/>
  <c r="I8" i="56"/>
  <c r="J16" i="56"/>
  <c r="K16" i="56" s="1"/>
  <c r="I16" i="56"/>
  <c r="J9" i="56"/>
  <c r="I9" i="56"/>
  <c r="J7" i="56"/>
  <c r="I7" i="56"/>
  <c r="J13" i="56"/>
  <c r="I13" i="56"/>
  <c r="J6" i="55"/>
  <c r="I6" i="55"/>
  <c r="J11" i="55"/>
  <c r="I11" i="55"/>
  <c r="J9" i="55"/>
  <c r="K9" i="55" s="1"/>
  <c r="I9" i="55"/>
  <c r="J14" i="55"/>
  <c r="K14" i="55" s="1"/>
  <c r="I14" i="55"/>
  <c r="J12" i="55"/>
  <c r="I12" i="55"/>
  <c r="J18" i="55"/>
  <c r="K18" i="55" s="1"/>
  <c r="I18" i="55"/>
  <c r="J21" i="55"/>
  <c r="I21" i="55"/>
  <c r="J23" i="55"/>
  <c r="K23" i="55" s="1"/>
  <c r="I23" i="55"/>
  <c r="J16" i="55"/>
  <c r="I16" i="55"/>
  <c r="J22" i="55"/>
  <c r="I22" i="55"/>
  <c r="J15" i="55"/>
  <c r="I15" i="55"/>
  <c r="J17" i="55"/>
  <c r="I17" i="55"/>
  <c r="J8" i="55"/>
  <c r="I8" i="55"/>
  <c r="J5" i="55"/>
  <c r="I5" i="55"/>
  <c r="J10" i="55"/>
  <c r="I10" i="55"/>
  <c r="J13" i="54"/>
  <c r="K13" i="54" s="1"/>
  <c r="I13" i="54"/>
  <c r="J11" i="54"/>
  <c r="I11" i="54"/>
  <c r="J17" i="54"/>
  <c r="I17" i="54"/>
  <c r="J15" i="54"/>
  <c r="I15" i="54"/>
  <c r="J23" i="54"/>
  <c r="I23" i="54"/>
  <c r="J7" i="54"/>
  <c r="I7" i="54"/>
  <c r="J21" i="54"/>
  <c r="K21" i="54" s="1"/>
  <c r="I21" i="54"/>
  <c r="J5" i="54"/>
  <c r="I5" i="54"/>
  <c r="J14" i="54"/>
  <c r="I14" i="54"/>
  <c r="J8" i="54"/>
  <c r="I8" i="54"/>
  <c r="J22" i="54"/>
  <c r="I22" i="54"/>
  <c r="J9" i="54"/>
  <c r="I9" i="54"/>
  <c r="J10" i="54"/>
  <c r="I10" i="54"/>
  <c r="J18" i="54"/>
  <c r="I18" i="54"/>
  <c r="J24" i="53"/>
  <c r="K24" i="53" s="1"/>
  <c r="I24" i="53"/>
  <c r="J5" i="53"/>
  <c r="I5" i="53"/>
  <c r="J15" i="53"/>
  <c r="K15" i="53" s="1"/>
  <c r="I15" i="53"/>
  <c r="J10" i="53"/>
  <c r="I10" i="53"/>
  <c r="J9" i="53"/>
  <c r="K9" i="53" s="1"/>
  <c r="I9" i="53"/>
  <c r="J12" i="53"/>
  <c r="I12" i="53"/>
  <c r="J16" i="53"/>
  <c r="K16" i="53" s="1"/>
  <c r="I16" i="53"/>
  <c r="J6" i="53"/>
  <c r="I6" i="53"/>
  <c r="J21" i="53"/>
  <c r="I21" i="53"/>
  <c r="J8" i="53"/>
  <c r="I8" i="53"/>
  <c r="J7" i="53"/>
  <c r="I7" i="53"/>
  <c r="J13" i="53"/>
  <c r="I13" i="53"/>
  <c r="J11" i="53"/>
  <c r="I11" i="53"/>
  <c r="J17" i="53"/>
  <c r="K17" i="53" s="1"/>
  <c r="I17" i="53"/>
  <c r="J18" i="53"/>
  <c r="I18" i="53"/>
  <c r="J19" i="53"/>
  <c r="I19" i="53"/>
  <c r="J20" i="53"/>
  <c r="I20" i="53"/>
  <c r="J22" i="53"/>
  <c r="I22" i="53"/>
  <c r="J23" i="53"/>
  <c r="I23" i="53"/>
  <c r="J24" i="75"/>
  <c r="K24" i="75" s="1"/>
  <c r="I24" i="75"/>
  <c r="J23" i="75"/>
  <c r="K23" i="75" s="1"/>
  <c r="I23" i="75"/>
  <c r="J22" i="75"/>
  <c r="K22" i="75" s="1"/>
  <c r="I22" i="75"/>
  <c r="J7" i="75"/>
  <c r="K7" i="75" s="1"/>
  <c r="I7" i="75"/>
  <c r="J15" i="75"/>
  <c r="K15" i="75" s="1"/>
  <c r="I15" i="75"/>
  <c r="J21" i="75"/>
  <c r="K21" i="75" s="1"/>
  <c r="I21" i="75"/>
  <c r="J19" i="75"/>
  <c r="K19" i="75" s="1"/>
  <c r="I19" i="75"/>
  <c r="J17" i="75"/>
  <c r="K17" i="75" s="1"/>
  <c r="I17" i="75"/>
  <c r="J5" i="75"/>
  <c r="I5" i="75"/>
  <c r="J18" i="75"/>
  <c r="K18" i="75" s="1"/>
  <c r="I18" i="75"/>
  <c r="J11" i="75"/>
  <c r="I11" i="75"/>
  <c r="J10" i="75"/>
  <c r="I10" i="75"/>
  <c r="J14" i="75"/>
  <c r="K14" i="75" s="1"/>
  <c r="I14" i="75"/>
  <c r="J13" i="75"/>
  <c r="K13" i="75" s="1"/>
  <c r="I13" i="75"/>
  <c r="J8" i="75"/>
  <c r="I8" i="75"/>
  <c r="J6" i="75"/>
  <c r="I6" i="75"/>
  <c r="J9" i="75"/>
  <c r="I9" i="75"/>
  <c r="J12" i="75"/>
  <c r="K12" i="75" s="1"/>
  <c r="I12" i="75"/>
  <c r="J20" i="75"/>
  <c r="I20" i="75"/>
  <c r="J24" i="74"/>
  <c r="K24" i="74" s="1"/>
  <c r="I24" i="74"/>
  <c r="J23" i="74"/>
  <c r="K23" i="74" s="1"/>
  <c r="I23" i="74"/>
  <c r="J22" i="74"/>
  <c r="K22" i="74" s="1"/>
  <c r="I22" i="74"/>
  <c r="J21" i="74"/>
  <c r="K21" i="74" s="1"/>
  <c r="I21" i="74"/>
  <c r="J10" i="74"/>
  <c r="K10" i="74" s="1"/>
  <c r="I10" i="74"/>
  <c r="J14" i="74"/>
  <c r="K14" i="74" s="1"/>
  <c r="I14" i="74"/>
  <c r="J16" i="74"/>
  <c r="K16" i="74" s="1"/>
  <c r="I16" i="74"/>
  <c r="J15" i="74"/>
  <c r="K15" i="74" s="1"/>
  <c r="I15" i="74"/>
  <c r="J12" i="74"/>
  <c r="I12" i="74"/>
  <c r="J6" i="74"/>
  <c r="K6" i="74" s="1"/>
  <c r="I6" i="74"/>
  <c r="J20" i="74"/>
  <c r="K20" i="74" s="1"/>
  <c r="I20" i="74"/>
  <c r="J7" i="74"/>
  <c r="I7" i="74"/>
  <c r="J9" i="74"/>
  <c r="K9" i="74" s="1"/>
  <c r="I9" i="74"/>
  <c r="J8" i="74"/>
  <c r="I8" i="74"/>
  <c r="J17" i="74"/>
  <c r="K17" i="74" s="1"/>
  <c r="I17" i="74"/>
  <c r="J19" i="74"/>
  <c r="K19" i="74" s="1"/>
  <c r="I19" i="74"/>
  <c r="J13" i="74"/>
  <c r="I13" i="74"/>
  <c r="J18" i="74"/>
  <c r="I18" i="74"/>
  <c r="J11" i="74"/>
  <c r="I11" i="74"/>
  <c r="J24" i="73"/>
  <c r="K24" i="73" s="1"/>
  <c r="I24" i="73"/>
  <c r="J23" i="73"/>
  <c r="K23" i="73" s="1"/>
  <c r="I23" i="73"/>
  <c r="J22" i="73"/>
  <c r="K22" i="73" s="1"/>
  <c r="I22" i="73"/>
  <c r="J21" i="73"/>
  <c r="K21" i="73" s="1"/>
  <c r="I21" i="73"/>
  <c r="J13" i="73"/>
  <c r="K13" i="73" s="1"/>
  <c r="I13" i="73"/>
  <c r="J11" i="73"/>
  <c r="K11" i="73" s="1"/>
  <c r="I11" i="73"/>
  <c r="J8" i="73"/>
  <c r="I8" i="73"/>
  <c r="J12" i="73"/>
  <c r="I12" i="73"/>
  <c r="J18" i="73"/>
  <c r="I18" i="73"/>
  <c r="J15" i="73"/>
  <c r="K15" i="73" s="1"/>
  <c r="I15" i="73"/>
  <c r="J14" i="73"/>
  <c r="I14" i="73"/>
  <c r="J16" i="73"/>
  <c r="I16" i="73"/>
  <c r="J20" i="73"/>
  <c r="K20" i="73" s="1"/>
  <c r="I20" i="73"/>
  <c r="J5" i="73"/>
  <c r="I5" i="73"/>
  <c r="J6" i="73"/>
  <c r="I6" i="73"/>
  <c r="J10" i="73"/>
  <c r="K10" i="73" s="1"/>
  <c r="I10" i="73"/>
  <c r="J7" i="73"/>
  <c r="I7" i="73"/>
  <c r="J9" i="73"/>
  <c r="K9" i="73" s="1"/>
  <c r="I9" i="73"/>
  <c r="J17" i="73"/>
  <c r="I17" i="73"/>
  <c r="J16" i="72"/>
  <c r="K16" i="72" s="1"/>
  <c r="I16" i="72"/>
  <c r="J17" i="72"/>
  <c r="K17" i="72" s="1"/>
  <c r="I17" i="72"/>
  <c r="J9" i="72"/>
  <c r="K9" i="72" s="1"/>
  <c r="I9" i="72"/>
  <c r="J7" i="72"/>
  <c r="I7" i="72"/>
  <c r="J18" i="72"/>
  <c r="K18" i="72" s="1"/>
  <c r="I18" i="72"/>
  <c r="J10" i="72"/>
  <c r="I10" i="72"/>
  <c r="J6" i="72"/>
  <c r="I6" i="72"/>
  <c r="J8" i="72"/>
  <c r="I8" i="72"/>
  <c r="J24" i="72"/>
  <c r="K24" i="72" s="1"/>
  <c r="I24" i="72"/>
  <c r="J26" i="72"/>
  <c r="K26" i="72" s="1"/>
  <c r="I26" i="72"/>
  <c r="J22" i="72"/>
  <c r="I22" i="72"/>
  <c r="J14" i="72"/>
  <c r="I14" i="72"/>
  <c r="J12" i="72"/>
  <c r="I12" i="72"/>
  <c r="J5" i="72"/>
  <c r="I5" i="72"/>
  <c r="J21" i="72"/>
  <c r="K21" i="72" s="1"/>
  <c r="I21" i="72"/>
  <c r="J11" i="72"/>
  <c r="I11" i="72"/>
  <c r="J25" i="72"/>
  <c r="K25" i="72" s="1"/>
  <c r="I25" i="72"/>
  <c r="J20" i="72"/>
  <c r="I20" i="72"/>
  <c r="J23" i="72"/>
  <c r="K23" i="72" s="1"/>
  <c r="I23" i="72"/>
  <c r="J24" i="71"/>
  <c r="K24" i="71" s="1"/>
  <c r="I24" i="71"/>
  <c r="J23" i="71"/>
  <c r="K23" i="71" s="1"/>
  <c r="I23" i="71"/>
  <c r="J22" i="71"/>
  <c r="K22" i="71" s="1"/>
  <c r="I22" i="71"/>
  <c r="J21" i="71"/>
  <c r="K21" i="71" s="1"/>
  <c r="I21" i="71"/>
  <c r="J9" i="71"/>
  <c r="K9" i="71" s="1"/>
  <c r="I9" i="71"/>
  <c r="J19" i="71"/>
  <c r="K19" i="71" s="1"/>
  <c r="I19" i="71"/>
  <c r="J11" i="71"/>
  <c r="K11" i="71" s="1"/>
  <c r="I11" i="71"/>
  <c r="J6" i="71"/>
  <c r="I6" i="71"/>
  <c r="J12" i="71"/>
  <c r="K12" i="71" s="1"/>
  <c r="I12" i="71"/>
  <c r="J13" i="71"/>
  <c r="I13" i="71"/>
  <c r="J20" i="71"/>
  <c r="I20" i="71"/>
  <c r="J17" i="71"/>
  <c r="I17" i="71"/>
  <c r="J15" i="71"/>
  <c r="I15" i="71"/>
  <c r="J18" i="71"/>
  <c r="K18" i="71" s="1"/>
  <c r="I18" i="71"/>
  <c r="J5" i="71"/>
  <c r="I5" i="71"/>
  <c r="J8" i="71"/>
  <c r="I8" i="71"/>
  <c r="J7" i="71"/>
  <c r="I7" i="71"/>
  <c r="J10" i="71"/>
  <c r="I10" i="71"/>
  <c r="J14" i="71"/>
  <c r="I14" i="71"/>
  <c r="J24" i="80"/>
  <c r="K24" i="80" s="1"/>
  <c r="I24" i="80"/>
  <c r="J23" i="80"/>
  <c r="K23" i="80" s="1"/>
  <c r="I23" i="80"/>
  <c r="J22" i="80"/>
  <c r="K22" i="80" s="1"/>
  <c r="I22" i="80"/>
  <c r="J21" i="80"/>
  <c r="K21" i="80" s="1"/>
  <c r="I21" i="80"/>
  <c r="J20" i="80"/>
  <c r="K20" i="80" s="1"/>
  <c r="I20" i="80"/>
  <c r="J16" i="80"/>
  <c r="K16" i="80" s="1"/>
  <c r="I16" i="80"/>
  <c r="J17" i="80"/>
  <c r="K17" i="80" s="1"/>
  <c r="I17" i="80"/>
  <c r="J12" i="80"/>
  <c r="K12" i="80" s="1"/>
  <c r="I12" i="80"/>
  <c r="J15" i="80"/>
  <c r="K15" i="80" s="1"/>
  <c r="I15" i="80"/>
  <c r="J13" i="80"/>
  <c r="K13" i="80" s="1"/>
  <c r="I13" i="80"/>
  <c r="J5" i="80"/>
  <c r="K5" i="80" s="1"/>
  <c r="I5" i="80"/>
  <c r="J14" i="80"/>
  <c r="K14" i="80" s="1"/>
  <c r="I14" i="80"/>
  <c r="J18" i="80"/>
  <c r="K18" i="80" s="1"/>
  <c r="I18" i="80"/>
  <c r="J6" i="80"/>
  <c r="I6" i="80"/>
  <c r="J19" i="80"/>
  <c r="K19" i="80" s="1"/>
  <c r="I19" i="80"/>
  <c r="J11" i="80"/>
  <c r="I11" i="80"/>
  <c r="J8" i="80"/>
  <c r="K8" i="80" s="1"/>
  <c r="I8" i="80"/>
  <c r="J10" i="80"/>
  <c r="K10" i="80" s="1"/>
  <c r="I10" i="80"/>
  <c r="J7" i="80"/>
  <c r="K7" i="80" s="1"/>
  <c r="I7" i="80"/>
  <c r="J21" i="79"/>
  <c r="K21" i="79" s="1"/>
  <c r="I21" i="79"/>
  <c r="J22" i="79"/>
  <c r="K22" i="79" s="1"/>
  <c r="I22" i="79"/>
  <c r="J8" i="79"/>
  <c r="K8" i="79" s="1"/>
  <c r="I8" i="79"/>
  <c r="J12" i="79"/>
  <c r="I12" i="79"/>
  <c r="J24" i="79"/>
  <c r="K24" i="79" s="1"/>
  <c r="I24" i="79"/>
  <c r="J9" i="79"/>
  <c r="K9" i="79" s="1"/>
  <c r="I9" i="79"/>
  <c r="J25" i="79"/>
  <c r="K25" i="79" s="1"/>
  <c r="I25" i="79"/>
  <c r="J18" i="79"/>
  <c r="I18" i="79"/>
  <c r="J11" i="79"/>
  <c r="I11" i="79"/>
  <c r="J7" i="79"/>
  <c r="I7" i="79"/>
  <c r="J30" i="79"/>
  <c r="K30" i="79" s="1"/>
  <c r="I30" i="79"/>
  <c r="J19" i="79"/>
  <c r="K19" i="79" s="1"/>
  <c r="I19" i="79"/>
  <c r="J27" i="79"/>
  <c r="I27" i="79"/>
  <c r="J13" i="79"/>
  <c r="I13" i="79"/>
  <c r="J10" i="79"/>
  <c r="K10" i="79" s="1"/>
  <c r="I10" i="79"/>
  <c r="J16" i="79"/>
  <c r="I16" i="79"/>
  <c r="J6" i="79"/>
  <c r="I6" i="79"/>
  <c r="J5" i="79"/>
  <c r="I5" i="79"/>
  <c r="J29" i="79"/>
  <c r="K29" i="79" s="1"/>
  <c r="I29" i="79"/>
  <c r="J8" i="78"/>
  <c r="K8" i="78" s="1"/>
  <c r="I8" i="78"/>
  <c r="J21" i="78"/>
  <c r="K21" i="78" s="1"/>
  <c r="I21" i="78"/>
  <c r="J10" i="78"/>
  <c r="K10" i="78" s="1"/>
  <c r="I10" i="78"/>
  <c r="J22" i="78"/>
  <c r="K22" i="78" s="1"/>
  <c r="I22" i="78"/>
  <c r="J25" i="78"/>
  <c r="K25" i="78" s="1"/>
  <c r="I25" i="78"/>
  <c r="J7" i="78"/>
  <c r="I7" i="78"/>
  <c r="J23" i="78"/>
  <c r="K23" i="78" s="1"/>
  <c r="I23" i="78"/>
  <c r="J31" i="78"/>
  <c r="I31" i="78"/>
  <c r="J29" i="78"/>
  <c r="K29" i="78" s="1"/>
  <c r="I29" i="78"/>
  <c r="J11" i="78"/>
  <c r="I11" i="78"/>
  <c r="J5" i="78"/>
  <c r="I5" i="78"/>
  <c r="J12" i="78"/>
  <c r="I12" i="78"/>
  <c r="J26" i="78"/>
  <c r="I26" i="78"/>
  <c r="J16" i="78"/>
  <c r="I16" i="78"/>
  <c r="J17" i="78"/>
  <c r="I17" i="78"/>
  <c r="J18" i="78"/>
  <c r="K18" i="78" s="1"/>
  <c r="I18" i="78"/>
  <c r="J30" i="78"/>
  <c r="K30" i="78" s="1"/>
  <c r="I30" i="78"/>
  <c r="J28" i="78"/>
  <c r="K28" i="78" s="1"/>
  <c r="I28" i="78"/>
  <c r="J14" i="78"/>
  <c r="I14" i="78"/>
  <c r="J8" i="77"/>
  <c r="I8" i="77"/>
  <c r="J21" i="77"/>
  <c r="K21" i="77" s="1"/>
  <c r="I21" i="77"/>
  <c r="J17" i="77"/>
  <c r="I17" i="77"/>
  <c r="J7" i="77"/>
  <c r="I7" i="77"/>
  <c r="J11" i="77"/>
  <c r="I11" i="77"/>
  <c r="J9" i="77"/>
  <c r="I9" i="77"/>
  <c r="J28" i="77"/>
  <c r="K28" i="77" s="1"/>
  <c r="I28" i="77"/>
  <c r="J26" i="77"/>
  <c r="K26" i="77" s="1"/>
  <c r="I26" i="77"/>
  <c r="J14" i="77"/>
  <c r="I14" i="77"/>
  <c r="J22" i="77"/>
  <c r="K22" i="77" s="1"/>
  <c r="I22" i="77"/>
  <c r="J10" i="77"/>
  <c r="K10" i="77" s="1"/>
  <c r="I10" i="77"/>
  <c r="J20" i="77"/>
  <c r="I20" i="77"/>
  <c r="J5" i="77"/>
  <c r="I5" i="77"/>
  <c r="J24" i="77"/>
  <c r="I24" i="77"/>
  <c r="J30" i="77"/>
  <c r="K30" i="77" s="1"/>
  <c r="I30" i="77"/>
  <c r="J6" i="77"/>
  <c r="I6" i="77"/>
  <c r="J15" i="77"/>
  <c r="I15" i="77"/>
  <c r="J16" i="77"/>
  <c r="I16" i="77"/>
  <c r="J25" i="77"/>
  <c r="K25" i="77" s="1"/>
  <c r="I25" i="77"/>
  <c r="J24" i="85"/>
  <c r="K24" i="85" s="1"/>
  <c r="I24" i="85"/>
  <c r="J23" i="85"/>
  <c r="K23" i="85" s="1"/>
  <c r="I23" i="85"/>
  <c r="J22" i="85"/>
  <c r="K22" i="85" s="1"/>
  <c r="I22" i="85"/>
  <c r="J21" i="85"/>
  <c r="K21" i="85" s="1"/>
  <c r="I21" i="85"/>
  <c r="J13" i="85"/>
  <c r="K13" i="85" s="1"/>
  <c r="I13" i="85"/>
  <c r="J20" i="85"/>
  <c r="K20" i="85" s="1"/>
  <c r="I20" i="85"/>
  <c r="J9" i="85"/>
  <c r="I9" i="85"/>
  <c r="J15" i="85"/>
  <c r="K15" i="85" s="1"/>
  <c r="I15" i="85"/>
  <c r="J17" i="85"/>
  <c r="K17" i="85" s="1"/>
  <c r="I17" i="85"/>
  <c r="J16" i="85"/>
  <c r="K16" i="85" s="1"/>
  <c r="I16" i="85"/>
  <c r="J18" i="85"/>
  <c r="K18" i="85" s="1"/>
  <c r="I18" i="85"/>
  <c r="J11" i="85"/>
  <c r="K11" i="85" s="1"/>
  <c r="I11" i="85"/>
  <c r="J6" i="85"/>
  <c r="I6" i="85"/>
  <c r="J8" i="85"/>
  <c r="K8" i="85" s="1"/>
  <c r="I8" i="85"/>
  <c r="J12" i="85"/>
  <c r="I12" i="85"/>
  <c r="J19" i="85"/>
  <c r="I19" i="85"/>
  <c r="J14" i="85"/>
  <c r="I14" i="85"/>
  <c r="J5" i="85"/>
  <c r="I5" i="85"/>
  <c r="J7" i="85"/>
  <c r="I7" i="85"/>
  <c r="J24" i="84"/>
  <c r="K24" i="84" s="1"/>
  <c r="I24" i="84"/>
  <c r="J23" i="84"/>
  <c r="K23" i="84" s="1"/>
  <c r="I23" i="84"/>
  <c r="J22" i="84"/>
  <c r="K22" i="84" s="1"/>
  <c r="I22" i="84"/>
  <c r="J21" i="84"/>
  <c r="K21" i="84" s="1"/>
  <c r="I21" i="84"/>
  <c r="J20" i="84"/>
  <c r="K20" i="84" s="1"/>
  <c r="I20" i="84"/>
  <c r="J18" i="84"/>
  <c r="K18" i="84" s="1"/>
  <c r="I18" i="84"/>
  <c r="J14" i="84"/>
  <c r="K14" i="84" s="1"/>
  <c r="I14" i="84"/>
  <c r="J17" i="84"/>
  <c r="K17" i="84" s="1"/>
  <c r="I17" i="84"/>
  <c r="J12" i="84"/>
  <c r="I12" i="84"/>
  <c r="J10" i="84"/>
  <c r="K10" i="84" s="1"/>
  <c r="I10" i="84"/>
  <c r="J13" i="84"/>
  <c r="I13" i="84"/>
  <c r="J8" i="84"/>
  <c r="I8" i="84"/>
  <c r="J7" i="84"/>
  <c r="I7" i="84"/>
  <c r="J11" i="84"/>
  <c r="I11" i="84"/>
  <c r="J19" i="84"/>
  <c r="I19" i="84"/>
  <c r="J16" i="84"/>
  <c r="I16" i="84"/>
  <c r="J9" i="84"/>
  <c r="I9" i="84"/>
  <c r="J5" i="84"/>
  <c r="I5" i="84"/>
  <c r="J15" i="84"/>
  <c r="I15" i="84"/>
  <c r="J24" i="83"/>
  <c r="K24" i="83" s="1"/>
  <c r="I24" i="83"/>
  <c r="J23" i="83"/>
  <c r="K23" i="83" s="1"/>
  <c r="I23" i="83"/>
  <c r="J22" i="83"/>
  <c r="K22" i="83" s="1"/>
  <c r="I22" i="83"/>
  <c r="J21" i="83"/>
  <c r="K21" i="83" s="1"/>
  <c r="I21" i="83"/>
  <c r="J20" i="83"/>
  <c r="K20" i="83" s="1"/>
  <c r="I20" i="83"/>
  <c r="J19" i="83"/>
  <c r="K19" i="83" s="1"/>
  <c r="I19" i="83"/>
  <c r="J18" i="83"/>
  <c r="K18" i="83" s="1"/>
  <c r="I18" i="83"/>
  <c r="J14" i="83"/>
  <c r="K14" i="83" s="1"/>
  <c r="I14" i="83"/>
  <c r="J17" i="83"/>
  <c r="K17" i="83" s="1"/>
  <c r="I17" i="83"/>
  <c r="J16" i="83"/>
  <c r="K16" i="83" s="1"/>
  <c r="I16" i="83"/>
  <c r="J5" i="83"/>
  <c r="I5" i="83"/>
  <c r="J8" i="83"/>
  <c r="I8" i="83"/>
  <c r="J9" i="83"/>
  <c r="I9" i="83"/>
  <c r="J7" i="83"/>
  <c r="I7" i="83"/>
  <c r="J12" i="83"/>
  <c r="I12" i="83"/>
  <c r="J13" i="83"/>
  <c r="I13" i="83"/>
  <c r="J6" i="83"/>
  <c r="I6" i="83"/>
  <c r="J15" i="83"/>
  <c r="K15" i="83" s="1"/>
  <c r="I15" i="83"/>
  <c r="J10" i="83"/>
  <c r="I10" i="83"/>
  <c r="J24" i="82"/>
  <c r="K24" i="82" s="1"/>
  <c r="I24" i="82"/>
  <c r="J23" i="82"/>
  <c r="K23" i="82" s="1"/>
  <c r="I23" i="82"/>
  <c r="J22" i="82"/>
  <c r="K22" i="82" s="1"/>
  <c r="I22" i="82"/>
  <c r="J21" i="82"/>
  <c r="K21" i="82" s="1"/>
  <c r="I21" i="82"/>
  <c r="J20" i="82"/>
  <c r="K20" i="82" s="1"/>
  <c r="I20" i="82"/>
  <c r="J19" i="82"/>
  <c r="K19" i="82" s="1"/>
  <c r="I19" i="82"/>
  <c r="J18" i="82"/>
  <c r="K18" i="82" s="1"/>
  <c r="I18" i="82"/>
  <c r="J17" i="82"/>
  <c r="K17" i="82" s="1"/>
  <c r="I17" i="82"/>
  <c r="J12" i="82"/>
  <c r="K12" i="82" s="1"/>
  <c r="I12" i="82"/>
  <c r="J6" i="82"/>
  <c r="K6" i="82" s="1"/>
  <c r="I6" i="82"/>
  <c r="J13" i="82"/>
  <c r="K13" i="82" s="1"/>
  <c r="I13" i="82"/>
  <c r="J7" i="82"/>
  <c r="I7" i="82"/>
  <c r="J16" i="82"/>
  <c r="K16" i="82" s="1"/>
  <c r="I16" i="82"/>
  <c r="J11" i="82"/>
  <c r="I11" i="82"/>
  <c r="J8" i="82"/>
  <c r="I8" i="82"/>
  <c r="J15" i="82"/>
  <c r="K15" i="82" s="1"/>
  <c r="I15" i="82"/>
  <c r="J14" i="82"/>
  <c r="I14" i="82"/>
  <c r="J5" i="82"/>
  <c r="I5" i="82"/>
  <c r="J9" i="82"/>
  <c r="I9" i="82"/>
  <c r="J24" i="93"/>
  <c r="K24" i="93" s="1"/>
  <c r="I24" i="93"/>
  <c r="J23" i="93"/>
  <c r="K23" i="93" s="1"/>
  <c r="I23" i="93"/>
  <c r="J22" i="93"/>
  <c r="K22" i="93" s="1"/>
  <c r="I22" i="93"/>
  <c r="J21" i="93"/>
  <c r="K21" i="93" s="1"/>
  <c r="I21" i="93"/>
  <c r="J20" i="93"/>
  <c r="K20" i="93" s="1"/>
  <c r="I20" i="93"/>
  <c r="J19" i="93"/>
  <c r="K19" i="93" s="1"/>
  <c r="I19" i="93"/>
  <c r="J18" i="93"/>
  <c r="K18" i="93" s="1"/>
  <c r="I18" i="93"/>
  <c r="J17" i="93"/>
  <c r="K17" i="93" s="1"/>
  <c r="I17" i="93"/>
  <c r="J16" i="93"/>
  <c r="K16" i="93" s="1"/>
  <c r="I16" i="93"/>
  <c r="J15" i="93"/>
  <c r="K15" i="93" s="1"/>
  <c r="I15" i="93"/>
  <c r="J14" i="93"/>
  <c r="K14" i="93" s="1"/>
  <c r="I14" i="93"/>
  <c r="J13" i="93"/>
  <c r="K13" i="93" s="1"/>
  <c r="I13" i="93"/>
  <c r="J12" i="93"/>
  <c r="K12" i="93" s="1"/>
  <c r="I12" i="93"/>
  <c r="J11" i="93"/>
  <c r="K11" i="93" s="1"/>
  <c r="I11" i="93"/>
  <c r="J10" i="93"/>
  <c r="K10" i="93" s="1"/>
  <c r="I10" i="93"/>
  <c r="J9" i="93"/>
  <c r="K9" i="93" s="1"/>
  <c r="I9" i="93"/>
  <c r="J8" i="93"/>
  <c r="K8" i="93" s="1"/>
  <c r="I8" i="93"/>
  <c r="J7" i="93"/>
  <c r="K7" i="93" s="1"/>
  <c r="I7" i="93"/>
  <c r="J6" i="93"/>
  <c r="K6" i="93" s="1"/>
  <c r="I6" i="93"/>
  <c r="J24" i="86"/>
  <c r="K24" i="86" s="1"/>
  <c r="I24" i="86"/>
  <c r="J23" i="86"/>
  <c r="K23" i="86" s="1"/>
  <c r="I23" i="86"/>
  <c r="J22" i="86"/>
  <c r="K22" i="86" s="1"/>
  <c r="I22" i="86"/>
  <c r="J21" i="86"/>
  <c r="K21" i="86" s="1"/>
  <c r="I21" i="86"/>
  <c r="J20" i="86"/>
  <c r="K20" i="86" s="1"/>
  <c r="I20" i="86"/>
  <c r="J19" i="86"/>
  <c r="K19" i="86" s="1"/>
  <c r="I19" i="86"/>
  <c r="J18" i="86"/>
  <c r="K18" i="86" s="1"/>
  <c r="I18" i="86"/>
  <c r="J17" i="86"/>
  <c r="K17" i="86" s="1"/>
  <c r="I17" i="86"/>
  <c r="J16" i="86"/>
  <c r="K16" i="86" s="1"/>
  <c r="I16" i="86"/>
  <c r="J15" i="86"/>
  <c r="K15" i="86" s="1"/>
  <c r="I15" i="86"/>
  <c r="J14" i="86"/>
  <c r="K14" i="86" s="1"/>
  <c r="I14" i="86"/>
  <c r="J13" i="86"/>
  <c r="K13" i="86" s="1"/>
  <c r="I13" i="86"/>
  <c r="J12" i="86"/>
  <c r="K12" i="86" s="1"/>
  <c r="I12" i="86"/>
  <c r="J11" i="86"/>
  <c r="K11" i="86" s="1"/>
  <c r="I11" i="86"/>
  <c r="J10" i="86"/>
  <c r="K10" i="86" s="1"/>
  <c r="I10" i="86"/>
  <c r="J9" i="86"/>
  <c r="K9" i="86" s="1"/>
  <c r="I9" i="86"/>
  <c r="J8" i="86"/>
  <c r="K8" i="86" s="1"/>
  <c r="I8" i="86"/>
  <c r="J7" i="86"/>
  <c r="K7" i="86" s="1"/>
  <c r="I7" i="86"/>
  <c r="J6" i="86"/>
  <c r="K6" i="86" s="1"/>
  <c r="I6" i="86"/>
  <c r="J24" i="91"/>
  <c r="K24" i="91" s="1"/>
  <c r="I24" i="91"/>
  <c r="J23" i="91"/>
  <c r="K23" i="91" s="1"/>
  <c r="I23" i="91"/>
  <c r="J22" i="91"/>
  <c r="K22" i="91" s="1"/>
  <c r="I22" i="91"/>
  <c r="J21" i="91"/>
  <c r="K21" i="91" s="1"/>
  <c r="I21" i="91"/>
  <c r="J7" i="91"/>
  <c r="K7" i="91" s="1"/>
  <c r="I7" i="91"/>
  <c r="J16" i="91"/>
  <c r="K16" i="91" s="1"/>
  <c r="I16" i="91"/>
  <c r="J17" i="91"/>
  <c r="K17" i="91" s="1"/>
  <c r="I17" i="91"/>
  <c r="J10" i="91"/>
  <c r="K10" i="91" s="1"/>
  <c r="I10" i="91"/>
  <c r="J6" i="91"/>
  <c r="I6" i="91"/>
  <c r="J14" i="91"/>
  <c r="K14" i="91" s="1"/>
  <c r="I14" i="91"/>
  <c r="J5" i="91"/>
  <c r="I5" i="91"/>
  <c r="J15" i="91"/>
  <c r="K15" i="91" s="1"/>
  <c r="I15" i="91"/>
  <c r="J20" i="91"/>
  <c r="K20" i="91" s="1"/>
  <c r="I20" i="91"/>
  <c r="J11" i="91"/>
  <c r="K11" i="91" s="1"/>
  <c r="I11" i="91"/>
  <c r="J13" i="91"/>
  <c r="I13" i="91"/>
  <c r="J18" i="91"/>
  <c r="K18" i="91" s="1"/>
  <c r="I18" i="91"/>
  <c r="J9" i="91"/>
  <c r="K9" i="91" s="1"/>
  <c r="I9" i="91"/>
  <c r="J8" i="91"/>
  <c r="I8" i="91"/>
  <c r="J12" i="91"/>
  <c r="I12" i="91"/>
  <c r="J24" i="90"/>
  <c r="K24" i="90" s="1"/>
  <c r="I24" i="90"/>
  <c r="J23" i="90"/>
  <c r="K23" i="90" s="1"/>
  <c r="I23" i="90"/>
  <c r="J22" i="90"/>
  <c r="K22" i="90" s="1"/>
  <c r="I22" i="90"/>
  <c r="J8" i="90"/>
  <c r="K8" i="90" s="1"/>
  <c r="I8" i="90"/>
  <c r="J17" i="90"/>
  <c r="K17" i="90" s="1"/>
  <c r="I17" i="90"/>
  <c r="J13" i="90"/>
  <c r="I13" i="90"/>
  <c r="J6" i="90"/>
  <c r="K6" i="90" s="1"/>
  <c r="I6" i="90"/>
  <c r="J19" i="90"/>
  <c r="K19" i="90" s="1"/>
  <c r="I19" i="90"/>
  <c r="J20" i="90"/>
  <c r="K20" i="90" s="1"/>
  <c r="I20" i="90"/>
  <c r="J10" i="90"/>
  <c r="I10" i="90"/>
  <c r="J11" i="90"/>
  <c r="I11" i="90"/>
  <c r="J5" i="90"/>
  <c r="I5" i="90"/>
  <c r="J15" i="90"/>
  <c r="K15" i="90" s="1"/>
  <c r="I15" i="90"/>
  <c r="J14" i="90"/>
  <c r="I14" i="90"/>
  <c r="J12" i="90"/>
  <c r="I12" i="90"/>
  <c r="J18" i="90"/>
  <c r="I18" i="90"/>
  <c r="J9" i="90"/>
  <c r="I9" i="90"/>
  <c r="J16" i="90"/>
  <c r="I16" i="90"/>
  <c r="J7" i="90"/>
  <c r="I7" i="90"/>
  <c r="J24" i="89"/>
  <c r="K24" i="89" s="1"/>
  <c r="I24" i="89"/>
  <c r="J18" i="89"/>
  <c r="I18" i="89"/>
  <c r="J23" i="89"/>
  <c r="K23" i="89" s="1"/>
  <c r="I23" i="89"/>
  <c r="J9" i="89"/>
  <c r="K9" i="89" s="1"/>
  <c r="I9" i="89"/>
  <c r="J17" i="89"/>
  <c r="K17" i="89" s="1"/>
  <c r="I17" i="89"/>
  <c r="J19" i="89"/>
  <c r="I19" i="89"/>
  <c r="J5" i="89"/>
  <c r="I5" i="89"/>
  <c r="J8" i="89"/>
  <c r="I8" i="89"/>
  <c r="J12" i="89"/>
  <c r="K12" i="89" s="1"/>
  <c r="I12" i="89"/>
  <c r="J22" i="89"/>
  <c r="K22" i="89" s="1"/>
  <c r="I22" i="89"/>
  <c r="J10" i="89"/>
  <c r="K10" i="89" s="1"/>
  <c r="I10" i="89"/>
  <c r="J6" i="89"/>
  <c r="I6" i="89"/>
  <c r="J15" i="89"/>
  <c r="K15" i="89" s="1"/>
  <c r="I15" i="89"/>
  <c r="J14" i="89"/>
  <c r="I14" i="89"/>
  <c r="J21" i="89"/>
  <c r="I21" i="89"/>
  <c r="J11" i="89"/>
  <c r="I11" i="89"/>
  <c r="J20" i="89"/>
  <c r="I20" i="89"/>
  <c r="J16" i="89"/>
  <c r="I16" i="89"/>
  <c r="J13" i="89"/>
  <c r="I13" i="89"/>
  <c r="J6" i="88"/>
  <c r="K6" i="88" s="1"/>
  <c r="I6" i="88"/>
  <c r="J18" i="88"/>
  <c r="K18" i="88" s="1"/>
  <c r="F21" i="92" s="1"/>
  <c r="I18" i="88"/>
  <c r="J21" i="88"/>
  <c r="K21" i="88" s="1"/>
  <c r="I21" i="88"/>
  <c r="J11" i="88"/>
  <c r="I11" i="88"/>
  <c r="J20" i="88"/>
  <c r="K20" i="88" s="1"/>
  <c r="I20" i="88"/>
  <c r="J14" i="88"/>
  <c r="I14" i="88"/>
  <c r="J23" i="88"/>
  <c r="K23" i="88" s="1"/>
  <c r="I23" i="88"/>
  <c r="J10" i="88"/>
  <c r="I10" i="88"/>
  <c r="J24" i="88"/>
  <c r="I24" i="88"/>
  <c r="J16" i="88"/>
  <c r="K16" i="88" s="1"/>
  <c r="I16" i="88"/>
  <c r="J5" i="88"/>
  <c r="I5" i="88"/>
  <c r="J22" i="88"/>
  <c r="K22" i="88" s="1"/>
  <c r="I22" i="88"/>
  <c r="J8" i="88"/>
  <c r="K8" i="88" s="1"/>
  <c r="I8" i="88"/>
  <c r="J15" i="88"/>
  <c r="I15" i="88"/>
  <c r="J9" i="88"/>
  <c r="I9" i="88"/>
  <c r="J19" i="88"/>
  <c r="I19" i="88"/>
  <c r="J12" i="88"/>
  <c r="I12" i="88"/>
  <c r="J17" i="88"/>
  <c r="I17" i="88"/>
  <c r="J7" i="88"/>
  <c r="I7" i="88"/>
  <c r="J24" i="101"/>
  <c r="K24" i="101" s="1"/>
  <c r="I24" i="101"/>
  <c r="J23" i="101"/>
  <c r="K23" i="101" s="1"/>
  <c r="I23" i="101"/>
  <c r="J22" i="101"/>
  <c r="K22" i="101" s="1"/>
  <c r="I22" i="101"/>
  <c r="J21" i="101"/>
  <c r="K21" i="101" s="1"/>
  <c r="I21" i="101"/>
  <c r="J20" i="101"/>
  <c r="K20" i="101" s="1"/>
  <c r="I20" i="101"/>
  <c r="J19" i="101"/>
  <c r="K19" i="101" s="1"/>
  <c r="I19" i="101"/>
  <c r="J18" i="101"/>
  <c r="K18" i="101" s="1"/>
  <c r="I18" i="101"/>
  <c r="J17" i="101"/>
  <c r="K17" i="101" s="1"/>
  <c r="I17" i="101"/>
  <c r="J16" i="101"/>
  <c r="K16" i="101" s="1"/>
  <c r="I16" i="101"/>
  <c r="J15" i="101"/>
  <c r="K15" i="101" s="1"/>
  <c r="I15" i="101"/>
  <c r="J14" i="101"/>
  <c r="K14" i="101" s="1"/>
  <c r="I14" i="101"/>
  <c r="J13" i="101"/>
  <c r="K13" i="101" s="1"/>
  <c r="I13" i="101"/>
  <c r="J12" i="101"/>
  <c r="K12" i="101" s="1"/>
  <c r="I12" i="101"/>
  <c r="J11" i="101"/>
  <c r="K11" i="101" s="1"/>
  <c r="I11" i="101"/>
  <c r="J10" i="101"/>
  <c r="K10" i="101" s="1"/>
  <c r="I10" i="101"/>
  <c r="J9" i="101"/>
  <c r="K9" i="101" s="1"/>
  <c r="I9" i="101"/>
  <c r="J8" i="101"/>
  <c r="K8" i="101" s="1"/>
  <c r="I8" i="101"/>
  <c r="J7" i="101"/>
  <c r="K7" i="101" s="1"/>
  <c r="I7" i="101"/>
  <c r="J6" i="101"/>
  <c r="K6" i="101" s="1"/>
  <c r="I6" i="101"/>
  <c r="J24" i="100"/>
  <c r="K24" i="100" s="1"/>
  <c r="I24" i="100"/>
  <c r="J23" i="100"/>
  <c r="K23" i="100" s="1"/>
  <c r="I23" i="100"/>
  <c r="J22" i="100"/>
  <c r="K22" i="100" s="1"/>
  <c r="I22" i="100"/>
  <c r="J21" i="100"/>
  <c r="K21" i="100" s="1"/>
  <c r="I21" i="100"/>
  <c r="J20" i="100"/>
  <c r="K20" i="100" s="1"/>
  <c r="I20" i="100"/>
  <c r="J16" i="100"/>
  <c r="K16" i="100" s="1"/>
  <c r="I16" i="100"/>
  <c r="J17" i="100"/>
  <c r="K17" i="100" s="1"/>
  <c r="F10" i="103" s="1"/>
  <c r="I17" i="100"/>
  <c r="J15" i="100"/>
  <c r="K15" i="100" s="1"/>
  <c r="F11" i="103" s="1"/>
  <c r="I15" i="100"/>
  <c r="J9" i="100"/>
  <c r="I9" i="100"/>
  <c r="J8" i="100"/>
  <c r="I8" i="100"/>
  <c r="J18" i="100"/>
  <c r="K18" i="100" s="1"/>
  <c r="I18" i="100"/>
  <c r="J13" i="100"/>
  <c r="K13" i="100" s="1"/>
  <c r="I13" i="100"/>
  <c r="J10" i="100"/>
  <c r="K10" i="100" s="1"/>
  <c r="I10" i="100"/>
  <c r="J5" i="100"/>
  <c r="I5" i="100"/>
  <c r="J11" i="100"/>
  <c r="K11" i="100" s="1"/>
  <c r="F6" i="103" s="1"/>
  <c r="I11" i="100"/>
  <c r="J12" i="100"/>
  <c r="I12" i="100"/>
  <c r="J19" i="100"/>
  <c r="K19" i="100" s="1"/>
  <c r="I19" i="100"/>
  <c r="J7" i="100"/>
  <c r="I7" i="100"/>
  <c r="J6" i="100"/>
  <c r="I6" i="100"/>
  <c r="J24" i="99"/>
  <c r="K24" i="99" s="1"/>
  <c r="I24" i="99"/>
  <c r="J23" i="99"/>
  <c r="K23" i="99" s="1"/>
  <c r="I23" i="99"/>
  <c r="J22" i="99"/>
  <c r="K22" i="99" s="1"/>
  <c r="I22" i="99"/>
  <c r="J21" i="99"/>
  <c r="K21" i="99" s="1"/>
  <c r="I21" i="99"/>
  <c r="J20" i="99"/>
  <c r="K20" i="99" s="1"/>
  <c r="I20" i="99"/>
  <c r="J19" i="99"/>
  <c r="K19" i="99" s="1"/>
  <c r="I19" i="99"/>
  <c r="J18" i="99"/>
  <c r="K18" i="99" s="1"/>
  <c r="I18" i="99"/>
  <c r="J17" i="99"/>
  <c r="K17" i="99" s="1"/>
  <c r="I17" i="99"/>
  <c r="J16" i="99"/>
  <c r="K16" i="99" s="1"/>
  <c r="I16" i="99"/>
  <c r="J15" i="99"/>
  <c r="K15" i="99" s="1"/>
  <c r="I15" i="99"/>
  <c r="J14" i="99"/>
  <c r="K14" i="99" s="1"/>
  <c r="I14" i="99"/>
  <c r="J13" i="99"/>
  <c r="K13" i="99" s="1"/>
  <c r="I13" i="99"/>
  <c r="J12" i="99"/>
  <c r="K12" i="99" s="1"/>
  <c r="I12" i="99"/>
  <c r="J11" i="99"/>
  <c r="K11" i="99" s="1"/>
  <c r="I11" i="99"/>
  <c r="J10" i="99"/>
  <c r="K10" i="99" s="1"/>
  <c r="I10" i="99"/>
  <c r="J9" i="99"/>
  <c r="K9" i="99" s="1"/>
  <c r="I9" i="99"/>
  <c r="J8" i="99"/>
  <c r="K8" i="99" s="1"/>
  <c r="I8" i="99"/>
  <c r="J7" i="99"/>
  <c r="K7" i="99" s="1"/>
  <c r="I7" i="99"/>
  <c r="J6" i="99"/>
  <c r="K6" i="99" s="1"/>
  <c r="I6" i="99"/>
  <c r="J24" i="98"/>
  <c r="K24" i="98" s="1"/>
  <c r="I24" i="98"/>
  <c r="J23" i="98"/>
  <c r="K23" i="98" s="1"/>
  <c r="I23" i="98"/>
  <c r="J22" i="98"/>
  <c r="K22" i="98" s="1"/>
  <c r="I22" i="98"/>
  <c r="J21" i="98"/>
  <c r="K21" i="98" s="1"/>
  <c r="I21" i="98"/>
  <c r="J20" i="98"/>
  <c r="K20" i="98" s="1"/>
  <c r="I20" i="98"/>
  <c r="J19" i="98"/>
  <c r="K19" i="98" s="1"/>
  <c r="I19" i="98"/>
  <c r="J18" i="98"/>
  <c r="K18" i="98" s="1"/>
  <c r="I18" i="98"/>
  <c r="J17" i="98"/>
  <c r="K17" i="98" s="1"/>
  <c r="I17" i="98"/>
  <c r="J16" i="98"/>
  <c r="K16" i="98" s="1"/>
  <c r="I16" i="98"/>
  <c r="J15" i="98"/>
  <c r="K15" i="98" s="1"/>
  <c r="I15" i="98"/>
  <c r="J14" i="98"/>
  <c r="K14" i="98" s="1"/>
  <c r="I14" i="98"/>
  <c r="J13" i="98"/>
  <c r="K13" i="98" s="1"/>
  <c r="I13" i="98"/>
  <c r="J12" i="98"/>
  <c r="K12" i="98" s="1"/>
  <c r="I12" i="98"/>
  <c r="J11" i="98"/>
  <c r="K11" i="98" s="1"/>
  <c r="I11" i="98"/>
  <c r="J10" i="98"/>
  <c r="K10" i="98" s="1"/>
  <c r="I10" i="98"/>
  <c r="J9" i="98"/>
  <c r="K9" i="98" s="1"/>
  <c r="I9" i="98"/>
  <c r="J8" i="98"/>
  <c r="K8" i="98" s="1"/>
  <c r="I8" i="98"/>
  <c r="J7" i="98"/>
  <c r="K7" i="98" s="1"/>
  <c r="I7" i="98"/>
  <c r="J6" i="98"/>
  <c r="K6" i="98" s="1"/>
  <c r="I6" i="98"/>
  <c r="J24" i="97"/>
  <c r="K24" i="97" s="1"/>
  <c r="I24" i="97"/>
  <c r="J23" i="97"/>
  <c r="K23" i="97" s="1"/>
  <c r="I23" i="97"/>
  <c r="J22" i="97"/>
  <c r="K22" i="97" s="1"/>
  <c r="I22" i="97"/>
  <c r="J21" i="97"/>
  <c r="K21" i="97" s="1"/>
  <c r="I21" i="97"/>
  <c r="J20" i="97"/>
  <c r="K20" i="97" s="1"/>
  <c r="I20" i="97"/>
  <c r="J19" i="97"/>
  <c r="K19" i="97" s="1"/>
  <c r="I19" i="97"/>
  <c r="J18" i="97"/>
  <c r="K18" i="97" s="1"/>
  <c r="I18" i="97"/>
  <c r="J17" i="97"/>
  <c r="K17" i="97" s="1"/>
  <c r="I17" i="97"/>
  <c r="J16" i="97"/>
  <c r="K16" i="97" s="1"/>
  <c r="I16" i="97"/>
  <c r="J15" i="97"/>
  <c r="K15" i="97" s="1"/>
  <c r="I15" i="97"/>
  <c r="J6" i="97"/>
  <c r="K6" i="97" s="1"/>
  <c r="I6" i="97"/>
  <c r="J14" i="97"/>
  <c r="K14" i="97" s="1"/>
  <c r="I14" i="97"/>
  <c r="J7" i="97"/>
  <c r="K7" i="97" s="1"/>
  <c r="I7" i="97"/>
  <c r="J13" i="97"/>
  <c r="K13" i="97" s="1"/>
  <c r="I13" i="97"/>
  <c r="J9" i="97"/>
  <c r="K9" i="97" s="1"/>
  <c r="I9" i="97"/>
  <c r="J10" i="97"/>
  <c r="K10" i="97" s="1"/>
  <c r="I10" i="97"/>
  <c r="J5" i="97"/>
  <c r="K5" i="97" s="1"/>
  <c r="I5" i="97"/>
  <c r="J11" i="97"/>
  <c r="I11" i="97"/>
  <c r="J8" i="97"/>
  <c r="K8" i="97" s="1"/>
  <c r="I8" i="97"/>
  <c r="J24" i="96"/>
  <c r="K24" i="96" s="1"/>
  <c r="I24" i="96"/>
  <c r="J23" i="96"/>
  <c r="K23" i="96" s="1"/>
  <c r="I23" i="96"/>
  <c r="J22" i="96"/>
  <c r="K22" i="96" s="1"/>
  <c r="I22" i="96"/>
  <c r="J21" i="96"/>
  <c r="K21" i="96" s="1"/>
  <c r="I21" i="96"/>
  <c r="J20" i="96"/>
  <c r="K20" i="96" s="1"/>
  <c r="I20" i="96"/>
  <c r="J19" i="96"/>
  <c r="K19" i="96" s="1"/>
  <c r="I19" i="96"/>
  <c r="J18" i="96"/>
  <c r="K18" i="96" s="1"/>
  <c r="I18" i="96"/>
  <c r="J17" i="96"/>
  <c r="K17" i="96" s="1"/>
  <c r="I17" i="96"/>
  <c r="J16" i="96"/>
  <c r="K16" i="96" s="1"/>
  <c r="I16" i="96"/>
  <c r="J15" i="96"/>
  <c r="K15" i="96" s="1"/>
  <c r="I15" i="96"/>
  <c r="J12" i="96"/>
  <c r="K12" i="96" s="1"/>
  <c r="I12" i="96"/>
  <c r="J9" i="96"/>
  <c r="K9" i="96" s="1"/>
  <c r="I9" i="96"/>
  <c r="J11" i="96"/>
  <c r="I11" i="96"/>
  <c r="J8" i="96"/>
  <c r="I8" i="96"/>
  <c r="J13" i="96"/>
  <c r="I13" i="96"/>
  <c r="J7" i="96"/>
  <c r="I7" i="96"/>
  <c r="J10" i="96"/>
  <c r="K10" i="96" s="1"/>
  <c r="I10" i="96"/>
  <c r="J14" i="96"/>
  <c r="I14" i="96"/>
  <c r="J6" i="96"/>
  <c r="I6" i="96"/>
  <c r="J24" i="95"/>
  <c r="K24" i="95" s="1"/>
  <c r="I24" i="95"/>
  <c r="J23" i="95"/>
  <c r="K23" i="95" s="1"/>
  <c r="I23" i="95"/>
  <c r="J22" i="95"/>
  <c r="K22" i="95" s="1"/>
  <c r="I22" i="95"/>
  <c r="J21" i="95"/>
  <c r="K21" i="95" s="1"/>
  <c r="I21" i="95"/>
  <c r="J12" i="95"/>
  <c r="K12" i="95" s="1"/>
  <c r="I12" i="95"/>
  <c r="J20" i="95"/>
  <c r="K20" i="95" s="1"/>
  <c r="I20" i="95"/>
  <c r="J11" i="95"/>
  <c r="I11" i="95"/>
  <c r="J18" i="95"/>
  <c r="K18" i="95" s="1"/>
  <c r="I18" i="95"/>
  <c r="J16" i="95"/>
  <c r="I16" i="95"/>
  <c r="J9" i="95"/>
  <c r="I9" i="95"/>
  <c r="J7" i="95"/>
  <c r="K7" i="95" s="1"/>
  <c r="I7" i="95"/>
  <c r="J19" i="95"/>
  <c r="I19" i="95"/>
  <c r="J8" i="95"/>
  <c r="K8" i="95" s="1"/>
  <c r="I8" i="95"/>
  <c r="J13" i="95"/>
  <c r="I13" i="95"/>
  <c r="J6" i="95"/>
  <c r="I6" i="95"/>
  <c r="J17" i="95"/>
  <c r="I17" i="95"/>
  <c r="J15" i="95"/>
  <c r="K15" i="95" s="1"/>
  <c r="I15" i="95"/>
  <c r="J5" i="95"/>
  <c r="I5" i="95"/>
  <c r="J14" i="95"/>
  <c r="I14" i="95"/>
  <c r="J24" i="94"/>
  <c r="K24" i="94" s="1"/>
  <c r="I24" i="94"/>
  <c r="J23" i="94"/>
  <c r="K23" i="94" s="1"/>
  <c r="I23" i="94"/>
  <c r="J22" i="94"/>
  <c r="K22" i="94" s="1"/>
  <c r="I22" i="94"/>
  <c r="K6" i="71" l="1"/>
  <c r="K10" i="51"/>
  <c r="K11" i="50"/>
  <c r="K5" i="53"/>
  <c r="K8" i="73"/>
  <c r="K7" i="72"/>
  <c r="K10" i="72"/>
  <c r="K12" i="79"/>
  <c r="K8" i="52"/>
  <c r="K17" i="52"/>
  <c r="K9" i="52"/>
  <c r="K8" i="51"/>
  <c r="K6" i="51"/>
  <c r="K5" i="50"/>
  <c r="K7" i="50"/>
  <c r="K17" i="50"/>
  <c r="K20" i="50"/>
  <c r="K5" i="49"/>
  <c r="K8" i="49"/>
  <c r="K5" i="56"/>
  <c r="K22" i="56"/>
  <c r="K22" i="55"/>
  <c r="K6" i="55"/>
  <c r="K7" i="54"/>
  <c r="K8" i="54"/>
  <c r="K23" i="54"/>
  <c r="K11" i="54"/>
  <c r="K17" i="54"/>
  <c r="K5" i="54"/>
  <c r="K21" i="53"/>
  <c r="K5" i="75"/>
  <c r="K11" i="75"/>
  <c r="K6" i="75"/>
  <c r="K12" i="74"/>
  <c r="K8" i="74"/>
  <c r="K7" i="74"/>
  <c r="K13" i="74"/>
  <c r="K12" i="73"/>
  <c r="F17" i="76" s="1"/>
  <c r="G17" i="76" s="1"/>
  <c r="K18" i="73"/>
  <c r="K5" i="73"/>
  <c r="K16" i="73"/>
  <c r="K6" i="72"/>
  <c r="K8" i="72"/>
  <c r="K22" i="72"/>
  <c r="K12" i="72"/>
  <c r="K11" i="74"/>
  <c r="K11" i="80"/>
  <c r="K6" i="80"/>
  <c r="K12" i="78"/>
  <c r="K11" i="78"/>
  <c r="K31" i="78"/>
  <c r="K17" i="78"/>
  <c r="K26" i="78"/>
  <c r="K9" i="77"/>
  <c r="K5" i="77"/>
  <c r="K8" i="77"/>
  <c r="K7" i="77"/>
  <c r="K20" i="77"/>
  <c r="K24" i="77"/>
  <c r="K6" i="85"/>
  <c r="K8" i="84"/>
  <c r="K11" i="84"/>
  <c r="K12" i="84"/>
  <c r="K5" i="84"/>
  <c r="K9" i="83"/>
  <c r="K5" i="83"/>
  <c r="K7" i="82"/>
  <c r="K6" i="91"/>
  <c r="K12" i="90"/>
  <c r="K5" i="89"/>
  <c r="K13" i="89"/>
  <c r="K19" i="89"/>
  <c r="K11" i="89"/>
  <c r="K10" i="88"/>
  <c r="K11" i="88"/>
  <c r="K9" i="100"/>
  <c r="K8" i="100"/>
  <c r="K7" i="100"/>
  <c r="F9" i="103" s="1"/>
  <c r="K5" i="100"/>
  <c r="K16" i="84"/>
  <c r="K5" i="90"/>
  <c r="K10" i="90"/>
  <c r="K13" i="90"/>
  <c r="K17" i="88"/>
  <c r="K6" i="95"/>
  <c r="K11" i="95"/>
  <c r="K8" i="71"/>
  <c r="K17" i="71"/>
  <c r="K13" i="79"/>
  <c r="K7" i="79"/>
  <c r="K18" i="79"/>
  <c r="K12" i="100"/>
  <c r="K5" i="52"/>
  <c r="K11" i="52"/>
  <c r="K6" i="49"/>
  <c r="K11" i="55"/>
  <c r="F16" i="57" s="1"/>
  <c r="K14" i="54"/>
  <c r="K9" i="75"/>
  <c r="K7" i="71"/>
  <c r="K5" i="71"/>
  <c r="K16" i="78"/>
  <c r="K14" i="77"/>
  <c r="K15" i="77"/>
  <c r="K17" i="77"/>
  <c r="K13" i="56"/>
  <c r="K9" i="56"/>
  <c r="K6" i="100"/>
  <c r="K11" i="97"/>
  <c r="K6" i="96"/>
  <c r="F5" i="102" s="1"/>
  <c r="G5" i="102" s="1"/>
  <c r="K11" i="96"/>
  <c r="K8" i="96"/>
  <c r="K13" i="96"/>
  <c r="K17" i="95"/>
  <c r="K9" i="95"/>
  <c r="K5" i="95"/>
  <c r="K19" i="95"/>
  <c r="K12" i="85"/>
  <c r="K9" i="85"/>
  <c r="K19" i="85"/>
  <c r="K15" i="84"/>
  <c r="K13" i="84"/>
  <c r="K19" i="84"/>
  <c r="K7" i="84"/>
  <c r="K9" i="84"/>
  <c r="K13" i="83"/>
  <c r="F19" i="87" s="1"/>
  <c r="K7" i="83"/>
  <c r="K8" i="83"/>
  <c r="K8" i="82"/>
  <c r="K12" i="91"/>
  <c r="K9" i="90"/>
  <c r="K7" i="90"/>
  <c r="K11" i="90"/>
  <c r="K14" i="89"/>
  <c r="K6" i="89"/>
  <c r="K18" i="89"/>
  <c r="K8" i="89"/>
  <c r="K16" i="89"/>
  <c r="K7" i="88"/>
  <c r="K5" i="88"/>
  <c r="K12" i="88"/>
  <c r="K9" i="88"/>
  <c r="K24" i="88"/>
  <c r="K10" i="75"/>
  <c r="K5" i="72"/>
  <c r="K14" i="72"/>
  <c r="K15" i="71"/>
  <c r="K6" i="79"/>
  <c r="F9" i="81" s="1"/>
  <c r="K27" i="79"/>
  <c r="K11" i="79"/>
  <c r="K7" i="78"/>
  <c r="K11" i="77"/>
  <c r="F8" i="81" s="1"/>
  <c r="G8" i="81" s="1"/>
  <c r="K7" i="51"/>
  <c r="K9" i="51"/>
  <c r="K10" i="50"/>
  <c r="K8" i="50"/>
  <c r="K12" i="49"/>
  <c r="K20" i="56"/>
  <c r="K24" i="56"/>
  <c r="K16" i="55"/>
  <c r="K12" i="55"/>
  <c r="K21" i="55"/>
  <c r="K15" i="54"/>
  <c r="K6" i="53"/>
  <c r="K13" i="71"/>
  <c r="K8" i="91"/>
  <c r="K21" i="89"/>
  <c r="K13" i="91"/>
  <c r="K20" i="72"/>
  <c r="K17" i="73"/>
  <c r="K6" i="73"/>
  <c r="K8" i="75"/>
  <c r="K22" i="53"/>
  <c r="K13" i="53"/>
  <c r="K18" i="54"/>
  <c r="K17" i="55"/>
  <c r="K19" i="88"/>
  <c r="K15" i="88"/>
  <c r="K14" i="88"/>
  <c r="K20" i="89"/>
  <c r="K5" i="91"/>
  <c r="K11" i="72"/>
  <c r="K7" i="73"/>
  <c r="K14" i="73"/>
  <c r="K18" i="74"/>
  <c r="K20" i="75"/>
  <c r="K19" i="53"/>
  <c r="F22" i="57" s="1"/>
  <c r="K9" i="54"/>
  <c r="K5" i="55"/>
  <c r="K7" i="56"/>
  <c r="F9" i="57" s="1"/>
  <c r="K18" i="56"/>
  <c r="K19" i="56"/>
  <c r="K11" i="82"/>
  <c r="K7" i="85"/>
  <c r="K14" i="85"/>
  <c r="K10" i="71"/>
  <c r="K11" i="49"/>
  <c r="K7" i="96"/>
  <c r="K14" i="96"/>
  <c r="O7" i="96"/>
  <c r="K14" i="95"/>
  <c r="K16" i="95"/>
  <c r="K13" i="95"/>
  <c r="K16" i="90"/>
  <c r="K14" i="90"/>
  <c r="K18" i="90"/>
  <c r="K5" i="85"/>
  <c r="K10" i="83"/>
  <c r="K6" i="83"/>
  <c r="K12" i="83"/>
  <c r="K9" i="82"/>
  <c r="K14" i="82"/>
  <c r="K5" i="82"/>
  <c r="F7" i="87" s="1"/>
  <c r="G7" i="87" s="1"/>
  <c r="K20" i="71"/>
  <c r="F23" i="76" s="1"/>
  <c r="G23" i="76" s="1"/>
  <c r="K14" i="71"/>
  <c r="K5" i="79"/>
  <c r="K16" i="79"/>
  <c r="K14" i="78"/>
  <c r="K16" i="77"/>
  <c r="K6" i="77"/>
  <c r="K10" i="52"/>
  <c r="K7" i="52"/>
  <c r="K14" i="51"/>
  <c r="K12" i="51"/>
  <c r="K5" i="51"/>
  <c r="K13" i="50"/>
  <c r="K6" i="50"/>
  <c r="K13" i="49"/>
  <c r="K14" i="49"/>
  <c r="K9" i="49"/>
  <c r="K10" i="55"/>
  <c r="K8" i="55"/>
  <c r="K15" i="55"/>
  <c r="F24" i="57" s="1"/>
  <c r="H24" i="57" s="1"/>
  <c r="K10" i="54"/>
  <c r="K22" i="54"/>
  <c r="K23" i="53"/>
  <c r="K20" i="53"/>
  <c r="K18" i="53"/>
  <c r="K5" i="78"/>
  <c r="E13" i="90"/>
  <c r="F13" i="90"/>
  <c r="G13" i="90" s="1"/>
  <c r="M13" i="90"/>
  <c r="N13" i="90"/>
  <c r="O13" i="90" s="1"/>
  <c r="Q13" i="90"/>
  <c r="R13" i="90"/>
  <c r="U13" i="90"/>
  <c r="V13" i="90"/>
  <c r="W13" i="90" s="1"/>
  <c r="Y13" i="90"/>
  <c r="Z13" i="90"/>
  <c r="AA13" i="90" s="1"/>
  <c r="AC13" i="90"/>
  <c r="AD13" i="90"/>
  <c r="E6" i="85"/>
  <c r="F6" i="85"/>
  <c r="G6" i="85" s="1"/>
  <c r="M6" i="85"/>
  <c r="N6" i="85"/>
  <c r="O6" i="85" s="1"/>
  <c r="Q6" i="85"/>
  <c r="R6" i="85"/>
  <c r="U6" i="85"/>
  <c r="V6" i="85"/>
  <c r="Y6" i="85"/>
  <c r="Z6" i="85"/>
  <c r="AA6" i="85" s="1"/>
  <c r="AC6" i="85"/>
  <c r="AD6" i="85"/>
  <c r="AE6" i="85" s="1"/>
  <c r="J13" i="77"/>
  <c r="Y14" i="103"/>
  <c r="Z10" i="103"/>
  <c r="Y6" i="103"/>
  <c r="Y15" i="103"/>
  <c r="Y16" i="103"/>
  <c r="Z17" i="103"/>
  <c r="Y19" i="103"/>
  <c r="Z20" i="103"/>
  <c r="Z21" i="103"/>
  <c r="Y23" i="103"/>
  <c r="Z24" i="103"/>
  <c r="W13" i="103"/>
  <c r="V16" i="103"/>
  <c r="V17" i="103"/>
  <c r="W18" i="103"/>
  <c r="V20" i="103"/>
  <c r="W21" i="103"/>
  <c r="W22" i="103"/>
  <c r="V24" i="103"/>
  <c r="T13" i="103"/>
  <c r="T14" i="103"/>
  <c r="S15" i="103"/>
  <c r="S17" i="103"/>
  <c r="T18" i="103"/>
  <c r="T19" i="103"/>
  <c r="T21" i="103"/>
  <c r="T22" i="103"/>
  <c r="S23" i="103"/>
  <c r="P13" i="103"/>
  <c r="P14" i="103"/>
  <c r="Q15" i="103"/>
  <c r="Q16" i="103"/>
  <c r="P18" i="103"/>
  <c r="Q19" i="103"/>
  <c r="P20" i="103"/>
  <c r="Q22" i="103"/>
  <c r="Q23" i="103"/>
  <c r="P24" i="103"/>
  <c r="M13" i="103"/>
  <c r="M14" i="103"/>
  <c r="M15" i="103"/>
  <c r="M16" i="103"/>
  <c r="N17" i="103"/>
  <c r="N19" i="103"/>
  <c r="N20" i="103"/>
  <c r="N21" i="103"/>
  <c r="N23" i="103"/>
  <c r="N24" i="103"/>
  <c r="K13" i="103"/>
  <c r="J16" i="103"/>
  <c r="K17" i="103"/>
  <c r="K18" i="103"/>
  <c r="K20" i="103"/>
  <c r="J21" i="103"/>
  <c r="K22" i="103"/>
  <c r="J24" i="103"/>
  <c r="G13" i="103"/>
  <c r="H14" i="103"/>
  <c r="H15" i="103"/>
  <c r="G17" i="103"/>
  <c r="G21" i="103"/>
  <c r="H22" i="103"/>
  <c r="G23" i="103"/>
  <c r="D13" i="103"/>
  <c r="D14" i="103"/>
  <c r="E15" i="103"/>
  <c r="E16" i="103"/>
  <c r="D18" i="103"/>
  <c r="E19" i="103"/>
  <c r="E20" i="103"/>
  <c r="D22" i="103"/>
  <c r="E23" i="103"/>
  <c r="E24" i="103"/>
  <c r="Z24" i="102"/>
  <c r="Y23" i="102"/>
  <c r="Z21" i="102"/>
  <c r="Z6" i="102"/>
  <c r="Y19" i="102"/>
  <c r="Z8" i="102"/>
  <c r="Z20" i="102"/>
  <c r="V24" i="102"/>
  <c r="W22" i="102"/>
  <c r="W21" i="102"/>
  <c r="T23" i="102"/>
  <c r="T22" i="102"/>
  <c r="S21" i="102"/>
  <c r="Q24" i="102"/>
  <c r="Q23" i="102"/>
  <c r="P22" i="102"/>
  <c r="N24" i="102"/>
  <c r="M23" i="102"/>
  <c r="N21" i="102"/>
  <c r="J24" i="102"/>
  <c r="K22" i="102"/>
  <c r="K21" i="102"/>
  <c r="G21" i="102"/>
  <c r="H22" i="102"/>
  <c r="H23" i="102"/>
  <c r="D22" i="102"/>
  <c r="E23" i="102"/>
  <c r="D24" i="102"/>
  <c r="W24" i="103"/>
  <c r="AD24" i="101"/>
  <c r="AE24" i="101" s="1"/>
  <c r="AC24" i="101"/>
  <c r="Z24" i="101"/>
  <c r="AA24" i="101" s="1"/>
  <c r="Y24" i="101"/>
  <c r="V24" i="101"/>
  <c r="W24" i="101" s="1"/>
  <c r="U24" i="101"/>
  <c r="R24" i="101"/>
  <c r="S24" i="101" s="1"/>
  <c r="Q24" i="101"/>
  <c r="N24" i="101"/>
  <c r="O24" i="101" s="1"/>
  <c r="M24" i="101"/>
  <c r="F24" i="101"/>
  <c r="G24" i="101" s="1"/>
  <c r="E24" i="101"/>
  <c r="AD23" i="101"/>
  <c r="AE23" i="101" s="1"/>
  <c r="AC23" i="101"/>
  <c r="Z23" i="101"/>
  <c r="AA23" i="101" s="1"/>
  <c r="Y23" i="101"/>
  <c r="V23" i="101"/>
  <c r="W23" i="101" s="1"/>
  <c r="U23" i="101"/>
  <c r="R23" i="101"/>
  <c r="S23" i="101" s="1"/>
  <c r="Q23" i="101"/>
  <c r="N23" i="101"/>
  <c r="O23" i="101" s="1"/>
  <c r="M23" i="101"/>
  <c r="F23" i="101"/>
  <c r="G23" i="101" s="1"/>
  <c r="E23" i="101"/>
  <c r="AD22" i="101"/>
  <c r="AE22" i="101" s="1"/>
  <c r="AC22" i="101"/>
  <c r="Z22" i="101"/>
  <c r="AA22" i="101" s="1"/>
  <c r="Y22" i="101"/>
  <c r="V22" i="101"/>
  <c r="W22" i="101" s="1"/>
  <c r="U22" i="101"/>
  <c r="R22" i="101"/>
  <c r="S22" i="101" s="1"/>
  <c r="Q22" i="101"/>
  <c r="N22" i="101"/>
  <c r="O22" i="101" s="1"/>
  <c r="M22" i="101"/>
  <c r="F22" i="101"/>
  <c r="G22" i="101" s="1"/>
  <c r="E22" i="101"/>
  <c r="AD21" i="101"/>
  <c r="AE21" i="101" s="1"/>
  <c r="AC21" i="101"/>
  <c r="Z21" i="101"/>
  <c r="AA21" i="101" s="1"/>
  <c r="Y21" i="101"/>
  <c r="V21" i="101"/>
  <c r="W21" i="101" s="1"/>
  <c r="U21" i="101"/>
  <c r="R21" i="101"/>
  <c r="S21" i="101" s="1"/>
  <c r="Q21" i="101"/>
  <c r="N21" i="101"/>
  <c r="O21" i="101" s="1"/>
  <c r="M21" i="101"/>
  <c r="F21" i="101"/>
  <c r="G21" i="101" s="1"/>
  <c r="E21" i="101"/>
  <c r="AD20" i="101"/>
  <c r="AE20" i="101" s="1"/>
  <c r="AC20" i="101"/>
  <c r="Z20" i="101"/>
  <c r="AA20" i="101" s="1"/>
  <c r="Y20" i="101"/>
  <c r="V20" i="101"/>
  <c r="W20" i="101" s="1"/>
  <c r="U20" i="101"/>
  <c r="R20" i="101"/>
  <c r="S20" i="101" s="1"/>
  <c r="Q20" i="101"/>
  <c r="N20" i="101"/>
  <c r="O20" i="101" s="1"/>
  <c r="M20" i="101"/>
  <c r="F20" i="101"/>
  <c r="G20" i="101" s="1"/>
  <c r="E20" i="101"/>
  <c r="AD19" i="101"/>
  <c r="AE19" i="101" s="1"/>
  <c r="AC19" i="101"/>
  <c r="Z19" i="101"/>
  <c r="AA19" i="101" s="1"/>
  <c r="Y19" i="101"/>
  <c r="V19" i="101"/>
  <c r="W19" i="101" s="1"/>
  <c r="U19" i="101"/>
  <c r="R19" i="101"/>
  <c r="S19" i="101" s="1"/>
  <c r="Q19" i="101"/>
  <c r="N19" i="101"/>
  <c r="O19" i="101" s="1"/>
  <c r="M19" i="101"/>
  <c r="F19" i="101"/>
  <c r="G19" i="101" s="1"/>
  <c r="E19" i="101"/>
  <c r="AD18" i="101"/>
  <c r="AE18" i="101" s="1"/>
  <c r="AC18" i="101"/>
  <c r="Z18" i="101"/>
  <c r="AA18" i="101" s="1"/>
  <c r="Y18" i="101"/>
  <c r="V18" i="101"/>
  <c r="W18" i="101" s="1"/>
  <c r="U18" i="101"/>
  <c r="R18" i="101"/>
  <c r="S18" i="101" s="1"/>
  <c r="Q18" i="101"/>
  <c r="N18" i="101"/>
  <c r="O18" i="101" s="1"/>
  <c r="M18" i="101"/>
  <c r="F18" i="101"/>
  <c r="G18" i="101" s="1"/>
  <c r="E18" i="101"/>
  <c r="AD17" i="101"/>
  <c r="AE17" i="101" s="1"/>
  <c r="AC17" i="101"/>
  <c r="Z17" i="101"/>
  <c r="AA17" i="101" s="1"/>
  <c r="Y17" i="101"/>
  <c r="V17" i="101"/>
  <c r="W17" i="101" s="1"/>
  <c r="U17" i="101"/>
  <c r="R17" i="101"/>
  <c r="S17" i="101" s="1"/>
  <c r="Q17" i="101"/>
  <c r="N17" i="101"/>
  <c r="O17" i="101" s="1"/>
  <c r="M17" i="101"/>
  <c r="F17" i="101"/>
  <c r="G17" i="101" s="1"/>
  <c r="E17" i="101"/>
  <c r="AD16" i="101"/>
  <c r="AE16" i="101" s="1"/>
  <c r="AC16" i="101"/>
  <c r="Z16" i="101"/>
  <c r="AA16" i="101" s="1"/>
  <c r="Y16" i="101"/>
  <c r="V16" i="101"/>
  <c r="W16" i="101" s="1"/>
  <c r="U16" i="101"/>
  <c r="R16" i="101"/>
  <c r="S16" i="101" s="1"/>
  <c r="Q16" i="101"/>
  <c r="N16" i="101"/>
  <c r="O16" i="101" s="1"/>
  <c r="M16" i="101"/>
  <c r="F16" i="101"/>
  <c r="G16" i="101" s="1"/>
  <c r="E16" i="101"/>
  <c r="AD15" i="101"/>
  <c r="AE15" i="101" s="1"/>
  <c r="AC15" i="101"/>
  <c r="Z15" i="101"/>
  <c r="AA15" i="101" s="1"/>
  <c r="Y15" i="101"/>
  <c r="V15" i="101"/>
  <c r="W15" i="101" s="1"/>
  <c r="U15" i="101"/>
  <c r="R15" i="101"/>
  <c r="S15" i="101" s="1"/>
  <c r="Q15" i="101"/>
  <c r="N15" i="101"/>
  <c r="O15" i="101" s="1"/>
  <c r="M15" i="101"/>
  <c r="F15" i="101"/>
  <c r="G15" i="101" s="1"/>
  <c r="E15" i="101"/>
  <c r="AD14" i="101"/>
  <c r="AE14" i="101" s="1"/>
  <c r="AC14" i="101"/>
  <c r="Z14" i="101"/>
  <c r="AA14" i="101" s="1"/>
  <c r="Y14" i="101"/>
  <c r="V14" i="101"/>
  <c r="W14" i="101" s="1"/>
  <c r="U14" i="101"/>
  <c r="R14" i="101"/>
  <c r="S14" i="101" s="1"/>
  <c r="Q14" i="101"/>
  <c r="N14" i="101"/>
  <c r="O14" i="101" s="1"/>
  <c r="M14" i="101"/>
  <c r="F14" i="101"/>
  <c r="G14" i="101" s="1"/>
  <c r="E14" i="101"/>
  <c r="AD13" i="101"/>
  <c r="AE13" i="101" s="1"/>
  <c r="AC13" i="101"/>
  <c r="Z13" i="101"/>
  <c r="AA13" i="101" s="1"/>
  <c r="Y13" i="101"/>
  <c r="V13" i="101"/>
  <c r="W13" i="101" s="1"/>
  <c r="U13" i="101"/>
  <c r="R13" i="101"/>
  <c r="S13" i="101" s="1"/>
  <c r="Q13" i="101"/>
  <c r="N13" i="101"/>
  <c r="O13" i="101" s="1"/>
  <c r="M13" i="101"/>
  <c r="F13" i="101"/>
  <c r="G13" i="101" s="1"/>
  <c r="E13" i="101"/>
  <c r="AD12" i="101"/>
  <c r="AE12" i="101" s="1"/>
  <c r="AC12" i="101"/>
  <c r="Z12" i="101"/>
  <c r="AA12" i="101" s="1"/>
  <c r="Y12" i="101"/>
  <c r="V12" i="101"/>
  <c r="W12" i="101" s="1"/>
  <c r="U12" i="101"/>
  <c r="R12" i="101"/>
  <c r="S12" i="101" s="1"/>
  <c r="Q12" i="101"/>
  <c r="N12" i="101"/>
  <c r="O12" i="101" s="1"/>
  <c r="M12" i="101"/>
  <c r="F12" i="101"/>
  <c r="G12" i="101" s="1"/>
  <c r="E12" i="101"/>
  <c r="AD11" i="101"/>
  <c r="AE11" i="101" s="1"/>
  <c r="AC11" i="101"/>
  <c r="Z11" i="101"/>
  <c r="AA11" i="101" s="1"/>
  <c r="Y11" i="101"/>
  <c r="V11" i="101"/>
  <c r="W11" i="101" s="1"/>
  <c r="U11" i="101"/>
  <c r="R11" i="101"/>
  <c r="S11" i="101" s="1"/>
  <c r="Q11" i="101"/>
  <c r="N11" i="101"/>
  <c r="O11" i="101" s="1"/>
  <c r="M11" i="101"/>
  <c r="F11" i="101"/>
  <c r="G11" i="101" s="1"/>
  <c r="E11" i="101"/>
  <c r="AD10" i="101"/>
  <c r="AE10" i="101" s="1"/>
  <c r="AC10" i="101"/>
  <c r="Z10" i="101"/>
  <c r="AA10" i="101" s="1"/>
  <c r="Y10" i="101"/>
  <c r="V10" i="101"/>
  <c r="W10" i="101" s="1"/>
  <c r="U10" i="101"/>
  <c r="R10" i="101"/>
  <c r="S10" i="101" s="1"/>
  <c r="Q10" i="101"/>
  <c r="N10" i="101"/>
  <c r="O10" i="101" s="1"/>
  <c r="M10" i="101"/>
  <c r="F10" i="101"/>
  <c r="G10" i="101" s="1"/>
  <c r="E10" i="101"/>
  <c r="AD9" i="101"/>
  <c r="AE9" i="101" s="1"/>
  <c r="AC9" i="101"/>
  <c r="Z9" i="101"/>
  <c r="AA9" i="101" s="1"/>
  <c r="Y9" i="101"/>
  <c r="V9" i="101"/>
  <c r="W9" i="101" s="1"/>
  <c r="U9" i="101"/>
  <c r="R9" i="101"/>
  <c r="S9" i="101" s="1"/>
  <c r="Q9" i="101"/>
  <c r="N9" i="101"/>
  <c r="O9" i="101" s="1"/>
  <c r="M9" i="101"/>
  <c r="F9" i="101"/>
  <c r="G9" i="101" s="1"/>
  <c r="E9" i="101"/>
  <c r="AD8" i="101"/>
  <c r="AE8" i="101" s="1"/>
  <c r="AC8" i="101"/>
  <c r="Z8" i="101"/>
  <c r="AA8" i="101" s="1"/>
  <c r="Y8" i="101"/>
  <c r="V8" i="101"/>
  <c r="W8" i="101" s="1"/>
  <c r="U8" i="101"/>
  <c r="R8" i="101"/>
  <c r="S8" i="101" s="1"/>
  <c r="Q8" i="101"/>
  <c r="N8" i="101"/>
  <c r="O8" i="101" s="1"/>
  <c r="M8" i="101"/>
  <c r="F8" i="101"/>
  <c r="G8" i="101" s="1"/>
  <c r="E8" i="101"/>
  <c r="AD7" i="101"/>
  <c r="AE7" i="101" s="1"/>
  <c r="AC7" i="101"/>
  <c r="Z7" i="101"/>
  <c r="AA7" i="101" s="1"/>
  <c r="Y7" i="101"/>
  <c r="V7" i="101"/>
  <c r="W7" i="101" s="1"/>
  <c r="U7" i="101"/>
  <c r="R7" i="101"/>
  <c r="S7" i="101" s="1"/>
  <c r="Q7" i="101"/>
  <c r="N7" i="101"/>
  <c r="O7" i="101" s="1"/>
  <c r="M7" i="101"/>
  <c r="F7" i="101"/>
  <c r="G7" i="101" s="1"/>
  <c r="E7" i="101"/>
  <c r="AD6" i="101"/>
  <c r="AE6" i="101" s="1"/>
  <c r="AC6" i="101"/>
  <c r="Z6" i="101"/>
  <c r="AA6" i="101" s="1"/>
  <c r="Y6" i="101"/>
  <c r="V6" i="101"/>
  <c r="W6" i="101" s="1"/>
  <c r="U6" i="101"/>
  <c r="R6" i="101"/>
  <c r="S6" i="101" s="1"/>
  <c r="Q6" i="101"/>
  <c r="N6" i="101"/>
  <c r="O6" i="101" s="1"/>
  <c r="M6" i="101"/>
  <c r="F6" i="101"/>
  <c r="G6" i="101" s="1"/>
  <c r="E6" i="101"/>
  <c r="Z9" i="103"/>
  <c r="AD5" i="101"/>
  <c r="AE5" i="101" s="1"/>
  <c r="AC5" i="101"/>
  <c r="Z5" i="101"/>
  <c r="AA5" i="101" s="1"/>
  <c r="Y5" i="101"/>
  <c r="V5" i="101"/>
  <c r="W5" i="101" s="1"/>
  <c r="U5" i="101"/>
  <c r="R5" i="101"/>
  <c r="Q5" i="101"/>
  <c r="N5" i="101"/>
  <c r="O5" i="101" s="1"/>
  <c r="M5" i="101"/>
  <c r="J5" i="101"/>
  <c r="K5" i="101" s="1"/>
  <c r="I5" i="101"/>
  <c r="F5" i="101"/>
  <c r="G5" i="101" s="1"/>
  <c r="E5" i="101"/>
  <c r="AD24" i="100"/>
  <c r="AE24" i="100" s="1"/>
  <c r="AC24" i="100"/>
  <c r="Z24" i="100"/>
  <c r="AA24" i="100" s="1"/>
  <c r="Y24" i="100"/>
  <c r="V24" i="100"/>
  <c r="W24" i="100" s="1"/>
  <c r="U24" i="100"/>
  <c r="R24" i="100"/>
  <c r="S24" i="100" s="1"/>
  <c r="Q24" i="100"/>
  <c r="N24" i="100"/>
  <c r="O24" i="100" s="1"/>
  <c r="M24" i="100"/>
  <c r="F24" i="100"/>
  <c r="G24" i="100" s="1"/>
  <c r="E24" i="100"/>
  <c r="AD23" i="100"/>
  <c r="AE23" i="100" s="1"/>
  <c r="AC23" i="100"/>
  <c r="Z23" i="100"/>
  <c r="AA23" i="100" s="1"/>
  <c r="Y23" i="100"/>
  <c r="V23" i="100"/>
  <c r="W23" i="100" s="1"/>
  <c r="U23" i="100"/>
  <c r="R23" i="100"/>
  <c r="S23" i="100" s="1"/>
  <c r="Q23" i="100"/>
  <c r="N23" i="100"/>
  <c r="O23" i="100" s="1"/>
  <c r="M23" i="100"/>
  <c r="F23" i="100"/>
  <c r="G23" i="100" s="1"/>
  <c r="E23" i="100"/>
  <c r="AD22" i="100"/>
  <c r="AE22" i="100" s="1"/>
  <c r="AC22" i="100"/>
  <c r="Z22" i="100"/>
  <c r="AA22" i="100" s="1"/>
  <c r="Y22" i="100"/>
  <c r="V22" i="100"/>
  <c r="W22" i="100" s="1"/>
  <c r="U22" i="100"/>
  <c r="R22" i="100"/>
  <c r="S22" i="100" s="1"/>
  <c r="Q22" i="100"/>
  <c r="N22" i="100"/>
  <c r="O22" i="100" s="1"/>
  <c r="M22" i="100"/>
  <c r="F22" i="100"/>
  <c r="G22" i="100" s="1"/>
  <c r="E22" i="100"/>
  <c r="AD21" i="100"/>
  <c r="AE21" i="100" s="1"/>
  <c r="AC21" i="100"/>
  <c r="Z21" i="100"/>
  <c r="AA21" i="100" s="1"/>
  <c r="Y21" i="100"/>
  <c r="V21" i="100"/>
  <c r="W21" i="100" s="1"/>
  <c r="U21" i="100"/>
  <c r="R21" i="100"/>
  <c r="S21" i="100" s="1"/>
  <c r="Q21" i="100"/>
  <c r="N21" i="100"/>
  <c r="O21" i="100" s="1"/>
  <c r="M21" i="100"/>
  <c r="F21" i="100"/>
  <c r="G21" i="100" s="1"/>
  <c r="E21" i="100"/>
  <c r="AD20" i="100"/>
  <c r="AE20" i="100" s="1"/>
  <c r="AC20" i="100"/>
  <c r="Z20" i="100"/>
  <c r="AA20" i="100" s="1"/>
  <c r="Y20" i="100"/>
  <c r="V20" i="100"/>
  <c r="W20" i="100" s="1"/>
  <c r="U20" i="100"/>
  <c r="R20" i="100"/>
  <c r="S20" i="100" s="1"/>
  <c r="Q20" i="100"/>
  <c r="N20" i="100"/>
  <c r="O20" i="100" s="1"/>
  <c r="M20" i="100"/>
  <c r="F20" i="100"/>
  <c r="G20" i="100" s="1"/>
  <c r="E20" i="100"/>
  <c r="AD16" i="100"/>
  <c r="AE16" i="100" s="1"/>
  <c r="AC16" i="100"/>
  <c r="Z16" i="100"/>
  <c r="AA16" i="100" s="1"/>
  <c r="Y16" i="100"/>
  <c r="V16" i="100"/>
  <c r="W16" i="100" s="1"/>
  <c r="U16" i="100"/>
  <c r="R16" i="100"/>
  <c r="S16" i="100" s="1"/>
  <c r="Q16" i="100"/>
  <c r="N16" i="100"/>
  <c r="O16" i="100" s="1"/>
  <c r="M16" i="100"/>
  <c r="F16" i="100"/>
  <c r="G16" i="100" s="1"/>
  <c r="E16" i="100"/>
  <c r="AD17" i="100"/>
  <c r="AE17" i="100" s="1"/>
  <c r="U10" i="103" s="1"/>
  <c r="V10" i="103" s="1"/>
  <c r="AC17" i="100"/>
  <c r="Z17" i="100"/>
  <c r="AA17" i="100" s="1"/>
  <c r="R10" i="103" s="1"/>
  <c r="Y17" i="100"/>
  <c r="V17" i="100"/>
  <c r="W17" i="100" s="1"/>
  <c r="O10" i="103" s="1"/>
  <c r="P10" i="103" s="1"/>
  <c r="U17" i="100"/>
  <c r="R17" i="100"/>
  <c r="S17" i="100" s="1"/>
  <c r="L10" i="103" s="1"/>
  <c r="M10" i="103" s="1"/>
  <c r="Q17" i="100"/>
  <c r="N17" i="100"/>
  <c r="O17" i="100" s="1"/>
  <c r="I10" i="103" s="1"/>
  <c r="J10" i="103" s="1"/>
  <c r="M17" i="100"/>
  <c r="F17" i="100"/>
  <c r="G17" i="100" s="1"/>
  <c r="C10" i="103" s="1"/>
  <c r="D10" i="103" s="1"/>
  <c r="E17" i="100"/>
  <c r="AD15" i="100"/>
  <c r="AE15" i="100" s="1"/>
  <c r="U11" i="103" s="1"/>
  <c r="W11" i="103" s="1"/>
  <c r="AC15" i="100"/>
  <c r="Z15" i="100"/>
  <c r="AA15" i="100" s="1"/>
  <c r="R11" i="103" s="1"/>
  <c r="T11" i="103" s="1"/>
  <c r="Y15" i="100"/>
  <c r="V15" i="100"/>
  <c r="W15" i="100" s="1"/>
  <c r="O11" i="103" s="1"/>
  <c r="P11" i="103" s="1"/>
  <c r="U15" i="100"/>
  <c r="R15" i="100"/>
  <c r="S15" i="100" s="1"/>
  <c r="L11" i="103" s="1"/>
  <c r="Q15" i="100"/>
  <c r="N15" i="100"/>
  <c r="M15" i="100"/>
  <c r="F15" i="100"/>
  <c r="G15" i="100" s="1"/>
  <c r="C11" i="103" s="1"/>
  <c r="D11" i="103" s="1"/>
  <c r="E15" i="100"/>
  <c r="AD9" i="100"/>
  <c r="AE9" i="100" s="1"/>
  <c r="AC9" i="100"/>
  <c r="Z9" i="100"/>
  <c r="AA9" i="100" s="1"/>
  <c r="Y9" i="100"/>
  <c r="V9" i="100"/>
  <c r="W9" i="100" s="1"/>
  <c r="U9" i="100"/>
  <c r="R9" i="100"/>
  <c r="S9" i="100" s="1"/>
  <c r="Q9" i="100"/>
  <c r="N9" i="100"/>
  <c r="M9" i="100"/>
  <c r="F9" i="100"/>
  <c r="G9" i="100" s="1"/>
  <c r="E9" i="100"/>
  <c r="AD8" i="100"/>
  <c r="AE8" i="100" s="1"/>
  <c r="AC8" i="100"/>
  <c r="Z8" i="100"/>
  <c r="AA8" i="100" s="1"/>
  <c r="Y8" i="100"/>
  <c r="V8" i="100"/>
  <c r="W8" i="100" s="1"/>
  <c r="U8" i="100"/>
  <c r="R8" i="100"/>
  <c r="S8" i="100" s="1"/>
  <c r="Q8" i="100"/>
  <c r="N8" i="100"/>
  <c r="M8" i="100"/>
  <c r="F8" i="100"/>
  <c r="G8" i="100" s="1"/>
  <c r="E8" i="100"/>
  <c r="AD18" i="100"/>
  <c r="AE18" i="100" s="1"/>
  <c r="AC18" i="100"/>
  <c r="Z18" i="100"/>
  <c r="AA18" i="100" s="1"/>
  <c r="Y18" i="100"/>
  <c r="V18" i="100"/>
  <c r="W18" i="100" s="1"/>
  <c r="U18" i="100"/>
  <c r="R18" i="100"/>
  <c r="S18" i="100" s="1"/>
  <c r="Q18" i="100"/>
  <c r="N18" i="100"/>
  <c r="O18" i="100" s="1"/>
  <c r="M18" i="100"/>
  <c r="F18" i="100"/>
  <c r="G18" i="100" s="1"/>
  <c r="E18" i="100"/>
  <c r="AD13" i="100"/>
  <c r="AE13" i="100" s="1"/>
  <c r="AC13" i="100"/>
  <c r="Z13" i="100"/>
  <c r="AA13" i="100" s="1"/>
  <c r="Y13" i="100"/>
  <c r="V13" i="100"/>
  <c r="W13" i="100" s="1"/>
  <c r="U13" i="100"/>
  <c r="R13" i="100"/>
  <c r="Q13" i="100"/>
  <c r="N13" i="100"/>
  <c r="O13" i="100" s="1"/>
  <c r="M13" i="100"/>
  <c r="F13" i="100"/>
  <c r="G13" i="100" s="1"/>
  <c r="E13" i="100"/>
  <c r="AD10" i="100"/>
  <c r="AE10" i="100" s="1"/>
  <c r="AC10" i="100"/>
  <c r="Z10" i="100"/>
  <c r="AA10" i="100" s="1"/>
  <c r="Y10" i="100"/>
  <c r="V10" i="100"/>
  <c r="W10" i="100" s="1"/>
  <c r="U10" i="100"/>
  <c r="R10" i="100"/>
  <c r="Q10" i="100"/>
  <c r="N10" i="100"/>
  <c r="O10" i="100" s="1"/>
  <c r="M10" i="100"/>
  <c r="F10" i="100"/>
  <c r="G10" i="100" s="1"/>
  <c r="E10" i="100"/>
  <c r="AD5" i="100"/>
  <c r="AE5" i="100" s="1"/>
  <c r="AC5" i="100"/>
  <c r="Z5" i="100"/>
  <c r="Y5" i="100"/>
  <c r="V5" i="100"/>
  <c r="W5" i="100" s="1"/>
  <c r="U5" i="100"/>
  <c r="R5" i="100"/>
  <c r="Q5" i="100"/>
  <c r="N5" i="100"/>
  <c r="M5" i="100"/>
  <c r="F5" i="100"/>
  <c r="G5" i="100" s="1"/>
  <c r="E5" i="100"/>
  <c r="AD11" i="100"/>
  <c r="AE11" i="100" s="1"/>
  <c r="U6" i="103" s="1"/>
  <c r="W6" i="103" s="1"/>
  <c r="AC11" i="100"/>
  <c r="Z11" i="100"/>
  <c r="AA11" i="100" s="1"/>
  <c r="R6" i="103" s="1"/>
  <c r="T6" i="103" s="1"/>
  <c r="Y11" i="100"/>
  <c r="V11" i="100"/>
  <c r="W11" i="100" s="1"/>
  <c r="O6" i="103" s="1"/>
  <c r="U11" i="100"/>
  <c r="R11" i="100"/>
  <c r="S11" i="100" s="1"/>
  <c r="L6" i="103" s="1"/>
  <c r="M6" i="103" s="1"/>
  <c r="Q11" i="100"/>
  <c r="N11" i="100"/>
  <c r="M11" i="100"/>
  <c r="F11" i="100"/>
  <c r="G11" i="100" s="1"/>
  <c r="C6" i="103" s="1"/>
  <c r="E11" i="100"/>
  <c r="AD12" i="100"/>
  <c r="AC12" i="100"/>
  <c r="Z12" i="100"/>
  <c r="Y12" i="100"/>
  <c r="V12" i="100"/>
  <c r="W12" i="100" s="1"/>
  <c r="O7" i="103" s="1"/>
  <c r="U12" i="100"/>
  <c r="R12" i="100"/>
  <c r="Q12" i="100"/>
  <c r="N12" i="100"/>
  <c r="M12" i="100"/>
  <c r="F12" i="100"/>
  <c r="E12" i="100"/>
  <c r="Y7" i="103"/>
  <c r="AD19" i="100"/>
  <c r="AC19" i="100"/>
  <c r="Z19" i="100"/>
  <c r="Y19" i="100"/>
  <c r="V19" i="100"/>
  <c r="U19" i="100"/>
  <c r="R19" i="100"/>
  <c r="Q19" i="100"/>
  <c r="N19" i="100"/>
  <c r="M19" i="100"/>
  <c r="F19" i="100"/>
  <c r="E19" i="100"/>
  <c r="Y12" i="103"/>
  <c r="AD7" i="100"/>
  <c r="AC7" i="100"/>
  <c r="Z7" i="100"/>
  <c r="Y7" i="100"/>
  <c r="V7" i="100"/>
  <c r="U7" i="100"/>
  <c r="R7" i="100"/>
  <c r="Q7" i="100"/>
  <c r="N7" i="100"/>
  <c r="M7" i="100"/>
  <c r="F7" i="100"/>
  <c r="E7" i="100"/>
  <c r="AD6" i="100"/>
  <c r="AC6" i="100"/>
  <c r="Z6" i="100"/>
  <c r="Y6" i="100"/>
  <c r="V6" i="100"/>
  <c r="U6" i="100"/>
  <c r="R6" i="100"/>
  <c r="Q6" i="100"/>
  <c r="N6" i="100"/>
  <c r="M6" i="100"/>
  <c r="F6" i="100"/>
  <c r="E6" i="100"/>
  <c r="AD14" i="100"/>
  <c r="AC14" i="100"/>
  <c r="Z14" i="100"/>
  <c r="AA14" i="100" s="1"/>
  <c r="Y14" i="100"/>
  <c r="V14" i="100"/>
  <c r="U14" i="100"/>
  <c r="R14" i="100"/>
  <c r="Q14" i="100"/>
  <c r="N14" i="100"/>
  <c r="M14" i="100"/>
  <c r="J14" i="100"/>
  <c r="I14" i="100"/>
  <c r="F14" i="100"/>
  <c r="E14" i="100"/>
  <c r="AH24" i="99"/>
  <c r="AI24" i="99" s="1"/>
  <c r="AG24" i="99"/>
  <c r="AD24" i="99"/>
  <c r="AE24" i="99" s="1"/>
  <c r="AC24" i="99"/>
  <c r="Z24" i="99"/>
  <c r="AA24" i="99" s="1"/>
  <c r="Y24" i="99"/>
  <c r="V24" i="99"/>
  <c r="W24" i="99" s="1"/>
  <c r="U24" i="99"/>
  <c r="R24" i="99"/>
  <c r="S24" i="99" s="1"/>
  <c r="Q24" i="99"/>
  <c r="N24" i="99"/>
  <c r="O24" i="99" s="1"/>
  <c r="M24" i="99"/>
  <c r="F24" i="99"/>
  <c r="E24" i="99"/>
  <c r="AH23" i="99"/>
  <c r="AI23" i="99" s="1"/>
  <c r="AG23" i="99"/>
  <c r="AD23" i="99"/>
  <c r="AE23" i="99" s="1"/>
  <c r="AC23" i="99"/>
  <c r="Z23" i="99"/>
  <c r="AA23" i="99" s="1"/>
  <c r="Y23" i="99"/>
  <c r="V23" i="99"/>
  <c r="W23" i="99" s="1"/>
  <c r="U23" i="99"/>
  <c r="R23" i="99"/>
  <c r="S23" i="99" s="1"/>
  <c r="Q23" i="99"/>
  <c r="N23" i="99"/>
  <c r="O23" i="99" s="1"/>
  <c r="M23" i="99"/>
  <c r="F23" i="99"/>
  <c r="G23" i="99" s="1"/>
  <c r="E23" i="99"/>
  <c r="AH22" i="99"/>
  <c r="AI22" i="99" s="1"/>
  <c r="AG22" i="99"/>
  <c r="AD22" i="99"/>
  <c r="AE22" i="99" s="1"/>
  <c r="AC22" i="99"/>
  <c r="Z22" i="99"/>
  <c r="AA22" i="99" s="1"/>
  <c r="Y22" i="99"/>
  <c r="V22" i="99"/>
  <c r="W22" i="99" s="1"/>
  <c r="U22" i="99"/>
  <c r="R22" i="99"/>
  <c r="S22" i="99" s="1"/>
  <c r="Q22" i="99"/>
  <c r="N22" i="99"/>
  <c r="O22" i="99" s="1"/>
  <c r="M22" i="99"/>
  <c r="F22" i="99"/>
  <c r="E22" i="99"/>
  <c r="AH21" i="99"/>
  <c r="AI21" i="99" s="1"/>
  <c r="AG21" i="99"/>
  <c r="AD21" i="99"/>
  <c r="AE21" i="99" s="1"/>
  <c r="AC21" i="99"/>
  <c r="Z21" i="99"/>
  <c r="AA21" i="99" s="1"/>
  <c r="Y21" i="99"/>
  <c r="V21" i="99"/>
  <c r="W21" i="99" s="1"/>
  <c r="U21" i="99"/>
  <c r="R21" i="99"/>
  <c r="S21" i="99" s="1"/>
  <c r="Q21" i="99"/>
  <c r="N21" i="99"/>
  <c r="O21" i="99" s="1"/>
  <c r="M21" i="99"/>
  <c r="F21" i="99"/>
  <c r="G21" i="99" s="1"/>
  <c r="E21" i="99"/>
  <c r="AH20" i="99"/>
  <c r="AI20" i="99" s="1"/>
  <c r="AG20" i="99"/>
  <c r="AD20" i="99"/>
  <c r="AE20" i="99" s="1"/>
  <c r="AC20" i="99"/>
  <c r="Z20" i="99"/>
  <c r="AA20" i="99" s="1"/>
  <c r="Y20" i="99"/>
  <c r="V20" i="99"/>
  <c r="W20" i="99" s="1"/>
  <c r="U20" i="99"/>
  <c r="R20" i="99"/>
  <c r="S20" i="99" s="1"/>
  <c r="Q20" i="99"/>
  <c r="N20" i="99"/>
  <c r="O20" i="99" s="1"/>
  <c r="M20" i="99"/>
  <c r="F20" i="99"/>
  <c r="E20" i="99"/>
  <c r="AH19" i="99"/>
  <c r="AI19" i="99" s="1"/>
  <c r="AG19" i="99"/>
  <c r="AD19" i="99"/>
  <c r="AE19" i="99" s="1"/>
  <c r="AC19" i="99"/>
  <c r="Z19" i="99"/>
  <c r="AA19" i="99" s="1"/>
  <c r="Y19" i="99"/>
  <c r="V19" i="99"/>
  <c r="W19" i="99" s="1"/>
  <c r="U19" i="99"/>
  <c r="R19" i="99"/>
  <c r="S19" i="99" s="1"/>
  <c r="Q19" i="99"/>
  <c r="N19" i="99"/>
  <c r="O19" i="99" s="1"/>
  <c r="M19" i="99"/>
  <c r="F19" i="99"/>
  <c r="G19" i="99" s="1"/>
  <c r="E19" i="99"/>
  <c r="AH18" i="99"/>
  <c r="AI18" i="99" s="1"/>
  <c r="AG18" i="99"/>
  <c r="AD18" i="99"/>
  <c r="AE18" i="99" s="1"/>
  <c r="AC18" i="99"/>
  <c r="Z18" i="99"/>
  <c r="AA18" i="99" s="1"/>
  <c r="Y18" i="99"/>
  <c r="V18" i="99"/>
  <c r="W18" i="99" s="1"/>
  <c r="U18" i="99"/>
  <c r="R18" i="99"/>
  <c r="S18" i="99" s="1"/>
  <c r="Q18" i="99"/>
  <c r="N18" i="99"/>
  <c r="O18" i="99" s="1"/>
  <c r="M18" i="99"/>
  <c r="F18" i="99"/>
  <c r="E18" i="99"/>
  <c r="AH17" i="99"/>
  <c r="AI17" i="99" s="1"/>
  <c r="AG17" i="99"/>
  <c r="AD17" i="99"/>
  <c r="AE17" i="99" s="1"/>
  <c r="AC17" i="99"/>
  <c r="Z17" i="99"/>
  <c r="AA17" i="99" s="1"/>
  <c r="Y17" i="99"/>
  <c r="V17" i="99"/>
  <c r="W17" i="99" s="1"/>
  <c r="U17" i="99"/>
  <c r="R17" i="99"/>
  <c r="S17" i="99" s="1"/>
  <c r="Q17" i="99"/>
  <c r="N17" i="99"/>
  <c r="O17" i="99" s="1"/>
  <c r="M17" i="99"/>
  <c r="F17" i="99"/>
  <c r="G17" i="99" s="1"/>
  <c r="E17" i="99"/>
  <c r="AH16" i="99"/>
  <c r="AI16" i="99" s="1"/>
  <c r="AG16" i="99"/>
  <c r="AD16" i="99"/>
  <c r="AE16" i="99" s="1"/>
  <c r="AC16" i="99"/>
  <c r="Z16" i="99"/>
  <c r="AA16" i="99" s="1"/>
  <c r="Y16" i="99"/>
  <c r="V16" i="99"/>
  <c r="W16" i="99" s="1"/>
  <c r="U16" i="99"/>
  <c r="R16" i="99"/>
  <c r="S16" i="99" s="1"/>
  <c r="Q16" i="99"/>
  <c r="N16" i="99"/>
  <c r="O16" i="99" s="1"/>
  <c r="M16" i="99"/>
  <c r="F16" i="99"/>
  <c r="E16" i="99"/>
  <c r="AH15" i="99"/>
  <c r="AI15" i="99" s="1"/>
  <c r="AG15" i="99"/>
  <c r="AD15" i="99"/>
  <c r="AE15" i="99" s="1"/>
  <c r="AC15" i="99"/>
  <c r="Z15" i="99"/>
  <c r="AA15" i="99" s="1"/>
  <c r="Y15" i="99"/>
  <c r="V15" i="99"/>
  <c r="W15" i="99" s="1"/>
  <c r="U15" i="99"/>
  <c r="R15" i="99"/>
  <c r="S15" i="99" s="1"/>
  <c r="Q15" i="99"/>
  <c r="N15" i="99"/>
  <c r="O15" i="99" s="1"/>
  <c r="M15" i="99"/>
  <c r="F15" i="99"/>
  <c r="G15" i="99" s="1"/>
  <c r="E15" i="99"/>
  <c r="AH14" i="99"/>
  <c r="AI14" i="99" s="1"/>
  <c r="AG14" i="99"/>
  <c r="AD14" i="99"/>
  <c r="AE14" i="99" s="1"/>
  <c r="AC14" i="99"/>
  <c r="Z14" i="99"/>
  <c r="AA14" i="99" s="1"/>
  <c r="Y14" i="99"/>
  <c r="V14" i="99"/>
  <c r="W14" i="99" s="1"/>
  <c r="U14" i="99"/>
  <c r="R14" i="99"/>
  <c r="S14" i="99" s="1"/>
  <c r="Q14" i="99"/>
  <c r="N14" i="99"/>
  <c r="O14" i="99" s="1"/>
  <c r="M14" i="99"/>
  <c r="F14" i="99"/>
  <c r="E14" i="99"/>
  <c r="AH13" i="99"/>
  <c r="AI13" i="99" s="1"/>
  <c r="AG13" i="99"/>
  <c r="AD13" i="99"/>
  <c r="AE13" i="99" s="1"/>
  <c r="AC13" i="99"/>
  <c r="Z13" i="99"/>
  <c r="AA13" i="99" s="1"/>
  <c r="Y13" i="99"/>
  <c r="V13" i="99"/>
  <c r="W13" i="99" s="1"/>
  <c r="U13" i="99"/>
  <c r="R13" i="99"/>
  <c r="S13" i="99" s="1"/>
  <c r="Q13" i="99"/>
  <c r="N13" i="99"/>
  <c r="O13" i="99" s="1"/>
  <c r="M13" i="99"/>
  <c r="F13" i="99"/>
  <c r="G13" i="99" s="1"/>
  <c r="E13" i="99"/>
  <c r="AH12" i="99"/>
  <c r="AI12" i="99" s="1"/>
  <c r="AG12" i="99"/>
  <c r="AD12" i="99"/>
  <c r="AE12" i="99" s="1"/>
  <c r="AC12" i="99"/>
  <c r="Z12" i="99"/>
  <c r="AA12" i="99" s="1"/>
  <c r="Y12" i="99"/>
  <c r="V12" i="99"/>
  <c r="W12" i="99" s="1"/>
  <c r="U12" i="99"/>
  <c r="R12" i="99"/>
  <c r="S12" i="99" s="1"/>
  <c r="Q12" i="99"/>
  <c r="N12" i="99"/>
  <c r="O12" i="99" s="1"/>
  <c r="M12" i="99"/>
  <c r="F12" i="99"/>
  <c r="E12" i="99"/>
  <c r="AH11" i="99"/>
  <c r="AI11" i="99" s="1"/>
  <c r="AG11" i="99"/>
  <c r="AD11" i="99"/>
  <c r="AE11" i="99" s="1"/>
  <c r="AC11" i="99"/>
  <c r="Z11" i="99"/>
  <c r="AA11" i="99" s="1"/>
  <c r="Y11" i="99"/>
  <c r="V11" i="99"/>
  <c r="W11" i="99" s="1"/>
  <c r="U11" i="99"/>
  <c r="R11" i="99"/>
  <c r="S11" i="99" s="1"/>
  <c r="Q11" i="99"/>
  <c r="N11" i="99"/>
  <c r="O11" i="99" s="1"/>
  <c r="M11" i="99"/>
  <c r="F11" i="99"/>
  <c r="G11" i="99" s="1"/>
  <c r="E11" i="99"/>
  <c r="AH10" i="99"/>
  <c r="AI10" i="99" s="1"/>
  <c r="AG10" i="99"/>
  <c r="AD10" i="99"/>
  <c r="AE10" i="99" s="1"/>
  <c r="AC10" i="99"/>
  <c r="Z10" i="99"/>
  <c r="AA10" i="99" s="1"/>
  <c r="Y10" i="99"/>
  <c r="V10" i="99"/>
  <c r="W10" i="99" s="1"/>
  <c r="U10" i="99"/>
  <c r="R10" i="99"/>
  <c r="S10" i="99" s="1"/>
  <c r="Q10" i="99"/>
  <c r="N10" i="99"/>
  <c r="O10" i="99" s="1"/>
  <c r="M10" i="99"/>
  <c r="F10" i="99"/>
  <c r="E10" i="99"/>
  <c r="AH9" i="99"/>
  <c r="AI9" i="99" s="1"/>
  <c r="AG9" i="99"/>
  <c r="AD9" i="99"/>
  <c r="AE9" i="99" s="1"/>
  <c r="AC9" i="99"/>
  <c r="Z9" i="99"/>
  <c r="AA9" i="99" s="1"/>
  <c r="Y9" i="99"/>
  <c r="V9" i="99"/>
  <c r="W9" i="99" s="1"/>
  <c r="U9" i="99"/>
  <c r="R9" i="99"/>
  <c r="S9" i="99" s="1"/>
  <c r="Q9" i="99"/>
  <c r="N9" i="99"/>
  <c r="O9" i="99" s="1"/>
  <c r="M9" i="99"/>
  <c r="F9" i="99"/>
  <c r="G9" i="99" s="1"/>
  <c r="E9" i="99"/>
  <c r="AH8" i="99"/>
  <c r="AI8" i="99" s="1"/>
  <c r="AG8" i="99"/>
  <c r="AD8" i="99"/>
  <c r="AE8" i="99" s="1"/>
  <c r="AC8" i="99"/>
  <c r="Z8" i="99"/>
  <c r="AA8" i="99" s="1"/>
  <c r="Y8" i="99"/>
  <c r="V8" i="99"/>
  <c r="W8" i="99" s="1"/>
  <c r="U8" i="99"/>
  <c r="R8" i="99"/>
  <c r="S8" i="99" s="1"/>
  <c r="Q8" i="99"/>
  <c r="N8" i="99"/>
  <c r="O8" i="99" s="1"/>
  <c r="M8" i="99"/>
  <c r="F8" i="99"/>
  <c r="E8" i="99"/>
  <c r="AH7" i="99"/>
  <c r="AI7" i="99" s="1"/>
  <c r="AG7" i="99"/>
  <c r="AD7" i="99"/>
  <c r="AE7" i="99" s="1"/>
  <c r="AC7" i="99"/>
  <c r="Z7" i="99"/>
  <c r="AA7" i="99" s="1"/>
  <c r="Y7" i="99"/>
  <c r="V7" i="99"/>
  <c r="W7" i="99" s="1"/>
  <c r="U7" i="99"/>
  <c r="R7" i="99"/>
  <c r="S7" i="99" s="1"/>
  <c r="Q7" i="99"/>
  <c r="N7" i="99"/>
  <c r="O7" i="99" s="1"/>
  <c r="M7" i="99"/>
  <c r="F7" i="99"/>
  <c r="G7" i="99" s="1"/>
  <c r="E7" i="99"/>
  <c r="AH6" i="99"/>
  <c r="AI6" i="99" s="1"/>
  <c r="AG6" i="99"/>
  <c r="AD6" i="99"/>
  <c r="AE6" i="99" s="1"/>
  <c r="AC6" i="99"/>
  <c r="Z6" i="99"/>
  <c r="AA6" i="99" s="1"/>
  <c r="Y6" i="99"/>
  <c r="V6" i="99"/>
  <c r="W6" i="99" s="1"/>
  <c r="U6" i="99"/>
  <c r="R6" i="99"/>
  <c r="S6" i="99" s="1"/>
  <c r="Q6" i="99"/>
  <c r="N6" i="99"/>
  <c r="O6" i="99" s="1"/>
  <c r="M6" i="99"/>
  <c r="F6" i="99"/>
  <c r="E6" i="99"/>
  <c r="AH5" i="99"/>
  <c r="AI5" i="99" s="1"/>
  <c r="AG5" i="99"/>
  <c r="AD5" i="99"/>
  <c r="AE5" i="99" s="1"/>
  <c r="AC5" i="99"/>
  <c r="Z5" i="99"/>
  <c r="AA5" i="99" s="1"/>
  <c r="Y5" i="99"/>
  <c r="V5" i="99"/>
  <c r="W5" i="99" s="1"/>
  <c r="U5" i="99"/>
  <c r="R5" i="99"/>
  <c r="S5" i="99" s="1"/>
  <c r="Q5" i="99"/>
  <c r="N5" i="99"/>
  <c r="O5" i="99" s="1"/>
  <c r="M5" i="99"/>
  <c r="J5" i="99"/>
  <c r="K5" i="99" s="1"/>
  <c r="I5" i="99"/>
  <c r="F5" i="99"/>
  <c r="G5" i="99" s="1"/>
  <c r="E5" i="99"/>
  <c r="AH24" i="98"/>
  <c r="AI24" i="98" s="1"/>
  <c r="AG24" i="98"/>
  <c r="AD24" i="98"/>
  <c r="AE24" i="98" s="1"/>
  <c r="AC24" i="98"/>
  <c r="Z24" i="98"/>
  <c r="AA24" i="98" s="1"/>
  <c r="Y24" i="98"/>
  <c r="V24" i="98"/>
  <c r="W24" i="98" s="1"/>
  <c r="U24" i="98"/>
  <c r="R24" i="98"/>
  <c r="S24" i="98" s="1"/>
  <c r="Q24" i="98"/>
  <c r="N24" i="98"/>
  <c r="O24" i="98" s="1"/>
  <c r="M24" i="98"/>
  <c r="F24" i="98"/>
  <c r="G24" i="98" s="1"/>
  <c r="AH23" i="98"/>
  <c r="AI23" i="98" s="1"/>
  <c r="AG23" i="98"/>
  <c r="AD23" i="98"/>
  <c r="AE23" i="98" s="1"/>
  <c r="AC23" i="98"/>
  <c r="Z23" i="98"/>
  <c r="AA23" i="98" s="1"/>
  <c r="Y23" i="98"/>
  <c r="V23" i="98"/>
  <c r="W23" i="98" s="1"/>
  <c r="U23" i="98"/>
  <c r="R23" i="98"/>
  <c r="S23" i="98" s="1"/>
  <c r="Q23" i="98"/>
  <c r="N23" i="98"/>
  <c r="O23" i="98" s="1"/>
  <c r="M23" i="98"/>
  <c r="F23" i="98"/>
  <c r="G23" i="98" s="1"/>
  <c r="AH22" i="98"/>
  <c r="AI22" i="98" s="1"/>
  <c r="AG22" i="98"/>
  <c r="AD22" i="98"/>
  <c r="AE22" i="98" s="1"/>
  <c r="AC22" i="98"/>
  <c r="Z22" i="98"/>
  <c r="AA22" i="98" s="1"/>
  <c r="Y22" i="98"/>
  <c r="V22" i="98"/>
  <c r="W22" i="98" s="1"/>
  <c r="U22" i="98"/>
  <c r="R22" i="98"/>
  <c r="S22" i="98" s="1"/>
  <c r="Q22" i="98"/>
  <c r="N22" i="98"/>
  <c r="O22" i="98" s="1"/>
  <c r="M22" i="98"/>
  <c r="F22" i="98"/>
  <c r="G22" i="98" s="1"/>
  <c r="AH21" i="98"/>
  <c r="AI21" i="98" s="1"/>
  <c r="AG21" i="98"/>
  <c r="AD21" i="98"/>
  <c r="AE21" i="98" s="1"/>
  <c r="AC21" i="98"/>
  <c r="Z21" i="98"/>
  <c r="AA21" i="98" s="1"/>
  <c r="Y21" i="98"/>
  <c r="V21" i="98"/>
  <c r="W21" i="98" s="1"/>
  <c r="U21" i="98"/>
  <c r="R21" i="98"/>
  <c r="S21" i="98" s="1"/>
  <c r="Q21" i="98"/>
  <c r="N21" i="98"/>
  <c r="O21" i="98" s="1"/>
  <c r="M21" i="98"/>
  <c r="F21" i="98"/>
  <c r="G21" i="98" s="1"/>
  <c r="AH20" i="98"/>
  <c r="AI20" i="98" s="1"/>
  <c r="AG20" i="98"/>
  <c r="AD20" i="98"/>
  <c r="AE20" i="98" s="1"/>
  <c r="AC20" i="98"/>
  <c r="Z20" i="98"/>
  <c r="AA20" i="98" s="1"/>
  <c r="Y20" i="98"/>
  <c r="V20" i="98"/>
  <c r="W20" i="98" s="1"/>
  <c r="U20" i="98"/>
  <c r="R20" i="98"/>
  <c r="S20" i="98" s="1"/>
  <c r="Q20" i="98"/>
  <c r="N20" i="98"/>
  <c r="O20" i="98" s="1"/>
  <c r="M20" i="98"/>
  <c r="F20" i="98"/>
  <c r="G20" i="98" s="1"/>
  <c r="AH19" i="98"/>
  <c r="AI19" i="98" s="1"/>
  <c r="AG19" i="98"/>
  <c r="AD19" i="98"/>
  <c r="AE19" i="98" s="1"/>
  <c r="AC19" i="98"/>
  <c r="Z19" i="98"/>
  <c r="AA19" i="98" s="1"/>
  <c r="Y19" i="98"/>
  <c r="V19" i="98"/>
  <c r="W19" i="98" s="1"/>
  <c r="U19" i="98"/>
  <c r="R19" i="98"/>
  <c r="S19" i="98" s="1"/>
  <c r="Q19" i="98"/>
  <c r="N19" i="98"/>
  <c r="O19" i="98" s="1"/>
  <c r="M19" i="98"/>
  <c r="F19" i="98"/>
  <c r="G19" i="98" s="1"/>
  <c r="AH18" i="98"/>
  <c r="AI18" i="98" s="1"/>
  <c r="AG18" i="98"/>
  <c r="AD18" i="98"/>
  <c r="AE18" i="98" s="1"/>
  <c r="AC18" i="98"/>
  <c r="Z18" i="98"/>
  <c r="AA18" i="98" s="1"/>
  <c r="Y18" i="98"/>
  <c r="V18" i="98"/>
  <c r="W18" i="98" s="1"/>
  <c r="U18" i="98"/>
  <c r="R18" i="98"/>
  <c r="S18" i="98" s="1"/>
  <c r="Q18" i="98"/>
  <c r="N18" i="98"/>
  <c r="O18" i="98" s="1"/>
  <c r="M18" i="98"/>
  <c r="F18" i="98"/>
  <c r="G18" i="98" s="1"/>
  <c r="AH17" i="98"/>
  <c r="AI17" i="98" s="1"/>
  <c r="AG17" i="98"/>
  <c r="AD17" i="98"/>
  <c r="AE17" i="98" s="1"/>
  <c r="AC17" i="98"/>
  <c r="Z17" i="98"/>
  <c r="AA17" i="98" s="1"/>
  <c r="Y17" i="98"/>
  <c r="V17" i="98"/>
  <c r="W17" i="98" s="1"/>
  <c r="U17" i="98"/>
  <c r="R17" i="98"/>
  <c r="S17" i="98" s="1"/>
  <c r="Q17" i="98"/>
  <c r="N17" i="98"/>
  <c r="O17" i="98" s="1"/>
  <c r="M17" i="98"/>
  <c r="F17" i="98"/>
  <c r="G17" i="98" s="1"/>
  <c r="AH16" i="98"/>
  <c r="AI16" i="98" s="1"/>
  <c r="AG16" i="98"/>
  <c r="AD16" i="98"/>
  <c r="AE16" i="98" s="1"/>
  <c r="AC16" i="98"/>
  <c r="Z16" i="98"/>
  <c r="AA16" i="98" s="1"/>
  <c r="Y16" i="98"/>
  <c r="V16" i="98"/>
  <c r="W16" i="98" s="1"/>
  <c r="AJ16" i="98" s="1"/>
  <c r="AK16" i="98" s="1"/>
  <c r="AL16" i="98" s="1"/>
  <c r="U16" i="98"/>
  <c r="R16" i="98"/>
  <c r="S16" i="98" s="1"/>
  <c r="Q16" i="98"/>
  <c r="N16" i="98"/>
  <c r="O16" i="98" s="1"/>
  <c r="M16" i="98"/>
  <c r="F16" i="98"/>
  <c r="G16" i="98" s="1"/>
  <c r="AH15" i="98"/>
  <c r="AI15" i="98" s="1"/>
  <c r="AG15" i="98"/>
  <c r="AD15" i="98"/>
  <c r="AE15" i="98" s="1"/>
  <c r="AC15" i="98"/>
  <c r="Z15" i="98"/>
  <c r="AA15" i="98" s="1"/>
  <c r="Y15" i="98"/>
  <c r="V15" i="98"/>
  <c r="W15" i="98" s="1"/>
  <c r="U15" i="98"/>
  <c r="R15" i="98"/>
  <c r="S15" i="98" s="1"/>
  <c r="Q15" i="98"/>
  <c r="N15" i="98"/>
  <c r="O15" i="98" s="1"/>
  <c r="M15" i="98"/>
  <c r="F15" i="98"/>
  <c r="G15" i="98" s="1"/>
  <c r="AH14" i="98"/>
  <c r="AI14" i="98" s="1"/>
  <c r="AG14" i="98"/>
  <c r="AD14" i="98"/>
  <c r="AE14" i="98" s="1"/>
  <c r="AC14" i="98"/>
  <c r="Z14" i="98"/>
  <c r="AA14" i="98" s="1"/>
  <c r="Y14" i="98"/>
  <c r="V14" i="98"/>
  <c r="W14" i="98" s="1"/>
  <c r="U14" i="98"/>
  <c r="R14" i="98"/>
  <c r="S14" i="98" s="1"/>
  <c r="Q14" i="98"/>
  <c r="N14" i="98"/>
  <c r="O14" i="98" s="1"/>
  <c r="M14" i="98"/>
  <c r="F14" i="98"/>
  <c r="G14" i="98" s="1"/>
  <c r="AH13" i="98"/>
  <c r="AI13" i="98" s="1"/>
  <c r="AG13" i="98"/>
  <c r="AD13" i="98"/>
  <c r="AE13" i="98" s="1"/>
  <c r="AC13" i="98"/>
  <c r="Z13" i="98"/>
  <c r="AA13" i="98" s="1"/>
  <c r="Y13" i="98"/>
  <c r="V13" i="98"/>
  <c r="W13" i="98" s="1"/>
  <c r="U13" i="98"/>
  <c r="R13" i="98"/>
  <c r="S13" i="98" s="1"/>
  <c r="Q13" i="98"/>
  <c r="N13" i="98"/>
  <c r="O13" i="98" s="1"/>
  <c r="M13" i="98"/>
  <c r="F13" i="98"/>
  <c r="G13" i="98" s="1"/>
  <c r="AH12" i="98"/>
  <c r="AI12" i="98" s="1"/>
  <c r="AG12" i="98"/>
  <c r="AD12" i="98"/>
  <c r="AE12" i="98" s="1"/>
  <c r="AC12" i="98"/>
  <c r="Z12" i="98"/>
  <c r="AA12" i="98" s="1"/>
  <c r="Y12" i="98"/>
  <c r="V12" i="98"/>
  <c r="W12" i="98" s="1"/>
  <c r="U12" i="98"/>
  <c r="R12" i="98"/>
  <c r="S12" i="98" s="1"/>
  <c r="Q12" i="98"/>
  <c r="N12" i="98"/>
  <c r="O12" i="98" s="1"/>
  <c r="M12" i="98"/>
  <c r="F12" i="98"/>
  <c r="G12" i="98" s="1"/>
  <c r="AH11" i="98"/>
  <c r="AI11" i="98" s="1"/>
  <c r="AG11" i="98"/>
  <c r="AD11" i="98"/>
  <c r="AE11" i="98" s="1"/>
  <c r="AC11" i="98"/>
  <c r="Z11" i="98"/>
  <c r="AA11" i="98" s="1"/>
  <c r="Y11" i="98"/>
  <c r="V11" i="98"/>
  <c r="W11" i="98" s="1"/>
  <c r="U11" i="98"/>
  <c r="R11" i="98"/>
  <c r="S11" i="98" s="1"/>
  <c r="Q11" i="98"/>
  <c r="N11" i="98"/>
  <c r="O11" i="98" s="1"/>
  <c r="M11" i="98"/>
  <c r="F11" i="98"/>
  <c r="G11" i="98" s="1"/>
  <c r="AH10" i="98"/>
  <c r="AI10" i="98" s="1"/>
  <c r="AG10" i="98"/>
  <c r="AD10" i="98"/>
  <c r="AE10" i="98" s="1"/>
  <c r="AC10" i="98"/>
  <c r="Z10" i="98"/>
  <c r="AA10" i="98" s="1"/>
  <c r="Y10" i="98"/>
  <c r="V10" i="98"/>
  <c r="W10" i="98" s="1"/>
  <c r="U10" i="98"/>
  <c r="R10" i="98"/>
  <c r="S10" i="98" s="1"/>
  <c r="Q10" i="98"/>
  <c r="N10" i="98"/>
  <c r="O10" i="98" s="1"/>
  <c r="M10" i="98"/>
  <c r="F10" i="98"/>
  <c r="G10" i="98" s="1"/>
  <c r="AH9" i="98"/>
  <c r="AI9" i="98" s="1"/>
  <c r="AG9" i="98"/>
  <c r="AD9" i="98"/>
  <c r="AE9" i="98" s="1"/>
  <c r="AC9" i="98"/>
  <c r="Z9" i="98"/>
  <c r="AA9" i="98" s="1"/>
  <c r="Y9" i="98"/>
  <c r="V9" i="98"/>
  <c r="W9" i="98" s="1"/>
  <c r="U9" i="98"/>
  <c r="R9" i="98"/>
  <c r="S9" i="98" s="1"/>
  <c r="Q9" i="98"/>
  <c r="N9" i="98"/>
  <c r="O9" i="98" s="1"/>
  <c r="M9" i="98"/>
  <c r="F9" i="98"/>
  <c r="G9" i="98" s="1"/>
  <c r="AH8" i="98"/>
  <c r="AI8" i="98" s="1"/>
  <c r="AG8" i="98"/>
  <c r="AD8" i="98"/>
  <c r="AE8" i="98" s="1"/>
  <c r="AC8" i="98"/>
  <c r="Z8" i="98"/>
  <c r="AA8" i="98" s="1"/>
  <c r="Y8" i="98"/>
  <c r="V8" i="98"/>
  <c r="W8" i="98" s="1"/>
  <c r="U8" i="98"/>
  <c r="R8" i="98"/>
  <c r="S8" i="98" s="1"/>
  <c r="Q8" i="98"/>
  <c r="N8" i="98"/>
  <c r="O8" i="98" s="1"/>
  <c r="M8" i="98"/>
  <c r="F8" i="98"/>
  <c r="G8" i="98" s="1"/>
  <c r="AH7" i="98"/>
  <c r="AI7" i="98" s="1"/>
  <c r="AG7" i="98"/>
  <c r="AD7" i="98"/>
  <c r="AE7" i="98" s="1"/>
  <c r="AC7" i="98"/>
  <c r="Z7" i="98"/>
  <c r="AA7" i="98" s="1"/>
  <c r="Y7" i="98"/>
  <c r="V7" i="98"/>
  <c r="W7" i="98" s="1"/>
  <c r="U7" i="98"/>
  <c r="R7" i="98"/>
  <c r="S7" i="98" s="1"/>
  <c r="Q7" i="98"/>
  <c r="N7" i="98"/>
  <c r="O7" i="98" s="1"/>
  <c r="M7" i="98"/>
  <c r="F7" i="98"/>
  <c r="G7" i="98" s="1"/>
  <c r="AH6" i="98"/>
  <c r="AI6" i="98" s="1"/>
  <c r="AG6" i="98"/>
  <c r="AD6" i="98"/>
  <c r="AE6" i="98" s="1"/>
  <c r="AC6" i="98"/>
  <c r="Z6" i="98"/>
  <c r="AA6" i="98" s="1"/>
  <c r="Y6" i="98"/>
  <c r="V6" i="98"/>
  <c r="W6" i="98" s="1"/>
  <c r="U6" i="98"/>
  <c r="R6" i="98"/>
  <c r="S6" i="98" s="1"/>
  <c r="Q6" i="98"/>
  <c r="N6" i="98"/>
  <c r="O6" i="98" s="1"/>
  <c r="M6" i="98"/>
  <c r="F6" i="98"/>
  <c r="G6" i="98" s="1"/>
  <c r="AH5" i="98"/>
  <c r="AI5" i="98" s="1"/>
  <c r="AG5" i="98"/>
  <c r="AD5" i="98"/>
  <c r="AE5" i="98" s="1"/>
  <c r="AC5" i="98"/>
  <c r="Z5" i="98"/>
  <c r="AA5" i="98" s="1"/>
  <c r="Y5" i="98"/>
  <c r="V5" i="98"/>
  <c r="W5" i="98" s="1"/>
  <c r="U5" i="98"/>
  <c r="R5" i="98"/>
  <c r="S5" i="98" s="1"/>
  <c r="Q5" i="98"/>
  <c r="N5" i="98"/>
  <c r="O5" i="98" s="1"/>
  <c r="M5" i="98"/>
  <c r="J5" i="98"/>
  <c r="K5" i="98" s="1"/>
  <c r="I5" i="98"/>
  <c r="F5" i="98"/>
  <c r="G5" i="98" s="1"/>
  <c r="AD24" i="97"/>
  <c r="AE24" i="97" s="1"/>
  <c r="AC24" i="97"/>
  <c r="Z24" i="97"/>
  <c r="AA24" i="97" s="1"/>
  <c r="Y24" i="97"/>
  <c r="V24" i="97"/>
  <c r="W24" i="97" s="1"/>
  <c r="U24" i="97"/>
  <c r="R24" i="97"/>
  <c r="S24" i="97" s="1"/>
  <c r="Q24" i="97"/>
  <c r="N24" i="97"/>
  <c r="O24" i="97" s="1"/>
  <c r="M24" i="97"/>
  <c r="F24" i="97"/>
  <c r="G24" i="97" s="1"/>
  <c r="E24" i="97"/>
  <c r="AD23" i="97"/>
  <c r="AE23" i="97" s="1"/>
  <c r="AC23" i="97"/>
  <c r="Z23" i="97"/>
  <c r="AA23" i="97" s="1"/>
  <c r="Y23" i="97"/>
  <c r="V23" i="97"/>
  <c r="W23" i="97" s="1"/>
  <c r="U23" i="97"/>
  <c r="R23" i="97"/>
  <c r="S23" i="97" s="1"/>
  <c r="Q23" i="97"/>
  <c r="N23" i="97"/>
  <c r="O23" i="97" s="1"/>
  <c r="M23" i="97"/>
  <c r="F23" i="97"/>
  <c r="G23" i="97" s="1"/>
  <c r="E23" i="97"/>
  <c r="AD22" i="97"/>
  <c r="AE22" i="97" s="1"/>
  <c r="AC22" i="97"/>
  <c r="Z22" i="97"/>
  <c r="AA22" i="97" s="1"/>
  <c r="Y22" i="97"/>
  <c r="V22" i="97"/>
  <c r="W22" i="97" s="1"/>
  <c r="U22" i="97"/>
  <c r="R22" i="97"/>
  <c r="S22" i="97" s="1"/>
  <c r="Q22" i="97"/>
  <c r="N22" i="97"/>
  <c r="O22" i="97" s="1"/>
  <c r="M22" i="97"/>
  <c r="F22" i="97"/>
  <c r="G22" i="97" s="1"/>
  <c r="E22" i="97"/>
  <c r="AD21" i="97"/>
  <c r="AE21" i="97" s="1"/>
  <c r="AC21" i="97"/>
  <c r="Z21" i="97"/>
  <c r="AA21" i="97" s="1"/>
  <c r="Y21" i="97"/>
  <c r="V21" i="97"/>
  <c r="W21" i="97" s="1"/>
  <c r="U21" i="97"/>
  <c r="R21" i="97"/>
  <c r="S21" i="97" s="1"/>
  <c r="Q21" i="97"/>
  <c r="N21" i="97"/>
  <c r="O21" i="97" s="1"/>
  <c r="M21" i="97"/>
  <c r="F21" i="97"/>
  <c r="G21" i="97" s="1"/>
  <c r="E21" i="97"/>
  <c r="AD20" i="97"/>
  <c r="AE20" i="97" s="1"/>
  <c r="AC20" i="97"/>
  <c r="Z20" i="97"/>
  <c r="AA20" i="97" s="1"/>
  <c r="Y20" i="97"/>
  <c r="V20" i="97"/>
  <c r="W20" i="97" s="1"/>
  <c r="U20" i="97"/>
  <c r="R20" i="97"/>
  <c r="S20" i="97" s="1"/>
  <c r="Q20" i="97"/>
  <c r="N20" i="97"/>
  <c r="O20" i="97" s="1"/>
  <c r="M20" i="97"/>
  <c r="F20" i="97"/>
  <c r="G20" i="97" s="1"/>
  <c r="E20" i="97"/>
  <c r="AD19" i="97"/>
  <c r="AE19" i="97" s="1"/>
  <c r="AC19" i="97"/>
  <c r="Z19" i="97"/>
  <c r="AA19" i="97" s="1"/>
  <c r="Y19" i="97"/>
  <c r="V19" i="97"/>
  <c r="W19" i="97" s="1"/>
  <c r="U19" i="97"/>
  <c r="R19" i="97"/>
  <c r="S19" i="97" s="1"/>
  <c r="Q19" i="97"/>
  <c r="N19" i="97"/>
  <c r="O19" i="97" s="1"/>
  <c r="M19" i="97"/>
  <c r="F19" i="97"/>
  <c r="G19" i="97" s="1"/>
  <c r="E19" i="97"/>
  <c r="AD18" i="97"/>
  <c r="AE18" i="97" s="1"/>
  <c r="AC18" i="97"/>
  <c r="Z18" i="97"/>
  <c r="AA18" i="97" s="1"/>
  <c r="Y18" i="97"/>
  <c r="V18" i="97"/>
  <c r="W18" i="97" s="1"/>
  <c r="U18" i="97"/>
  <c r="R18" i="97"/>
  <c r="S18" i="97" s="1"/>
  <c r="Q18" i="97"/>
  <c r="N18" i="97"/>
  <c r="O18" i="97" s="1"/>
  <c r="M18" i="97"/>
  <c r="F18" i="97"/>
  <c r="G18" i="97" s="1"/>
  <c r="E18" i="97"/>
  <c r="AD17" i="97"/>
  <c r="AE17" i="97" s="1"/>
  <c r="AC17" i="97"/>
  <c r="Z17" i="97"/>
  <c r="AA17" i="97" s="1"/>
  <c r="Y17" i="97"/>
  <c r="V17" i="97"/>
  <c r="W17" i="97" s="1"/>
  <c r="U17" i="97"/>
  <c r="R17" i="97"/>
  <c r="S17" i="97" s="1"/>
  <c r="Q17" i="97"/>
  <c r="N17" i="97"/>
  <c r="O17" i="97" s="1"/>
  <c r="M17" i="97"/>
  <c r="F17" i="97"/>
  <c r="G17" i="97" s="1"/>
  <c r="E17" i="97"/>
  <c r="AD16" i="97"/>
  <c r="AE16" i="97" s="1"/>
  <c r="AC16" i="97"/>
  <c r="Z16" i="97"/>
  <c r="AA16" i="97" s="1"/>
  <c r="Y16" i="97"/>
  <c r="V16" i="97"/>
  <c r="W16" i="97" s="1"/>
  <c r="U16" i="97"/>
  <c r="R16" i="97"/>
  <c r="S16" i="97" s="1"/>
  <c r="Q16" i="97"/>
  <c r="N16" i="97"/>
  <c r="O16" i="97" s="1"/>
  <c r="M16" i="97"/>
  <c r="F16" i="97"/>
  <c r="G16" i="97" s="1"/>
  <c r="E16" i="97"/>
  <c r="AD15" i="97"/>
  <c r="AE15" i="97" s="1"/>
  <c r="AC15" i="97"/>
  <c r="Z15" i="97"/>
  <c r="AA15" i="97" s="1"/>
  <c r="Y15" i="97"/>
  <c r="V15" i="97"/>
  <c r="W15" i="97" s="1"/>
  <c r="U15" i="97"/>
  <c r="R15" i="97"/>
  <c r="S15" i="97" s="1"/>
  <c r="Q15" i="97"/>
  <c r="N15" i="97"/>
  <c r="O15" i="97" s="1"/>
  <c r="M15" i="97"/>
  <c r="F15" i="97"/>
  <c r="G15" i="97" s="1"/>
  <c r="E15" i="97"/>
  <c r="AD6" i="97"/>
  <c r="AE6" i="97" s="1"/>
  <c r="AC6" i="97"/>
  <c r="Z6" i="97"/>
  <c r="AA6" i="97" s="1"/>
  <c r="Y6" i="97"/>
  <c r="V6" i="97"/>
  <c r="W6" i="97" s="1"/>
  <c r="U6" i="97"/>
  <c r="R6" i="97"/>
  <c r="S6" i="97" s="1"/>
  <c r="Q6" i="97"/>
  <c r="N6" i="97"/>
  <c r="M6" i="97"/>
  <c r="F6" i="97"/>
  <c r="G6" i="97" s="1"/>
  <c r="E6" i="97"/>
  <c r="AD14" i="97"/>
  <c r="AE14" i="97" s="1"/>
  <c r="AC14" i="97"/>
  <c r="Z14" i="97"/>
  <c r="AA14" i="97" s="1"/>
  <c r="Y14" i="97"/>
  <c r="V14" i="97"/>
  <c r="W14" i="97" s="1"/>
  <c r="U14" i="97"/>
  <c r="R14" i="97"/>
  <c r="S14" i="97" s="1"/>
  <c r="Q14" i="97"/>
  <c r="N14" i="97"/>
  <c r="O14" i="97" s="1"/>
  <c r="M14" i="97"/>
  <c r="F14" i="97"/>
  <c r="G14" i="97" s="1"/>
  <c r="E14" i="97"/>
  <c r="AD7" i="97"/>
  <c r="AE7" i="97" s="1"/>
  <c r="AC7" i="97"/>
  <c r="Z7" i="97"/>
  <c r="AA7" i="97" s="1"/>
  <c r="Y7" i="97"/>
  <c r="V7" i="97"/>
  <c r="W7" i="97" s="1"/>
  <c r="U7" i="97"/>
  <c r="R7" i="97"/>
  <c r="Q7" i="97"/>
  <c r="N7" i="97"/>
  <c r="M7" i="97"/>
  <c r="F7" i="97"/>
  <c r="G7" i="97" s="1"/>
  <c r="E7" i="97"/>
  <c r="AD13" i="97"/>
  <c r="AE13" i="97" s="1"/>
  <c r="AC13" i="97"/>
  <c r="Z13" i="97"/>
  <c r="AA13" i="97" s="1"/>
  <c r="Y13" i="97"/>
  <c r="V13" i="97"/>
  <c r="W13" i="97" s="1"/>
  <c r="U13" i="97"/>
  <c r="R13" i="97"/>
  <c r="S13" i="97" s="1"/>
  <c r="Q13" i="97"/>
  <c r="N13" i="97"/>
  <c r="O13" i="97" s="1"/>
  <c r="M13" i="97"/>
  <c r="F13" i="97"/>
  <c r="G13" i="97" s="1"/>
  <c r="E13" i="97"/>
  <c r="Y9" i="102"/>
  <c r="AD9" i="97"/>
  <c r="AC9" i="97"/>
  <c r="Z9" i="97"/>
  <c r="AA9" i="97" s="1"/>
  <c r="Y9" i="97"/>
  <c r="V9" i="97"/>
  <c r="U9" i="97"/>
  <c r="R9" i="97"/>
  <c r="Q9" i="97"/>
  <c r="N9" i="97"/>
  <c r="M9" i="97"/>
  <c r="F9" i="97"/>
  <c r="E9" i="97"/>
  <c r="AD10" i="97"/>
  <c r="AC10" i="97"/>
  <c r="Z10" i="97"/>
  <c r="Y10" i="97"/>
  <c r="V10" i="97"/>
  <c r="W10" i="97" s="1"/>
  <c r="U10" i="97"/>
  <c r="R10" i="97"/>
  <c r="Q10" i="97"/>
  <c r="N10" i="97"/>
  <c r="M10" i="97"/>
  <c r="F10" i="97"/>
  <c r="E10" i="97"/>
  <c r="AD5" i="97"/>
  <c r="AE5" i="97" s="1"/>
  <c r="AC5" i="97"/>
  <c r="Z5" i="97"/>
  <c r="AA5" i="97" s="1"/>
  <c r="Y5" i="97"/>
  <c r="V5" i="97"/>
  <c r="W5" i="97" s="1"/>
  <c r="U5" i="97"/>
  <c r="R5" i="97"/>
  <c r="Q5" i="97"/>
  <c r="N5" i="97"/>
  <c r="O5" i="97" s="1"/>
  <c r="M5" i="97"/>
  <c r="F5" i="97"/>
  <c r="E5" i="97"/>
  <c r="AD11" i="97"/>
  <c r="AE11" i="97" s="1"/>
  <c r="AC11" i="97"/>
  <c r="Z11" i="97"/>
  <c r="AA11" i="97" s="1"/>
  <c r="Y11" i="97"/>
  <c r="V11" i="97"/>
  <c r="U11" i="97"/>
  <c r="R11" i="97"/>
  <c r="Q11" i="97"/>
  <c r="N11" i="97"/>
  <c r="M11" i="97"/>
  <c r="F11" i="97"/>
  <c r="G11" i="97" s="1"/>
  <c r="E11" i="97"/>
  <c r="AD8" i="97"/>
  <c r="AC8" i="97"/>
  <c r="Z8" i="97"/>
  <c r="AA8" i="97" s="1"/>
  <c r="Y8" i="97"/>
  <c r="V8" i="97"/>
  <c r="U8" i="97"/>
  <c r="R8" i="97"/>
  <c r="S8" i="97" s="1"/>
  <c r="Q8" i="97"/>
  <c r="N8" i="97"/>
  <c r="O8" i="97" s="1"/>
  <c r="M8" i="97"/>
  <c r="F8" i="97"/>
  <c r="G8" i="97" s="1"/>
  <c r="E8" i="97"/>
  <c r="AD12" i="97"/>
  <c r="AC12" i="97"/>
  <c r="Z12" i="97"/>
  <c r="AA12" i="97" s="1"/>
  <c r="Y12" i="97"/>
  <c r="V12" i="97"/>
  <c r="U12" i="97"/>
  <c r="R12" i="97"/>
  <c r="Q12" i="97"/>
  <c r="N12" i="97"/>
  <c r="M12" i="97"/>
  <c r="J12" i="97"/>
  <c r="I12" i="97"/>
  <c r="F12" i="97"/>
  <c r="E12" i="97"/>
  <c r="AD24" i="96"/>
  <c r="AE24" i="96" s="1"/>
  <c r="AC24" i="96"/>
  <c r="Z24" i="96"/>
  <c r="AA24" i="96" s="1"/>
  <c r="Y24" i="96"/>
  <c r="V24" i="96"/>
  <c r="W24" i="96" s="1"/>
  <c r="U24" i="96"/>
  <c r="R24" i="96"/>
  <c r="S24" i="96" s="1"/>
  <c r="Q24" i="96"/>
  <c r="N24" i="96"/>
  <c r="O24" i="96" s="1"/>
  <c r="M24" i="96"/>
  <c r="F24" i="96"/>
  <c r="G24" i="96" s="1"/>
  <c r="E24" i="96"/>
  <c r="AD23" i="96"/>
  <c r="AE23" i="96" s="1"/>
  <c r="AC23" i="96"/>
  <c r="Z23" i="96"/>
  <c r="AA23" i="96" s="1"/>
  <c r="Y23" i="96"/>
  <c r="V23" i="96"/>
  <c r="W23" i="96" s="1"/>
  <c r="U23" i="96"/>
  <c r="R23" i="96"/>
  <c r="S23" i="96" s="1"/>
  <c r="Q23" i="96"/>
  <c r="N23" i="96"/>
  <c r="O23" i="96" s="1"/>
  <c r="M23" i="96"/>
  <c r="F23" i="96"/>
  <c r="G23" i="96" s="1"/>
  <c r="E23" i="96"/>
  <c r="AD22" i="96"/>
  <c r="AE22" i="96" s="1"/>
  <c r="AC22" i="96"/>
  <c r="Z22" i="96"/>
  <c r="AA22" i="96" s="1"/>
  <c r="Y22" i="96"/>
  <c r="V22" i="96"/>
  <c r="W22" i="96" s="1"/>
  <c r="U22" i="96"/>
  <c r="R22" i="96"/>
  <c r="S22" i="96" s="1"/>
  <c r="Q22" i="96"/>
  <c r="N22" i="96"/>
  <c r="O22" i="96" s="1"/>
  <c r="M22" i="96"/>
  <c r="F22" i="96"/>
  <c r="G22" i="96" s="1"/>
  <c r="E22" i="96"/>
  <c r="AD21" i="96"/>
  <c r="AE21" i="96" s="1"/>
  <c r="AC21" i="96"/>
  <c r="Z21" i="96"/>
  <c r="AA21" i="96" s="1"/>
  <c r="Y21" i="96"/>
  <c r="V21" i="96"/>
  <c r="W21" i="96" s="1"/>
  <c r="U21" i="96"/>
  <c r="R21" i="96"/>
  <c r="S21" i="96" s="1"/>
  <c r="Q21" i="96"/>
  <c r="N21" i="96"/>
  <c r="O21" i="96" s="1"/>
  <c r="M21" i="96"/>
  <c r="F21" i="96"/>
  <c r="G21" i="96" s="1"/>
  <c r="E21" i="96"/>
  <c r="AD20" i="96"/>
  <c r="AE20" i="96" s="1"/>
  <c r="AC20" i="96"/>
  <c r="Z20" i="96"/>
  <c r="AA20" i="96" s="1"/>
  <c r="Y20" i="96"/>
  <c r="V20" i="96"/>
  <c r="W20" i="96" s="1"/>
  <c r="U20" i="96"/>
  <c r="R20" i="96"/>
  <c r="S20" i="96" s="1"/>
  <c r="Q20" i="96"/>
  <c r="N20" i="96"/>
  <c r="O20" i="96" s="1"/>
  <c r="M20" i="96"/>
  <c r="F20" i="96"/>
  <c r="G20" i="96" s="1"/>
  <c r="E20" i="96"/>
  <c r="AD19" i="96"/>
  <c r="AE19" i="96" s="1"/>
  <c r="AC19" i="96"/>
  <c r="Z19" i="96"/>
  <c r="AA19" i="96" s="1"/>
  <c r="Y19" i="96"/>
  <c r="V19" i="96"/>
  <c r="W19" i="96" s="1"/>
  <c r="U19" i="96"/>
  <c r="R19" i="96"/>
  <c r="S19" i="96" s="1"/>
  <c r="Q19" i="96"/>
  <c r="N19" i="96"/>
  <c r="O19" i="96" s="1"/>
  <c r="M19" i="96"/>
  <c r="F19" i="96"/>
  <c r="G19" i="96" s="1"/>
  <c r="E19" i="96"/>
  <c r="AD18" i="96"/>
  <c r="AE18" i="96" s="1"/>
  <c r="AC18" i="96"/>
  <c r="Z18" i="96"/>
  <c r="AA18" i="96" s="1"/>
  <c r="Y18" i="96"/>
  <c r="V18" i="96"/>
  <c r="W18" i="96" s="1"/>
  <c r="U18" i="96"/>
  <c r="R18" i="96"/>
  <c r="S18" i="96" s="1"/>
  <c r="Q18" i="96"/>
  <c r="N18" i="96"/>
  <c r="O18" i="96" s="1"/>
  <c r="M18" i="96"/>
  <c r="F18" i="96"/>
  <c r="G18" i="96" s="1"/>
  <c r="E18" i="96"/>
  <c r="AD17" i="96"/>
  <c r="AE17" i="96" s="1"/>
  <c r="AC17" i="96"/>
  <c r="Z17" i="96"/>
  <c r="AA17" i="96" s="1"/>
  <c r="Y17" i="96"/>
  <c r="V17" i="96"/>
  <c r="W17" i="96" s="1"/>
  <c r="U17" i="96"/>
  <c r="R17" i="96"/>
  <c r="S17" i="96" s="1"/>
  <c r="Q17" i="96"/>
  <c r="N17" i="96"/>
  <c r="O17" i="96" s="1"/>
  <c r="M17" i="96"/>
  <c r="F17" i="96"/>
  <c r="G17" i="96" s="1"/>
  <c r="E17" i="96"/>
  <c r="AD16" i="96"/>
  <c r="AE16" i="96" s="1"/>
  <c r="AC16" i="96"/>
  <c r="Z16" i="96"/>
  <c r="AA16" i="96" s="1"/>
  <c r="Y16" i="96"/>
  <c r="V16" i="96"/>
  <c r="W16" i="96" s="1"/>
  <c r="U16" i="96"/>
  <c r="R16" i="96"/>
  <c r="S16" i="96" s="1"/>
  <c r="Q16" i="96"/>
  <c r="N16" i="96"/>
  <c r="O16" i="96" s="1"/>
  <c r="M16" i="96"/>
  <c r="F16" i="96"/>
  <c r="G16" i="96" s="1"/>
  <c r="E16" i="96"/>
  <c r="AD15" i="96"/>
  <c r="AE15" i="96" s="1"/>
  <c r="AC15" i="96"/>
  <c r="Z15" i="96"/>
  <c r="AA15" i="96" s="1"/>
  <c r="Y15" i="96"/>
  <c r="V15" i="96"/>
  <c r="W15" i="96" s="1"/>
  <c r="U15" i="96"/>
  <c r="R15" i="96"/>
  <c r="S15" i="96" s="1"/>
  <c r="Q15" i="96"/>
  <c r="N15" i="96"/>
  <c r="O15" i="96" s="1"/>
  <c r="M15" i="96"/>
  <c r="F15" i="96"/>
  <c r="G15" i="96" s="1"/>
  <c r="E15" i="96"/>
  <c r="AD12" i="96"/>
  <c r="AE12" i="96" s="1"/>
  <c r="AC12" i="96"/>
  <c r="Z12" i="96"/>
  <c r="AA12" i="96" s="1"/>
  <c r="Y12" i="96"/>
  <c r="V12" i="96"/>
  <c r="W12" i="96" s="1"/>
  <c r="U12" i="96"/>
  <c r="R12" i="96"/>
  <c r="Q12" i="96"/>
  <c r="N12" i="96"/>
  <c r="M12" i="96"/>
  <c r="F12" i="96"/>
  <c r="G12" i="96" s="1"/>
  <c r="E12" i="96"/>
  <c r="AD9" i="96"/>
  <c r="AE9" i="96" s="1"/>
  <c r="AC9" i="96"/>
  <c r="Z9" i="96"/>
  <c r="Y9" i="96"/>
  <c r="V9" i="96"/>
  <c r="W9" i="96" s="1"/>
  <c r="U9" i="96"/>
  <c r="R9" i="96"/>
  <c r="Q9" i="96"/>
  <c r="N9" i="96"/>
  <c r="M9" i="96"/>
  <c r="F9" i="96"/>
  <c r="G9" i="96" s="1"/>
  <c r="E9" i="96"/>
  <c r="AD11" i="96"/>
  <c r="AE11" i="96" s="1"/>
  <c r="AC11" i="96"/>
  <c r="Z11" i="96"/>
  <c r="AA11" i="96" s="1"/>
  <c r="Y11" i="96"/>
  <c r="V11" i="96"/>
  <c r="W11" i="96" s="1"/>
  <c r="U11" i="96"/>
  <c r="R11" i="96"/>
  <c r="Q11" i="96"/>
  <c r="N11" i="96"/>
  <c r="M11" i="96"/>
  <c r="F11" i="96"/>
  <c r="E11" i="96"/>
  <c r="AD8" i="96"/>
  <c r="AE8" i="96" s="1"/>
  <c r="AC8" i="96"/>
  <c r="Z8" i="96"/>
  <c r="Y8" i="96"/>
  <c r="V8" i="96"/>
  <c r="W8" i="96" s="1"/>
  <c r="U8" i="96"/>
  <c r="R8" i="96"/>
  <c r="Q8" i="96"/>
  <c r="F8" i="96"/>
  <c r="G8" i="96" s="1"/>
  <c r="E8" i="96"/>
  <c r="AD13" i="96"/>
  <c r="AE13" i="96" s="1"/>
  <c r="AC13" i="96"/>
  <c r="Z13" i="96"/>
  <c r="AA13" i="96" s="1"/>
  <c r="Y13" i="96"/>
  <c r="V13" i="96"/>
  <c r="W13" i="96" s="1"/>
  <c r="U13" i="96"/>
  <c r="R13" i="96"/>
  <c r="S13" i="96" s="1"/>
  <c r="Q13" i="96"/>
  <c r="F13" i="96"/>
  <c r="G13" i="96" s="1"/>
  <c r="E13" i="96"/>
  <c r="AD7" i="96"/>
  <c r="AE7" i="96" s="1"/>
  <c r="AC7" i="96"/>
  <c r="Z7" i="96"/>
  <c r="AA7" i="96" s="1"/>
  <c r="Y7" i="96"/>
  <c r="V7" i="96"/>
  <c r="W7" i="96" s="1"/>
  <c r="U7" i="96"/>
  <c r="R7" i="96"/>
  <c r="Q7" i="96"/>
  <c r="F7" i="96"/>
  <c r="G7" i="96" s="1"/>
  <c r="E7" i="96"/>
  <c r="AD10" i="96"/>
  <c r="AE10" i="96" s="1"/>
  <c r="AC10" i="96"/>
  <c r="Z10" i="96"/>
  <c r="AA10" i="96" s="1"/>
  <c r="Y10" i="96"/>
  <c r="V10" i="96"/>
  <c r="U10" i="96"/>
  <c r="R10" i="96"/>
  <c r="S10" i="96" s="1"/>
  <c r="Q10" i="96"/>
  <c r="N10" i="96"/>
  <c r="M10" i="96"/>
  <c r="F10" i="96"/>
  <c r="G10" i="96" s="1"/>
  <c r="E10" i="96"/>
  <c r="AD14" i="96"/>
  <c r="AE14" i="96" s="1"/>
  <c r="AC14" i="96"/>
  <c r="Z14" i="96"/>
  <c r="AA14" i="96" s="1"/>
  <c r="Y14" i="96"/>
  <c r="V14" i="96"/>
  <c r="W14" i="96" s="1"/>
  <c r="U14" i="96"/>
  <c r="R14" i="96"/>
  <c r="S14" i="96" s="1"/>
  <c r="Q14" i="96"/>
  <c r="N14" i="96"/>
  <c r="O14" i="96" s="1"/>
  <c r="M14" i="96"/>
  <c r="F14" i="96"/>
  <c r="G14" i="96" s="1"/>
  <c r="E14" i="96"/>
  <c r="AD6" i="96"/>
  <c r="AC6" i="96"/>
  <c r="Z6" i="96"/>
  <c r="Y6" i="96"/>
  <c r="V6" i="96"/>
  <c r="U6" i="96"/>
  <c r="R6" i="96"/>
  <c r="Q6" i="96"/>
  <c r="N6" i="96"/>
  <c r="M6" i="96"/>
  <c r="F6" i="96"/>
  <c r="G6" i="96" s="1"/>
  <c r="E6" i="96"/>
  <c r="AD5" i="96"/>
  <c r="AC5" i="96"/>
  <c r="Z5" i="96"/>
  <c r="AA5" i="96" s="1"/>
  <c r="Y5" i="96"/>
  <c r="V5" i="96"/>
  <c r="U5" i="96"/>
  <c r="R5" i="96"/>
  <c r="Q5" i="96"/>
  <c r="N5" i="96"/>
  <c r="M5" i="96"/>
  <c r="J5" i="96"/>
  <c r="I5" i="96"/>
  <c r="F5" i="96"/>
  <c r="E5" i="96"/>
  <c r="AD24" i="95"/>
  <c r="AE24" i="95" s="1"/>
  <c r="AC24" i="95"/>
  <c r="Z24" i="95"/>
  <c r="AA24" i="95" s="1"/>
  <c r="Y24" i="95"/>
  <c r="V24" i="95"/>
  <c r="W24" i="95" s="1"/>
  <c r="U24" i="95"/>
  <c r="R24" i="95"/>
  <c r="S24" i="95" s="1"/>
  <c r="Q24" i="95"/>
  <c r="N24" i="95"/>
  <c r="O24" i="95" s="1"/>
  <c r="M24" i="95"/>
  <c r="F24" i="95"/>
  <c r="G24" i="95" s="1"/>
  <c r="E24" i="95"/>
  <c r="AD23" i="95"/>
  <c r="AE23" i="95" s="1"/>
  <c r="AC23" i="95"/>
  <c r="Z23" i="95"/>
  <c r="AA23" i="95" s="1"/>
  <c r="Y23" i="95"/>
  <c r="V23" i="95"/>
  <c r="W23" i="95" s="1"/>
  <c r="U23" i="95"/>
  <c r="R23" i="95"/>
  <c r="S23" i="95" s="1"/>
  <c r="Q23" i="95"/>
  <c r="N23" i="95"/>
  <c r="O23" i="95" s="1"/>
  <c r="M23" i="95"/>
  <c r="F23" i="95"/>
  <c r="G23" i="95" s="1"/>
  <c r="E23" i="95"/>
  <c r="AD22" i="95"/>
  <c r="AE22" i="95" s="1"/>
  <c r="AC22" i="95"/>
  <c r="Z22" i="95"/>
  <c r="AA22" i="95" s="1"/>
  <c r="Y22" i="95"/>
  <c r="V22" i="95"/>
  <c r="W22" i="95" s="1"/>
  <c r="U22" i="95"/>
  <c r="R22" i="95"/>
  <c r="S22" i="95" s="1"/>
  <c r="Q22" i="95"/>
  <c r="N22" i="95"/>
  <c r="O22" i="95" s="1"/>
  <c r="M22" i="95"/>
  <c r="F22" i="95"/>
  <c r="G22" i="95" s="1"/>
  <c r="E22" i="95"/>
  <c r="AD21" i="95"/>
  <c r="AE21" i="95" s="1"/>
  <c r="AC21" i="95"/>
  <c r="Z21" i="95"/>
  <c r="AA21" i="95" s="1"/>
  <c r="Y21" i="95"/>
  <c r="V21" i="95"/>
  <c r="W21" i="95" s="1"/>
  <c r="U21" i="95"/>
  <c r="R21" i="95"/>
  <c r="S21" i="95" s="1"/>
  <c r="Q21" i="95"/>
  <c r="N21" i="95"/>
  <c r="O21" i="95" s="1"/>
  <c r="M21" i="95"/>
  <c r="F21" i="95"/>
  <c r="G21" i="95" s="1"/>
  <c r="E21" i="95"/>
  <c r="AD12" i="95"/>
  <c r="AE12" i="95" s="1"/>
  <c r="AC12" i="95"/>
  <c r="Z12" i="95"/>
  <c r="AA12" i="95" s="1"/>
  <c r="Y12" i="95"/>
  <c r="V12" i="95"/>
  <c r="W12" i="95" s="1"/>
  <c r="U12" i="95"/>
  <c r="R12" i="95"/>
  <c r="S12" i="95" s="1"/>
  <c r="Q12" i="95"/>
  <c r="N12" i="95"/>
  <c r="M12" i="95"/>
  <c r="F12" i="95"/>
  <c r="G12" i="95" s="1"/>
  <c r="E12" i="95"/>
  <c r="AD20" i="95"/>
  <c r="AE20" i="95" s="1"/>
  <c r="AC20" i="95"/>
  <c r="Z20" i="95"/>
  <c r="AA20" i="95" s="1"/>
  <c r="Y20" i="95"/>
  <c r="V20" i="95"/>
  <c r="W20" i="95" s="1"/>
  <c r="U20" i="95"/>
  <c r="R20" i="95"/>
  <c r="S20" i="95" s="1"/>
  <c r="Q20" i="95"/>
  <c r="N20" i="95"/>
  <c r="O20" i="95" s="1"/>
  <c r="M20" i="95"/>
  <c r="F20" i="95"/>
  <c r="G20" i="95" s="1"/>
  <c r="E20" i="95"/>
  <c r="AD11" i="95"/>
  <c r="AE11" i="95" s="1"/>
  <c r="AC11" i="95"/>
  <c r="Z11" i="95"/>
  <c r="AA11" i="95" s="1"/>
  <c r="Y11" i="95"/>
  <c r="V11" i="95"/>
  <c r="U11" i="95"/>
  <c r="R11" i="95"/>
  <c r="Q11" i="95"/>
  <c r="N11" i="95"/>
  <c r="M11" i="95"/>
  <c r="F11" i="95"/>
  <c r="G11" i="95" s="1"/>
  <c r="E11" i="95"/>
  <c r="AD18" i="95"/>
  <c r="AE18" i="95" s="1"/>
  <c r="AC18" i="95"/>
  <c r="Z18" i="95"/>
  <c r="AA18" i="95" s="1"/>
  <c r="Y18" i="95"/>
  <c r="V18" i="95"/>
  <c r="W18" i="95" s="1"/>
  <c r="U18" i="95"/>
  <c r="R18" i="95"/>
  <c r="S18" i="95" s="1"/>
  <c r="Q18" i="95"/>
  <c r="N18" i="95"/>
  <c r="O18" i="95" s="1"/>
  <c r="M18" i="95"/>
  <c r="F18" i="95"/>
  <c r="G18" i="95" s="1"/>
  <c r="E18" i="95"/>
  <c r="Y18" i="102"/>
  <c r="AD16" i="95"/>
  <c r="AC16" i="95"/>
  <c r="Z16" i="95"/>
  <c r="Y16" i="95"/>
  <c r="V16" i="95"/>
  <c r="U16" i="95"/>
  <c r="R16" i="95"/>
  <c r="Q16" i="95"/>
  <c r="N16" i="95"/>
  <c r="M16" i="95"/>
  <c r="F16" i="95"/>
  <c r="E16" i="95"/>
  <c r="AD9" i="95"/>
  <c r="AC9" i="95"/>
  <c r="Z9" i="95"/>
  <c r="Y9" i="95"/>
  <c r="V9" i="95"/>
  <c r="U9" i="95"/>
  <c r="R9" i="95"/>
  <c r="Q9" i="95"/>
  <c r="N9" i="95"/>
  <c r="M9" i="95"/>
  <c r="F9" i="95"/>
  <c r="G9" i="95" s="1"/>
  <c r="E9" i="95"/>
  <c r="AD7" i="95"/>
  <c r="AE7" i="95" s="1"/>
  <c r="AC7" i="95"/>
  <c r="Z7" i="95"/>
  <c r="AA7" i="95" s="1"/>
  <c r="Y7" i="95"/>
  <c r="V7" i="95"/>
  <c r="W7" i="95" s="1"/>
  <c r="U7" i="95"/>
  <c r="R7" i="95"/>
  <c r="Q7" i="95"/>
  <c r="N7" i="95"/>
  <c r="M7" i="95"/>
  <c r="F7" i="95"/>
  <c r="G7" i="95" s="1"/>
  <c r="E7" i="95"/>
  <c r="AD19" i="95"/>
  <c r="AE19" i="95" s="1"/>
  <c r="AC19" i="95"/>
  <c r="Z19" i="95"/>
  <c r="AA19" i="95" s="1"/>
  <c r="Y19" i="95"/>
  <c r="V19" i="95"/>
  <c r="W19" i="95" s="1"/>
  <c r="U19" i="95"/>
  <c r="R19" i="95"/>
  <c r="S19" i="95" s="1"/>
  <c r="Q19" i="95"/>
  <c r="N19" i="95"/>
  <c r="O19" i="95" s="1"/>
  <c r="M19" i="95"/>
  <c r="F19" i="95"/>
  <c r="G19" i="95" s="1"/>
  <c r="E19" i="95"/>
  <c r="AD8" i="95"/>
  <c r="AE8" i="95" s="1"/>
  <c r="AC8" i="95"/>
  <c r="Z8" i="95"/>
  <c r="AA8" i="95" s="1"/>
  <c r="Y8" i="95"/>
  <c r="V8" i="95"/>
  <c r="W8" i="95" s="1"/>
  <c r="U8" i="95"/>
  <c r="R8" i="95"/>
  <c r="Q8" i="95"/>
  <c r="N8" i="95"/>
  <c r="M8" i="95"/>
  <c r="F8" i="95"/>
  <c r="E8" i="95"/>
  <c r="AD13" i="95"/>
  <c r="AE13" i="95" s="1"/>
  <c r="AC13" i="95"/>
  <c r="Z13" i="95"/>
  <c r="Y13" i="95"/>
  <c r="V13" i="95"/>
  <c r="W13" i="95" s="1"/>
  <c r="U13" i="95"/>
  <c r="R13" i="95"/>
  <c r="Q13" i="95"/>
  <c r="N13" i="95"/>
  <c r="O13" i="95" s="1"/>
  <c r="M13" i="95"/>
  <c r="F13" i="95"/>
  <c r="E13" i="95"/>
  <c r="AD6" i="95"/>
  <c r="AC6" i="95"/>
  <c r="Z6" i="95"/>
  <c r="AA6" i="95" s="1"/>
  <c r="Y6" i="95"/>
  <c r="V6" i="95"/>
  <c r="W6" i="95" s="1"/>
  <c r="U6" i="95"/>
  <c r="R6" i="95"/>
  <c r="Q6" i="95"/>
  <c r="N6" i="95"/>
  <c r="M6" i="95"/>
  <c r="F6" i="95"/>
  <c r="E6" i="95"/>
  <c r="AD17" i="95"/>
  <c r="AC17" i="95"/>
  <c r="Z17" i="95"/>
  <c r="Y17" i="95"/>
  <c r="V17" i="95"/>
  <c r="U17" i="95"/>
  <c r="R17" i="95"/>
  <c r="Q17" i="95"/>
  <c r="N17" i="95"/>
  <c r="M17" i="95"/>
  <c r="F17" i="95"/>
  <c r="E17" i="95"/>
  <c r="AD15" i="95"/>
  <c r="AC15" i="95"/>
  <c r="Z15" i="95"/>
  <c r="Y15" i="95"/>
  <c r="V15" i="95"/>
  <c r="U15" i="95"/>
  <c r="R15" i="95"/>
  <c r="Q15" i="95"/>
  <c r="N15" i="95"/>
  <c r="M15" i="95"/>
  <c r="F15" i="95"/>
  <c r="E15" i="95"/>
  <c r="AD5" i="95"/>
  <c r="AC5" i="95"/>
  <c r="Z5" i="95"/>
  <c r="Y5" i="95"/>
  <c r="V5" i="95"/>
  <c r="U5" i="95"/>
  <c r="R5" i="95"/>
  <c r="Q5" i="95"/>
  <c r="N5" i="95"/>
  <c r="M5" i="95"/>
  <c r="F5" i="95"/>
  <c r="E5" i="95"/>
  <c r="AD14" i="95"/>
  <c r="AE14" i="95" s="1"/>
  <c r="AC14" i="95"/>
  <c r="Z14" i="95"/>
  <c r="AA14" i="95" s="1"/>
  <c r="Y14" i="95"/>
  <c r="V14" i="95"/>
  <c r="W14" i="95" s="1"/>
  <c r="U14" i="95"/>
  <c r="R14" i="95"/>
  <c r="S14" i="95" s="1"/>
  <c r="Q14" i="95"/>
  <c r="N14" i="95"/>
  <c r="M14" i="95"/>
  <c r="F14" i="95"/>
  <c r="E14" i="95"/>
  <c r="AD10" i="95"/>
  <c r="AC10" i="95"/>
  <c r="Z10" i="95"/>
  <c r="Y10" i="95"/>
  <c r="V10" i="95"/>
  <c r="U10" i="95"/>
  <c r="R10" i="95"/>
  <c r="Q10" i="95"/>
  <c r="N10" i="95"/>
  <c r="O10" i="95" s="1"/>
  <c r="M10" i="95"/>
  <c r="J10" i="95"/>
  <c r="I10" i="95"/>
  <c r="F10" i="95"/>
  <c r="E10" i="95"/>
  <c r="F24" i="94"/>
  <c r="G24" i="94" s="1"/>
  <c r="E24" i="94"/>
  <c r="F23" i="94"/>
  <c r="G23" i="94" s="1"/>
  <c r="E23" i="94"/>
  <c r="F22" i="94"/>
  <c r="G22" i="94" s="1"/>
  <c r="E22" i="94"/>
  <c r="F20" i="94"/>
  <c r="G20" i="94" s="1"/>
  <c r="E20" i="94"/>
  <c r="Z14" i="102"/>
  <c r="Y5" i="102"/>
  <c r="Y11" i="87"/>
  <c r="Y16" i="87"/>
  <c r="Y13" i="87"/>
  <c r="Z20" i="87"/>
  <c r="Z21" i="87"/>
  <c r="Z23" i="87"/>
  <c r="Z24" i="87"/>
  <c r="W20" i="87"/>
  <c r="V21" i="87"/>
  <c r="V22" i="87"/>
  <c r="V24" i="87"/>
  <c r="T20" i="87"/>
  <c r="T22" i="87"/>
  <c r="T23" i="87"/>
  <c r="P20" i="87"/>
  <c r="Q22" i="87"/>
  <c r="P23" i="87"/>
  <c r="Q24" i="87"/>
  <c r="N20" i="87"/>
  <c r="N21" i="87"/>
  <c r="M23" i="87"/>
  <c r="N24" i="87"/>
  <c r="J20" i="87"/>
  <c r="K21" i="87"/>
  <c r="J22" i="87"/>
  <c r="J24" i="87"/>
  <c r="H20" i="87"/>
  <c r="G21" i="87"/>
  <c r="G22" i="87"/>
  <c r="H23" i="87"/>
  <c r="S21" i="87"/>
  <c r="E20" i="87"/>
  <c r="E21" i="87"/>
  <c r="D22" i="87"/>
  <c r="E23" i="87"/>
  <c r="D24" i="87"/>
  <c r="Y24" i="92"/>
  <c r="W24" i="92"/>
  <c r="Q24" i="92"/>
  <c r="M24" i="92"/>
  <c r="K24" i="92"/>
  <c r="G21" i="92"/>
  <c r="E24" i="92"/>
  <c r="AH24" i="93"/>
  <c r="AI24" i="93" s="1"/>
  <c r="AG24" i="93"/>
  <c r="AD24" i="93"/>
  <c r="AE24" i="93" s="1"/>
  <c r="AC24" i="93"/>
  <c r="Z24" i="93"/>
  <c r="AA24" i="93" s="1"/>
  <c r="Y24" i="93"/>
  <c r="V24" i="93"/>
  <c r="W24" i="93" s="1"/>
  <c r="U24" i="93"/>
  <c r="R24" i="93"/>
  <c r="S24" i="93" s="1"/>
  <c r="Q24" i="93"/>
  <c r="N24" i="93"/>
  <c r="O24" i="93" s="1"/>
  <c r="M24" i="93"/>
  <c r="F24" i="93"/>
  <c r="G24" i="93" s="1"/>
  <c r="E24" i="93"/>
  <c r="AH23" i="93"/>
  <c r="AI23" i="93" s="1"/>
  <c r="AG23" i="93"/>
  <c r="AD23" i="93"/>
  <c r="AE23" i="93" s="1"/>
  <c r="AC23" i="93"/>
  <c r="Z23" i="93"/>
  <c r="AA23" i="93" s="1"/>
  <c r="Y23" i="93"/>
  <c r="V23" i="93"/>
  <c r="W23" i="93" s="1"/>
  <c r="U23" i="93"/>
  <c r="R23" i="93"/>
  <c r="S23" i="93" s="1"/>
  <c r="Q23" i="93"/>
  <c r="N23" i="93"/>
  <c r="O23" i="93" s="1"/>
  <c r="M23" i="93"/>
  <c r="F23" i="93"/>
  <c r="G23" i="93" s="1"/>
  <c r="E23" i="93"/>
  <c r="AH22" i="93"/>
  <c r="AI22" i="93" s="1"/>
  <c r="AG22" i="93"/>
  <c r="AD22" i="93"/>
  <c r="AE22" i="93" s="1"/>
  <c r="AC22" i="93"/>
  <c r="Z22" i="93"/>
  <c r="AA22" i="93" s="1"/>
  <c r="Y22" i="93"/>
  <c r="V22" i="93"/>
  <c r="W22" i="93" s="1"/>
  <c r="U22" i="93"/>
  <c r="R22" i="93"/>
  <c r="S22" i="93" s="1"/>
  <c r="Q22" i="93"/>
  <c r="N22" i="93"/>
  <c r="O22" i="93" s="1"/>
  <c r="M22" i="93"/>
  <c r="F22" i="93"/>
  <c r="G22" i="93" s="1"/>
  <c r="E22" i="93"/>
  <c r="AH21" i="93"/>
  <c r="AI21" i="93" s="1"/>
  <c r="AG21" i="93"/>
  <c r="AD21" i="93"/>
  <c r="AE21" i="93" s="1"/>
  <c r="AC21" i="93"/>
  <c r="Z21" i="93"/>
  <c r="AA21" i="93" s="1"/>
  <c r="Y21" i="93"/>
  <c r="V21" i="93"/>
  <c r="W21" i="93" s="1"/>
  <c r="U21" i="93"/>
  <c r="R21" i="93"/>
  <c r="S21" i="93" s="1"/>
  <c r="Q21" i="93"/>
  <c r="N21" i="93"/>
  <c r="O21" i="93" s="1"/>
  <c r="M21" i="93"/>
  <c r="F21" i="93"/>
  <c r="G21" i="93" s="1"/>
  <c r="E21" i="93"/>
  <c r="AH20" i="93"/>
  <c r="AI20" i="93" s="1"/>
  <c r="AG20" i="93"/>
  <c r="AD20" i="93"/>
  <c r="AE20" i="93" s="1"/>
  <c r="AC20" i="93"/>
  <c r="Z20" i="93"/>
  <c r="AA20" i="93" s="1"/>
  <c r="Y20" i="93"/>
  <c r="V20" i="93"/>
  <c r="W20" i="93" s="1"/>
  <c r="U20" i="93"/>
  <c r="R20" i="93"/>
  <c r="S20" i="93" s="1"/>
  <c r="Q20" i="93"/>
  <c r="N20" i="93"/>
  <c r="O20" i="93" s="1"/>
  <c r="M20" i="93"/>
  <c r="F20" i="93"/>
  <c r="G20" i="93" s="1"/>
  <c r="E20" i="93"/>
  <c r="AH19" i="93"/>
  <c r="AI19" i="93" s="1"/>
  <c r="AG19" i="93"/>
  <c r="AD19" i="93"/>
  <c r="AE19" i="93" s="1"/>
  <c r="AC19" i="93"/>
  <c r="Z19" i="93"/>
  <c r="AA19" i="93" s="1"/>
  <c r="Y19" i="93"/>
  <c r="V19" i="93"/>
  <c r="W19" i="93" s="1"/>
  <c r="U19" i="93"/>
  <c r="R19" i="93"/>
  <c r="S19" i="93" s="1"/>
  <c r="Q19" i="93"/>
  <c r="N19" i="93"/>
  <c r="O19" i="93" s="1"/>
  <c r="M19" i="93"/>
  <c r="F19" i="93"/>
  <c r="G19" i="93" s="1"/>
  <c r="E19" i="93"/>
  <c r="AH18" i="93"/>
  <c r="AI18" i="93" s="1"/>
  <c r="AG18" i="93"/>
  <c r="AD18" i="93"/>
  <c r="AE18" i="93" s="1"/>
  <c r="AC18" i="93"/>
  <c r="Z18" i="93"/>
  <c r="AA18" i="93" s="1"/>
  <c r="Y18" i="93"/>
  <c r="V18" i="93"/>
  <c r="W18" i="93" s="1"/>
  <c r="U18" i="93"/>
  <c r="R18" i="93"/>
  <c r="S18" i="93" s="1"/>
  <c r="Q18" i="93"/>
  <c r="N18" i="93"/>
  <c r="O18" i="93" s="1"/>
  <c r="M18" i="93"/>
  <c r="F18" i="93"/>
  <c r="G18" i="93" s="1"/>
  <c r="E18" i="93"/>
  <c r="AH17" i="93"/>
  <c r="AI17" i="93" s="1"/>
  <c r="AG17" i="93"/>
  <c r="AD17" i="93"/>
  <c r="AE17" i="93" s="1"/>
  <c r="AC17" i="93"/>
  <c r="Z17" i="93"/>
  <c r="AA17" i="93" s="1"/>
  <c r="Y17" i="93"/>
  <c r="V17" i="93"/>
  <c r="W17" i="93" s="1"/>
  <c r="U17" i="93"/>
  <c r="R17" i="93"/>
  <c r="S17" i="93" s="1"/>
  <c r="Q17" i="93"/>
  <c r="N17" i="93"/>
  <c r="O17" i="93" s="1"/>
  <c r="M17" i="93"/>
  <c r="F17" i="93"/>
  <c r="G17" i="93" s="1"/>
  <c r="E17" i="93"/>
  <c r="AH16" i="93"/>
  <c r="AI16" i="93" s="1"/>
  <c r="AG16" i="93"/>
  <c r="AD16" i="93"/>
  <c r="AE16" i="93" s="1"/>
  <c r="AC16" i="93"/>
  <c r="Z16" i="93"/>
  <c r="AA16" i="93" s="1"/>
  <c r="Y16" i="93"/>
  <c r="V16" i="93"/>
  <c r="W16" i="93" s="1"/>
  <c r="U16" i="93"/>
  <c r="R16" i="93"/>
  <c r="S16" i="93" s="1"/>
  <c r="Q16" i="93"/>
  <c r="N16" i="93"/>
  <c r="O16" i="93" s="1"/>
  <c r="M16" i="93"/>
  <c r="F16" i="93"/>
  <c r="G16" i="93" s="1"/>
  <c r="E16" i="93"/>
  <c r="AH15" i="93"/>
  <c r="AI15" i="93" s="1"/>
  <c r="AG15" i="93"/>
  <c r="AD15" i="93"/>
  <c r="AE15" i="93" s="1"/>
  <c r="AC15" i="93"/>
  <c r="Z15" i="93"/>
  <c r="AA15" i="93" s="1"/>
  <c r="Y15" i="93"/>
  <c r="V15" i="93"/>
  <c r="W15" i="93" s="1"/>
  <c r="U15" i="93"/>
  <c r="R15" i="93"/>
  <c r="S15" i="93" s="1"/>
  <c r="Q15" i="93"/>
  <c r="N15" i="93"/>
  <c r="O15" i="93" s="1"/>
  <c r="M15" i="93"/>
  <c r="F15" i="93"/>
  <c r="G15" i="93" s="1"/>
  <c r="E15" i="93"/>
  <c r="AH14" i="93"/>
  <c r="AI14" i="93" s="1"/>
  <c r="AG14" i="93"/>
  <c r="AD14" i="93"/>
  <c r="AE14" i="93" s="1"/>
  <c r="AC14" i="93"/>
  <c r="Z14" i="93"/>
  <c r="AA14" i="93" s="1"/>
  <c r="Y14" i="93"/>
  <c r="V14" i="93"/>
  <c r="W14" i="93" s="1"/>
  <c r="U14" i="93"/>
  <c r="R14" i="93"/>
  <c r="S14" i="93" s="1"/>
  <c r="Q14" i="93"/>
  <c r="N14" i="93"/>
  <c r="O14" i="93" s="1"/>
  <c r="M14" i="93"/>
  <c r="F14" i="93"/>
  <c r="G14" i="93" s="1"/>
  <c r="E14" i="93"/>
  <c r="AH13" i="93"/>
  <c r="AI13" i="93" s="1"/>
  <c r="AG13" i="93"/>
  <c r="AD13" i="93"/>
  <c r="AE13" i="93" s="1"/>
  <c r="AC13" i="93"/>
  <c r="Z13" i="93"/>
  <c r="AA13" i="93" s="1"/>
  <c r="Y13" i="93"/>
  <c r="V13" i="93"/>
  <c r="W13" i="93" s="1"/>
  <c r="U13" i="93"/>
  <c r="R13" i="93"/>
  <c r="S13" i="93" s="1"/>
  <c r="AJ13" i="93" s="1"/>
  <c r="AK13" i="93" s="1"/>
  <c r="AL13" i="93" s="1"/>
  <c r="Q13" i="93"/>
  <c r="N13" i="93"/>
  <c r="O13" i="93" s="1"/>
  <c r="M13" i="93"/>
  <c r="F13" i="93"/>
  <c r="G13" i="93" s="1"/>
  <c r="E13" i="93"/>
  <c r="AH12" i="93"/>
  <c r="AI12" i="93" s="1"/>
  <c r="AG12" i="93"/>
  <c r="AD12" i="93"/>
  <c r="AE12" i="93" s="1"/>
  <c r="AC12" i="93"/>
  <c r="Z12" i="93"/>
  <c r="AA12" i="93" s="1"/>
  <c r="Y12" i="93"/>
  <c r="V12" i="93"/>
  <c r="W12" i="93" s="1"/>
  <c r="U12" i="93"/>
  <c r="R12" i="93"/>
  <c r="S12" i="93" s="1"/>
  <c r="Q12" i="93"/>
  <c r="N12" i="93"/>
  <c r="O12" i="93" s="1"/>
  <c r="M12" i="93"/>
  <c r="F12" i="93"/>
  <c r="G12" i="93" s="1"/>
  <c r="E12" i="93"/>
  <c r="AH11" i="93"/>
  <c r="AI11" i="93" s="1"/>
  <c r="AG11" i="93"/>
  <c r="AD11" i="93"/>
  <c r="AE11" i="93" s="1"/>
  <c r="AC11" i="93"/>
  <c r="Z11" i="93"/>
  <c r="AA11" i="93" s="1"/>
  <c r="Y11" i="93"/>
  <c r="V11" i="93"/>
  <c r="W11" i="93" s="1"/>
  <c r="U11" i="93"/>
  <c r="R11" i="93"/>
  <c r="S11" i="93" s="1"/>
  <c r="Q11" i="93"/>
  <c r="N11" i="93"/>
  <c r="O11" i="93" s="1"/>
  <c r="M11" i="93"/>
  <c r="F11" i="93"/>
  <c r="G11" i="93" s="1"/>
  <c r="E11" i="93"/>
  <c r="AH10" i="93"/>
  <c r="AI10" i="93" s="1"/>
  <c r="AG10" i="93"/>
  <c r="AD10" i="93"/>
  <c r="AE10" i="93" s="1"/>
  <c r="AC10" i="93"/>
  <c r="Z10" i="93"/>
  <c r="AA10" i="93" s="1"/>
  <c r="Y10" i="93"/>
  <c r="V10" i="93"/>
  <c r="W10" i="93" s="1"/>
  <c r="U10" i="93"/>
  <c r="R10" i="93"/>
  <c r="S10" i="93" s="1"/>
  <c r="Q10" i="93"/>
  <c r="N10" i="93"/>
  <c r="O10" i="93" s="1"/>
  <c r="M10" i="93"/>
  <c r="F10" i="93"/>
  <c r="G10" i="93" s="1"/>
  <c r="E10" i="93"/>
  <c r="AH9" i="93"/>
  <c r="AI9" i="93" s="1"/>
  <c r="AG9" i="93"/>
  <c r="AD9" i="93"/>
  <c r="AE9" i="93" s="1"/>
  <c r="AC9" i="93"/>
  <c r="Z9" i="93"/>
  <c r="AA9" i="93" s="1"/>
  <c r="Y9" i="93"/>
  <c r="V9" i="93"/>
  <c r="W9" i="93" s="1"/>
  <c r="U9" i="93"/>
  <c r="R9" i="93"/>
  <c r="S9" i="93" s="1"/>
  <c r="Q9" i="93"/>
  <c r="N9" i="93"/>
  <c r="O9" i="93" s="1"/>
  <c r="M9" i="93"/>
  <c r="F9" i="93"/>
  <c r="G9" i="93" s="1"/>
  <c r="AJ9" i="93" s="1"/>
  <c r="AK9" i="93" s="1"/>
  <c r="AL9" i="93" s="1"/>
  <c r="E9" i="93"/>
  <c r="AH8" i="93"/>
  <c r="AI8" i="93" s="1"/>
  <c r="AG8" i="93"/>
  <c r="AD8" i="93"/>
  <c r="AE8" i="93" s="1"/>
  <c r="AC8" i="93"/>
  <c r="Z8" i="93"/>
  <c r="AA8" i="93" s="1"/>
  <c r="Y8" i="93"/>
  <c r="V8" i="93"/>
  <c r="W8" i="93" s="1"/>
  <c r="U8" i="93"/>
  <c r="R8" i="93"/>
  <c r="S8" i="93" s="1"/>
  <c r="Q8" i="93"/>
  <c r="N8" i="93"/>
  <c r="O8" i="93" s="1"/>
  <c r="M8" i="93"/>
  <c r="F8" i="93"/>
  <c r="G8" i="93" s="1"/>
  <c r="E8" i="93"/>
  <c r="AH7" i="93"/>
  <c r="AI7" i="93" s="1"/>
  <c r="AG7" i="93"/>
  <c r="AD7" i="93"/>
  <c r="AE7" i="93" s="1"/>
  <c r="AC7" i="93"/>
  <c r="Z7" i="93"/>
  <c r="AA7" i="93" s="1"/>
  <c r="Y7" i="93"/>
  <c r="V7" i="93"/>
  <c r="W7" i="93" s="1"/>
  <c r="U7" i="93"/>
  <c r="R7" i="93"/>
  <c r="S7" i="93" s="1"/>
  <c r="Q7" i="93"/>
  <c r="N7" i="93"/>
  <c r="O7" i="93" s="1"/>
  <c r="M7" i="93"/>
  <c r="F7" i="93"/>
  <c r="G7" i="93" s="1"/>
  <c r="E7" i="93"/>
  <c r="AH6" i="93"/>
  <c r="AI6" i="93" s="1"/>
  <c r="AG6" i="93"/>
  <c r="AD6" i="93"/>
  <c r="AE6" i="93" s="1"/>
  <c r="AC6" i="93"/>
  <c r="Z6" i="93"/>
  <c r="AA6" i="93" s="1"/>
  <c r="Y6" i="93"/>
  <c r="V6" i="93"/>
  <c r="W6" i="93" s="1"/>
  <c r="U6" i="93"/>
  <c r="R6" i="93"/>
  <c r="S6" i="93" s="1"/>
  <c r="Q6" i="93"/>
  <c r="N6" i="93"/>
  <c r="O6" i="93" s="1"/>
  <c r="M6" i="93"/>
  <c r="F6" i="93"/>
  <c r="G6" i="93" s="1"/>
  <c r="E6" i="93"/>
  <c r="AH5" i="93"/>
  <c r="AI5" i="93" s="1"/>
  <c r="AG5" i="93"/>
  <c r="AD5" i="93"/>
  <c r="AE5" i="93" s="1"/>
  <c r="AC5" i="93"/>
  <c r="Z5" i="93"/>
  <c r="AA5" i="93" s="1"/>
  <c r="Y5" i="93"/>
  <c r="V5" i="93"/>
  <c r="W5" i="93" s="1"/>
  <c r="U5" i="93"/>
  <c r="R5" i="93"/>
  <c r="S5" i="93" s="1"/>
  <c r="Q5" i="93"/>
  <c r="N5" i="93"/>
  <c r="O5" i="93" s="1"/>
  <c r="M5" i="93"/>
  <c r="J5" i="93"/>
  <c r="I5" i="93"/>
  <c r="F5" i="93"/>
  <c r="G5" i="93" s="1"/>
  <c r="E5" i="93"/>
  <c r="AD24" i="91"/>
  <c r="AE24" i="91" s="1"/>
  <c r="AC24" i="91"/>
  <c r="Z24" i="91"/>
  <c r="AA24" i="91" s="1"/>
  <c r="Y24" i="91"/>
  <c r="V24" i="91"/>
  <c r="W24" i="91" s="1"/>
  <c r="U24" i="91"/>
  <c r="R24" i="91"/>
  <c r="S24" i="91" s="1"/>
  <c r="Q24" i="91"/>
  <c r="N24" i="91"/>
  <c r="O24" i="91" s="1"/>
  <c r="M24" i="91"/>
  <c r="F24" i="91"/>
  <c r="G24" i="91" s="1"/>
  <c r="E24" i="91"/>
  <c r="AD23" i="91"/>
  <c r="AE23" i="91" s="1"/>
  <c r="AC23" i="91"/>
  <c r="Z23" i="91"/>
  <c r="AA23" i="91" s="1"/>
  <c r="Y23" i="91"/>
  <c r="V23" i="91"/>
  <c r="W23" i="91" s="1"/>
  <c r="U23" i="91"/>
  <c r="R23" i="91"/>
  <c r="S23" i="91" s="1"/>
  <c r="Q23" i="91"/>
  <c r="N23" i="91"/>
  <c r="O23" i="91" s="1"/>
  <c r="M23" i="91"/>
  <c r="F23" i="91"/>
  <c r="G23" i="91" s="1"/>
  <c r="E23" i="91"/>
  <c r="AD22" i="91"/>
  <c r="AE22" i="91" s="1"/>
  <c r="AC22" i="91"/>
  <c r="Z22" i="91"/>
  <c r="AA22" i="91" s="1"/>
  <c r="Y22" i="91"/>
  <c r="V22" i="91"/>
  <c r="W22" i="91" s="1"/>
  <c r="U22" i="91"/>
  <c r="R22" i="91"/>
  <c r="S22" i="91" s="1"/>
  <c r="Q22" i="91"/>
  <c r="N22" i="91"/>
  <c r="O22" i="91" s="1"/>
  <c r="M22" i="91"/>
  <c r="F22" i="91"/>
  <c r="G22" i="91" s="1"/>
  <c r="E22" i="91"/>
  <c r="AD21" i="91"/>
  <c r="AE21" i="91" s="1"/>
  <c r="AC21" i="91"/>
  <c r="Z21" i="91"/>
  <c r="AA21" i="91" s="1"/>
  <c r="Y21" i="91"/>
  <c r="V21" i="91"/>
  <c r="W21" i="91" s="1"/>
  <c r="U21" i="91"/>
  <c r="R21" i="91"/>
  <c r="S21" i="91" s="1"/>
  <c r="Q21" i="91"/>
  <c r="N21" i="91"/>
  <c r="O21" i="91" s="1"/>
  <c r="M21" i="91"/>
  <c r="F21" i="91"/>
  <c r="G21" i="91" s="1"/>
  <c r="E21" i="91"/>
  <c r="AD7" i="91"/>
  <c r="AE7" i="91" s="1"/>
  <c r="AC7" i="91"/>
  <c r="Z7" i="91"/>
  <c r="AA7" i="91" s="1"/>
  <c r="Y7" i="91"/>
  <c r="V7" i="91"/>
  <c r="W7" i="91" s="1"/>
  <c r="U7" i="91"/>
  <c r="R7" i="91"/>
  <c r="Q7" i="91"/>
  <c r="N7" i="91"/>
  <c r="O7" i="91" s="1"/>
  <c r="M7" i="91"/>
  <c r="F7" i="91"/>
  <c r="G7" i="91" s="1"/>
  <c r="E7" i="91"/>
  <c r="AD16" i="91"/>
  <c r="AE16" i="91" s="1"/>
  <c r="AC16" i="91"/>
  <c r="Z16" i="91"/>
  <c r="AA16" i="91" s="1"/>
  <c r="Y16" i="91"/>
  <c r="V16" i="91"/>
  <c r="W16" i="91" s="1"/>
  <c r="U16" i="91"/>
  <c r="R16" i="91"/>
  <c r="S16" i="91" s="1"/>
  <c r="Q16" i="91"/>
  <c r="N16" i="91"/>
  <c r="O16" i="91" s="1"/>
  <c r="M16" i="91"/>
  <c r="F16" i="91"/>
  <c r="G16" i="91" s="1"/>
  <c r="E16" i="91"/>
  <c r="AD17" i="91"/>
  <c r="AE17" i="91" s="1"/>
  <c r="AC17" i="91"/>
  <c r="Z17" i="91"/>
  <c r="AA17" i="91" s="1"/>
  <c r="Y17" i="91"/>
  <c r="V17" i="91"/>
  <c r="U17" i="91"/>
  <c r="R17" i="91"/>
  <c r="S17" i="91" s="1"/>
  <c r="Q17" i="91"/>
  <c r="N17" i="91"/>
  <c r="O17" i="91" s="1"/>
  <c r="M17" i="91"/>
  <c r="F17" i="91"/>
  <c r="G17" i="91" s="1"/>
  <c r="E17" i="91"/>
  <c r="AD10" i="91"/>
  <c r="AE10" i="91" s="1"/>
  <c r="AC10" i="91"/>
  <c r="Z10" i="91"/>
  <c r="AA10" i="91" s="1"/>
  <c r="Y10" i="91"/>
  <c r="V10" i="91"/>
  <c r="W10" i="91" s="1"/>
  <c r="U10" i="91"/>
  <c r="R10" i="91"/>
  <c r="Q10" i="91"/>
  <c r="N10" i="91"/>
  <c r="O10" i="91" s="1"/>
  <c r="M10" i="91"/>
  <c r="F10" i="91"/>
  <c r="E10" i="91"/>
  <c r="AD6" i="91"/>
  <c r="AE6" i="91" s="1"/>
  <c r="AC6" i="91"/>
  <c r="Z6" i="91"/>
  <c r="AA6" i="91" s="1"/>
  <c r="Y6" i="91"/>
  <c r="V6" i="91"/>
  <c r="W6" i="91" s="1"/>
  <c r="U6" i="91"/>
  <c r="R6" i="91"/>
  <c r="S6" i="91" s="1"/>
  <c r="Q6" i="91"/>
  <c r="N6" i="91"/>
  <c r="O6" i="91" s="1"/>
  <c r="M6" i="91"/>
  <c r="F6" i="91"/>
  <c r="G6" i="91" s="1"/>
  <c r="E6" i="91"/>
  <c r="AD14" i="91"/>
  <c r="AC14" i="91"/>
  <c r="Z14" i="91"/>
  <c r="Y14" i="91"/>
  <c r="V14" i="91"/>
  <c r="W14" i="91" s="1"/>
  <c r="U14" i="91"/>
  <c r="R14" i="91"/>
  <c r="S14" i="91" s="1"/>
  <c r="Q14" i="91"/>
  <c r="N14" i="91"/>
  <c r="O14" i="91" s="1"/>
  <c r="M14" i="91"/>
  <c r="F14" i="91"/>
  <c r="G14" i="91" s="1"/>
  <c r="E14" i="91"/>
  <c r="AD5" i="91"/>
  <c r="AE5" i="91" s="1"/>
  <c r="AC5" i="91"/>
  <c r="Z5" i="91"/>
  <c r="Y5" i="91"/>
  <c r="V5" i="91"/>
  <c r="U5" i="91"/>
  <c r="R5" i="91"/>
  <c r="S5" i="91" s="1"/>
  <c r="Q5" i="91"/>
  <c r="N5" i="91"/>
  <c r="O5" i="91" s="1"/>
  <c r="M5" i="91"/>
  <c r="F5" i="91"/>
  <c r="E5" i="91"/>
  <c r="AD15" i="91"/>
  <c r="AE15" i="91" s="1"/>
  <c r="AC15" i="91"/>
  <c r="Z15" i="91"/>
  <c r="Y15" i="91"/>
  <c r="V15" i="91"/>
  <c r="U15" i="91"/>
  <c r="R15" i="91"/>
  <c r="Q15" i="91"/>
  <c r="N15" i="91"/>
  <c r="M15" i="91"/>
  <c r="F15" i="91"/>
  <c r="G15" i="91" s="1"/>
  <c r="E15" i="91"/>
  <c r="AD20" i="91"/>
  <c r="AE20" i="91" s="1"/>
  <c r="AC20" i="91"/>
  <c r="Z20" i="91"/>
  <c r="AA20" i="91" s="1"/>
  <c r="Y20" i="91"/>
  <c r="V20" i="91"/>
  <c r="W20" i="91" s="1"/>
  <c r="U20" i="91"/>
  <c r="R20" i="91"/>
  <c r="Q20" i="91"/>
  <c r="N20" i="91"/>
  <c r="O20" i="91" s="1"/>
  <c r="M20" i="91"/>
  <c r="F20" i="91"/>
  <c r="G20" i="91" s="1"/>
  <c r="E20" i="91"/>
  <c r="AD11" i="91"/>
  <c r="AE11" i="91" s="1"/>
  <c r="AC11" i="91"/>
  <c r="Z11" i="91"/>
  <c r="AA11" i="91" s="1"/>
  <c r="Y11" i="91"/>
  <c r="V11" i="91"/>
  <c r="W11" i="91" s="1"/>
  <c r="U11" i="91"/>
  <c r="R11" i="91"/>
  <c r="S11" i="91" s="1"/>
  <c r="Q11" i="91"/>
  <c r="N11" i="91"/>
  <c r="M11" i="91"/>
  <c r="F11" i="91"/>
  <c r="G11" i="91" s="1"/>
  <c r="E11" i="91"/>
  <c r="AD13" i="91"/>
  <c r="AE13" i="91" s="1"/>
  <c r="AC13" i="91"/>
  <c r="Z13" i="91"/>
  <c r="Y13" i="91"/>
  <c r="V13" i="91"/>
  <c r="U13" i="91"/>
  <c r="R13" i="91"/>
  <c r="Q13" i="91"/>
  <c r="N13" i="91"/>
  <c r="M13" i="91"/>
  <c r="F13" i="91"/>
  <c r="E13" i="91"/>
  <c r="AD18" i="91"/>
  <c r="AE18" i="91" s="1"/>
  <c r="AC18" i="91"/>
  <c r="Z18" i="91"/>
  <c r="AA18" i="91" s="1"/>
  <c r="Y18" i="91"/>
  <c r="V18" i="91"/>
  <c r="U18" i="91"/>
  <c r="R18" i="91"/>
  <c r="S18" i="91" s="1"/>
  <c r="Q18" i="91"/>
  <c r="N18" i="91"/>
  <c r="O18" i="91" s="1"/>
  <c r="M18" i="91"/>
  <c r="F18" i="91"/>
  <c r="G18" i="91" s="1"/>
  <c r="E18" i="91"/>
  <c r="AD9" i="91"/>
  <c r="AE9" i="91" s="1"/>
  <c r="AC9" i="91"/>
  <c r="Z9" i="91"/>
  <c r="Y9" i="91"/>
  <c r="V9" i="91"/>
  <c r="W9" i="91" s="1"/>
  <c r="U9" i="91"/>
  <c r="R9" i="91"/>
  <c r="Q9" i="91"/>
  <c r="N9" i="91"/>
  <c r="O9" i="91" s="1"/>
  <c r="M9" i="91"/>
  <c r="F9" i="91"/>
  <c r="G9" i="91" s="1"/>
  <c r="E9" i="91"/>
  <c r="AD8" i="91"/>
  <c r="AC8" i="91"/>
  <c r="Z8" i="91"/>
  <c r="Y8" i="91"/>
  <c r="V8" i="91"/>
  <c r="U8" i="91"/>
  <c r="R8" i="91"/>
  <c r="Q8" i="91"/>
  <c r="N8" i="91"/>
  <c r="M8" i="91"/>
  <c r="F8" i="91"/>
  <c r="G8" i="91" s="1"/>
  <c r="E8" i="91"/>
  <c r="AD12" i="91"/>
  <c r="AC12" i="91"/>
  <c r="Z12" i="91"/>
  <c r="Y12" i="91"/>
  <c r="V12" i="91"/>
  <c r="W12" i="91" s="1"/>
  <c r="U12" i="91"/>
  <c r="R12" i="91"/>
  <c r="Q12" i="91"/>
  <c r="N12" i="91"/>
  <c r="O12" i="91" s="1"/>
  <c r="M12" i="91"/>
  <c r="F12" i="91"/>
  <c r="E12" i="91"/>
  <c r="AD19" i="91"/>
  <c r="AE19" i="91" s="1"/>
  <c r="AC19" i="91"/>
  <c r="Z19" i="91"/>
  <c r="AA19" i="91" s="1"/>
  <c r="Y19" i="91"/>
  <c r="V19" i="91"/>
  <c r="W19" i="91" s="1"/>
  <c r="U19" i="91"/>
  <c r="R19" i="91"/>
  <c r="S19" i="91" s="1"/>
  <c r="Q19" i="91"/>
  <c r="N19" i="91"/>
  <c r="O19" i="91" s="1"/>
  <c r="M19" i="91"/>
  <c r="J19" i="91"/>
  <c r="I19" i="91"/>
  <c r="F19" i="91"/>
  <c r="G19" i="91" s="1"/>
  <c r="E19" i="91"/>
  <c r="AD24" i="90"/>
  <c r="AE24" i="90" s="1"/>
  <c r="AC24" i="90"/>
  <c r="Z24" i="90"/>
  <c r="AA24" i="90" s="1"/>
  <c r="Y24" i="90"/>
  <c r="V24" i="90"/>
  <c r="W24" i="90" s="1"/>
  <c r="U24" i="90"/>
  <c r="R24" i="90"/>
  <c r="S24" i="90" s="1"/>
  <c r="Q24" i="90"/>
  <c r="N24" i="90"/>
  <c r="O24" i="90" s="1"/>
  <c r="M24" i="90"/>
  <c r="F24" i="90"/>
  <c r="G24" i="90" s="1"/>
  <c r="E24" i="90"/>
  <c r="AD23" i="90"/>
  <c r="AE23" i="90" s="1"/>
  <c r="AC23" i="90"/>
  <c r="Z23" i="90"/>
  <c r="AA23" i="90" s="1"/>
  <c r="Y23" i="90"/>
  <c r="V23" i="90"/>
  <c r="W23" i="90" s="1"/>
  <c r="U23" i="90"/>
  <c r="R23" i="90"/>
  <c r="S23" i="90" s="1"/>
  <c r="Q23" i="90"/>
  <c r="N23" i="90"/>
  <c r="O23" i="90" s="1"/>
  <c r="M23" i="90"/>
  <c r="F23" i="90"/>
  <c r="G23" i="90" s="1"/>
  <c r="E23" i="90"/>
  <c r="AD22" i="90"/>
  <c r="AE22" i="90" s="1"/>
  <c r="AC22" i="90"/>
  <c r="Z22" i="90"/>
  <c r="AA22" i="90" s="1"/>
  <c r="Y22" i="90"/>
  <c r="V22" i="90"/>
  <c r="W22" i="90" s="1"/>
  <c r="U22" i="90"/>
  <c r="R22" i="90"/>
  <c r="S22" i="90" s="1"/>
  <c r="Q22" i="90"/>
  <c r="N22" i="90"/>
  <c r="O22" i="90" s="1"/>
  <c r="M22" i="90"/>
  <c r="F22" i="90"/>
  <c r="G22" i="90" s="1"/>
  <c r="E22" i="90"/>
  <c r="AD8" i="90"/>
  <c r="AE8" i="90" s="1"/>
  <c r="AC8" i="90"/>
  <c r="Z8" i="90"/>
  <c r="AA8" i="90" s="1"/>
  <c r="Y8" i="90"/>
  <c r="V8" i="90"/>
  <c r="W8" i="90" s="1"/>
  <c r="U8" i="90"/>
  <c r="R8" i="90"/>
  <c r="Q8" i="90"/>
  <c r="N8" i="90"/>
  <c r="M8" i="90"/>
  <c r="F8" i="90"/>
  <c r="G8" i="90" s="1"/>
  <c r="E8" i="90"/>
  <c r="AD17" i="90"/>
  <c r="AE17" i="90" s="1"/>
  <c r="AC17" i="90"/>
  <c r="Z17" i="90"/>
  <c r="Y17" i="90"/>
  <c r="V17" i="90"/>
  <c r="U17" i="90"/>
  <c r="R17" i="90"/>
  <c r="Q17" i="90"/>
  <c r="N17" i="90"/>
  <c r="M17" i="90"/>
  <c r="F17" i="90"/>
  <c r="G17" i="90" s="1"/>
  <c r="E17" i="90"/>
  <c r="AD5" i="90"/>
  <c r="AC5" i="90"/>
  <c r="Z5" i="90"/>
  <c r="Y5" i="90"/>
  <c r="V5" i="90"/>
  <c r="U5" i="90"/>
  <c r="R5" i="90"/>
  <c r="Q5" i="90"/>
  <c r="N5" i="90"/>
  <c r="M5" i="90"/>
  <c r="F5" i="90"/>
  <c r="E5" i="90"/>
  <c r="AD15" i="90"/>
  <c r="AC15" i="90"/>
  <c r="Z15" i="90"/>
  <c r="Y15" i="90"/>
  <c r="V15" i="90"/>
  <c r="W15" i="90" s="1"/>
  <c r="U15" i="90"/>
  <c r="R15" i="90"/>
  <c r="S15" i="90" s="1"/>
  <c r="Q15" i="90"/>
  <c r="N15" i="90"/>
  <c r="M15" i="90"/>
  <c r="F15" i="90"/>
  <c r="G15" i="90" s="1"/>
  <c r="E15" i="90"/>
  <c r="AD18" i="90"/>
  <c r="AC18" i="90"/>
  <c r="Z18" i="90"/>
  <c r="Y18" i="90"/>
  <c r="V18" i="90"/>
  <c r="W18" i="90" s="1"/>
  <c r="U18" i="90"/>
  <c r="R18" i="90"/>
  <c r="S18" i="90" s="1"/>
  <c r="Q18" i="90"/>
  <c r="N18" i="90"/>
  <c r="M18" i="90"/>
  <c r="F18" i="90"/>
  <c r="E18" i="90"/>
  <c r="AD6" i="90"/>
  <c r="AE6" i="90" s="1"/>
  <c r="AC6" i="90"/>
  <c r="Z6" i="90"/>
  <c r="AA6" i="90" s="1"/>
  <c r="Y6" i="90"/>
  <c r="V6" i="90"/>
  <c r="W6" i="90" s="1"/>
  <c r="U6" i="90"/>
  <c r="R6" i="90"/>
  <c r="S6" i="90" s="1"/>
  <c r="Q6" i="90"/>
  <c r="N6" i="90"/>
  <c r="O6" i="90" s="1"/>
  <c r="M6" i="90"/>
  <c r="F6" i="90"/>
  <c r="G6" i="90" s="1"/>
  <c r="E6" i="90"/>
  <c r="AD20" i="90"/>
  <c r="AE20" i="90" s="1"/>
  <c r="AC20" i="90"/>
  <c r="Z20" i="90"/>
  <c r="AA20" i="90" s="1"/>
  <c r="Y20" i="90"/>
  <c r="V20" i="90"/>
  <c r="W20" i="90" s="1"/>
  <c r="U20" i="90"/>
  <c r="R20" i="90"/>
  <c r="Q20" i="90"/>
  <c r="N20" i="90"/>
  <c r="O20" i="90" s="1"/>
  <c r="M20" i="90"/>
  <c r="F20" i="90"/>
  <c r="G20" i="90" s="1"/>
  <c r="E20" i="90"/>
  <c r="AD16" i="90"/>
  <c r="AC16" i="90"/>
  <c r="Z16" i="90"/>
  <c r="Y16" i="90"/>
  <c r="V16" i="90"/>
  <c r="U16" i="90"/>
  <c r="R16" i="90"/>
  <c r="S16" i="90" s="1"/>
  <c r="Q16" i="90"/>
  <c r="N16" i="90"/>
  <c r="M16" i="90"/>
  <c r="F16" i="90"/>
  <c r="E16" i="90"/>
  <c r="AD10" i="90"/>
  <c r="AC10" i="90"/>
  <c r="Z10" i="90"/>
  <c r="Y10" i="90"/>
  <c r="V10" i="90"/>
  <c r="U10" i="90"/>
  <c r="R10" i="90"/>
  <c r="Q10" i="90"/>
  <c r="N10" i="90"/>
  <c r="M10" i="90"/>
  <c r="F10" i="90"/>
  <c r="E10" i="90"/>
  <c r="AD19" i="90"/>
  <c r="AE19" i="90" s="1"/>
  <c r="AC19" i="90"/>
  <c r="Z19" i="90"/>
  <c r="Y19" i="90"/>
  <c r="V19" i="90"/>
  <c r="W19" i="90" s="1"/>
  <c r="U19" i="90"/>
  <c r="R19" i="90"/>
  <c r="S19" i="90" s="1"/>
  <c r="Q19" i="90"/>
  <c r="N19" i="90"/>
  <c r="O19" i="90" s="1"/>
  <c r="M19" i="90"/>
  <c r="F19" i="90"/>
  <c r="G19" i="90" s="1"/>
  <c r="E19" i="90"/>
  <c r="AD9" i="90"/>
  <c r="AE9" i="90" s="1"/>
  <c r="AC9" i="90"/>
  <c r="Z9" i="90"/>
  <c r="Y9" i="90"/>
  <c r="V9" i="90"/>
  <c r="W9" i="90" s="1"/>
  <c r="U9" i="90"/>
  <c r="R9" i="90"/>
  <c r="Q9" i="90"/>
  <c r="N9" i="90"/>
  <c r="M9" i="90"/>
  <c r="F9" i="90"/>
  <c r="E9" i="90"/>
  <c r="AD14" i="90"/>
  <c r="AE14" i="90" s="1"/>
  <c r="AC14" i="90"/>
  <c r="Z14" i="90"/>
  <c r="Y14" i="90"/>
  <c r="V14" i="90"/>
  <c r="W14" i="90" s="1"/>
  <c r="U14" i="90"/>
  <c r="R14" i="90"/>
  <c r="Q14" i="90"/>
  <c r="N14" i="90"/>
  <c r="O14" i="90" s="1"/>
  <c r="M14" i="90"/>
  <c r="F14" i="90"/>
  <c r="E14" i="90"/>
  <c r="AD11" i="90"/>
  <c r="AE11" i="90" s="1"/>
  <c r="AC11" i="90"/>
  <c r="Z11" i="90"/>
  <c r="Y11" i="90"/>
  <c r="V11" i="90"/>
  <c r="W11" i="90" s="1"/>
  <c r="U11" i="90"/>
  <c r="R11" i="90"/>
  <c r="S11" i="90" s="1"/>
  <c r="Q11" i="90"/>
  <c r="N11" i="90"/>
  <c r="O11" i="90" s="1"/>
  <c r="M11" i="90"/>
  <c r="F11" i="90"/>
  <c r="E11" i="90"/>
  <c r="AD7" i="90"/>
  <c r="AC7" i="90"/>
  <c r="Z7" i="90"/>
  <c r="Y7" i="90"/>
  <c r="V7" i="90"/>
  <c r="U7" i="90"/>
  <c r="R7" i="90"/>
  <c r="S7" i="90" s="1"/>
  <c r="Q7" i="90"/>
  <c r="N7" i="90"/>
  <c r="M7" i="90"/>
  <c r="F7" i="90"/>
  <c r="E7" i="90"/>
  <c r="AD21" i="90"/>
  <c r="AC21" i="90"/>
  <c r="Z21" i="90"/>
  <c r="Y21" i="90"/>
  <c r="V21" i="90"/>
  <c r="U21" i="90"/>
  <c r="R21" i="90"/>
  <c r="Q21" i="90"/>
  <c r="N21" i="90"/>
  <c r="M21" i="90"/>
  <c r="J21" i="90"/>
  <c r="I21" i="90"/>
  <c r="F21" i="90"/>
  <c r="E21" i="90"/>
  <c r="AD12" i="90"/>
  <c r="AC12" i="90"/>
  <c r="Z12" i="90"/>
  <c r="Y12" i="90"/>
  <c r="V12" i="90"/>
  <c r="W12" i="90" s="1"/>
  <c r="U12" i="90"/>
  <c r="R12" i="90"/>
  <c r="Q12" i="90"/>
  <c r="N12" i="90"/>
  <c r="M12" i="90"/>
  <c r="F12" i="90"/>
  <c r="G12" i="90" s="1"/>
  <c r="E12" i="90"/>
  <c r="AD24" i="89"/>
  <c r="AE24" i="89" s="1"/>
  <c r="AC24" i="89"/>
  <c r="Z24" i="89"/>
  <c r="Y24" i="89"/>
  <c r="V24" i="89"/>
  <c r="W24" i="89" s="1"/>
  <c r="U24" i="89"/>
  <c r="R24" i="89"/>
  <c r="S24" i="89" s="1"/>
  <c r="Q24" i="89"/>
  <c r="N24" i="89"/>
  <c r="O24" i="89" s="1"/>
  <c r="M24" i="89"/>
  <c r="F24" i="89"/>
  <c r="G24" i="89" s="1"/>
  <c r="E24" i="89"/>
  <c r="AD10" i="89"/>
  <c r="AC10" i="89"/>
  <c r="Z10" i="89"/>
  <c r="AA10" i="89" s="1"/>
  <c r="Y10" i="89"/>
  <c r="V10" i="89"/>
  <c r="W10" i="89" s="1"/>
  <c r="U10" i="89"/>
  <c r="R10" i="89"/>
  <c r="Q10" i="89"/>
  <c r="N10" i="89"/>
  <c r="M10" i="89"/>
  <c r="F10" i="89"/>
  <c r="G10" i="89" s="1"/>
  <c r="E10" i="89"/>
  <c r="AD18" i="89"/>
  <c r="AC18" i="89"/>
  <c r="Z18" i="89"/>
  <c r="Y18" i="89"/>
  <c r="V18" i="89"/>
  <c r="W18" i="89" s="1"/>
  <c r="U18" i="89"/>
  <c r="R18" i="89"/>
  <c r="Q18" i="89"/>
  <c r="N18" i="89"/>
  <c r="M18" i="89"/>
  <c r="F18" i="89"/>
  <c r="E18" i="89"/>
  <c r="AD23" i="89"/>
  <c r="AE23" i="89" s="1"/>
  <c r="AC23" i="89"/>
  <c r="Z23" i="89"/>
  <c r="AA23" i="89" s="1"/>
  <c r="Y23" i="89"/>
  <c r="V23" i="89"/>
  <c r="W23" i="89" s="1"/>
  <c r="U23" i="89"/>
  <c r="R23" i="89"/>
  <c r="S23" i="89" s="1"/>
  <c r="Q23" i="89"/>
  <c r="N23" i="89"/>
  <c r="O23" i="89" s="1"/>
  <c r="M23" i="89"/>
  <c r="F23" i="89"/>
  <c r="G23" i="89" s="1"/>
  <c r="E23" i="89"/>
  <c r="AD9" i="89"/>
  <c r="AE9" i="89" s="1"/>
  <c r="AC9" i="89"/>
  <c r="Z9" i="89"/>
  <c r="AA9" i="89" s="1"/>
  <c r="Y9" i="89"/>
  <c r="V9" i="89"/>
  <c r="W9" i="89" s="1"/>
  <c r="U9" i="89"/>
  <c r="R9" i="89"/>
  <c r="Q9" i="89"/>
  <c r="N9" i="89"/>
  <c r="O9" i="89" s="1"/>
  <c r="M9" i="89"/>
  <c r="F9" i="89"/>
  <c r="G9" i="89" s="1"/>
  <c r="E9" i="89"/>
  <c r="AD5" i="89"/>
  <c r="AC5" i="89"/>
  <c r="Z5" i="89"/>
  <c r="AA5" i="89" s="1"/>
  <c r="Y5" i="89"/>
  <c r="V5" i="89"/>
  <c r="W5" i="89" s="1"/>
  <c r="U5" i="89"/>
  <c r="R5" i="89"/>
  <c r="Q5" i="89"/>
  <c r="N5" i="89"/>
  <c r="M5" i="89"/>
  <c r="F5" i="89"/>
  <c r="G5" i="89" s="1"/>
  <c r="E5" i="89"/>
  <c r="AD14" i="89"/>
  <c r="AE14" i="89" s="1"/>
  <c r="AC14" i="89"/>
  <c r="Z14" i="89"/>
  <c r="AA14" i="89" s="1"/>
  <c r="Y14" i="89"/>
  <c r="V14" i="89"/>
  <c r="U14" i="89"/>
  <c r="R14" i="89"/>
  <c r="Q14" i="89"/>
  <c r="N14" i="89"/>
  <c r="O14" i="89" s="1"/>
  <c r="M14" i="89"/>
  <c r="F14" i="89"/>
  <c r="G14" i="89" s="1"/>
  <c r="E14" i="89"/>
  <c r="AD17" i="89"/>
  <c r="AE17" i="89" s="1"/>
  <c r="AC17" i="89"/>
  <c r="Z17" i="89"/>
  <c r="AA17" i="89" s="1"/>
  <c r="Y17" i="89"/>
  <c r="V17" i="89"/>
  <c r="W17" i="89" s="1"/>
  <c r="U17" i="89"/>
  <c r="R17" i="89"/>
  <c r="S17" i="89" s="1"/>
  <c r="Q17" i="89"/>
  <c r="N17" i="89"/>
  <c r="O17" i="89" s="1"/>
  <c r="M17" i="89"/>
  <c r="F17" i="89"/>
  <c r="G17" i="89" s="1"/>
  <c r="E17" i="89"/>
  <c r="AD8" i="89"/>
  <c r="AE8" i="89" s="1"/>
  <c r="AC8" i="89"/>
  <c r="Z8" i="89"/>
  <c r="Y8" i="89"/>
  <c r="V8" i="89"/>
  <c r="U8" i="89"/>
  <c r="R8" i="89"/>
  <c r="Q8" i="89"/>
  <c r="N8" i="89"/>
  <c r="O8" i="89" s="1"/>
  <c r="M8" i="89"/>
  <c r="F8" i="89"/>
  <c r="G8" i="89" s="1"/>
  <c r="E8" i="89"/>
  <c r="AD6" i="89"/>
  <c r="AE6" i="89" s="1"/>
  <c r="AC6" i="89"/>
  <c r="Z6" i="89"/>
  <c r="AA6" i="89" s="1"/>
  <c r="Y6" i="89"/>
  <c r="V6" i="89"/>
  <c r="W6" i="89" s="1"/>
  <c r="U6" i="89"/>
  <c r="R6" i="89"/>
  <c r="Q6" i="89"/>
  <c r="N6" i="89"/>
  <c r="M6" i="89"/>
  <c r="F6" i="89"/>
  <c r="E6" i="89"/>
  <c r="AD21" i="89"/>
  <c r="AC21" i="89"/>
  <c r="Z21" i="89"/>
  <c r="Y21" i="89"/>
  <c r="V21" i="89"/>
  <c r="U21" i="89"/>
  <c r="R21" i="89"/>
  <c r="Q21" i="89"/>
  <c r="N21" i="89"/>
  <c r="M21" i="89"/>
  <c r="F21" i="89"/>
  <c r="E21" i="89"/>
  <c r="AD19" i="89"/>
  <c r="AC19" i="89"/>
  <c r="Z19" i="89"/>
  <c r="Y19" i="89"/>
  <c r="V19" i="89"/>
  <c r="W19" i="89" s="1"/>
  <c r="U19" i="89"/>
  <c r="R19" i="89"/>
  <c r="Q19" i="89"/>
  <c r="N19" i="89"/>
  <c r="M19" i="89"/>
  <c r="F19" i="89"/>
  <c r="E19" i="89"/>
  <c r="AD22" i="89"/>
  <c r="AE22" i="89" s="1"/>
  <c r="AC22" i="89"/>
  <c r="Z22" i="89"/>
  <c r="Y22" i="89"/>
  <c r="V22" i="89"/>
  <c r="W22" i="89" s="1"/>
  <c r="U22" i="89"/>
  <c r="R22" i="89"/>
  <c r="Q22" i="89"/>
  <c r="N22" i="89"/>
  <c r="O22" i="89" s="1"/>
  <c r="M22" i="89"/>
  <c r="F22" i="89"/>
  <c r="G22" i="89" s="1"/>
  <c r="E22" i="89"/>
  <c r="AD13" i="89"/>
  <c r="AC13" i="89"/>
  <c r="Z13" i="89"/>
  <c r="Y13" i="89"/>
  <c r="V13" i="89"/>
  <c r="U13" i="89"/>
  <c r="R13" i="89"/>
  <c r="Q13" i="89"/>
  <c r="N13" i="89"/>
  <c r="M13" i="89"/>
  <c r="F13" i="89"/>
  <c r="E13" i="89"/>
  <c r="AD15" i="89"/>
  <c r="AE15" i="89" s="1"/>
  <c r="AC15" i="89"/>
  <c r="Z15" i="89"/>
  <c r="AA15" i="89" s="1"/>
  <c r="Y15" i="89"/>
  <c r="V15" i="89"/>
  <c r="W15" i="89" s="1"/>
  <c r="U15" i="89"/>
  <c r="R15" i="89"/>
  <c r="Q15" i="89"/>
  <c r="N15" i="89"/>
  <c r="M15" i="89"/>
  <c r="F15" i="89"/>
  <c r="G15" i="89" s="1"/>
  <c r="E15" i="89"/>
  <c r="AD7" i="89"/>
  <c r="AC7" i="89"/>
  <c r="Z7" i="89"/>
  <c r="Y7" i="89"/>
  <c r="V7" i="89"/>
  <c r="W7" i="89" s="1"/>
  <c r="U7" i="89"/>
  <c r="R7" i="89"/>
  <c r="Q7" i="89"/>
  <c r="N7" i="89"/>
  <c r="M7" i="89"/>
  <c r="J7" i="89"/>
  <c r="I7" i="89"/>
  <c r="F7" i="89"/>
  <c r="E7" i="89"/>
  <c r="AD16" i="89"/>
  <c r="AC16" i="89"/>
  <c r="Z16" i="89"/>
  <c r="Y16" i="89"/>
  <c r="V16" i="89"/>
  <c r="U16" i="89"/>
  <c r="R16" i="89"/>
  <c r="Q16" i="89"/>
  <c r="N16" i="89"/>
  <c r="M16" i="89"/>
  <c r="F16" i="89"/>
  <c r="E16" i="89"/>
  <c r="AD12" i="89"/>
  <c r="AE12" i="89" s="1"/>
  <c r="AC12" i="89"/>
  <c r="Z12" i="89"/>
  <c r="AA12" i="89" s="1"/>
  <c r="Y12" i="89"/>
  <c r="V12" i="89"/>
  <c r="W12" i="89" s="1"/>
  <c r="U12" i="89"/>
  <c r="R12" i="89"/>
  <c r="Q12" i="89"/>
  <c r="N12" i="89"/>
  <c r="M12" i="89"/>
  <c r="F12" i="89"/>
  <c r="E12" i="89"/>
  <c r="AD11" i="89"/>
  <c r="AC11" i="89"/>
  <c r="Z11" i="89"/>
  <c r="Y11" i="89"/>
  <c r="V11" i="89"/>
  <c r="U11" i="89"/>
  <c r="R11" i="89"/>
  <c r="Q11" i="89"/>
  <c r="N11" i="89"/>
  <c r="M11" i="89"/>
  <c r="F11" i="89"/>
  <c r="E11" i="89"/>
  <c r="AD20" i="89"/>
  <c r="AC20" i="89"/>
  <c r="Z20" i="89"/>
  <c r="Y20" i="89"/>
  <c r="V20" i="89"/>
  <c r="U20" i="89"/>
  <c r="R20" i="89"/>
  <c r="S20" i="89" s="1"/>
  <c r="Q20" i="89"/>
  <c r="N20" i="89"/>
  <c r="M20" i="89"/>
  <c r="F20" i="89"/>
  <c r="E20" i="89"/>
  <c r="AI6" i="88"/>
  <c r="AD6" i="88"/>
  <c r="AE6" i="88" s="1"/>
  <c r="AC6" i="88"/>
  <c r="Z6" i="88"/>
  <c r="Y6" i="88"/>
  <c r="V6" i="88"/>
  <c r="W6" i="88" s="1"/>
  <c r="U6" i="88"/>
  <c r="R6" i="88"/>
  <c r="Q6" i="88"/>
  <c r="N6" i="88"/>
  <c r="M6" i="88"/>
  <c r="F6" i="88"/>
  <c r="G6" i="88" s="1"/>
  <c r="E6" i="88"/>
  <c r="AI18" i="88"/>
  <c r="AD18" i="88"/>
  <c r="AE18" i="88" s="1"/>
  <c r="U21" i="92" s="1"/>
  <c r="W21" i="92" s="1"/>
  <c r="AC18" i="88"/>
  <c r="Z18" i="88"/>
  <c r="AA18" i="88" s="1"/>
  <c r="R21" i="92" s="1"/>
  <c r="S21" i="92" s="1"/>
  <c r="Y18" i="88"/>
  <c r="V18" i="88"/>
  <c r="W18" i="88" s="1"/>
  <c r="O21" i="92" s="1"/>
  <c r="Q21" i="92" s="1"/>
  <c r="U18" i="88"/>
  <c r="R18" i="88"/>
  <c r="Q18" i="88"/>
  <c r="N18" i="88"/>
  <c r="O18" i="88" s="1"/>
  <c r="I21" i="92" s="1"/>
  <c r="K21" i="92" s="1"/>
  <c r="M18" i="88"/>
  <c r="F18" i="88"/>
  <c r="G18" i="88" s="1"/>
  <c r="C21" i="92" s="1"/>
  <c r="E21" i="92" s="1"/>
  <c r="E18" i="88"/>
  <c r="AI21" i="88"/>
  <c r="AD21" i="88"/>
  <c r="AC21" i="88"/>
  <c r="Z21" i="88"/>
  <c r="Y21" i="88"/>
  <c r="V21" i="88"/>
  <c r="U21" i="88"/>
  <c r="R21" i="88"/>
  <c r="Q21" i="88"/>
  <c r="N21" i="88"/>
  <c r="M21" i="88"/>
  <c r="F21" i="88"/>
  <c r="E21" i="88"/>
  <c r="AD11" i="88"/>
  <c r="AC11" i="88"/>
  <c r="Z11" i="88"/>
  <c r="Y11" i="88"/>
  <c r="V11" i="88"/>
  <c r="U11" i="88"/>
  <c r="R11" i="88"/>
  <c r="Q11" i="88"/>
  <c r="N11" i="88"/>
  <c r="M11" i="88"/>
  <c r="F11" i="88"/>
  <c r="E11" i="88"/>
  <c r="AD20" i="88"/>
  <c r="AE20" i="88" s="1"/>
  <c r="AC20" i="88"/>
  <c r="Z20" i="88"/>
  <c r="AA20" i="88" s="1"/>
  <c r="Y20" i="88"/>
  <c r="V20" i="88"/>
  <c r="W20" i="88" s="1"/>
  <c r="U20" i="88"/>
  <c r="R20" i="88"/>
  <c r="Q20" i="88"/>
  <c r="N20" i="88"/>
  <c r="M20" i="88"/>
  <c r="F20" i="88"/>
  <c r="G20" i="88" s="1"/>
  <c r="E20" i="88"/>
  <c r="AI14" i="88"/>
  <c r="AD14" i="88"/>
  <c r="AE14" i="88" s="1"/>
  <c r="AC14" i="88"/>
  <c r="Z14" i="88"/>
  <c r="Y14" i="88"/>
  <c r="V14" i="88"/>
  <c r="W14" i="88" s="1"/>
  <c r="U14" i="88"/>
  <c r="R14" i="88"/>
  <c r="Q14" i="88"/>
  <c r="N14" i="88"/>
  <c r="M14" i="88"/>
  <c r="F14" i="88"/>
  <c r="E14" i="88"/>
  <c r="AI23" i="88"/>
  <c r="AD23" i="88"/>
  <c r="AC23" i="88"/>
  <c r="Z23" i="88"/>
  <c r="AA23" i="88" s="1"/>
  <c r="Y23" i="88"/>
  <c r="V23" i="88"/>
  <c r="W23" i="88" s="1"/>
  <c r="U23" i="88"/>
  <c r="R23" i="88"/>
  <c r="S23" i="88" s="1"/>
  <c r="Q23" i="88"/>
  <c r="N23" i="88"/>
  <c r="O23" i="88" s="1"/>
  <c r="M23" i="88"/>
  <c r="F23" i="88"/>
  <c r="G23" i="88" s="1"/>
  <c r="E23" i="88"/>
  <c r="AD10" i="88"/>
  <c r="AE10" i="88" s="1"/>
  <c r="AC10" i="88"/>
  <c r="Z10" i="88"/>
  <c r="AA10" i="88" s="1"/>
  <c r="Y10" i="88"/>
  <c r="V10" i="88"/>
  <c r="W10" i="88" s="1"/>
  <c r="U10" i="88"/>
  <c r="R10" i="88"/>
  <c r="Q10" i="88"/>
  <c r="N10" i="88"/>
  <c r="M10" i="88"/>
  <c r="F10" i="88"/>
  <c r="E10" i="88"/>
  <c r="AI24" i="88"/>
  <c r="X8" i="92" s="1"/>
  <c r="AD24" i="88"/>
  <c r="AE24" i="88" s="1"/>
  <c r="AC24" i="88"/>
  <c r="Z24" i="88"/>
  <c r="AA24" i="88" s="1"/>
  <c r="Y24" i="88"/>
  <c r="V24" i="88"/>
  <c r="W24" i="88" s="1"/>
  <c r="U24" i="88"/>
  <c r="R24" i="88"/>
  <c r="S24" i="88" s="1"/>
  <c r="Q24" i="88"/>
  <c r="N24" i="88"/>
  <c r="O24" i="88" s="1"/>
  <c r="M24" i="88"/>
  <c r="F24" i="88"/>
  <c r="G24" i="88" s="1"/>
  <c r="E24" i="88"/>
  <c r="AI16" i="88"/>
  <c r="AD16" i="88"/>
  <c r="AC16" i="88"/>
  <c r="Z16" i="88"/>
  <c r="AA16" i="88" s="1"/>
  <c r="Y16" i="88"/>
  <c r="V16" i="88"/>
  <c r="U16" i="88"/>
  <c r="R16" i="88"/>
  <c r="Q16" i="88"/>
  <c r="N16" i="88"/>
  <c r="M16" i="88"/>
  <c r="F16" i="88"/>
  <c r="E16" i="88"/>
  <c r="AI5" i="88"/>
  <c r="AD5" i="88"/>
  <c r="AE5" i="88" s="1"/>
  <c r="AC5" i="88"/>
  <c r="Z5" i="88"/>
  <c r="Y5" i="88"/>
  <c r="V5" i="88"/>
  <c r="U5" i="88"/>
  <c r="R5" i="88"/>
  <c r="Q5" i="88"/>
  <c r="N5" i="88"/>
  <c r="M5" i="88"/>
  <c r="F5" i="88"/>
  <c r="E5" i="88"/>
  <c r="AI22" i="88"/>
  <c r="X18" i="92" s="1"/>
  <c r="AD22" i="88"/>
  <c r="AC22" i="88"/>
  <c r="Z22" i="88"/>
  <c r="Y22" i="88"/>
  <c r="V22" i="88"/>
  <c r="U22" i="88"/>
  <c r="R22" i="88"/>
  <c r="Q22" i="88"/>
  <c r="N22" i="88"/>
  <c r="M22" i="88"/>
  <c r="F22" i="88"/>
  <c r="E22" i="88"/>
  <c r="AI8" i="88"/>
  <c r="AD8" i="88"/>
  <c r="AC8" i="88"/>
  <c r="Z8" i="88"/>
  <c r="Y8" i="88"/>
  <c r="V8" i="88"/>
  <c r="U8" i="88"/>
  <c r="R8" i="88"/>
  <c r="S8" i="88" s="1"/>
  <c r="Q8" i="88"/>
  <c r="N8" i="88"/>
  <c r="M8" i="88"/>
  <c r="F8" i="88"/>
  <c r="G8" i="88" s="1"/>
  <c r="E8" i="88"/>
  <c r="AI15" i="88"/>
  <c r="X14" i="92" s="1"/>
  <c r="AD15" i="88"/>
  <c r="AC15" i="88"/>
  <c r="Z15" i="88"/>
  <c r="Y15" i="88"/>
  <c r="V15" i="88"/>
  <c r="U15" i="88"/>
  <c r="R15" i="88"/>
  <c r="Q15" i="88"/>
  <c r="N15" i="88"/>
  <c r="M15" i="88"/>
  <c r="F15" i="88"/>
  <c r="E15" i="88"/>
  <c r="AI9" i="88"/>
  <c r="AD9" i="88"/>
  <c r="AE9" i="88" s="1"/>
  <c r="AC9" i="88"/>
  <c r="Z9" i="88"/>
  <c r="Y9" i="88"/>
  <c r="V9" i="88"/>
  <c r="U9" i="88"/>
  <c r="R9" i="88"/>
  <c r="S9" i="88" s="1"/>
  <c r="Q9" i="88"/>
  <c r="N9" i="88"/>
  <c r="M9" i="88"/>
  <c r="F9" i="88"/>
  <c r="E9" i="88"/>
  <c r="AI19" i="88"/>
  <c r="AD19" i="88"/>
  <c r="AC19" i="88"/>
  <c r="Z19" i="88"/>
  <c r="AA19" i="88" s="1"/>
  <c r="Y19" i="88"/>
  <c r="V19" i="88"/>
  <c r="U19" i="88"/>
  <c r="R19" i="88"/>
  <c r="Q19" i="88"/>
  <c r="N19" i="88"/>
  <c r="M19" i="88"/>
  <c r="F19" i="88"/>
  <c r="E19" i="88"/>
  <c r="AI12" i="88"/>
  <c r="X9" i="92" s="1"/>
  <c r="AD12" i="88"/>
  <c r="AC12" i="88"/>
  <c r="Z12" i="88"/>
  <c r="Y12" i="88"/>
  <c r="V12" i="88"/>
  <c r="U12" i="88"/>
  <c r="R12" i="88"/>
  <c r="Q12" i="88"/>
  <c r="N12" i="88"/>
  <c r="M12" i="88"/>
  <c r="F12" i="88"/>
  <c r="E12" i="88"/>
  <c r="AI17" i="88"/>
  <c r="X5" i="92" s="1"/>
  <c r="AD17" i="88"/>
  <c r="AC17" i="88"/>
  <c r="Z17" i="88"/>
  <c r="AA17" i="88" s="1"/>
  <c r="Y17" i="88"/>
  <c r="V17" i="88"/>
  <c r="U17" i="88"/>
  <c r="R17" i="88"/>
  <c r="Q17" i="88"/>
  <c r="N17" i="88"/>
  <c r="M17" i="88"/>
  <c r="F17" i="88"/>
  <c r="E17" i="88"/>
  <c r="AI7" i="88"/>
  <c r="X6" i="92" s="1"/>
  <c r="Z6" i="92" s="1"/>
  <c r="AD7" i="88"/>
  <c r="AE7" i="88" s="1"/>
  <c r="AC7" i="88"/>
  <c r="Z7" i="88"/>
  <c r="Y7" i="88"/>
  <c r="V7" i="88"/>
  <c r="U7" i="88"/>
  <c r="R7" i="88"/>
  <c r="Q7" i="88"/>
  <c r="N7" i="88"/>
  <c r="M7" i="88"/>
  <c r="F7" i="88"/>
  <c r="E7" i="88"/>
  <c r="AI13" i="88"/>
  <c r="AD13" i="88"/>
  <c r="AC13" i="88"/>
  <c r="Z13" i="88"/>
  <c r="Y13" i="88"/>
  <c r="V13" i="88"/>
  <c r="W13" i="88" s="1"/>
  <c r="U13" i="88"/>
  <c r="R13" i="88"/>
  <c r="Q13" i="88"/>
  <c r="N13" i="88"/>
  <c r="M13" i="88"/>
  <c r="J13" i="88"/>
  <c r="I13" i="88"/>
  <c r="F13" i="88"/>
  <c r="E13" i="88"/>
  <c r="AH24" i="86"/>
  <c r="AI24" i="86" s="1"/>
  <c r="AG24" i="86"/>
  <c r="AD24" i="86"/>
  <c r="AE24" i="86" s="1"/>
  <c r="AC24" i="86"/>
  <c r="Z24" i="86"/>
  <c r="AA24" i="86" s="1"/>
  <c r="Y24" i="86"/>
  <c r="V24" i="86"/>
  <c r="W24" i="86" s="1"/>
  <c r="U24" i="86"/>
  <c r="R24" i="86"/>
  <c r="S24" i="86" s="1"/>
  <c r="Q24" i="86"/>
  <c r="N24" i="86"/>
  <c r="O24" i="86" s="1"/>
  <c r="M24" i="86"/>
  <c r="F24" i="86"/>
  <c r="G24" i="86" s="1"/>
  <c r="E24" i="86"/>
  <c r="AH23" i="86"/>
  <c r="AI23" i="86" s="1"/>
  <c r="AG23" i="86"/>
  <c r="AD23" i="86"/>
  <c r="AE23" i="86" s="1"/>
  <c r="AC23" i="86"/>
  <c r="Z23" i="86"/>
  <c r="AA23" i="86" s="1"/>
  <c r="Y23" i="86"/>
  <c r="V23" i="86"/>
  <c r="W23" i="86" s="1"/>
  <c r="U23" i="86"/>
  <c r="R23" i="86"/>
  <c r="S23" i="86" s="1"/>
  <c r="Q23" i="86"/>
  <c r="N23" i="86"/>
  <c r="O23" i="86" s="1"/>
  <c r="M23" i="86"/>
  <c r="F23" i="86"/>
  <c r="G23" i="86" s="1"/>
  <c r="E23" i="86"/>
  <c r="AH22" i="86"/>
  <c r="AI22" i="86" s="1"/>
  <c r="AG22" i="86"/>
  <c r="AD22" i="86"/>
  <c r="AE22" i="86" s="1"/>
  <c r="AC22" i="86"/>
  <c r="Z22" i="86"/>
  <c r="AA22" i="86" s="1"/>
  <c r="Y22" i="86"/>
  <c r="V22" i="86"/>
  <c r="W22" i="86" s="1"/>
  <c r="U22" i="86"/>
  <c r="R22" i="86"/>
  <c r="S22" i="86" s="1"/>
  <c r="Q22" i="86"/>
  <c r="N22" i="86"/>
  <c r="O22" i="86" s="1"/>
  <c r="M22" i="86"/>
  <c r="F22" i="86"/>
  <c r="G22" i="86" s="1"/>
  <c r="E22" i="86"/>
  <c r="AH21" i="86"/>
  <c r="AI21" i="86" s="1"/>
  <c r="AG21" i="86"/>
  <c r="AD21" i="86"/>
  <c r="AE21" i="86" s="1"/>
  <c r="AC21" i="86"/>
  <c r="Z21" i="86"/>
  <c r="AA21" i="86" s="1"/>
  <c r="Y21" i="86"/>
  <c r="V21" i="86"/>
  <c r="W21" i="86" s="1"/>
  <c r="U21" i="86"/>
  <c r="R21" i="86"/>
  <c r="S21" i="86" s="1"/>
  <c r="Q21" i="86"/>
  <c r="N21" i="86"/>
  <c r="O21" i="86" s="1"/>
  <c r="M21" i="86"/>
  <c r="F21" i="86"/>
  <c r="G21" i="86" s="1"/>
  <c r="E21" i="86"/>
  <c r="AH20" i="86"/>
  <c r="AI20" i="86" s="1"/>
  <c r="AG20" i="86"/>
  <c r="AD20" i="86"/>
  <c r="AE20" i="86" s="1"/>
  <c r="AC20" i="86"/>
  <c r="Z20" i="86"/>
  <c r="AA20" i="86" s="1"/>
  <c r="Y20" i="86"/>
  <c r="V20" i="86"/>
  <c r="W20" i="86" s="1"/>
  <c r="U20" i="86"/>
  <c r="R20" i="86"/>
  <c r="S20" i="86" s="1"/>
  <c r="Q20" i="86"/>
  <c r="N20" i="86"/>
  <c r="O20" i="86" s="1"/>
  <c r="M20" i="86"/>
  <c r="F20" i="86"/>
  <c r="G20" i="86" s="1"/>
  <c r="E20" i="86"/>
  <c r="AH19" i="86"/>
  <c r="AI19" i="86" s="1"/>
  <c r="AG19" i="86"/>
  <c r="AD19" i="86"/>
  <c r="AE19" i="86" s="1"/>
  <c r="AC19" i="86"/>
  <c r="Z19" i="86"/>
  <c r="AA19" i="86" s="1"/>
  <c r="Y19" i="86"/>
  <c r="V19" i="86"/>
  <c r="W19" i="86" s="1"/>
  <c r="U19" i="86"/>
  <c r="R19" i="86"/>
  <c r="S19" i="86" s="1"/>
  <c r="Q19" i="86"/>
  <c r="N19" i="86"/>
  <c r="O19" i="86" s="1"/>
  <c r="M19" i="86"/>
  <c r="F19" i="86"/>
  <c r="G19" i="86" s="1"/>
  <c r="E19" i="86"/>
  <c r="AH18" i="86"/>
  <c r="AI18" i="86" s="1"/>
  <c r="AG18" i="86"/>
  <c r="AD18" i="86"/>
  <c r="AE18" i="86" s="1"/>
  <c r="AC18" i="86"/>
  <c r="Z18" i="86"/>
  <c r="AA18" i="86" s="1"/>
  <c r="Y18" i="86"/>
  <c r="V18" i="86"/>
  <c r="W18" i="86" s="1"/>
  <c r="U18" i="86"/>
  <c r="R18" i="86"/>
  <c r="S18" i="86" s="1"/>
  <c r="Q18" i="86"/>
  <c r="N18" i="86"/>
  <c r="O18" i="86" s="1"/>
  <c r="M18" i="86"/>
  <c r="F18" i="86"/>
  <c r="G18" i="86" s="1"/>
  <c r="E18" i="86"/>
  <c r="AH17" i="86"/>
  <c r="AI17" i="86" s="1"/>
  <c r="AG17" i="86"/>
  <c r="AD17" i="86"/>
  <c r="AE17" i="86" s="1"/>
  <c r="AC17" i="86"/>
  <c r="Z17" i="86"/>
  <c r="AA17" i="86" s="1"/>
  <c r="Y17" i="86"/>
  <c r="V17" i="86"/>
  <c r="W17" i="86" s="1"/>
  <c r="U17" i="86"/>
  <c r="R17" i="86"/>
  <c r="S17" i="86" s="1"/>
  <c r="Q17" i="86"/>
  <c r="N17" i="86"/>
  <c r="O17" i="86" s="1"/>
  <c r="M17" i="86"/>
  <c r="F17" i="86"/>
  <c r="G17" i="86" s="1"/>
  <c r="E17" i="86"/>
  <c r="AH16" i="86"/>
  <c r="AI16" i="86" s="1"/>
  <c r="AG16" i="86"/>
  <c r="AD16" i="86"/>
  <c r="AE16" i="86" s="1"/>
  <c r="AC16" i="86"/>
  <c r="Z16" i="86"/>
  <c r="AA16" i="86" s="1"/>
  <c r="Y16" i="86"/>
  <c r="V16" i="86"/>
  <c r="W16" i="86" s="1"/>
  <c r="U16" i="86"/>
  <c r="R16" i="86"/>
  <c r="S16" i="86" s="1"/>
  <c r="Q16" i="86"/>
  <c r="N16" i="86"/>
  <c r="O16" i="86" s="1"/>
  <c r="M16" i="86"/>
  <c r="F16" i="86"/>
  <c r="G16" i="86" s="1"/>
  <c r="E16" i="86"/>
  <c r="AH15" i="86"/>
  <c r="AI15" i="86" s="1"/>
  <c r="AG15" i="86"/>
  <c r="AD15" i="86"/>
  <c r="AE15" i="86" s="1"/>
  <c r="AC15" i="86"/>
  <c r="Z15" i="86"/>
  <c r="AA15" i="86" s="1"/>
  <c r="Y15" i="86"/>
  <c r="V15" i="86"/>
  <c r="W15" i="86" s="1"/>
  <c r="U15" i="86"/>
  <c r="R15" i="86"/>
  <c r="S15" i="86" s="1"/>
  <c r="Q15" i="86"/>
  <c r="N15" i="86"/>
  <c r="O15" i="86" s="1"/>
  <c r="M15" i="86"/>
  <c r="F15" i="86"/>
  <c r="G15" i="86" s="1"/>
  <c r="E15" i="86"/>
  <c r="AH14" i="86"/>
  <c r="AI14" i="86" s="1"/>
  <c r="AG14" i="86"/>
  <c r="AD14" i="86"/>
  <c r="AE14" i="86" s="1"/>
  <c r="AC14" i="86"/>
  <c r="Z14" i="86"/>
  <c r="AA14" i="86" s="1"/>
  <c r="Y14" i="86"/>
  <c r="V14" i="86"/>
  <c r="W14" i="86" s="1"/>
  <c r="U14" i="86"/>
  <c r="R14" i="86"/>
  <c r="S14" i="86" s="1"/>
  <c r="Q14" i="86"/>
  <c r="N14" i="86"/>
  <c r="O14" i="86" s="1"/>
  <c r="M14" i="86"/>
  <c r="F14" i="86"/>
  <c r="G14" i="86" s="1"/>
  <c r="E14" i="86"/>
  <c r="AH13" i="86"/>
  <c r="AI13" i="86" s="1"/>
  <c r="AG13" i="86"/>
  <c r="AD13" i="86"/>
  <c r="AE13" i="86" s="1"/>
  <c r="AC13" i="86"/>
  <c r="Z13" i="86"/>
  <c r="AA13" i="86" s="1"/>
  <c r="Y13" i="86"/>
  <c r="V13" i="86"/>
  <c r="W13" i="86" s="1"/>
  <c r="U13" i="86"/>
  <c r="R13" i="86"/>
  <c r="S13" i="86" s="1"/>
  <c r="Q13" i="86"/>
  <c r="N13" i="86"/>
  <c r="O13" i="86" s="1"/>
  <c r="M13" i="86"/>
  <c r="F13" i="86"/>
  <c r="G13" i="86" s="1"/>
  <c r="AJ13" i="86" s="1"/>
  <c r="AK13" i="86" s="1"/>
  <c r="AL13" i="86" s="1"/>
  <c r="E13" i="86"/>
  <c r="AH12" i="86"/>
  <c r="AI12" i="86" s="1"/>
  <c r="AG12" i="86"/>
  <c r="AD12" i="86"/>
  <c r="AE12" i="86" s="1"/>
  <c r="AC12" i="86"/>
  <c r="Z12" i="86"/>
  <c r="AA12" i="86" s="1"/>
  <c r="Y12" i="86"/>
  <c r="V12" i="86"/>
  <c r="W12" i="86" s="1"/>
  <c r="U12" i="86"/>
  <c r="R12" i="86"/>
  <c r="S12" i="86" s="1"/>
  <c r="Q12" i="86"/>
  <c r="N12" i="86"/>
  <c r="O12" i="86" s="1"/>
  <c r="M12" i="86"/>
  <c r="F12" i="86"/>
  <c r="G12" i="86" s="1"/>
  <c r="E12" i="86"/>
  <c r="AH11" i="86"/>
  <c r="AI11" i="86" s="1"/>
  <c r="AG11" i="86"/>
  <c r="AD11" i="86"/>
  <c r="AE11" i="86" s="1"/>
  <c r="AC11" i="86"/>
  <c r="Z11" i="86"/>
  <c r="AA11" i="86" s="1"/>
  <c r="Y11" i="86"/>
  <c r="V11" i="86"/>
  <c r="W11" i="86" s="1"/>
  <c r="U11" i="86"/>
  <c r="R11" i="86"/>
  <c r="S11" i="86" s="1"/>
  <c r="Q11" i="86"/>
  <c r="N11" i="86"/>
  <c r="O11" i="86" s="1"/>
  <c r="M11" i="86"/>
  <c r="F11" i="86"/>
  <c r="G11" i="86" s="1"/>
  <c r="E11" i="86"/>
  <c r="AH10" i="86"/>
  <c r="AI10" i="86" s="1"/>
  <c r="AG10" i="86"/>
  <c r="AD10" i="86"/>
  <c r="AE10" i="86" s="1"/>
  <c r="AC10" i="86"/>
  <c r="Z10" i="86"/>
  <c r="AA10" i="86" s="1"/>
  <c r="Y10" i="86"/>
  <c r="V10" i="86"/>
  <c r="W10" i="86" s="1"/>
  <c r="U10" i="86"/>
  <c r="R10" i="86"/>
  <c r="S10" i="86" s="1"/>
  <c r="Q10" i="86"/>
  <c r="N10" i="86"/>
  <c r="O10" i="86" s="1"/>
  <c r="M10" i="86"/>
  <c r="F10" i="86"/>
  <c r="G10" i="86" s="1"/>
  <c r="E10" i="86"/>
  <c r="AH9" i="86"/>
  <c r="AI9" i="86" s="1"/>
  <c r="AG9" i="86"/>
  <c r="AD9" i="86"/>
  <c r="AE9" i="86" s="1"/>
  <c r="AC9" i="86"/>
  <c r="Z9" i="86"/>
  <c r="AA9" i="86" s="1"/>
  <c r="Y9" i="86"/>
  <c r="V9" i="86"/>
  <c r="W9" i="86" s="1"/>
  <c r="U9" i="86"/>
  <c r="R9" i="86"/>
  <c r="S9" i="86" s="1"/>
  <c r="Q9" i="86"/>
  <c r="N9" i="86"/>
  <c r="O9" i="86" s="1"/>
  <c r="AJ9" i="86" s="1"/>
  <c r="AK9" i="86" s="1"/>
  <c r="AL9" i="86" s="1"/>
  <c r="M9" i="86"/>
  <c r="F9" i="86"/>
  <c r="G9" i="86" s="1"/>
  <c r="E9" i="86"/>
  <c r="AH8" i="86"/>
  <c r="AI8" i="86" s="1"/>
  <c r="AG8" i="86"/>
  <c r="AD8" i="86"/>
  <c r="AE8" i="86" s="1"/>
  <c r="AC8" i="86"/>
  <c r="Z8" i="86"/>
  <c r="AA8" i="86" s="1"/>
  <c r="Y8" i="86"/>
  <c r="V8" i="86"/>
  <c r="W8" i="86" s="1"/>
  <c r="U8" i="86"/>
  <c r="R8" i="86"/>
  <c r="S8" i="86" s="1"/>
  <c r="Q8" i="86"/>
  <c r="N8" i="86"/>
  <c r="O8" i="86" s="1"/>
  <c r="M8" i="86"/>
  <c r="F8" i="86"/>
  <c r="G8" i="86" s="1"/>
  <c r="E8" i="86"/>
  <c r="AH7" i="86"/>
  <c r="AI7" i="86" s="1"/>
  <c r="AG7" i="86"/>
  <c r="AD7" i="86"/>
  <c r="AE7" i="86" s="1"/>
  <c r="AC7" i="86"/>
  <c r="Z7" i="86"/>
  <c r="AA7" i="86" s="1"/>
  <c r="Y7" i="86"/>
  <c r="V7" i="86"/>
  <c r="W7" i="86" s="1"/>
  <c r="U7" i="86"/>
  <c r="R7" i="86"/>
  <c r="S7" i="86" s="1"/>
  <c r="Q7" i="86"/>
  <c r="N7" i="86"/>
  <c r="O7" i="86" s="1"/>
  <c r="M7" i="86"/>
  <c r="F7" i="86"/>
  <c r="G7" i="86" s="1"/>
  <c r="E7" i="86"/>
  <c r="AH6" i="86"/>
  <c r="AI6" i="86" s="1"/>
  <c r="AG6" i="86"/>
  <c r="AD6" i="86"/>
  <c r="AE6" i="86" s="1"/>
  <c r="AC6" i="86"/>
  <c r="Z6" i="86"/>
  <c r="AA6" i="86" s="1"/>
  <c r="Y6" i="86"/>
  <c r="V6" i="86"/>
  <c r="W6" i="86" s="1"/>
  <c r="U6" i="86"/>
  <c r="R6" i="86"/>
  <c r="S6" i="86" s="1"/>
  <c r="Q6" i="86"/>
  <c r="N6" i="86"/>
  <c r="O6" i="86" s="1"/>
  <c r="M6" i="86"/>
  <c r="F6" i="86"/>
  <c r="G6" i="86" s="1"/>
  <c r="E6" i="86"/>
  <c r="AH5" i="86"/>
  <c r="AI5" i="86" s="1"/>
  <c r="AG5" i="86"/>
  <c r="AD5" i="86"/>
  <c r="AE5" i="86" s="1"/>
  <c r="AC5" i="86"/>
  <c r="Z5" i="86"/>
  <c r="AA5" i="86" s="1"/>
  <c r="Y5" i="86"/>
  <c r="V5" i="86"/>
  <c r="W5" i="86" s="1"/>
  <c r="U5" i="86"/>
  <c r="R5" i="86"/>
  <c r="S5" i="86" s="1"/>
  <c r="Q5" i="86"/>
  <c r="N5" i="86"/>
  <c r="O5" i="86" s="1"/>
  <c r="M5" i="86"/>
  <c r="J5" i="86"/>
  <c r="I5" i="86"/>
  <c r="F5" i="86"/>
  <c r="G5" i="86" s="1"/>
  <c r="E5" i="86"/>
  <c r="AD24" i="85"/>
  <c r="AE24" i="85" s="1"/>
  <c r="AC24" i="85"/>
  <c r="Z24" i="85"/>
  <c r="AA24" i="85" s="1"/>
  <c r="Y24" i="85"/>
  <c r="V24" i="85"/>
  <c r="W24" i="85" s="1"/>
  <c r="U24" i="85"/>
  <c r="R24" i="85"/>
  <c r="S24" i="85" s="1"/>
  <c r="Q24" i="85"/>
  <c r="N24" i="85"/>
  <c r="O24" i="85" s="1"/>
  <c r="M24" i="85"/>
  <c r="F24" i="85"/>
  <c r="G24" i="85" s="1"/>
  <c r="E24" i="85"/>
  <c r="AD23" i="85"/>
  <c r="AE23" i="85" s="1"/>
  <c r="AC23" i="85"/>
  <c r="Z23" i="85"/>
  <c r="AA23" i="85" s="1"/>
  <c r="Y23" i="85"/>
  <c r="V23" i="85"/>
  <c r="W23" i="85" s="1"/>
  <c r="U23" i="85"/>
  <c r="R23" i="85"/>
  <c r="S23" i="85" s="1"/>
  <c r="Q23" i="85"/>
  <c r="N23" i="85"/>
  <c r="O23" i="85" s="1"/>
  <c r="M23" i="85"/>
  <c r="F23" i="85"/>
  <c r="G23" i="85" s="1"/>
  <c r="E23" i="85"/>
  <c r="AD22" i="85"/>
  <c r="AE22" i="85" s="1"/>
  <c r="AC22" i="85"/>
  <c r="Z22" i="85"/>
  <c r="AA22" i="85" s="1"/>
  <c r="Y22" i="85"/>
  <c r="V22" i="85"/>
  <c r="W22" i="85" s="1"/>
  <c r="U22" i="85"/>
  <c r="R22" i="85"/>
  <c r="S22" i="85" s="1"/>
  <c r="Q22" i="85"/>
  <c r="N22" i="85"/>
  <c r="O22" i="85" s="1"/>
  <c r="M22" i="85"/>
  <c r="F22" i="85"/>
  <c r="G22" i="85" s="1"/>
  <c r="E22" i="85"/>
  <c r="AD21" i="85"/>
  <c r="AE21" i="85" s="1"/>
  <c r="AC21" i="85"/>
  <c r="Z21" i="85"/>
  <c r="AA21" i="85" s="1"/>
  <c r="Y21" i="85"/>
  <c r="V21" i="85"/>
  <c r="W21" i="85" s="1"/>
  <c r="U21" i="85"/>
  <c r="R21" i="85"/>
  <c r="S21" i="85" s="1"/>
  <c r="Q21" i="85"/>
  <c r="N21" i="85"/>
  <c r="O21" i="85" s="1"/>
  <c r="M21" i="85"/>
  <c r="F21" i="85"/>
  <c r="G21" i="85" s="1"/>
  <c r="E21" i="85"/>
  <c r="AD13" i="85"/>
  <c r="AE13" i="85" s="1"/>
  <c r="AC13" i="85"/>
  <c r="Z13" i="85"/>
  <c r="AA13" i="85" s="1"/>
  <c r="Y13" i="85"/>
  <c r="V13" i="85"/>
  <c r="W13" i="85" s="1"/>
  <c r="U13" i="85"/>
  <c r="R13" i="85"/>
  <c r="S13" i="85" s="1"/>
  <c r="Q13" i="85"/>
  <c r="N13" i="85"/>
  <c r="O13" i="85" s="1"/>
  <c r="M13" i="85"/>
  <c r="F13" i="85"/>
  <c r="G13" i="85" s="1"/>
  <c r="E13" i="85"/>
  <c r="AD20" i="85"/>
  <c r="AE20" i="85" s="1"/>
  <c r="AC20" i="85"/>
  <c r="Z20" i="85"/>
  <c r="AA20" i="85" s="1"/>
  <c r="Y20" i="85"/>
  <c r="V20" i="85"/>
  <c r="W20" i="85" s="1"/>
  <c r="U20" i="85"/>
  <c r="R20" i="85"/>
  <c r="S20" i="85" s="1"/>
  <c r="Q20" i="85"/>
  <c r="N20" i="85"/>
  <c r="O20" i="85" s="1"/>
  <c r="M20" i="85"/>
  <c r="F20" i="85"/>
  <c r="G20" i="85" s="1"/>
  <c r="E20" i="85"/>
  <c r="AD9" i="85"/>
  <c r="AC9" i="85"/>
  <c r="Z9" i="85"/>
  <c r="Y9" i="85"/>
  <c r="V9" i="85"/>
  <c r="W9" i="85" s="1"/>
  <c r="U9" i="85"/>
  <c r="R9" i="85"/>
  <c r="Q9" i="85"/>
  <c r="N9" i="85"/>
  <c r="O9" i="85" s="1"/>
  <c r="M9" i="85"/>
  <c r="F9" i="85"/>
  <c r="G9" i="85" s="1"/>
  <c r="E9" i="85"/>
  <c r="AD15" i="85"/>
  <c r="AE15" i="85" s="1"/>
  <c r="AC15" i="85"/>
  <c r="Z15" i="85"/>
  <c r="AA15" i="85" s="1"/>
  <c r="Y15" i="85"/>
  <c r="V15" i="85"/>
  <c r="W15" i="85" s="1"/>
  <c r="U15" i="85"/>
  <c r="R15" i="85"/>
  <c r="S15" i="85" s="1"/>
  <c r="Q15" i="85"/>
  <c r="N15" i="85"/>
  <c r="O15" i="85" s="1"/>
  <c r="M15" i="85"/>
  <c r="F15" i="85"/>
  <c r="G15" i="85" s="1"/>
  <c r="E15" i="85"/>
  <c r="AD17" i="85"/>
  <c r="AE17" i="85" s="1"/>
  <c r="AC17" i="85"/>
  <c r="Z17" i="85"/>
  <c r="AA17" i="85" s="1"/>
  <c r="Y17" i="85"/>
  <c r="V17" i="85"/>
  <c r="W17" i="85" s="1"/>
  <c r="U17" i="85"/>
  <c r="R17" i="85"/>
  <c r="S17" i="85" s="1"/>
  <c r="Q17" i="85"/>
  <c r="N17" i="85"/>
  <c r="O17" i="85" s="1"/>
  <c r="M17" i="85"/>
  <c r="F17" i="85"/>
  <c r="G17" i="85" s="1"/>
  <c r="E17" i="85"/>
  <c r="AD16" i="85"/>
  <c r="AE16" i="85" s="1"/>
  <c r="AC16" i="85"/>
  <c r="Z16" i="85"/>
  <c r="AA16" i="85" s="1"/>
  <c r="Y16" i="85"/>
  <c r="V16" i="85"/>
  <c r="W16" i="85" s="1"/>
  <c r="U16" i="85"/>
  <c r="R16" i="85"/>
  <c r="S16" i="85" s="1"/>
  <c r="Q16" i="85"/>
  <c r="N16" i="85"/>
  <c r="O16" i="85" s="1"/>
  <c r="M16" i="85"/>
  <c r="F16" i="85"/>
  <c r="G16" i="85" s="1"/>
  <c r="E16" i="85"/>
  <c r="AD19" i="85"/>
  <c r="AC19" i="85"/>
  <c r="Z19" i="85"/>
  <c r="Y19" i="85"/>
  <c r="V19" i="85"/>
  <c r="W19" i="85" s="1"/>
  <c r="U19" i="85"/>
  <c r="R19" i="85"/>
  <c r="Q19" i="85"/>
  <c r="N19" i="85"/>
  <c r="M19" i="85"/>
  <c r="F19" i="85"/>
  <c r="G19" i="85" s="1"/>
  <c r="E19" i="85"/>
  <c r="AD18" i="85"/>
  <c r="AE18" i="85" s="1"/>
  <c r="AC18" i="85"/>
  <c r="Z18" i="85"/>
  <c r="AA18" i="85" s="1"/>
  <c r="Y18" i="85"/>
  <c r="V18" i="85"/>
  <c r="W18" i="85" s="1"/>
  <c r="U18" i="85"/>
  <c r="R18" i="85"/>
  <c r="Q18" i="85"/>
  <c r="N18" i="85"/>
  <c r="O18" i="85" s="1"/>
  <c r="M18" i="85"/>
  <c r="F18" i="85"/>
  <c r="E18" i="85"/>
  <c r="AD11" i="85"/>
  <c r="AC11" i="85"/>
  <c r="Z11" i="85"/>
  <c r="Y11" i="85"/>
  <c r="V11" i="85"/>
  <c r="W11" i="85" s="1"/>
  <c r="U11" i="85"/>
  <c r="R11" i="85"/>
  <c r="S11" i="85" s="1"/>
  <c r="Q11" i="85"/>
  <c r="N11" i="85"/>
  <c r="O11" i="85" s="1"/>
  <c r="M11" i="85"/>
  <c r="F11" i="85"/>
  <c r="G11" i="85" s="1"/>
  <c r="E11" i="85"/>
  <c r="AD7" i="85"/>
  <c r="AC7" i="85"/>
  <c r="Z7" i="85"/>
  <c r="Y7" i="85"/>
  <c r="V7" i="85"/>
  <c r="W7" i="85" s="1"/>
  <c r="U7" i="85"/>
  <c r="R7" i="85"/>
  <c r="Q7" i="85"/>
  <c r="N7" i="85"/>
  <c r="M7" i="85"/>
  <c r="F7" i="85"/>
  <c r="E7" i="85"/>
  <c r="AD8" i="85"/>
  <c r="AE8" i="85" s="1"/>
  <c r="AC8" i="85"/>
  <c r="Z8" i="85"/>
  <c r="AA8" i="85" s="1"/>
  <c r="Y8" i="85"/>
  <c r="V8" i="85"/>
  <c r="U8" i="85"/>
  <c r="R8" i="85"/>
  <c r="Q8" i="85"/>
  <c r="N8" i="85"/>
  <c r="M8" i="85"/>
  <c r="F8" i="85"/>
  <c r="G8" i="85" s="1"/>
  <c r="E8" i="85"/>
  <c r="AD5" i="85"/>
  <c r="AC5" i="85"/>
  <c r="Z5" i="85"/>
  <c r="Y5" i="85"/>
  <c r="V5" i="85"/>
  <c r="W5" i="85" s="1"/>
  <c r="U5" i="85"/>
  <c r="R5" i="85"/>
  <c r="Q5" i="85"/>
  <c r="N5" i="85"/>
  <c r="M5" i="85"/>
  <c r="F5" i="85"/>
  <c r="G5" i="85" s="1"/>
  <c r="E5" i="85"/>
  <c r="AD12" i="85"/>
  <c r="AE12" i="85" s="1"/>
  <c r="AC12" i="85"/>
  <c r="Z12" i="85"/>
  <c r="AA12" i="85" s="1"/>
  <c r="Y12" i="85"/>
  <c r="V12" i="85"/>
  <c r="W12" i="85" s="1"/>
  <c r="U12" i="85"/>
  <c r="R12" i="85"/>
  <c r="Q12" i="85"/>
  <c r="N12" i="85"/>
  <c r="O12" i="85" s="1"/>
  <c r="M12" i="85"/>
  <c r="F12" i="85"/>
  <c r="G12" i="85" s="1"/>
  <c r="E12" i="85"/>
  <c r="AD10" i="85"/>
  <c r="AC10" i="85"/>
  <c r="Z10" i="85"/>
  <c r="Y10" i="85"/>
  <c r="V10" i="85"/>
  <c r="U10" i="85"/>
  <c r="R10" i="85"/>
  <c r="Q10" i="85"/>
  <c r="N10" i="85"/>
  <c r="M10" i="85"/>
  <c r="J10" i="85"/>
  <c r="I10" i="85"/>
  <c r="F10" i="85"/>
  <c r="E10" i="85"/>
  <c r="AD14" i="85"/>
  <c r="AC14" i="85"/>
  <c r="Z14" i="85"/>
  <c r="AA14" i="85" s="1"/>
  <c r="Y14" i="85"/>
  <c r="V14" i="85"/>
  <c r="U14" i="85"/>
  <c r="R14" i="85"/>
  <c r="Q14" i="85"/>
  <c r="N14" i="85"/>
  <c r="M14" i="85"/>
  <c r="F14" i="85"/>
  <c r="E14" i="85"/>
  <c r="AD24" i="84"/>
  <c r="AE24" i="84" s="1"/>
  <c r="AC24" i="84"/>
  <c r="Z24" i="84"/>
  <c r="AA24" i="84" s="1"/>
  <c r="Y24" i="84"/>
  <c r="V24" i="84"/>
  <c r="W24" i="84" s="1"/>
  <c r="U24" i="84"/>
  <c r="R24" i="84"/>
  <c r="S24" i="84" s="1"/>
  <c r="Q24" i="84"/>
  <c r="N24" i="84"/>
  <c r="O24" i="84" s="1"/>
  <c r="M24" i="84"/>
  <c r="F24" i="84"/>
  <c r="G24" i="84" s="1"/>
  <c r="E24" i="84"/>
  <c r="AD23" i="84"/>
  <c r="AE23" i="84" s="1"/>
  <c r="AC23" i="84"/>
  <c r="Z23" i="84"/>
  <c r="AA23" i="84" s="1"/>
  <c r="Y23" i="84"/>
  <c r="V23" i="84"/>
  <c r="W23" i="84" s="1"/>
  <c r="U23" i="84"/>
  <c r="R23" i="84"/>
  <c r="S23" i="84" s="1"/>
  <c r="Q23" i="84"/>
  <c r="N23" i="84"/>
  <c r="O23" i="84" s="1"/>
  <c r="M23" i="84"/>
  <c r="F23" i="84"/>
  <c r="G23" i="84" s="1"/>
  <c r="E23" i="84"/>
  <c r="AD22" i="84"/>
  <c r="AE22" i="84" s="1"/>
  <c r="AC22" i="84"/>
  <c r="Z22" i="84"/>
  <c r="AA22" i="84" s="1"/>
  <c r="Y22" i="84"/>
  <c r="V22" i="84"/>
  <c r="W22" i="84" s="1"/>
  <c r="U22" i="84"/>
  <c r="R22" i="84"/>
  <c r="S22" i="84" s="1"/>
  <c r="Q22" i="84"/>
  <c r="N22" i="84"/>
  <c r="O22" i="84" s="1"/>
  <c r="M22" i="84"/>
  <c r="F22" i="84"/>
  <c r="G22" i="84" s="1"/>
  <c r="E22" i="84"/>
  <c r="AD21" i="84"/>
  <c r="AE21" i="84" s="1"/>
  <c r="AC21" i="84"/>
  <c r="Z21" i="84"/>
  <c r="AA21" i="84" s="1"/>
  <c r="Y21" i="84"/>
  <c r="V21" i="84"/>
  <c r="W21" i="84" s="1"/>
  <c r="U21" i="84"/>
  <c r="R21" i="84"/>
  <c r="S21" i="84" s="1"/>
  <c r="Q21" i="84"/>
  <c r="N21" i="84"/>
  <c r="O21" i="84" s="1"/>
  <c r="M21" i="84"/>
  <c r="F21" i="84"/>
  <c r="G21" i="84" s="1"/>
  <c r="E21" i="84"/>
  <c r="AD20" i="84"/>
  <c r="AE20" i="84" s="1"/>
  <c r="AC20" i="84"/>
  <c r="Z20" i="84"/>
  <c r="AA20" i="84" s="1"/>
  <c r="Y20" i="84"/>
  <c r="V20" i="84"/>
  <c r="W20" i="84" s="1"/>
  <c r="U20" i="84"/>
  <c r="R20" i="84"/>
  <c r="S20" i="84" s="1"/>
  <c r="Q20" i="84"/>
  <c r="N20" i="84"/>
  <c r="O20" i="84" s="1"/>
  <c r="M20" i="84"/>
  <c r="F20" i="84"/>
  <c r="G20" i="84" s="1"/>
  <c r="E20" i="84"/>
  <c r="AD18" i="84"/>
  <c r="AE18" i="84" s="1"/>
  <c r="AC18" i="84"/>
  <c r="Z18" i="84"/>
  <c r="AA18" i="84" s="1"/>
  <c r="Y18" i="84"/>
  <c r="V18" i="84"/>
  <c r="W18" i="84" s="1"/>
  <c r="U18" i="84"/>
  <c r="R18" i="84"/>
  <c r="S18" i="84" s="1"/>
  <c r="Q18" i="84"/>
  <c r="N18" i="84"/>
  <c r="O18" i="84" s="1"/>
  <c r="M18" i="84"/>
  <c r="F18" i="84"/>
  <c r="G18" i="84" s="1"/>
  <c r="E18" i="84"/>
  <c r="AD14" i="84"/>
  <c r="AE14" i="84" s="1"/>
  <c r="AC14" i="84"/>
  <c r="Z14" i="84"/>
  <c r="AA14" i="84" s="1"/>
  <c r="Y14" i="84"/>
  <c r="V14" i="84"/>
  <c r="W14" i="84" s="1"/>
  <c r="U14" i="84"/>
  <c r="R14" i="84"/>
  <c r="S14" i="84" s="1"/>
  <c r="Q14" i="84"/>
  <c r="N14" i="84"/>
  <c r="M14" i="84"/>
  <c r="F14" i="84"/>
  <c r="G14" i="84" s="1"/>
  <c r="E14" i="84"/>
  <c r="AD17" i="84"/>
  <c r="AE17" i="84" s="1"/>
  <c r="AC17" i="84"/>
  <c r="Z17" i="84"/>
  <c r="AA17" i="84" s="1"/>
  <c r="Y17" i="84"/>
  <c r="V17" i="84"/>
  <c r="W17" i="84" s="1"/>
  <c r="U17" i="84"/>
  <c r="R17" i="84"/>
  <c r="Q17" i="84"/>
  <c r="N17" i="84"/>
  <c r="O17" i="84" s="1"/>
  <c r="M17" i="84"/>
  <c r="F17" i="84"/>
  <c r="G17" i="84" s="1"/>
  <c r="E17" i="84"/>
  <c r="AD12" i="84"/>
  <c r="AE12" i="84" s="1"/>
  <c r="AC12" i="84"/>
  <c r="Z12" i="84"/>
  <c r="AA12" i="84" s="1"/>
  <c r="Y12" i="84"/>
  <c r="V12" i="84"/>
  <c r="U12" i="84"/>
  <c r="R12" i="84"/>
  <c r="Q12" i="84"/>
  <c r="N12" i="84"/>
  <c r="M12" i="84"/>
  <c r="F12" i="84"/>
  <c r="G12" i="84" s="1"/>
  <c r="E12" i="84"/>
  <c r="AD10" i="84"/>
  <c r="AE10" i="84" s="1"/>
  <c r="AC10" i="84"/>
  <c r="Z10" i="84"/>
  <c r="AA10" i="84" s="1"/>
  <c r="Y10" i="84"/>
  <c r="V10" i="84"/>
  <c r="W10" i="84" s="1"/>
  <c r="U10" i="84"/>
  <c r="R10" i="84"/>
  <c r="Q10" i="84"/>
  <c r="N10" i="84"/>
  <c r="M10" i="84"/>
  <c r="F10" i="84"/>
  <c r="G10" i="84" s="1"/>
  <c r="E10" i="84"/>
  <c r="AD13" i="84"/>
  <c r="AC13" i="84"/>
  <c r="Z13" i="84"/>
  <c r="Y13" i="84"/>
  <c r="V13" i="84"/>
  <c r="U13" i="84"/>
  <c r="R13" i="84"/>
  <c r="Q13" i="84"/>
  <c r="N13" i="84"/>
  <c r="M13" i="84"/>
  <c r="F13" i="84"/>
  <c r="G13" i="84" s="1"/>
  <c r="E13" i="84"/>
  <c r="AD8" i="84"/>
  <c r="AE8" i="84" s="1"/>
  <c r="AC8" i="84"/>
  <c r="Z8" i="84"/>
  <c r="AA8" i="84" s="1"/>
  <c r="Y8" i="84"/>
  <c r="V8" i="84"/>
  <c r="W8" i="84" s="1"/>
  <c r="U8" i="84"/>
  <c r="R8" i="84"/>
  <c r="Q8" i="84"/>
  <c r="N8" i="84"/>
  <c r="M8" i="84"/>
  <c r="F8" i="84"/>
  <c r="G8" i="84" s="1"/>
  <c r="E8" i="84"/>
  <c r="AD7" i="84"/>
  <c r="AE7" i="84" s="1"/>
  <c r="AC7" i="84"/>
  <c r="Z7" i="84"/>
  <c r="AA7" i="84" s="1"/>
  <c r="Y7" i="84"/>
  <c r="V7" i="84"/>
  <c r="U7" i="84"/>
  <c r="R7" i="84"/>
  <c r="Q7" i="84"/>
  <c r="N7" i="84"/>
  <c r="M7" i="84"/>
  <c r="F7" i="84"/>
  <c r="E7" i="84"/>
  <c r="AD9" i="84"/>
  <c r="AC9" i="84"/>
  <c r="Z9" i="84"/>
  <c r="Y9" i="84"/>
  <c r="V9" i="84"/>
  <c r="U9" i="84"/>
  <c r="R9" i="84"/>
  <c r="Q9" i="84"/>
  <c r="N9" i="84"/>
  <c r="O9" i="84" s="1"/>
  <c r="M9" i="84"/>
  <c r="F9" i="84"/>
  <c r="E9" i="84"/>
  <c r="AD5" i="84"/>
  <c r="AC5" i="84"/>
  <c r="Z5" i="84"/>
  <c r="Y5" i="84"/>
  <c r="V5" i="84"/>
  <c r="U5" i="84"/>
  <c r="R5" i="84"/>
  <c r="Q5" i="84"/>
  <c r="N5" i="84"/>
  <c r="M5" i="84"/>
  <c r="F5" i="84"/>
  <c r="G5" i="84" s="1"/>
  <c r="E5" i="84"/>
  <c r="AD11" i="84"/>
  <c r="AE11" i="84" s="1"/>
  <c r="AC11" i="84"/>
  <c r="Z11" i="84"/>
  <c r="AA11" i="84" s="1"/>
  <c r="Y11" i="84"/>
  <c r="V11" i="84"/>
  <c r="W11" i="84" s="1"/>
  <c r="U11" i="84"/>
  <c r="R11" i="84"/>
  <c r="Q11" i="84"/>
  <c r="N11" i="84"/>
  <c r="M11" i="84"/>
  <c r="F11" i="84"/>
  <c r="G11" i="84" s="1"/>
  <c r="E11" i="84"/>
  <c r="AD19" i="84"/>
  <c r="AC19" i="84"/>
  <c r="Z19" i="84"/>
  <c r="Y19" i="84"/>
  <c r="V19" i="84"/>
  <c r="U19" i="84"/>
  <c r="R19" i="84"/>
  <c r="Q19" i="84"/>
  <c r="N19" i="84"/>
  <c r="M19" i="84"/>
  <c r="F19" i="84"/>
  <c r="E19" i="84"/>
  <c r="AD16" i="84"/>
  <c r="AC16" i="84"/>
  <c r="Z16" i="84"/>
  <c r="Y16" i="84"/>
  <c r="V16" i="84"/>
  <c r="U16" i="84"/>
  <c r="R16" i="84"/>
  <c r="Q16" i="84"/>
  <c r="N16" i="84"/>
  <c r="M16" i="84"/>
  <c r="F16" i="84"/>
  <c r="E16" i="84"/>
  <c r="AD15" i="84"/>
  <c r="AE15" i="84" s="1"/>
  <c r="AC15" i="84"/>
  <c r="Z15" i="84"/>
  <c r="Y15" i="84"/>
  <c r="V15" i="84"/>
  <c r="U15" i="84"/>
  <c r="R15" i="84"/>
  <c r="Q15" i="84"/>
  <c r="N15" i="84"/>
  <c r="M15" i="84"/>
  <c r="F15" i="84"/>
  <c r="E15" i="84"/>
  <c r="AD6" i="84"/>
  <c r="AC6" i="84"/>
  <c r="Z6" i="84"/>
  <c r="Y6" i="84"/>
  <c r="V6" i="84"/>
  <c r="U6" i="84"/>
  <c r="R6" i="84"/>
  <c r="Q6" i="84"/>
  <c r="N6" i="84"/>
  <c r="M6" i="84"/>
  <c r="J6" i="84"/>
  <c r="I6" i="84"/>
  <c r="F6" i="84"/>
  <c r="E6" i="84"/>
  <c r="AD24" i="83"/>
  <c r="AE24" i="83" s="1"/>
  <c r="AC24" i="83"/>
  <c r="Z24" i="83"/>
  <c r="AA24" i="83" s="1"/>
  <c r="Y24" i="83"/>
  <c r="V24" i="83"/>
  <c r="W24" i="83" s="1"/>
  <c r="U24" i="83"/>
  <c r="R24" i="83"/>
  <c r="S24" i="83" s="1"/>
  <c r="Q24" i="83"/>
  <c r="N24" i="83"/>
  <c r="O24" i="83" s="1"/>
  <c r="M24" i="83"/>
  <c r="F24" i="83"/>
  <c r="G24" i="83" s="1"/>
  <c r="E24" i="83"/>
  <c r="AD23" i="83"/>
  <c r="AE23" i="83" s="1"/>
  <c r="AC23" i="83"/>
  <c r="Z23" i="83"/>
  <c r="AA23" i="83" s="1"/>
  <c r="Y23" i="83"/>
  <c r="V23" i="83"/>
  <c r="W23" i="83" s="1"/>
  <c r="U23" i="83"/>
  <c r="R23" i="83"/>
  <c r="S23" i="83" s="1"/>
  <c r="Q23" i="83"/>
  <c r="N23" i="83"/>
  <c r="O23" i="83" s="1"/>
  <c r="M23" i="83"/>
  <c r="F23" i="83"/>
  <c r="G23" i="83" s="1"/>
  <c r="E23" i="83"/>
  <c r="AD22" i="83"/>
  <c r="AE22" i="83" s="1"/>
  <c r="AC22" i="83"/>
  <c r="Z22" i="83"/>
  <c r="AA22" i="83" s="1"/>
  <c r="Y22" i="83"/>
  <c r="V22" i="83"/>
  <c r="W22" i="83" s="1"/>
  <c r="U22" i="83"/>
  <c r="R22" i="83"/>
  <c r="S22" i="83" s="1"/>
  <c r="Q22" i="83"/>
  <c r="N22" i="83"/>
  <c r="O22" i="83" s="1"/>
  <c r="M22" i="83"/>
  <c r="F22" i="83"/>
  <c r="G22" i="83" s="1"/>
  <c r="E22" i="83"/>
  <c r="AD21" i="83"/>
  <c r="AE21" i="83" s="1"/>
  <c r="AC21" i="83"/>
  <c r="Z21" i="83"/>
  <c r="AA21" i="83" s="1"/>
  <c r="Y21" i="83"/>
  <c r="V21" i="83"/>
  <c r="W21" i="83" s="1"/>
  <c r="U21" i="83"/>
  <c r="R21" i="83"/>
  <c r="S21" i="83" s="1"/>
  <c r="Q21" i="83"/>
  <c r="N21" i="83"/>
  <c r="O21" i="83" s="1"/>
  <c r="M21" i="83"/>
  <c r="F21" i="83"/>
  <c r="G21" i="83" s="1"/>
  <c r="E21" i="83"/>
  <c r="AD20" i="83"/>
  <c r="AE20" i="83" s="1"/>
  <c r="AC20" i="83"/>
  <c r="Z20" i="83"/>
  <c r="AA20" i="83" s="1"/>
  <c r="Y20" i="83"/>
  <c r="V20" i="83"/>
  <c r="W20" i="83" s="1"/>
  <c r="U20" i="83"/>
  <c r="R20" i="83"/>
  <c r="S20" i="83" s="1"/>
  <c r="Q20" i="83"/>
  <c r="N20" i="83"/>
  <c r="O20" i="83" s="1"/>
  <c r="M20" i="83"/>
  <c r="F20" i="83"/>
  <c r="G20" i="83" s="1"/>
  <c r="E20" i="83"/>
  <c r="AD19" i="83"/>
  <c r="AE19" i="83" s="1"/>
  <c r="AC19" i="83"/>
  <c r="Z19" i="83"/>
  <c r="AA19" i="83" s="1"/>
  <c r="Y19" i="83"/>
  <c r="V19" i="83"/>
  <c r="W19" i="83" s="1"/>
  <c r="U19" i="83"/>
  <c r="R19" i="83"/>
  <c r="S19" i="83" s="1"/>
  <c r="Q19" i="83"/>
  <c r="N19" i="83"/>
  <c r="O19" i="83" s="1"/>
  <c r="M19" i="83"/>
  <c r="F19" i="83"/>
  <c r="G19" i="83" s="1"/>
  <c r="E19" i="83"/>
  <c r="AD18" i="83"/>
  <c r="AE18" i="83" s="1"/>
  <c r="AC18" i="83"/>
  <c r="Z18" i="83"/>
  <c r="AA18" i="83" s="1"/>
  <c r="Y18" i="83"/>
  <c r="V18" i="83"/>
  <c r="W18" i="83" s="1"/>
  <c r="U18" i="83"/>
  <c r="R18" i="83"/>
  <c r="S18" i="83" s="1"/>
  <c r="Q18" i="83"/>
  <c r="N18" i="83"/>
  <c r="O18" i="83" s="1"/>
  <c r="M18" i="83"/>
  <c r="F18" i="83"/>
  <c r="G18" i="83" s="1"/>
  <c r="E18" i="83"/>
  <c r="AD14" i="83"/>
  <c r="AC14" i="83"/>
  <c r="Z14" i="83"/>
  <c r="AA14" i="83" s="1"/>
  <c r="Y14" i="83"/>
  <c r="V14" i="83"/>
  <c r="U14" i="83"/>
  <c r="R14" i="83"/>
  <c r="Q14" i="83"/>
  <c r="N14" i="83"/>
  <c r="M14" i="83"/>
  <c r="F14" i="83"/>
  <c r="G14" i="83" s="1"/>
  <c r="E14" i="83"/>
  <c r="AD17" i="83"/>
  <c r="AE17" i="83" s="1"/>
  <c r="AC17" i="83"/>
  <c r="Z17" i="83"/>
  <c r="AA17" i="83" s="1"/>
  <c r="Y17" i="83"/>
  <c r="V17" i="83"/>
  <c r="W17" i="83" s="1"/>
  <c r="U17" i="83"/>
  <c r="R17" i="83"/>
  <c r="Q17" i="83"/>
  <c r="N17" i="83"/>
  <c r="M17" i="83"/>
  <c r="F17" i="83"/>
  <c r="G17" i="83" s="1"/>
  <c r="E17" i="83"/>
  <c r="AD16" i="83"/>
  <c r="AE16" i="83" s="1"/>
  <c r="AC16" i="83"/>
  <c r="Z16" i="83"/>
  <c r="AA16" i="83" s="1"/>
  <c r="Y16" i="83"/>
  <c r="V16" i="83"/>
  <c r="W16" i="83" s="1"/>
  <c r="U16" i="83"/>
  <c r="R16" i="83"/>
  <c r="S16" i="83" s="1"/>
  <c r="Q16" i="83"/>
  <c r="N16" i="83"/>
  <c r="O16" i="83" s="1"/>
  <c r="M16" i="83"/>
  <c r="F16" i="83"/>
  <c r="G16" i="83" s="1"/>
  <c r="E16" i="83"/>
  <c r="AD5" i="83"/>
  <c r="AE5" i="83" s="1"/>
  <c r="AC5" i="83"/>
  <c r="Z5" i="83"/>
  <c r="AA5" i="83" s="1"/>
  <c r="Y5" i="83"/>
  <c r="V5" i="83"/>
  <c r="U5" i="83"/>
  <c r="R5" i="83"/>
  <c r="Q5" i="83"/>
  <c r="N5" i="83"/>
  <c r="M5" i="83"/>
  <c r="F5" i="83"/>
  <c r="E5" i="83"/>
  <c r="AD8" i="83"/>
  <c r="AE8" i="83" s="1"/>
  <c r="AC8" i="83"/>
  <c r="Z8" i="83"/>
  <c r="Y8" i="83"/>
  <c r="V8" i="83"/>
  <c r="U8" i="83"/>
  <c r="R8" i="83"/>
  <c r="Q8" i="83"/>
  <c r="N8" i="83"/>
  <c r="M8" i="83"/>
  <c r="F8" i="83"/>
  <c r="G8" i="83" s="1"/>
  <c r="E8" i="83"/>
  <c r="AD9" i="83"/>
  <c r="AE9" i="83" s="1"/>
  <c r="AC9" i="83"/>
  <c r="Z9" i="83"/>
  <c r="AA9" i="83" s="1"/>
  <c r="Y9" i="83"/>
  <c r="V9" i="83"/>
  <c r="W9" i="83" s="1"/>
  <c r="U9" i="83"/>
  <c r="R9" i="83"/>
  <c r="Q9" i="83"/>
  <c r="N9" i="83"/>
  <c r="M9" i="83"/>
  <c r="F9" i="83"/>
  <c r="G9" i="83" s="1"/>
  <c r="E9" i="83"/>
  <c r="AD13" i="83"/>
  <c r="AC13" i="83"/>
  <c r="Z13" i="83"/>
  <c r="Y13" i="83"/>
  <c r="V13" i="83"/>
  <c r="U13" i="83"/>
  <c r="R13" i="83"/>
  <c r="Q13" i="83"/>
  <c r="N13" i="83"/>
  <c r="O13" i="83" s="1"/>
  <c r="M13" i="83"/>
  <c r="F13" i="83"/>
  <c r="E13" i="83"/>
  <c r="AD12" i="83"/>
  <c r="AC12" i="83"/>
  <c r="Z12" i="83"/>
  <c r="Y12" i="83"/>
  <c r="V12" i="83"/>
  <c r="U12" i="83"/>
  <c r="R12" i="83"/>
  <c r="Q12" i="83"/>
  <c r="N12" i="83"/>
  <c r="O12" i="83" s="1"/>
  <c r="M12" i="83"/>
  <c r="F12" i="83"/>
  <c r="E12" i="83"/>
  <c r="AD7" i="83"/>
  <c r="AC7" i="83"/>
  <c r="Z7" i="83"/>
  <c r="Y7" i="83"/>
  <c r="V7" i="83"/>
  <c r="U7" i="83"/>
  <c r="R7" i="83"/>
  <c r="Q7" i="83"/>
  <c r="N7" i="83"/>
  <c r="M7" i="83"/>
  <c r="F7" i="83"/>
  <c r="E7" i="83"/>
  <c r="AD6" i="83"/>
  <c r="AC6" i="83"/>
  <c r="Z6" i="83"/>
  <c r="Y6" i="83"/>
  <c r="V6" i="83"/>
  <c r="W6" i="83" s="1"/>
  <c r="U6" i="83"/>
  <c r="R6" i="83"/>
  <c r="Q6" i="83"/>
  <c r="N6" i="83"/>
  <c r="M6" i="83"/>
  <c r="F6" i="83"/>
  <c r="E6" i="83"/>
  <c r="AD10" i="83"/>
  <c r="AC10" i="83"/>
  <c r="Z10" i="83"/>
  <c r="Y10" i="83"/>
  <c r="V10" i="83"/>
  <c r="U10" i="83"/>
  <c r="R10" i="83"/>
  <c r="Q10" i="83"/>
  <c r="N10" i="83"/>
  <c r="M10" i="83"/>
  <c r="F10" i="83"/>
  <c r="E10" i="83"/>
  <c r="AD11" i="83"/>
  <c r="AC11" i="83"/>
  <c r="Z11" i="83"/>
  <c r="Y11" i="83"/>
  <c r="V11" i="83"/>
  <c r="U11" i="83"/>
  <c r="R11" i="83"/>
  <c r="Q11" i="83"/>
  <c r="N11" i="83"/>
  <c r="M11" i="83"/>
  <c r="J11" i="83"/>
  <c r="I11" i="83"/>
  <c r="F11" i="83"/>
  <c r="E11" i="83"/>
  <c r="AD15" i="83"/>
  <c r="AC15" i="83"/>
  <c r="Z15" i="83"/>
  <c r="Y15" i="83"/>
  <c r="V15" i="83"/>
  <c r="U15" i="83"/>
  <c r="R15" i="83"/>
  <c r="Q15" i="83"/>
  <c r="N15" i="83"/>
  <c r="O15" i="83" s="1"/>
  <c r="M15" i="83"/>
  <c r="F15" i="83"/>
  <c r="G15" i="83" s="1"/>
  <c r="E15" i="83"/>
  <c r="AI24" i="82"/>
  <c r="AD24" i="82"/>
  <c r="AE24" i="82" s="1"/>
  <c r="AC24" i="82"/>
  <c r="Z24" i="82"/>
  <c r="AA24" i="82" s="1"/>
  <c r="Y24" i="82"/>
  <c r="V24" i="82"/>
  <c r="W24" i="82" s="1"/>
  <c r="U24" i="82"/>
  <c r="R24" i="82"/>
  <c r="S24" i="82" s="1"/>
  <c r="Q24" i="82"/>
  <c r="N24" i="82"/>
  <c r="O24" i="82" s="1"/>
  <c r="M24" i="82"/>
  <c r="F24" i="82"/>
  <c r="G24" i="82" s="1"/>
  <c r="E24" i="82"/>
  <c r="AI23" i="82"/>
  <c r="AD23" i="82"/>
  <c r="AE23" i="82" s="1"/>
  <c r="AC23" i="82"/>
  <c r="Z23" i="82"/>
  <c r="AA23" i="82" s="1"/>
  <c r="Y23" i="82"/>
  <c r="V23" i="82"/>
  <c r="W23" i="82" s="1"/>
  <c r="U23" i="82"/>
  <c r="R23" i="82"/>
  <c r="S23" i="82" s="1"/>
  <c r="Q23" i="82"/>
  <c r="N23" i="82"/>
  <c r="O23" i="82" s="1"/>
  <c r="M23" i="82"/>
  <c r="F23" i="82"/>
  <c r="G23" i="82" s="1"/>
  <c r="E23" i="82"/>
  <c r="AI22" i="82"/>
  <c r="AD22" i="82"/>
  <c r="AE22" i="82" s="1"/>
  <c r="AC22" i="82"/>
  <c r="Z22" i="82"/>
  <c r="AA22" i="82" s="1"/>
  <c r="Y22" i="82"/>
  <c r="V22" i="82"/>
  <c r="W22" i="82" s="1"/>
  <c r="U22" i="82"/>
  <c r="R22" i="82"/>
  <c r="S22" i="82" s="1"/>
  <c r="Q22" i="82"/>
  <c r="N22" i="82"/>
  <c r="O22" i="82" s="1"/>
  <c r="M22" i="82"/>
  <c r="F22" i="82"/>
  <c r="G22" i="82" s="1"/>
  <c r="E22" i="82"/>
  <c r="AI21" i="82"/>
  <c r="AD21" i="82"/>
  <c r="AE21" i="82" s="1"/>
  <c r="AC21" i="82"/>
  <c r="Z21" i="82"/>
  <c r="AA21" i="82" s="1"/>
  <c r="Y21" i="82"/>
  <c r="V21" i="82"/>
  <c r="W21" i="82" s="1"/>
  <c r="U21" i="82"/>
  <c r="R21" i="82"/>
  <c r="S21" i="82" s="1"/>
  <c r="Q21" i="82"/>
  <c r="N21" i="82"/>
  <c r="O21" i="82" s="1"/>
  <c r="M21" i="82"/>
  <c r="F21" i="82"/>
  <c r="G21" i="82" s="1"/>
  <c r="E21" i="82"/>
  <c r="AI20" i="82"/>
  <c r="AD20" i="82"/>
  <c r="AE20" i="82" s="1"/>
  <c r="AC20" i="82"/>
  <c r="Z20" i="82"/>
  <c r="AA20" i="82" s="1"/>
  <c r="Y20" i="82"/>
  <c r="V20" i="82"/>
  <c r="W20" i="82" s="1"/>
  <c r="U20" i="82"/>
  <c r="R20" i="82"/>
  <c r="S20" i="82" s="1"/>
  <c r="Q20" i="82"/>
  <c r="N20" i="82"/>
  <c r="O20" i="82" s="1"/>
  <c r="M20" i="82"/>
  <c r="F20" i="82"/>
  <c r="G20" i="82" s="1"/>
  <c r="E20" i="82"/>
  <c r="AI19" i="82"/>
  <c r="AD19" i="82"/>
  <c r="AE19" i="82" s="1"/>
  <c r="AC19" i="82"/>
  <c r="Z19" i="82"/>
  <c r="AA19" i="82" s="1"/>
  <c r="Y19" i="82"/>
  <c r="V19" i="82"/>
  <c r="W19" i="82" s="1"/>
  <c r="U19" i="82"/>
  <c r="R19" i="82"/>
  <c r="S19" i="82" s="1"/>
  <c r="Q19" i="82"/>
  <c r="N19" i="82"/>
  <c r="O19" i="82" s="1"/>
  <c r="M19" i="82"/>
  <c r="F19" i="82"/>
  <c r="G19" i="82" s="1"/>
  <c r="E19" i="82"/>
  <c r="AI18" i="82"/>
  <c r="AD18" i="82"/>
  <c r="AE18" i="82" s="1"/>
  <c r="AC18" i="82"/>
  <c r="Z18" i="82"/>
  <c r="AA18" i="82" s="1"/>
  <c r="Y18" i="82"/>
  <c r="V18" i="82"/>
  <c r="W18" i="82" s="1"/>
  <c r="U18" i="82"/>
  <c r="R18" i="82"/>
  <c r="S18" i="82" s="1"/>
  <c r="Q18" i="82"/>
  <c r="N18" i="82"/>
  <c r="O18" i="82" s="1"/>
  <c r="M18" i="82"/>
  <c r="F18" i="82"/>
  <c r="G18" i="82" s="1"/>
  <c r="E18" i="82"/>
  <c r="AI17" i="82"/>
  <c r="AD17" i="82"/>
  <c r="AE17" i="82" s="1"/>
  <c r="AC17" i="82"/>
  <c r="Z17" i="82"/>
  <c r="AA17" i="82" s="1"/>
  <c r="Y17" i="82"/>
  <c r="V17" i="82"/>
  <c r="W17" i="82" s="1"/>
  <c r="U17" i="82"/>
  <c r="R17" i="82"/>
  <c r="S17" i="82" s="1"/>
  <c r="Q17" i="82"/>
  <c r="N17" i="82"/>
  <c r="O17" i="82" s="1"/>
  <c r="M17" i="82"/>
  <c r="F17" i="82"/>
  <c r="G17" i="82" s="1"/>
  <c r="E17" i="82"/>
  <c r="AI12" i="82"/>
  <c r="AD12" i="82"/>
  <c r="AE12" i="82" s="1"/>
  <c r="AC12" i="82"/>
  <c r="Z12" i="82"/>
  <c r="AA12" i="82" s="1"/>
  <c r="Y12" i="82"/>
  <c r="V12" i="82"/>
  <c r="U12" i="82"/>
  <c r="R12" i="82"/>
  <c r="S12" i="82" s="1"/>
  <c r="Q12" i="82"/>
  <c r="N12" i="82"/>
  <c r="O12" i="82" s="1"/>
  <c r="M12" i="82"/>
  <c r="F12" i="82"/>
  <c r="G12" i="82" s="1"/>
  <c r="E12" i="82"/>
  <c r="AI15" i="82"/>
  <c r="AD15" i="82"/>
  <c r="AC15" i="82"/>
  <c r="Z15" i="82"/>
  <c r="Y15" i="82"/>
  <c r="V15" i="82"/>
  <c r="U15" i="82"/>
  <c r="R15" i="82"/>
  <c r="Q15" i="82"/>
  <c r="N15" i="82"/>
  <c r="M15" i="82"/>
  <c r="F15" i="82"/>
  <c r="G15" i="82" s="1"/>
  <c r="E15" i="82"/>
  <c r="AI8" i="82"/>
  <c r="X8" i="87" s="1"/>
  <c r="AD8" i="82"/>
  <c r="AC8" i="82"/>
  <c r="Z8" i="82"/>
  <c r="Y8" i="82"/>
  <c r="V8" i="82"/>
  <c r="U8" i="82"/>
  <c r="R8" i="82"/>
  <c r="Q8" i="82"/>
  <c r="N8" i="82"/>
  <c r="M8" i="82"/>
  <c r="F8" i="82"/>
  <c r="E8" i="82"/>
  <c r="AI6" i="82"/>
  <c r="AD6" i="82"/>
  <c r="AE6" i="82" s="1"/>
  <c r="AC6" i="82"/>
  <c r="Z6" i="82"/>
  <c r="Y6" i="82"/>
  <c r="V6" i="82"/>
  <c r="U6" i="82"/>
  <c r="R6" i="82"/>
  <c r="Q6" i="82"/>
  <c r="N6" i="82"/>
  <c r="M6" i="82"/>
  <c r="F6" i="82"/>
  <c r="G6" i="82" s="1"/>
  <c r="E6" i="82"/>
  <c r="AI13" i="82"/>
  <c r="AD13" i="82"/>
  <c r="AE13" i="82" s="1"/>
  <c r="AC13" i="82"/>
  <c r="Z13" i="82"/>
  <c r="AA13" i="82" s="1"/>
  <c r="Y13" i="82"/>
  <c r="V13" i="82"/>
  <c r="W13" i="82" s="1"/>
  <c r="U13" i="82"/>
  <c r="R13" i="82"/>
  <c r="S13" i="82" s="1"/>
  <c r="Q13" i="82"/>
  <c r="N13" i="82"/>
  <c r="O13" i="82" s="1"/>
  <c r="M13" i="82"/>
  <c r="F13" i="82"/>
  <c r="G13" i="82" s="1"/>
  <c r="E13" i="82"/>
  <c r="AI7" i="82"/>
  <c r="AD7" i="82"/>
  <c r="AE7" i="82" s="1"/>
  <c r="AC7" i="82"/>
  <c r="Z7" i="82"/>
  <c r="Y7" i="82"/>
  <c r="V7" i="82"/>
  <c r="W7" i="82" s="1"/>
  <c r="U7" i="82"/>
  <c r="R7" i="82"/>
  <c r="Q7" i="82"/>
  <c r="N7" i="82"/>
  <c r="M7" i="82"/>
  <c r="F7" i="82"/>
  <c r="E7" i="82"/>
  <c r="AI16" i="82"/>
  <c r="X19" i="87" s="1"/>
  <c r="AD16" i="82"/>
  <c r="AE16" i="82" s="1"/>
  <c r="AC16" i="82"/>
  <c r="Z16" i="82"/>
  <c r="AA16" i="82" s="1"/>
  <c r="Y16" i="82"/>
  <c r="V16" i="82"/>
  <c r="W16" i="82" s="1"/>
  <c r="U16" i="82"/>
  <c r="R16" i="82"/>
  <c r="S16" i="82" s="1"/>
  <c r="Q16" i="82"/>
  <c r="N16" i="82"/>
  <c r="O16" i="82" s="1"/>
  <c r="M16" i="82"/>
  <c r="F16" i="82"/>
  <c r="G16" i="82" s="1"/>
  <c r="E16" i="82"/>
  <c r="AI14" i="82"/>
  <c r="AD14" i="82"/>
  <c r="AC14" i="82"/>
  <c r="Z14" i="82"/>
  <c r="Y14" i="82"/>
  <c r="V14" i="82"/>
  <c r="W14" i="82" s="1"/>
  <c r="U14" i="82"/>
  <c r="R14" i="82"/>
  <c r="Q14" i="82"/>
  <c r="N14" i="82"/>
  <c r="O14" i="82" s="1"/>
  <c r="M14" i="82"/>
  <c r="F14" i="82"/>
  <c r="E14" i="82"/>
  <c r="AI11" i="82"/>
  <c r="AD11" i="82"/>
  <c r="AE11" i="82" s="1"/>
  <c r="AC11" i="82"/>
  <c r="Z11" i="82"/>
  <c r="AA11" i="82" s="1"/>
  <c r="Y11" i="82"/>
  <c r="V11" i="82"/>
  <c r="W11" i="82" s="1"/>
  <c r="U11" i="82"/>
  <c r="R11" i="82"/>
  <c r="S11" i="82" s="1"/>
  <c r="Q11" i="82"/>
  <c r="N11" i="82"/>
  <c r="O11" i="82" s="1"/>
  <c r="M11" i="82"/>
  <c r="F11" i="82"/>
  <c r="E11" i="82"/>
  <c r="AI9" i="82"/>
  <c r="X15" i="87" s="1"/>
  <c r="Y15" i="87" s="1"/>
  <c r="AD9" i="82"/>
  <c r="AC9" i="82"/>
  <c r="Z9" i="82"/>
  <c r="Y9" i="82"/>
  <c r="V9" i="82"/>
  <c r="U9" i="82"/>
  <c r="R9" i="82"/>
  <c r="Q9" i="82"/>
  <c r="N9" i="82"/>
  <c r="M9" i="82"/>
  <c r="F9" i="82"/>
  <c r="E9" i="82"/>
  <c r="AI10" i="82"/>
  <c r="AD10" i="82"/>
  <c r="AE10" i="82" s="1"/>
  <c r="AC10" i="82"/>
  <c r="Z10" i="82"/>
  <c r="AA10" i="82" s="1"/>
  <c r="Y10" i="82"/>
  <c r="V10" i="82"/>
  <c r="U10" i="82"/>
  <c r="R10" i="82"/>
  <c r="S10" i="82" s="1"/>
  <c r="Q10" i="82"/>
  <c r="N10" i="82"/>
  <c r="M10" i="82"/>
  <c r="J10" i="82"/>
  <c r="I10" i="82"/>
  <c r="F10" i="82"/>
  <c r="E10" i="82"/>
  <c r="AI5" i="82"/>
  <c r="AD5" i="82"/>
  <c r="AC5" i="82"/>
  <c r="Z5" i="82"/>
  <c r="Y5" i="82"/>
  <c r="V5" i="82"/>
  <c r="U5" i="82"/>
  <c r="R5" i="82"/>
  <c r="Q5" i="82"/>
  <c r="N5" i="82"/>
  <c r="M5" i="82"/>
  <c r="F5" i="82"/>
  <c r="E5" i="82"/>
  <c r="F27" i="81"/>
  <c r="G27" i="81" s="1"/>
  <c r="F16" i="81"/>
  <c r="AD24" i="80"/>
  <c r="AE24" i="80" s="1"/>
  <c r="AC24" i="80"/>
  <c r="Z24" i="80"/>
  <c r="AA24" i="80" s="1"/>
  <c r="Y24" i="80"/>
  <c r="V24" i="80"/>
  <c r="W24" i="80" s="1"/>
  <c r="U24" i="80"/>
  <c r="R24" i="80"/>
  <c r="S24" i="80" s="1"/>
  <c r="Q24" i="80"/>
  <c r="N24" i="80"/>
  <c r="O24" i="80" s="1"/>
  <c r="M24" i="80"/>
  <c r="F24" i="80"/>
  <c r="G24" i="80" s="1"/>
  <c r="E24" i="80"/>
  <c r="AD23" i="80"/>
  <c r="AE23" i="80" s="1"/>
  <c r="AC23" i="80"/>
  <c r="Z23" i="80"/>
  <c r="AA23" i="80" s="1"/>
  <c r="Y23" i="80"/>
  <c r="V23" i="80"/>
  <c r="W23" i="80" s="1"/>
  <c r="U23" i="80"/>
  <c r="R23" i="80"/>
  <c r="S23" i="80" s="1"/>
  <c r="Q23" i="80"/>
  <c r="N23" i="80"/>
  <c r="O23" i="80" s="1"/>
  <c r="M23" i="80"/>
  <c r="F23" i="80"/>
  <c r="G23" i="80" s="1"/>
  <c r="E23" i="80"/>
  <c r="AD22" i="80"/>
  <c r="AE22" i="80" s="1"/>
  <c r="AC22" i="80"/>
  <c r="Z22" i="80"/>
  <c r="AA22" i="80" s="1"/>
  <c r="Y22" i="80"/>
  <c r="V22" i="80"/>
  <c r="W22" i="80" s="1"/>
  <c r="U22" i="80"/>
  <c r="R22" i="80"/>
  <c r="S22" i="80" s="1"/>
  <c r="Q22" i="80"/>
  <c r="N22" i="80"/>
  <c r="O22" i="80" s="1"/>
  <c r="M22" i="80"/>
  <c r="F22" i="80"/>
  <c r="G22" i="80" s="1"/>
  <c r="E22" i="80"/>
  <c r="AD21" i="80"/>
  <c r="AE21" i="80" s="1"/>
  <c r="AC21" i="80"/>
  <c r="Z21" i="80"/>
  <c r="AA21" i="80" s="1"/>
  <c r="Y21" i="80"/>
  <c r="V21" i="80"/>
  <c r="W21" i="80" s="1"/>
  <c r="U21" i="80"/>
  <c r="R21" i="80"/>
  <c r="S21" i="80" s="1"/>
  <c r="Q21" i="80"/>
  <c r="N21" i="80"/>
  <c r="O21" i="80" s="1"/>
  <c r="M21" i="80"/>
  <c r="F21" i="80"/>
  <c r="G21" i="80" s="1"/>
  <c r="E21" i="80"/>
  <c r="AD20" i="80"/>
  <c r="AE20" i="80" s="1"/>
  <c r="AC20" i="80"/>
  <c r="Z20" i="80"/>
  <c r="AA20" i="80" s="1"/>
  <c r="Y20" i="80"/>
  <c r="V20" i="80"/>
  <c r="W20" i="80" s="1"/>
  <c r="U20" i="80"/>
  <c r="R20" i="80"/>
  <c r="S20" i="80" s="1"/>
  <c r="Q20" i="80"/>
  <c r="N20" i="80"/>
  <c r="O20" i="80" s="1"/>
  <c r="M20" i="80"/>
  <c r="F20" i="80"/>
  <c r="G20" i="80" s="1"/>
  <c r="E20" i="80"/>
  <c r="AD16" i="80"/>
  <c r="AE16" i="80" s="1"/>
  <c r="AC16" i="80"/>
  <c r="Z16" i="80"/>
  <c r="AA16" i="80" s="1"/>
  <c r="Y16" i="80"/>
  <c r="V16" i="80"/>
  <c r="W16" i="80" s="1"/>
  <c r="U16" i="80"/>
  <c r="R16" i="80"/>
  <c r="S16" i="80" s="1"/>
  <c r="Q16" i="80"/>
  <c r="N16" i="80"/>
  <c r="O16" i="80" s="1"/>
  <c r="M16" i="80"/>
  <c r="F16" i="80"/>
  <c r="G16" i="80" s="1"/>
  <c r="E16" i="80"/>
  <c r="AD17" i="80"/>
  <c r="AE17" i="80" s="1"/>
  <c r="AC17" i="80"/>
  <c r="Z17" i="80"/>
  <c r="AA17" i="80" s="1"/>
  <c r="Y17" i="80"/>
  <c r="V17" i="80"/>
  <c r="W17" i="80" s="1"/>
  <c r="U17" i="80"/>
  <c r="R17" i="80"/>
  <c r="S17" i="80" s="1"/>
  <c r="Q17" i="80"/>
  <c r="N17" i="80"/>
  <c r="O17" i="80" s="1"/>
  <c r="M17" i="80"/>
  <c r="F17" i="80"/>
  <c r="G17" i="80" s="1"/>
  <c r="E17" i="80"/>
  <c r="AD12" i="80"/>
  <c r="AE12" i="80" s="1"/>
  <c r="AC12" i="80"/>
  <c r="Z12" i="80"/>
  <c r="AA12" i="80" s="1"/>
  <c r="Y12" i="80"/>
  <c r="V12" i="80"/>
  <c r="W12" i="80" s="1"/>
  <c r="U12" i="80"/>
  <c r="R12" i="80"/>
  <c r="S12" i="80" s="1"/>
  <c r="Q12" i="80"/>
  <c r="N12" i="80"/>
  <c r="M12" i="80"/>
  <c r="F12" i="80"/>
  <c r="G12" i="80" s="1"/>
  <c r="E12" i="80"/>
  <c r="AD15" i="80"/>
  <c r="AE15" i="80" s="1"/>
  <c r="AC15" i="80"/>
  <c r="Z15" i="80"/>
  <c r="AA15" i="80" s="1"/>
  <c r="Y15" i="80"/>
  <c r="V15" i="80"/>
  <c r="W15" i="80" s="1"/>
  <c r="U15" i="80"/>
  <c r="R15" i="80"/>
  <c r="S15" i="80" s="1"/>
  <c r="Q15" i="80"/>
  <c r="N15" i="80"/>
  <c r="O15" i="80" s="1"/>
  <c r="M15" i="80"/>
  <c r="F15" i="80"/>
  <c r="G15" i="80" s="1"/>
  <c r="E15" i="80"/>
  <c r="AD13" i="80"/>
  <c r="AE13" i="80" s="1"/>
  <c r="AC13" i="80"/>
  <c r="Z13" i="80"/>
  <c r="AA13" i="80" s="1"/>
  <c r="Y13" i="80"/>
  <c r="V13" i="80"/>
  <c r="W13" i="80" s="1"/>
  <c r="U13" i="80"/>
  <c r="R13" i="80"/>
  <c r="S13" i="80" s="1"/>
  <c r="Q13" i="80"/>
  <c r="N13" i="80"/>
  <c r="O13" i="80" s="1"/>
  <c r="M13" i="80"/>
  <c r="F13" i="80"/>
  <c r="G13" i="80" s="1"/>
  <c r="E13" i="80"/>
  <c r="AD5" i="80"/>
  <c r="AE5" i="80" s="1"/>
  <c r="AC5" i="80"/>
  <c r="Z5" i="80"/>
  <c r="AA5" i="80" s="1"/>
  <c r="Y5" i="80"/>
  <c r="V5" i="80"/>
  <c r="W5" i="80" s="1"/>
  <c r="U5" i="80"/>
  <c r="R5" i="80"/>
  <c r="Q5" i="80"/>
  <c r="N5" i="80"/>
  <c r="O5" i="80" s="1"/>
  <c r="M5" i="80"/>
  <c r="F5" i="80"/>
  <c r="G5" i="80" s="1"/>
  <c r="E5" i="80"/>
  <c r="AD14" i="80"/>
  <c r="AE14" i="80" s="1"/>
  <c r="AC14" i="80"/>
  <c r="Z14" i="80"/>
  <c r="AA14" i="80" s="1"/>
  <c r="Y14" i="80"/>
  <c r="V14" i="80"/>
  <c r="W14" i="80" s="1"/>
  <c r="U14" i="80"/>
  <c r="R14" i="80"/>
  <c r="S14" i="80" s="1"/>
  <c r="Q14" i="80"/>
  <c r="N14" i="80"/>
  <c r="O14" i="80" s="1"/>
  <c r="M14" i="80"/>
  <c r="F14" i="80"/>
  <c r="G14" i="80" s="1"/>
  <c r="E14" i="80"/>
  <c r="AD18" i="80"/>
  <c r="AE18" i="80" s="1"/>
  <c r="AC18" i="80"/>
  <c r="Z18" i="80"/>
  <c r="AA18" i="80" s="1"/>
  <c r="Y18" i="80"/>
  <c r="V18" i="80"/>
  <c r="W18" i="80" s="1"/>
  <c r="U18" i="80"/>
  <c r="R18" i="80"/>
  <c r="S18" i="80" s="1"/>
  <c r="Q18" i="80"/>
  <c r="N18" i="80"/>
  <c r="O18" i="80" s="1"/>
  <c r="M18" i="80"/>
  <c r="F18" i="80"/>
  <c r="G18" i="80" s="1"/>
  <c r="E18" i="80"/>
  <c r="AD6" i="80"/>
  <c r="AE6" i="80" s="1"/>
  <c r="AC6" i="80"/>
  <c r="Z6" i="80"/>
  <c r="AA6" i="80" s="1"/>
  <c r="Y6" i="80"/>
  <c r="V6" i="80"/>
  <c r="W6" i="80" s="1"/>
  <c r="U6" i="80"/>
  <c r="R6" i="80"/>
  <c r="Q6" i="80"/>
  <c r="N6" i="80"/>
  <c r="O6" i="80" s="1"/>
  <c r="M6" i="80"/>
  <c r="F6" i="80"/>
  <c r="G6" i="80" s="1"/>
  <c r="E6" i="80"/>
  <c r="AD19" i="80"/>
  <c r="AE19" i="80" s="1"/>
  <c r="AC19" i="80"/>
  <c r="Z19" i="80"/>
  <c r="Y19" i="80"/>
  <c r="V19" i="80"/>
  <c r="W19" i="80" s="1"/>
  <c r="U19" i="80"/>
  <c r="R19" i="80"/>
  <c r="S19" i="80" s="1"/>
  <c r="Q19" i="80"/>
  <c r="N19" i="80"/>
  <c r="O19" i="80" s="1"/>
  <c r="M19" i="80"/>
  <c r="F19" i="80"/>
  <c r="G19" i="80" s="1"/>
  <c r="E19" i="80"/>
  <c r="AD11" i="80"/>
  <c r="AE11" i="80" s="1"/>
  <c r="AC11" i="80"/>
  <c r="Z11" i="80"/>
  <c r="Y11" i="80"/>
  <c r="V11" i="80"/>
  <c r="W11" i="80" s="1"/>
  <c r="U11" i="80"/>
  <c r="R11" i="80"/>
  <c r="S11" i="80" s="1"/>
  <c r="Q11" i="80"/>
  <c r="N11" i="80"/>
  <c r="O11" i="80" s="1"/>
  <c r="M11" i="80"/>
  <c r="F11" i="80"/>
  <c r="G11" i="80" s="1"/>
  <c r="E11" i="80"/>
  <c r="AD7" i="80"/>
  <c r="AE7" i="80" s="1"/>
  <c r="AC7" i="80"/>
  <c r="Z7" i="80"/>
  <c r="Y7" i="80"/>
  <c r="V7" i="80"/>
  <c r="W7" i="80" s="1"/>
  <c r="U7" i="80"/>
  <c r="R7" i="80"/>
  <c r="Q7" i="80"/>
  <c r="N7" i="80"/>
  <c r="M7" i="80"/>
  <c r="F7" i="80"/>
  <c r="G7" i="80" s="1"/>
  <c r="E7" i="80"/>
  <c r="AD8" i="80"/>
  <c r="AE8" i="80" s="1"/>
  <c r="AC8" i="80"/>
  <c r="Z8" i="80"/>
  <c r="AA8" i="80" s="1"/>
  <c r="Y8" i="80"/>
  <c r="V8" i="80"/>
  <c r="W8" i="80" s="1"/>
  <c r="U8" i="80"/>
  <c r="R8" i="80"/>
  <c r="S8" i="80" s="1"/>
  <c r="Q8" i="80"/>
  <c r="N8" i="80"/>
  <c r="M8" i="80"/>
  <c r="F8" i="80"/>
  <c r="G8" i="80" s="1"/>
  <c r="E8" i="80"/>
  <c r="AD9" i="80"/>
  <c r="AC9" i="80"/>
  <c r="Z9" i="80"/>
  <c r="Y9" i="80"/>
  <c r="V9" i="80"/>
  <c r="W9" i="80" s="1"/>
  <c r="U9" i="80"/>
  <c r="R9" i="80"/>
  <c r="S9" i="80" s="1"/>
  <c r="Q9" i="80"/>
  <c r="N9" i="80"/>
  <c r="M9" i="80"/>
  <c r="J9" i="80"/>
  <c r="I9" i="80"/>
  <c r="F9" i="80"/>
  <c r="E9" i="80"/>
  <c r="AD10" i="80"/>
  <c r="AE10" i="80" s="1"/>
  <c r="AC10" i="80"/>
  <c r="Z10" i="80"/>
  <c r="AA10" i="80" s="1"/>
  <c r="Y10" i="80"/>
  <c r="V10" i="80"/>
  <c r="W10" i="80" s="1"/>
  <c r="U10" i="80"/>
  <c r="R10" i="80"/>
  <c r="Q10" i="80"/>
  <c r="N10" i="80"/>
  <c r="O10" i="80" s="1"/>
  <c r="M10" i="80"/>
  <c r="F10" i="80"/>
  <c r="G10" i="80" s="1"/>
  <c r="E10" i="80"/>
  <c r="AD21" i="79"/>
  <c r="AE21" i="79" s="1"/>
  <c r="AC21" i="79"/>
  <c r="Z21" i="79"/>
  <c r="Y21" i="79"/>
  <c r="V21" i="79"/>
  <c r="W21" i="79" s="1"/>
  <c r="U21" i="79"/>
  <c r="R21" i="79"/>
  <c r="S21" i="79" s="1"/>
  <c r="Q21" i="79"/>
  <c r="N21" i="79"/>
  <c r="M21" i="79"/>
  <c r="F21" i="79"/>
  <c r="G21" i="79" s="1"/>
  <c r="E21" i="79"/>
  <c r="AD22" i="79"/>
  <c r="AE22" i="79" s="1"/>
  <c r="AC22" i="79"/>
  <c r="Z22" i="79"/>
  <c r="Y22" i="79"/>
  <c r="V22" i="79"/>
  <c r="W22" i="79" s="1"/>
  <c r="U22" i="79"/>
  <c r="R22" i="79"/>
  <c r="Q22" i="79"/>
  <c r="N22" i="79"/>
  <c r="O22" i="79" s="1"/>
  <c r="M22" i="79"/>
  <c r="F22" i="79"/>
  <c r="G22" i="79" s="1"/>
  <c r="E22" i="79"/>
  <c r="AD8" i="79"/>
  <c r="AE8" i="79" s="1"/>
  <c r="AC8" i="79"/>
  <c r="Z8" i="79"/>
  <c r="Y8" i="79"/>
  <c r="V8" i="79"/>
  <c r="W8" i="79" s="1"/>
  <c r="U8" i="79"/>
  <c r="R8" i="79"/>
  <c r="Q8" i="79"/>
  <c r="N8" i="79"/>
  <c r="M8" i="79"/>
  <c r="F8" i="79"/>
  <c r="G8" i="79" s="1"/>
  <c r="E8" i="79"/>
  <c r="AD12" i="79"/>
  <c r="AE12" i="79" s="1"/>
  <c r="AC12" i="79"/>
  <c r="Z12" i="79"/>
  <c r="Y12" i="79"/>
  <c r="V12" i="79"/>
  <c r="W12" i="79" s="1"/>
  <c r="U12" i="79"/>
  <c r="R12" i="79"/>
  <c r="Q12" i="79"/>
  <c r="N12" i="79"/>
  <c r="M12" i="79"/>
  <c r="F12" i="79"/>
  <c r="E12" i="79"/>
  <c r="AD24" i="79"/>
  <c r="AC24" i="79"/>
  <c r="Z24" i="79"/>
  <c r="Y24" i="79"/>
  <c r="V24" i="79"/>
  <c r="W24" i="79" s="1"/>
  <c r="U24" i="79"/>
  <c r="R24" i="79"/>
  <c r="S24" i="79" s="1"/>
  <c r="Q24" i="79"/>
  <c r="N24" i="79"/>
  <c r="O24" i="79" s="1"/>
  <c r="M24" i="79"/>
  <c r="F24" i="79"/>
  <c r="G24" i="79" s="1"/>
  <c r="E24" i="79"/>
  <c r="AD9" i="79"/>
  <c r="AE9" i="79" s="1"/>
  <c r="AC9" i="79"/>
  <c r="Z9" i="79"/>
  <c r="Y9" i="79"/>
  <c r="V9" i="79"/>
  <c r="W9" i="79" s="1"/>
  <c r="U9" i="79"/>
  <c r="R9" i="79"/>
  <c r="Q9" i="79"/>
  <c r="N9" i="79"/>
  <c r="M9" i="79"/>
  <c r="F9" i="79"/>
  <c r="G9" i="79" s="1"/>
  <c r="E9" i="79"/>
  <c r="AD25" i="79"/>
  <c r="AE25" i="79" s="1"/>
  <c r="AC25" i="79"/>
  <c r="Z25" i="79"/>
  <c r="Y25" i="79"/>
  <c r="V25" i="79"/>
  <c r="W25" i="79" s="1"/>
  <c r="U25" i="79"/>
  <c r="R25" i="79"/>
  <c r="S25" i="79" s="1"/>
  <c r="Q25" i="79"/>
  <c r="N25" i="79"/>
  <c r="O25" i="79" s="1"/>
  <c r="M25" i="79"/>
  <c r="F25" i="79"/>
  <c r="G25" i="79" s="1"/>
  <c r="E25" i="79"/>
  <c r="AD30" i="79"/>
  <c r="AC30" i="79"/>
  <c r="Z30" i="79"/>
  <c r="Y30" i="79"/>
  <c r="V30" i="79"/>
  <c r="W30" i="79" s="1"/>
  <c r="U30" i="79"/>
  <c r="R30" i="79"/>
  <c r="Q30" i="79"/>
  <c r="N30" i="79"/>
  <c r="M30" i="79"/>
  <c r="F30" i="79"/>
  <c r="G30" i="79" s="1"/>
  <c r="E30" i="79"/>
  <c r="AD5" i="79"/>
  <c r="AC5" i="79"/>
  <c r="Z5" i="79"/>
  <c r="Y5" i="79"/>
  <c r="V5" i="79"/>
  <c r="U5" i="79"/>
  <c r="R5" i="79"/>
  <c r="Q5" i="79"/>
  <c r="N5" i="79"/>
  <c r="M5" i="79"/>
  <c r="F5" i="79"/>
  <c r="E5" i="79"/>
  <c r="AD18" i="79"/>
  <c r="AC18" i="79"/>
  <c r="Z18" i="79"/>
  <c r="Y18" i="79"/>
  <c r="V18" i="79"/>
  <c r="W18" i="79" s="1"/>
  <c r="U18" i="79"/>
  <c r="R18" i="79"/>
  <c r="Q18" i="79"/>
  <c r="N18" i="79"/>
  <c r="M18" i="79"/>
  <c r="F18" i="79"/>
  <c r="G18" i="79" s="1"/>
  <c r="E18" i="79"/>
  <c r="AD11" i="79"/>
  <c r="AE11" i="79" s="1"/>
  <c r="AC11" i="79"/>
  <c r="Z11" i="79"/>
  <c r="Y11" i="79"/>
  <c r="V11" i="79"/>
  <c r="W11" i="79" s="1"/>
  <c r="U11" i="79"/>
  <c r="R11" i="79"/>
  <c r="Q11" i="79"/>
  <c r="N11" i="79"/>
  <c r="O11" i="79" s="1"/>
  <c r="M11" i="79"/>
  <c r="F11" i="79"/>
  <c r="E11" i="79"/>
  <c r="AD7" i="79"/>
  <c r="AE7" i="79" s="1"/>
  <c r="AC7" i="79"/>
  <c r="Z7" i="79"/>
  <c r="Y7" i="79"/>
  <c r="V7" i="79"/>
  <c r="W7" i="79" s="1"/>
  <c r="U7" i="79"/>
  <c r="R7" i="79"/>
  <c r="Q7" i="79"/>
  <c r="N7" i="79"/>
  <c r="M7" i="79"/>
  <c r="F7" i="79"/>
  <c r="E7" i="79"/>
  <c r="AD27" i="79"/>
  <c r="AC27" i="79"/>
  <c r="Z27" i="79"/>
  <c r="Y27" i="79"/>
  <c r="V27" i="79"/>
  <c r="U27" i="79"/>
  <c r="R27" i="79"/>
  <c r="Q27" i="79"/>
  <c r="N27" i="79"/>
  <c r="O27" i="79" s="1"/>
  <c r="M27" i="79"/>
  <c r="F27" i="79"/>
  <c r="G27" i="79" s="1"/>
  <c r="E27" i="79"/>
  <c r="AD10" i="79"/>
  <c r="AE10" i="79" s="1"/>
  <c r="AC10" i="79"/>
  <c r="Z10" i="79"/>
  <c r="Y10" i="79"/>
  <c r="V10" i="79"/>
  <c r="U10" i="79"/>
  <c r="R10" i="79"/>
  <c r="Q10" i="79"/>
  <c r="N10" i="79"/>
  <c r="M10" i="79"/>
  <c r="F10" i="79"/>
  <c r="E10" i="79"/>
  <c r="AD14" i="79"/>
  <c r="AC14" i="79"/>
  <c r="Z14" i="79"/>
  <c r="Y14" i="79"/>
  <c r="V14" i="79"/>
  <c r="U14" i="79"/>
  <c r="R14" i="79"/>
  <c r="Q14" i="79"/>
  <c r="N14" i="79"/>
  <c r="M14" i="79"/>
  <c r="J14" i="79"/>
  <c r="I14" i="79"/>
  <c r="F14" i="79"/>
  <c r="E14" i="79"/>
  <c r="AD13" i="79"/>
  <c r="AC13" i="79"/>
  <c r="Z13" i="79"/>
  <c r="Y13" i="79"/>
  <c r="V13" i="79"/>
  <c r="U13" i="79"/>
  <c r="R13" i="79"/>
  <c r="Q13" i="79"/>
  <c r="N13" i="79"/>
  <c r="M13" i="79"/>
  <c r="F13" i="79"/>
  <c r="E13" i="79"/>
  <c r="AD19" i="79"/>
  <c r="AE19" i="79" s="1"/>
  <c r="AC19" i="79"/>
  <c r="Z19" i="79"/>
  <c r="Y19" i="79"/>
  <c r="V19" i="79"/>
  <c r="U19" i="79"/>
  <c r="R19" i="79"/>
  <c r="Q19" i="79"/>
  <c r="N19" i="79"/>
  <c r="M19" i="79"/>
  <c r="F19" i="79"/>
  <c r="E19" i="79"/>
  <c r="AD16" i="79"/>
  <c r="AC16" i="79"/>
  <c r="Z16" i="79"/>
  <c r="Y16" i="79"/>
  <c r="V16" i="79"/>
  <c r="W16" i="79" s="1"/>
  <c r="U16" i="79"/>
  <c r="R16" i="79"/>
  <c r="Q16" i="79"/>
  <c r="N16" i="79"/>
  <c r="M16" i="79"/>
  <c r="F16" i="79"/>
  <c r="E16" i="79"/>
  <c r="AD29" i="79"/>
  <c r="AC29" i="79"/>
  <c r="Z29" i="79"/>
  <c r="Y29" i="79"/>
  <c r="V29" i="79"/>
  <c r="W29" i="79" s="1"/>
  <c r="U29" i="79"/>
  <c r="R29" i="79"/>
  <c r="Q29" i="79"/>
  <c r="N29" i="79"/>
  <c r="M29" i="79"/>
  <c r="F29" i="79"/>
  <c r="E29" i="79"/>
  <c r="AD6" i="79"/>
  <c r="AC6" i="79"/>
  <c r="Z6" i="79"/>
  <c r="Y6" i="79"/>
  <c r="V6" i="79"/>
  <c r="U6" i="79"/>
  <c r="R6" i="79"/>
  <c r="Q6" i="79"/>
  <c r="N6" i="79"/>
  <c r="M6" i="79"/>
  <c r="F6" i="79"/>
  <c r="E6" i="79"/>
  <c r="AI8" i="78"/>
  <c r="AD8" i="78"/>
  <c r="AE8" i="78" s="1"/>
  <c r="AC8" i="78"/>
  <c r="Z8" i="78"/>
  <c r="AA8" i="78" s="1"/>
  <c r="Y8" i="78"/>
  <c r="V8" i="78"/>
  <c r="U8" i="78"/>
  <c r="R8" i="78"/>
  <c r="Q8" i="78"/>
  <c r="N8" i="78"/>
  <c r="M8" i="78"/>
  <c r="F8" i="78"/>
  <c r="G8" i="78" s="1"/>
  <c r="E8" i="78"/>
  <c r="AI21" i="78"/>
  <c r="AD21" i="78"/>
  <c r="AE21" i="78" s="1"/>
  <c r="AC21" i="78"/>
  <c r="Z21" i="78"/>
  <c r="AA21" i="78" s="1"/>
  <c r="Y21" i="78"/>
  <c r="V21" i="78"/>
  <c r="W21" i="78" s="1"/>
  <c r="U21" i="78"/>
  <c r="R21" i="78"/>
  <c r="S21" i="78" s="1"/>
  <c r="Q21" i="78"/>
  <c r="N21" i="78"/>
  <c r="O21" i="78" s="1"/>
  <c r="M21" i="78"/>
  <c r="F21" i="78"/>
  <c r="G21" i="78" s="1"/>
  <c r="E21" i="78"/>
  <c r="AI10" i="78"/>
  <c r="AD10" i="78"/>
  <c r="AE10" i="78" s="1"/>
  <c r="AC10" i="78"/>
  <c r="Z10" i="78"/>
  <c r="AA10" i="78" s="1"/>
  <c r="Y10" i="78"/>
  <c r="V10" i="78"/>
  <c r="W10" i="78" s="1"/>
  <c r="U10" i="78"/>
  <c r="R10" i="78"/>
  <c r="Q10" i="78"/>
  <c r="N10" i="78"/>
  <c r="O10" i="78" s="1"/>
  <c r="M10" i="78"/>
  <c r="F10" i="78"/>
  <c r="G10" i="78" s="1"/>
  <c r="E10" i="78"/>
  <c r="AI22" i="78"/>
  <c r="AD22" i="78"/>
  <c r="AE22" i="78" s="1"/>
  <c r="AC22" i="78"/>
  <c r="Z22" i="78"/>
  <c r="AA22" i="78" s="1"/>
  <c r="Y22" i="78"/>
  <c r="V22" i="78"/>
  <c r="W22" i="78" s="1"/>
  <c r="U22" i="78"/>
  <c r="R22" i="78"/>
  <c r="Q22" i="78"/>
  <c r="N22" i="78"/>
  <c r="O22" i="78" s="1"/>
  <c r="M22" i="78"/>
  <c r="F22" i="78"/>
  <c r="G22" i="78" s="1"/>
  <c r="E22" i="78"/>
  <c r="AI25" i="78"/>
  <c r="AD25" i="78"/>
  <c r="AE25" i="78" s="1"/>
  <c r="AC25" i="78"/>
  <c r="Z25" i="78"/>
  <c r="AA25" i="78" s="1"/>
  <c r="Y25" i="78"/>
  <c r="V25" i="78"/>
  <c r="W25" i="78" s="1"/>
  <c r="U25" i="78"/>
  <c r="R25" i="78"/>
  <c r="S25" i="78" s="1"/>
  <c r="Q25" i="78"/>
  <c r="N25" i="78"/>
  <c r="O25" i="78" s="1"/>
  <c r="M25" i="78"/>
  <c r="F25" i="78"/>
  <c r="G25" i="78" s="1"/>
  <c r="E25" i="78"/>
  <c r="AI7" i="78"/>
  <c r="AD7" i="78"/>
  <c r="AC7" i="78"/>
  <c r="Z7" i="78"/>
  <c r="AA7" i="78" s="1"/>
  <c r="Y7" i="78"/>
  <c r="V7" i="78"/>
  <c r="U7" i="78"/>
  <c r="R7" i="78"/>
  <c r="Q7" i="78"/>
  <c r="N7" i="78"/>
  <c r="M7" i="78"/>
  <c r="F7" i="78"/>
  <c r="G7" i="78" s="1"/>
  <c r="E7" i="78"/>
  <c r="AI23" i="78"/>
  <c r="X23" i="81" s="1"/>
  <c r="Z23" i="81" s="1"/>
  <c r="AD23" i="78"/>
  <c r="AE23" i="78" s="1"/>
  <c r="AC23" i="78"/>
  <c r="Z23" i="78"/>
  <c r="AA23" i="78" s="1"/>
  <c r="Y23" i="78"/>
  <c r="V23" i="78"/>
  <c r="W23" i="78" s="1"/>
  <c r="U23" i="78"/>
  <c r="R23" i="78"/>
  <c r="S23" i="78" s="1"/>
  <c r="Q23" i="78"/>
  <c r="N23" i="78"/>
  <c r="O23" i="78" s="1"/>
  <c r="M23" i="78"/>
  <c r="F23" i="78"/>
  <c r="G23" i="78" s="1"/>
  <c r="E23" i="78"/>
  <c r="AI31" i="78"/>
  <c r="AD31" i="78"/>
  <c r="AC31" i="78"/>
  <c r="Z31" i="78"/>
  <c r="Y31" i="78"/>
  <c r="V31" i="78"/>
  <c r="U31" i="78"/>
  <c r="R31" i="78"/>
  <c r="Q31" i="78"/>
  <c r="N31" i="78"/>
  <c r="M31" i="78"/>
  <c r="F31" i="78"/>
  <c r="E31" i="78"/>
  <c r="AI30" i="78"/>
  <c r="X20" i="81" s="1"/>
  <c r="Y20" i="81" s="1"/>
  <c r="AD30" i="78"/>
  <c r="AE30" i="78" s="1"/>
  <c r="AC30" i="78"/>
  <c r="Z30" i="78"/>
  <c r="Y30" i="78"/>
  <c r="V30" i="78"/>
  <c r="U30" i="78"/>
  <c r="R30" i="78"/>
  <c r="Q30" i="78"/>
  <c r="N30" i="78"/>
  <c r="M30" i="78"/>
  <c r="F30" i="78"/>
  <c r="G30" i="78" s="1"/>
  <c r="E30" i="78"/>
  <c r="AD29" i="78"/>
  <c r="AC29" i="78"/>
  <c r="Z29" i="78"/>
  <c r="Y29" i="78"/>
  <c r="V29" i="78"/>
  <c r="U29" i="78"/>
  <c r="R29" i="78"/>
  <c r="Q29" i="78"/>
  <c r="N29" i="78"/>
  <c r="M29" i="78"/>
  <c r="F29" i="78"/>
  <c r="E29" i="78"/>
  <c r="AI28" i="78"/>
  <c r="AD28" i="78"/>
  <c r="AC28" i="78"/>
  <c r="Z28" i="78"/>
  <c r="Y28" i="78"/>
  <c r="V28" i="78"/>
  <c r="U28" i="78"/>
  <c r="R28" i="78"/>
  <c r="Q28" i="78"/>
  <c r="N28" i="78"/>
  <c r="M28" i="78"/>
  <c r="F28" i="78"/>
  <c r="E28" i="78"/>
  <c r="AI11" i="78"/>
  <c r="X9" i="81" s="1"/>
  <c r="AD11" i="78"/>
  <c r="AC11" i="78"/>
  <c r="Z11" i="78"/>
  <c r="AA11" i="78" s="1"/>
  <c r="Y11" i="78"/>
  <c r="V11" i="78"/>
  <c r="U11" i="78"/>
  <c r="R11" i="78"/>
  <c r="Q11" i="78"/>
  <c r="N11" i="78"/>
  <c r="M11" i="78"/>
  <c r="F11" i="78"/>
  <c r="E11" i="78"/>
  <c r="AI5" i="78"/>
  <c r="AD5" i="78"/>
  <c r="AC5" i="78"/>
  <c r="Z5" i="78"/>
  <c r="AA5" i="78" s="1"/>
  <c r="Y5" i="78"/>
  <c r="V5" i="78"/>
  <c r="U5" i="78"/>
  <c r="R5" i="78"/>
  <c r="S5" i="78" s="1"/>
  <c r="Q5" i="78"/>
  <c r="N5" i="78"/>
  <c r="M5" i="78"/>
  <c r="F5" i="78"/>
  <c r="G5" i="78" s="1"/>
  <c r="E5" i="78"/>
  <c r="AD12" i="78"/>
  <c r="AC12" i="78"/>
  <c r="Z12" i="78"/>
  <c r="Y12" i="78"/>
  <c r="V12" i="78"/>
  <c r="U12" i="78"/>
  <c r="R12" i="78"/>
  <c r="Q12" i="78"/>
  <c r="N12" i="78"/>
  <c r="M12" i="78"/>
  <c r="F12" i="78"/>
  <c r="E12" i="78"/>
  <c r="AI18" i="78"/>
  <c r="AD18" i="78"/>
  <c r="AC18" i="78"/>
  <c r="Z18" i="78"/>
  <c r="AA18" i="78" s="1"/>
  <c r="Y18" i="78"/>
  <c r="V18" i="78"/>
  <c r="U18" i="78"/>
  <c r="R18" i="78"/>
  <c r="S18" i="78" s="1"/>
  <c r="Q18" i="78"/>
  <c r="N18" i="78"/>
  <c r="M18" i="78"/>
  <c r="F18" i="78"/>
  <c r="E18" i="78"/>
  <c r="AI26" i="78"/>
  <c r="AD26" i="78"/>
  <c r="AC26" i="78"/>
  <c r="Z26" i="78"/>
  <c r="Y26" i="78"/>
  <c r="V26" i="78"/>
  <c r="U26" i="78"/>
  <c r="R26" i="78"/>
  <c r="Q26" i="78"/>
  <c r="N26" i="78"/>
  <c r="M26" i="78"/>
  <c r="F26" i="78"/>
  <c r="E26" i="78"/>
  <c r="AI16" i="78"/>
  <c r="AD16" i="78"/>
  <c r="AE16" i="78" s="1"/>
  <c r="AC16" i="78"/>
  <c r="Z16" i="78"/>
  <c r="Y16" i="78"/>
  <c r="V16" i="78"/>
  <c r="W16" i="78" s="1"/>
  <c r="U16" i="78"/>
  <c r="R16" i="78"/>
  <c r="Q16" i="78"/>
  <c r="N16" i="78"/>
  <c r="M16" i="78"/>
  <c r="F16" i="78"/>
  <c r="E16" i="78"/>
  <c r="AD14" i="78"/>
  <c r="AC14" i="78"/>
  <c r="Z14" i="78"/>
  <c r="Y14" i="78"/>
  <c r="V14" i="78"/>
  <c r="U14" i="78"/>
  <c r="R14" i="78"/>
  <c r="Q14" i="78"/>
  <c r="N14" i="78"/>
  <c r="M14" i="78"/>
  <c r="F14" i="78"/>
  <c r="E14" i="78"/>
  <c r="AI17" i="78"/>
  <c r="AD17" i="78"/>
  <c r="AC17" i="78"/>
  <c r="Z17" i="78"/>
  <c r="Y17" i="78"/>
  <c r="V17" i="78"/>
  <c r="U17" i="78"/>
  <c r="R17" i="78"/>
  <c r="Q17" i="78"/>
  <c r="N17" i="78"/>
  <c r="M17" i="78"/>
  <c r="F17" i="78"/>
  <c r="E17" i="78"/>
  <c r="AI19" i="78"/>
  <c r="X21" i="81" s="1"/>
  <c r="AD19" i="78"/>
  <c r="AC19" i="78"/>
  <c r="Z19" i="78"/>
  <c r="Y19" i="78"/>
  <c r="V19" i="78"/>
  <c r="U19" i="78"/>
  <c r="R19" i="78"/>
  <c r="Q19" i="78"/>
  <c r="N19" i="78"/>
  <c r="M19" i="78"/>
  <c r="J19" i="78"/>
  <c r="I19" i="78"/>
  <c r="F19" i="78"/>
  <c r="E19" i="78"/>
  <c r="AD8" i="77"/>
  <c r="AE8" i="77" s="1"/>
  <c r="AC8" i="77"/>
  <c r="Z8" i="77"/>
  <c r="AA8" i="77" s="1"/>
  <c r="Y8" i="77"/>
  <c r="V8" i="77"/>
  <c r="W8" i="77" s="1"/>
  <c r="U8" i="77"/>
  <c r="R8" i="77"/>
  <c r="Q8" i="77"/>
  <c r="N8" i="77"/>
  <c r="O8" i="77" s="1"/>
  <c r="M8" i="77"/>
  <c r="F8" i="77"/>
  <c r="G8" i="77" s="1"/>
  <c r="E8" i="77"/>
  <c r="AD21" i="77"/>
  <c r="AE21" i="77" s="1"/>
  <c r="AC21" i="77"/>
  <c r="Z21" i="77"/>
  <c r="AA21" i="77" s="1"/>
  <c r="Y21" i="77"/>
  <c r="V21" i="77"/>
  <c r="W21" i="77" s="1"/>
  <c r="U21" i="77"/>
  <c r="R21" i="77"/>
  <c r="S21" i="77" s="1"/>
  <c r="Q21" i="77"/>
  <c r="N21" i="77"/>
  <c r="O21" i="77" s="1"/>
  <c r="M21" i="77"/>
  <c r="F21" i="77"/>
  <c r="G21" i="77" s="1"/>
  <c r="E21" i="77"/>
  <c r="AD17" i="77"/>
  <c r="AE17" i="77" s="1"/>
  <c r="AC17" i="77"/>
  <c r="Z17" i="77"/>
  <c r="Y17" i="77"/>
  <c r="V17" i="77"/>
  <c r="W17" i="77" s="1"/>
  <c r="U17" i="77"/>
  <c r="R17" i="77"/>
  <c r="Q17" i="77"/>
  <c r="N17" i="77"/>
  <c r="M17" i="77"/>
  <c r="F17" i="77"/>
  <c r="G17" i="77" s="1"/>
  <c r="E17" i="77"/>
  <c r="AD7" i="77"/>
  <c r="AE7" i="77" s="1"/>
  <c r="AC7" i="77"/>
  <c r="Z7" i="77"/>
  <c r="AA7" i="77" s="1"/>
  <c r="Y7" i="77"/>
  <c r="V7" i="77"/>
  <c r="W7" i="77" s="1"/>
  <c r="U7" i="77"/>
  <c r="R7" i="77"/>
  <c r="Q7" i="77"/>
  <c r="N7" i="77"/>
  <c r="M7" i="77"/>
  <c r="F7" i="77"/>
  <c r="E7" i="77"/>
  <c r="AD11" i="77"/>
  <c r="AE11" i="77" s="1"/>
  <c r="AC11" i="77"/>
  <c r="Z11" i="77"/>
  <c r="Y11" i="77"/>
  <c r="V11" i="77"/>
  <c r="U11" i="77"/>
  <c r="R11" i="77"/>
  <c r="Q11" i="77"/>
  <c r="N11" i="77"/>
  <c r="M11" i="77"/>
  <c r="F11" i="77"/>
  <c r="E11" i="77"/>
  <c r="AD9" i="77"/>
  <c r="AE9" i="77" s="1"/>
  <c r="AC9" i="77"/>
  <c r="Z9" i="77"/>
  <c r="AA9" i="77" s="1"/>
  <c r="Y9" i="77"/>
  <c r="V9" i="77"/>
  <c r="W9" i="77" s="1"/>
  <c r="U9" i="77"/>
  <c r="R9" i="77"/>
  <c r="Q9" i="77"/>
  <c r="N9" i="77"/>
  <c r="M9" i="77"/>
  <c r="F9" i="77"/>
  <c r="G9" i="77" s="1"/>
  <c r="E9" i="77"/>
  <c r="AD28" i="77"/>
  <c r="AE28" i="77" s="1"/>
  <c r="AC28" i="77"/>
  <c r="Z28" i="77"/>
  <c r="AA28" i="77" s="1"/>
  <c r="Y28" i="77"/>
  <c r="V28" i="77"/>
  <c r="W28" i="77" s="1"/>
  <c r="U28" i="77"/>
  <c r="R28" i="77"/>
  <c r="Q28" i="77"/>
  <c r="N28" i="77"/>
  <c r="M28" i="77"/>
  <c r="F28" i="77"/>
  <c r="G28" i="77" s="1"/>
  <c r="E28" i="77"/>
  <c r="AD6" i="77"/>
  <c r="AC6" i="77"/>
  <c r="Z6" i="77"/>
  <c r="AA6" i="77" s="1"/>
  <c r="Y6" i="77"/>
  <c r="V6" i="77"/>
  <c r="W6" i="77" s="1"/>
  <c r="U6" i="77"/>
  <c r="R6" i="77"/>
  <c r="S6" i="77" s="1"/>
  <c r="Q6" i="77"/>
  <c r="N6" i="77"/>
  <c r="M6" i="77"/>
  <c r="F6" i="77"/>
  <c r="G6" i="77" s="1"/>
  <c r="E6" i="77"/>
  <c r="AD26" i="77"/>
  <c r="AE26" i="77" s="1"/>
  <c r="AC26" i="77"/>
  <c r="Z26" i="77"/>
  <c r="AA26" i="77" s="1"/>
  <c r="Y26" i="77"/>
  <c r="V26" i="77"/>
  <c r="W26" i="77" s="1"/>
  <c r="U26" i="77"/>
  <c r="R26" i="77"/>
  <c r="S26" i="77" s="1"/>
  <c r="Q26" i="77"/>
  <c r="N26" i="77"/>
  <c r="O26" i="77" s="1"/>
  <c r="M26" i="77"/>
  <c r="F26" i="77"/>
  <c r="G26" i="77" s="1"/>
  <c r="E26" i="77"/>
  <c r="AD5" i="77"/>
  <c r="AC5" i="77"/>
  <c r="Z5" i="77"/>
  <c r="Y5" i="77"/>
  <c r="V5" i="77"/>
  <c r="U5" i="77"/>
  <c r="R5" i="77"/>
  <c r="Q5" i="77"/>
  <c r="N5" i="77"/>
  <c r="M5" i="77"/>
  <c r="F5" i="77"/>
  <c r="E5" i="77"/>
  <c r="AD15" i="77"/>
  <c r="AE15" i="77" s="1"/>
  <c r="AC15" i="77"/>
  <c r="Z15" i="77"/>
  <c r="Y15" i="77"/>
  <c r="V15" i="77"/>
  <c r="U15" i="77"/>
  <c r="R15" i="77"/>
  <c r="Q15" i="77"/>
  <c r="N15" i="77"/>
  <c r="M15" i="77"/>
  <c r="F15" i="77"/>
  <c r="E15" i="77"/>
  <c r="AD14" i="77"/>
  <c r="AE14" i="77" s="1"/>
  <c r="AC14" i="77"/>
  <c r="Z14" i="77"/>
  <c r="Y14" i="77"/>
  <c r="V14" i="77"/>
  <c r="U14" i="77"/>
  <c r="R14" i="77"/>
  <c r="Q14" i="77"/>
  <c r="N14" i="77"/>
  <c r="M14" i="77"/>
  <c r="F14" i="77"/>
  <c r="G14" i="77" s="1"/>
  <c r="E14" i="77"/>
  <c r="AD25" i="77"/>
  <c r="AC25" i="77"/>
  <c r="Z25" i="77"/>
  <c r="Y25" i="77"/>
  <c r="V25" i="77"/>
  <c r="U25" i="77"/>
  <c r="R25" i="77"/>
  <c r="Q25" i="77"/>
  <c r="N25" i="77"/>
  <c r="M25" i="77"/>
  <c r="F25" i="77"/>
  <c r="E25" i="77"/>
  <c r="AD10" i="77"/>
  <c r="AC10" i="77"/>
  <c r="Z10" i="77"/>
  <c r="AA10" i="77" s="1"/>
  <c r="Y10" i="77"/>
  <c r="V10" i="77"/>
  <c r="W10" i="77" s="1"/>
  <c r="U10" i="77"/>
  <c r="R10" i="77"/>
  <c r="Q10" i="77"/>
  <c r="N10" i="77"/>
  <c r="M10" i="77"/>
  <c r="F10" i="77"/>
  <c r="E10" i="77"/>
  <c r="AD22" i="77"/>
  <c r="AC22" i="77"/>
  <c r="Z22" i="77"/>
  <c r="Y22" i="77"/>
  <c r="V22" i="77"/>
  <c r="W22" i="77" s="1"/>
  <c r="U22" i="77"/>
  <c r="R22" i="77"/>
  <c r="Q22" i="77"/>
  <c r="N22" i="77"/>
  <c r="M22" i="77"/>
  <c r="F22" i="77"/>
  <c r="E22" i="77"/>
  <c r="AD13" i="77"/>
  <c r="AC13" i="77"/>
  <c r="Z13" i="77"/>
  <c r="Y13" i="77"/>
  <c r="V13" i="77"/>
  <c r="U13" i="77"/>
  <c r="R13" i="77"/>
  <c r="Q13" i="77"/>
  <c r="N13" i="77"/>
  <c r="M13" i="77"/>
  <c r="I13" i="77"/>
  <c r="F13" i="77"/>
  <c r="E13" i="77"/>
  <c r="AD16" i="77"/>
  <c r="AE16" i="77" s="1"/>
  <c r="AC16" i="77"/>
  <c r="Z16" i="77"/>
  <c r="AA16" i="77" s="1"/>
  <c r="Y16" i="77"/>
  <c r="V16" i="77"/>
  <c r="W16" i="77" s="1"/>
  <c r="U16" i="77"/>
  <c r="R16" i="77"/>
  <c r="S16" i="77" s="1"/>
  <c r="Q16" i="77"/>
  <c r="N16" i="77"/>
  <c r="M16" i="77"/>
  <c r="F16" i="77"/>
  <c r="E16" i="77"/>
  <c r="AD20" i="77"/>
  <c r="AC20" i="77"/>
  <c r="Z20" i="77"/>
  <c r="Y20" i="77"/>
  <c r="V20" i="77"/>
  <c r="W20" i="77" s="1"/>
  <c r="U20" i="77"/>
  <c r="R20" i="77"/>
  <c r="Q20" i="77"/>
  <c r="N20" i="77"/>
  <c r="M20" i="77"/>
  <c r="F20" i="77"/>
  <c r="E20" i="77"/>
  <c r="AD24" i="77"/>
  <c r="AC24" i="77"/>
  <c r="Z24" i="77"/>
  <c r="Y24" i="77"/>
  <c r="V24" i="77"/>
  <c r="U24" i="77"/>
  <c r="R24" i="77"/>
  <c r="Q24" i="77"/>
  <c r="N24" i="77"/>
  <c r="M24" i="77"/>
  <c r="F24" i="77"/>
  <c r="E24" i="77"/>
  <c r="AD30" i="77"/>
  <c r="AC30" i="77"/>
  <c r="Z30" i="77"/>
  <c r="Y30" i="77"/>
  <c r="V30" i="77"/>
  <c r="W30" i="77" s="1"/>
  <c r="U30" i="77"/>
  <c r="R30" i="77"/>
  <c r="Q30" i="77"/>
  <c r="N30" i="77"/>
  <c r="O30" i="77" s="1"/>
  <c r="M30" i="77"/>
  <c r="F30" i="77"/>
  <c r="G30" i="77" s="1"/>
  <c r="E30" i="77"/>
  <c r="Z11" i="76"/>
  <c r="X24" i="76"/>
  <c r="Z24" i="76" s="1"/>
  <c r="U24" i="76"/>
  <c r="W24" i="76" s="1"/>
  <c r="R24" i="76"/>
  <c r="O24" i="76"/>
  <c r="Q24" i="76" s="1"/>
  <c r="L24" i="76"/>
  <c r="N24" i="76" s="1"/>
  <c r="I24" i="76"/>
  <c r="K24" i="76" s="1"/>
  <c r="F20" i="76"/>
  <c r="G20" i="76" s="1"/>
  <c r="F18" i="76"/>
  <c r="F22" i="76"/>
  <c r="G22" i="76" s="1"/>
  <c r="F16" i="76"/>
  <c r="G16" i="76" s="1"/>
  <c r="F11" i="76"/>
  <c r="G11" i="76" s="1"/>
  <c r="F24" i="76"/>
  <c r="C24" i="76"/>
  <c r="E24" i="76" s="1"/>
  <c r="AD24" i="75"/>
  <c r="AE24" i="75" s="1"/>
  <c r="AC24" i="75"/>
  <c r="Z24" i="75"/>
  <c r="AA24" i="75" s="1"/>
  <c r="Y24" i="75"/>
  <c r="V24" i="75"/>
  <c r="W24" i="75" s="1"/>
  <c r="U24" i="75"/>
  <c r="R24" i="75"/>
  <c r="S24" i="75" s="1"/>
  <c r="Q24" i="75"/>
  <c r="N24" i="75"/>
  <c r="O24" i="75" s="1"/>
  <c r="M24" i="75"/>
  <c r="F24" i="75"/>
  <c r="G24" i="75" s="1"/>
  <c r="E24" i="75"/>
  <c r="AD23" i="75"/>
  <c r="AE23" i="75" s="1"/>
  <c r="AC23" i="75"/>
  <c r="Z23" i="75"/>
  <c r="AA23" i="75" s="1"/>
  <c r="Y23" i="75"/>
  <c r="V23" i="75"/>
  <c r="W23" i="75" s="1"/>
  <c r="U23" i="75"/>
  <c r="R23" i="75"/>
  <c r="S23" i="75" s="1"/>
  <c r="Q23" i="75"/>
  <c r="N23" i="75"/>
  <c r="O23" i="75" s="1"/>
  <c r="M23" i="75"/>
  <c r="F23" i="75"/>
  <c r="G23" i="75" s="1"/>
  <c r="E23" i="75"/>
  <c r="AD22" i="75"/>
  <c r="AE22" i="75" s="1"/>
  <c r="AC22" i="75"/>
  <c r="Z22" i="75"/>
  <c r="AA22" i="75" s="1"/>
  <c r="Y22" i="75"/>
  <c r="V22" i="75"/>
  <c r="W22" i="75" s="1"/>
  <c r="U22" i="75"/>
  <c r="R22" i="75"/>
  <c r="S22" i="75" s="1"/>
  <c r="Q22" i="75"/>
  <c r="N22" i="75"/>
  <c r="O22" i="75" s="1"/>
  <c r="M22" i="75"/>
  <c r="F22" i="75"/>
  <c r="G22" i="75" s="1"/>
  <c r="E22" i="75"/>
  <c r="AD7" i="75"/>
  <c r="AE7" i="75" s="1"/>
  <c r="AC7" i="75"/>
  <c r="Z7" i="75"/>
  <c r="AA7" i="75" s="1"/>
  <c r="Y7" i="75"/>
  <c r="V7" i="75"/>
  <c r="W7" i="75" s="1"/>
  <c r="U7" i="75"/>
  <c r="R7" i="75"/>
  <c r="Q7" i="75"/>
  <c r="N7" i="75"/>
  <c r="M7" i="75"/>
  <c r="F7" i="75"/>
  <c r="G7" i="75" s="1"/>
  <c r="E7" i="75"/>
  <c r="AD15" i="75"/>
  <c r="AE15" i="75" s="1"/>
  <c r="AC15" i="75"/>
  <c r="Z15" i="75"/>
  <c r="AA15" i="75" s="1"/>
  <c r="Y15" i="75"/>
  <c r="V15" i="75"/>
  <c r="W15" i="75" s="1"/>
  <c r="U15" i="75"/>
  <c r="R15" i="75"/>
  <c r="S15" i="75" s="1"/>
  <c r="Q15" i="75"/>
  <c r="N15" i="75"/>
  <c r="O15" i="75" s="1"/>
  <c r="M15" i="75"/>
  <c r="F15" i="75"/>
  <c r="G15" i="75" s="1"/>
  <c r="E15" i="75"/>
  <c r="AD21" i="75"/>
  <c r="AE21" i="75" s="1"/>
  <c r="AC21" i="75"/>
  <c r="Z21" i="75"/>
  <c r="AA21" i="75" s="1"/>
  <c r="Y21" i="75"/>
  <c r="V21" i="75"/>
  <c r="W21" i="75" s="1"/>
  <c r="U21" i="75"/>
  <c r="R21" i="75"/>
  <c r="S21" i="75" s="1"/>
  <c r="Q21" i="75"/>
  <c r="N21" i="75"/>
  <c r="O21" i="75" s="1"/>
  <c r="M21" i="75"/>
  <c r="F21" i="75"/>
  <c r="G21" i="75" s="1"/>
  <c r="E21" i="75"/>
  <c r="AD19" i="75"/>
  <c r="AE19" i="75" s="1"/>
  <c r="AC19" i="75"/>
  <c r="Z19" i="75"/>
  <c r="AA19" i="75" s="1"/>
  <c r="Y19" i="75"/>
  <c r="V19" i="75"/>
  <c r="W19" i="75" s="1"/>
  <c r="U19" i="75"/>
  <c r="R19" i="75"/>
  <c r="S19" i="75" s="1"/>
  <c r="Q19" i="75"/>
  <c r="N19" i="75"/>
  <c r="M19" i="75"/>
  <c r="F19" i="75"/>
  <c r="G19" i="75" s="1"/>
  <c r="E19" i="75"/>
  <c r="AD17" i="75"/>
  <c r="AE17" i="75" s="1"/>
  <c r="AC17" i="75"/>
  <c r="Z17" i="75"/>
  <c r="AA17" i="75" s="1"/>
  <c r="Y17" i="75"/>
  <c r="V17" i="75"/>
  <c r="W17" i="75" s="1"/>
  <c r="U17" i="75"/>
  <c r="R17" i="75"/>
  <c r="S17" i="75" s="1"/>
  <c r="Q17" i="75"/>
  <c r="N17" i="75"/>
  <c r="M17" i="75"/>
  <c r="F17" i="75"/>
  <c r="G17" i="75" s="1"/>
  <c r="E17" i="75"/>
  <c r="AD5" i="75"/>
  <c r="AE5" i="75" s="1"/>
  <c r="AC5" i="75"/>
  <c r="Z5" i="75"/>
  <c r="AA5" i="75" s="1"/>
  <c r="Y5" i="75"/>
  <c r="V5" i="75"/>
  <c r="W5" i="75" s="1"/>
  <c r="U5" i="75"/>
  <c r="R5" i="75"/>
  <c r="Q5" i="75"/>
  <c r="N5" i="75"/>
  <c r="M5" i="75"/>
  <c r="F5" i="75"/>
  <c r="G5" i="75" s="1"/>
  <c r="E5" i="75"/>
  <c r="AD18" i="75"/>
  <c r="AE18" i="75" s="1"/>
  <c r="AC18" i="75"/>
  <c r="Z18" i="75"/>
  <c r="AA18" i="75" s="1"/>
  <c r="Y18" i="75"/>
  <c r="V18" i="75"/>
  <c r="W18" i="75" s="1"/>
  <c r="U18" i="75"/>
  <c r="R18" i="75"/>
  <c r="S18" i="75" s="1"/>
  <c r="Q18" i="75"/>
  <c r="N18" i="75"/>
  <c r="O18" i="75" s="1"/>
  <c r="M18" i="75"/>
  <c r="F18" i="75"/>
  <c r="G18" i="75" s="1"/>
  <c r="E18" i="75"/>
  <c r="AD11" i="75"/>
  <c r="AE11" i="75" s="1"/>
  <c r="AC11" i="75"/>
  <c r="Z11" i="75"/>
  <c r="AA11" i="75" s="1"/>
  <c r="Y11" i="75"/>
  <c r="V11" i="75"/>
  <c r="W11" i="75" s="1"/>
  <c r="U11" i="75"/>
  <c r="R11" i="75"/>
  <c r="Q11" i="75"/>
  <c r="N11" i="75"/>
  <c r="O11" i="75" s="1"/>
  <c r="M11" i="75"/>
  <c r="F11" i="75"/>
  <c r="G11" i="75" s="1"/>
  <c r="E11" i="75"/>
  <c r="AD13" i="75"/>
  <c r="AE13" i="75" s="1"/>
  <c r="AC13" i="75"/>
  <c r="Z13" i="75"/>
  <c r="AA13" i="75" s="1"/>
  <c r="Y13" i="75"/>
  <c r="V13" i="75"/>
  <c r="U13" i="75"/>
  <c r="R13" i="75"/>
  <c r="Q13" i="75"/>
  <c r="N13" i="75"/>
  <c r="O13" i="75" s="1"/>
  <c r="M13" i="75"/>
  <c r="F13" i="75"/>
  <c r="G13" i="75" s="1"/>
  <c r="E13" i="75"/>
  <c r="AD9" i="75"/>
  <c r="AE9" i="75" s="1"/>
  <c r="AC9" i="75"/>
  <c r="Z9" i="75"/>
  <c r="Y9" i="75"/>
  <c r="V9" i="75"/>
  <c r="U9" i="75"/>
  <c r="R9" i="75"/>
  <c r="Q9" i="75"/>
  <c r="N9" i="75"/>
  <c r="M9" i="75"/>
  <c r="F9" i="75"/>
  <c r="E9" i="75"/>
  <c r="AD6" i="75"/>
  <c r="AC6" i="75"/>
  <c r="Z6" i="75"/>
  <c r="Y6" i="75"/>
  <c r="V6" i="75"/>
  <c r="W6" i="75" s="1"/>
  <c r="U6" i="75"/>
  <c r="R6" i="75"/>
  <c r="Q6" i="75"/>
  <c r="N6" i="75"/>
  <c r="M6" i="75"/>
  <c r="F6" i="75"/>
  <c r="E6" i="75"/>
  <c r="AD8" i="75"/>
  <c r="AC8" i="75"/>
  <c r="Z8" i="75"/>
  <c r="Y8" i="75"/>
  <c r="V8" i="75"/>
  <c r="U8" i="75"/>
  <c r="R8" i="75"/>
  <c r="Q8" i="75"/>
  <c r="N8" i="75"/>
  <c r="M8" i="75"/>
  <c r="F8" i="75"/>
  <c r="G8" i="75" s="1"/>
  <c r="E8" i="75"/>
  <c r="AD10" i="75"/>
  <c r="AC10" i="75"/>
  <c r="Z10" i="75"/>
  <c r="Y10" i="75"/>
  <c r="V10" i="75"/>
  <c r="U10" i="75"/>
  <c r="R10" i="75"/>
  <c r="S10" i="75" s="1"/>
  <c r="Q10" i="75"/>
  <c r="N10" i="75"/>
  <c r="M10" i="75"/>
  <c r="F10" i="75"/>
  <c r="G10" i="75" s="1"/>
  <c r="E10" i="75"/>
  <c r="AD12" i="75"/>
  <c r="AC12" i="75"/>
  <c r="Z12" i="75"/>
  <c r="AA12" i="75" s="1"/>
  <c r="Y12" i="75"/>
  <c r="V12" i="75"/>
  <c r="U12" i="75"/>
  <c r="R12" i="75"/>
  <c r="Q12" i="75"/>
  <c r="N12" i="75"/>
  <c r="M12" i="75"/>
  <c r="F12" i="75"/>
  <c r="G12" i="75" s="1"/>
  <c r="E12" i="75"/>
  <c r="AD20" i="75"/>
  <c r="AC20" i="75"/>
  <c r="Z20" i="75"/>
  <c r="Y20" i="75"/>
  <c r="V20" i="75"/>
  <c r="U20" i="75"/>
  <c r="R20" i="75"/>
  <c r="Q20" i="75"/>
  <c r="N20" i="75"/>
  <c r="M20" i="75"/>
  <c r="F20" i="75"/>
  <c r="E20" i="75"/>
  <c r="AD16" i="75"/>
  <c r="AC16" i="75"/>
  <c r="Z16" i="75"/>
  <c r="AA16" i="75" s="1"/>
  <c r="Y16" i="75"/>
  <c r="V16" i="75"/>
  <c r="U16" i="75"/>
  <c r="R16" i="75"/>
  <c r="S16" i="75" s="1"/>
  <c r="Q16" i="75"/>
  <c r="N16" i="75"/>
  <c r="M16" i="75"/>
  <c r="J16" i="75"/>
  <c r="I16" i="75"/>
  <c r="F16" i="75"/>
  <c r="E16" i="75"/>
  <c r="AD14" i="75"/>
  <c r="AC14" i="75"/>
  <c r="Z14" i="75"/>
  <c r="Y14" i="75"/>
  <c r="V14" i="75"/>
  <c r="U14" i="75"/>
  <c r="R14" i="75"/>
  <c r="Q14" i="75"/>
  <c r="N14" i="75"/>
  <c r="M14" i="75"/>
  <c r="F14" i="75"/>
  <c r="G14" i="75" s="1"/>
  <c r="E14" i="75"/>
  <c r="AD24" i="74"/>
  <c r="AE24" i="74" s="1"/>
  <c r="AC24" i="74"/>
  <c r="Z24" i="74"/>
  <c r="AA24" i="74" s="1"/>
  <c r="Y24" i="74"/>
  <c r="V24" i="74"/>
  <c r="W24" i="74" s="1"/>
  <c r="U24" i="74"/>
  <c r="R24" i="74"/>
  <c r="S24" i="74" s="1"/>
  <c r="Q24" i="74"/>
  <c r="N24" i="74"/>
  <c r="O24" i="74" s="1"/>
  <c r="M24" i="74"/>
  <c r="F24" i="74"/>
  <c r="G24" i="74" s="1"/>
  <c r="E24" i="74"/>
  <c r="AD23" i="74"/>
  <c r="AE23" i="74" s="1"/>
  <c r="AC23" i="74"/>
  <c r="Z23" i="74"/>
  <c r="AA23" i="74" s="1"/>
  <c r="Y23" i="74"/>
  <c r="V23" i="74"/>
  <c r="W23" i="74" s="1"/>
  <c r="U23" i="74"/>
  <c r="R23" i="74"/>
  <c r="S23" i="74" s="1"/>
  <c r="Q23" i="74"/>
  <c r="N23" i="74"/>
  <c r="O23" i="74" s="1"/>
  <c r="M23" i="74"/>
  <c r="F23" i="74"/>
  <c r="G23" i="74" s="1"/>
  <c r="E23" i="74"/>
  <c r="AD22" i="74"/>
  <c r="AE22" i="74" s="1"/>
  <c r="AC22" i="74"/>
  <c r="Z22" i="74"/>
  <c r="AA22" i="74" s="1"/>
  <c r="Y22" i="74"/>
  <c r="V22" i="74"/>
  <c r="W22" i="74" s="1"/>
  <c r="U22" i="74"/>
  <c r="R22" i="74"/>
  <c r="S22" i="74" s="1"/>
  <c r="Q22" i="74"/>
  <c r="N22" i="74"/>
  <c r="O22" i="74" s="1"/>
  <c r="M22" i="74"/>
  <c r="F22" i="74"/>
  <c r="G22" i="74" s="1"/>
  <c r="E22" i="74"/>
  <c r="AD21" i="74"/>
  <c r="AE21" i="74" s="1"/>
  <c r="AC21" i="74"/>
  <c r="Z21" i="74"/>
  <c r="AA21" i="74" s="1"/>
  <c r="Y21" i="74"/>
  <c r="V21" i="74"/>
  <c r="W21" i="74" s="1"/>
  <c r="U21" i="74"/>
  <c r="R21" i="74"/>
  <c r="S21" i="74" s="1"/>
  <c r="Q21" i="74"/>
  <c r="N21" i="74"/>
  <c r="O21" i="74" s="1"/>
  <c r="M21" i="74"/>
  <c r="F21" i="74"/>
  <c r="G21" i="74" s="1"/>
  <c r="E21" i="74"/>
  <c r="AD10" i="74"/>
  <c r="AE10" i="74" s="1"/>
  <c r="AC10" i="74"/>
  <c r="Z10" i="74"/>
  <c r="AA10" i="74" s="1"/>
  <c r="Y10" i="74"/>
  <c r="V10" i="74"/>
  <c r="W10" i="74" s="1"/>
  <c r="U10" i="74"/>
  <c r="R10" i="74"/>
  <c r="Q10" i="74"/>
  <c r="N10" i="74"/>
  <c r="O10" i="74" s="1"/>
  <c r="M10" i="74"/>
  <c r="F10" i="74"/>
  <c r="G10" i="74" s="1"/>
  <c r="E10" i="74"/>
  <c r="AD14" i="74"/>
  <c r="AE14" i="74" s="1"/>
  <c r="AC14" i="74"/>
  <c r="Z14" i="74"/>
  <c r="AA14" i="74" s="1"/>
  <c r="Y14" i="74"/>
  <c r="W14" i="74"/>
  <c r="R14" i="74"/>
  <c r="S14" i="74" s="1"/>
  <c r="Q14" i="74"/>
  <c r="N14" i="74"/>
  <c r="M14" i="74"/>
  <c r="F14" i="74"/>
  <c r="G14" i="74" s="1"/>
  <c r="E14" i="74"/>
  <c r="AD16" i="74"/>
  <c r="AE16" i="74" s="1"/>
  <c r="U22" i="76" s="1"/>
  <c r="W22" i="76" s="1"/>
  <c r="AC16" i="74"/>
  <c r="Z16" i="74"/>
  <c r="AA16" i="74" s="1"/>
  <c r="Y16" i="74"/>
  <c r="W16" i="74"/>
  <c r="R16" i="74"/>
  <c r="S16" i="74" s="1"/>
  <c r="Q16" i="74"/>
  <c r="N16" i="74"/>
  <c r="O16" i="74" s="1"/>
  <c r="M16" i="74"/>
  <c r="F16" i="74"/>
  <c r="G16" i="74" s="1"/>
  <c r="E16" i="74"/>
  <c r="AD15" i="74"/>
  <c r="AE15" i="74" s="1"/>
  <c r="AC15" i="74"/>
  <c r="Z15" i="74"/>
  <c r="AA15" i="74" s="1"/>
  <c r="Y15" i="74"/>
  <c r="W15" i="74"/>
  <c r="R15" i="74"/>
  <c r="Q15" i="74"/>
  <c r="N15" i="74"/>
  <c r="O15" i="74" s="1"/>
  <c r="M15" i="74"/>
  <c r="F15" i="74"/>
  <c r="G15" i="74" s="1"/>
  <c r="E15" i="74"/>
  <c r="AD12" i="74"/>
  <c r="AE12" i="74" s="1"/>
  <c r="AC12" i="74"/>
  <c r="Z12" i="74"/>
  <c r="AA12" i="74" s="1"/>
  <c r="Y12" i="74"/>
  <c r="W12" i="74"/>
  <c r="R12" i="74"/>
  <c r="S12" i="74" s="1"/>
  <c r="Q12" i="74"/>
  <c r="N12" i="74"/>
  <c r="O12" i="74" s="1"/>
  <c r="M12" i="74"/>
  <c r="F12" i="74"/>
  <c r="G12" i="74" s="1"/>
  <c r="E12" i="74"/>
  <c r="AD6" i="74"/>
  <c r="AE6" i="74" s="1"/>
  <c r="AC6" i="74"/>
  <c r="Z6" i="74"/>
  <c r="AA6" i="74" s="1"/>
  <c r="Y6" i="74"/>
  <c r="W6" i="74"/>
  <c r="R6" i="74"/>
  <c r="Q6" i="74"/>
  <c r="N6" i="74"/>
  <c r="M6" i="74"/>
  <c r="F6" i="74"/>
  <c r="G6" i="74" s="1"/>
  <c r="E6" i="74"/>
  <c r="AD20" i="74"/>
  <c r="AE20" i="74" s="1"/>
  <c r="AC20" i="74"/>
  <c r="Z20" i="74"/>
  <c r="AA20" i="74" s="1"/>
  <c r="Y20" i="74"/>
  <c r="W20" i="74"/>
  <c r="R20" i="74"/>
  <c r="S20" i="74" s="1"/>
  <c r="Q20" i="74"/>
  <c r="N20" i="74"/>
  <c r="O20" i="74" s="1"/>
  <c r="M20" i="74"/>
  <c r="F20" i="74"/>
  <c r="G20" i="74" s="1"/>
  <c r="E20" i="74"/>
  <c r="AD17" i="74"/>
  <c r="AC17" i="74"/>
  <c r="Z17" i="74"/>
  <c r="AA17" i="74" s="1"/>
  <c r="Y17" i="74"/>
  <c r="W17" i="74"/>
  <c r="R17" i="74"/>
  <c r="Q17" i="74"/>
  <c r="N17" i="74"/>
  <c r="O17" i="74" s="1"/>
  <c r="M17" i="74"/>
  <c r="F17" i="74"/>
  <c r="E17" i="74"/>
  <c r="AD7" i="74"/>
  <c r="AE7" i="74" s="1"/>
  <c r="AC7" i="74"/>
  <c r="Z7" i="74"/>
  <c r="Y7" i="74"/>
  <c r="W7" i="74"/>
  <c r="R7" i="74"/>
  <c r="S7" i="74" s="1"/>
  <c r="Q7" i="74"/>
  <c r="N7" i="74"/>
  <c r="M7" i="74"/>
  <c r="F7" i="74"/>
  <c r="E7" i="74"/>
  <c r="AD13" i="74"/>
  <c r="AC13" i="74"/>
  <c r="Z13" i="74"/>
  <c r="Y13" i="74"/>
  <c r="R13" i="74"/>
  <c r="S13" i="74" s="1"/>
  <c r="Q13" i="74"/>
  <c r="N13" i="74"/>
  <c r="O13" i="74" s="1"/>
  <c r="M13" i="74"/>
  <c r="F13" i="74"/>
  <c r="G13" i="74" s="1"/>
  <c r="E13" i="74"/>
  <c r="AD9" i="74"/>
  <c r="AE9" i="74" s="1"/>
  <c r="AC9" i="74"/>
  <c r="Z9" i="74"/>
  <c r="Y9" i="74"/>
  <c r="W9" i="74"/>
  <c r="R9" i="74"/>
  <c r="Q9" i="74"/>
  <c r="N9" i="74"/>
  <c r="M9" i="74"/>
  <c r="F9" i="74"/>
  <c r="G9" i="74" s="1"/>
  <c r="E9" i="74"/>
  <c r="AD19" i="74"/>
  <c r="AC19" i="74"/>
  <c r="Z19" i="74"/>
  <c r="AA19" i="74" s="1"/>
  <c r="Y19" i="74"/>
  <c r="R19" i="74"/>
  <c r="S19" i="74" s="1"/>
  <c r="Q19" i="74"/>
  <c r="N19" i="74"/>
  <c r="O19" i="74" s="1"/>
  <c r="M19" i="74"/>
  <c r="F19" i="74"/>
  <c r="G19" i="74" s="1"/>
  <c r="E19" i="74"/>
  <c r="AD8" i="74"/>
  <c r="AE8" i="74" s="1"/>
  <c r="AC8" i="74"/>
  <c r="Z8" i="74"/>
  <c r="Y8" i="74"/>
  <c r="W8" i="74"/>
  <c r="R8" i="74"/>
  <c r="S8" i="74" s="1"/>
  <c r="Q8" i="74"/>
  <c r="N8" i="74"/>
  <c r="M8" i="74"/>
  <c r="F8" i="74"/>
  <c r="G8" i="74" s="1"/>
  <c r="E8" i="74"/>
  <c r="AD18" i="74"/>
  <c r="AC18" i="74"/>
  <c r="Z18" i="74"/>
  <c r="AA18" i="74" s="1"/>
  <c r="Y18" i="74"/>
  <c r="W18" i="74"/>
  <c r="R18" i="74"/>
  <c r="S18" i="74" s="1"/>
  <c r="Q18" i="74"/>
  <c r="N18" i="74"/>
  <c r="O18" i="74" s="1"/>
  <c r="M18" i="74"/>
  <c r="F18" i="74"/>
  <c r="G18" i="74" s="1"/>
  <c r="E18" i="74"/>
  <c r="AD5" i="74"/>
  <c r="AC5" i="74"/>
  <c r="Z5" i="74"/>
  <c r="Y5" i="74"/>
  <c r="W5" i="74"/>
  <c r="R5" i="74"/>
  <c r="Q5" i="74"/>
  <c r="N5" i="74"/>
  <c r="M5" i="74"/>
  <c r="J5" i="74"/>
  <c r="I5" i="74"/>
  <c r="F5" i="74"/>
  <c r="G5" i="74" s="1"/>
  <c r="E5" i="74"/>
  <c r="AD11" i="74"/>
  <c r="AC11" i="74"/>
  <c r="Z11" i="74"/>
  <c r="Y11" i="74"/>
  <c r="W11" i="74"/>
  <c r="R11" i="74"/>
  <c r="S11" i="74" s="1"/>
  <c r="Q11" i="74"/>
  <c r="N11" i="74"/>
  <c r="O11" i="74" s="1"/>
  <c r="M11" i="74"/>
  <c r="F11" i="74"/>
  <c r="G11" i="74" s="1"/>
  <c r="E11" i="74"/>
  <c r="AD24" i="73"/>
  <c r="AE24" i="73" s="1"/>
  <c r="AC24" i="73"/>
  <c r="Z24" i="73"/>
  <c r="AA24" i="73" s="1"/>
  <c r="Y24" i="73"/>
  <c r="V24" i="73"/>
  <c r="W24" i="73" s="1"/>
  <c r="U24" i="73"/>
  <c r="R24" i="73"/>
  <c r="S24" i="73" s="1"/>
  <c r="Q24" i="73"/>
  <c r="N24" i="73"/>
  <c r="O24" i="73" s="1"/>
  <c r="M24" i="73"/>
  <c r="F24" i="73"/>
  <c r="G24" i="73" s="1"/>
  <c r="E24" i="73"/>
  <c r="AD23" i="73"/>
  <c r="AE23" i="73" s="1"/>
  <c r="AC23" i="73"/>
  <c r="Z23" i="73"/>
  <c r="AA23" i="73" s="1"/>
  <c r="Y23" i="73"/>
  <c r="V23" i="73"/>
  <c r="W23" i="73" s="1"/>
  <c r="U23" i="73"/>
  <c r="R23" i="73"/>
  <c r="S23" i="73" s="1"/>
  <c r="Q23" i="73"/>
  <c r="N23" i="73"/>
  <c r="O23" i="73" s="1"/>
  <c r="M23" i="73"/>
  <c r="F23" i="73"/>
  <c r="G23" i="73" s="1"/>
  <c r="E23" i="73"/>
  <c r="AD22" i="73"/>
  <c r="AE22" i="73" s="1"/>
  <c r="AC22" i="73"/>
  <c r="Z22" i="73"/>
  <c r="AA22" i="73" s="1"/>
  <c r="Y22" i="73"/>
  <c r="V22" i="73"/>
  <c r="W22" i="73" s="1"/>
  <c r="U22" i="73"/>
  <c r="R22" i="73"/>
  <c r="S22" i="73" s="1"/>
  <c r="Q22" i="73"/>
  <c r="N22" i="73"/>
  <c r="O22" i="73" s="1"/>
  <c r="M22" i="73"/>
  <c r="F22" i="73"/>
  <c r="G22" i="73" s="1"/>
  <c r="E22" i="73"/>
  <c r="AD21" i="73"/>
  <c r="AE21" i="73" s="1"/>
  <c r="AC21" i="73"/>
  <c r="Z21" i="73"/>
  <c r="AA21" i="73" s="1"/>
  <c r="Y21" i="73"/>
  <c r="V21" i="73"/>
  <c r="W21" i="73" s="1"/>
  <c r="U21" i="73"/>
  <c r="R21" i="73"/>
  <c r="S21" i="73" s="1"/>
  <c r="Q21" i="73"/>
  <c r="N21" i="73"/>
  <c r="O21" i="73" s="1"/>
  <c r="M21" i="73"/>
  <c r="F21" i="73"/>
  <c r="G21" i="73" s="1"/>
  <c r="E21" i="73"/>
  <c r="AD13" i="73"/>
  <c r="AE13" i="73" s="1"/>
  <c r="AC13" i="73"/>
  <c r="Z13" i="73"/>
  <c r="AA13" i="73" s="1"/>
  <c r="Y13" i="73"/>
  <c r="V13" i="73"/>
  <c r="W13" i="73" s="1"/>
  <c r="U13" i="73"/>
  <c r="R13" i="73"/>
  <c r="Q13" i="73"/>
  <c r="N13" i="73"/>
  <c r="O13" i="73" s="1"/>
  <c r="M13" i="73"/>
  <c r="F13" i="73"/>
  <c r="G13" i="73" s="1"/>
  <c r="E13" i="73"/>
  <c r="AD11" i="73"/>
  <c r="AE11" i="73" s="1"/>
  <c r="U11" i="76" s="1"/>
  <c r="AC11" i="73"/>
  <c r="Z11" i="73"/>
  <c r="AA11" i="73" s="1"/>
  <c r="Y11" i="73"/>
  <c r="V11" i="73"/>
  <c r="W11" i="73" s="1"/>
  <c r="U11" i="73"/>
  <c r="R11" i="73"/>
  <c r="S11" i="73" s="1"/>
  <c r="Q11" i="73"/>
  <c r="N11" i="73"/>
  <c r="M11" i="73"/>
  <c r="F11" i="73"/>
  <c r="G11" i="73" s="1"/>
  <c r="E11" i="73"/>
  <c r="AD8" i="73"/>
  <c r="AE8" i="73" s="1"/>
  <c r="AC8" i="73"/>
  <c r="Z8" i="73"/>
  <c r="AA8" i="73" s="1"/>
  <c r="Y8" i="73"/>
  <c r="V8" i="73"/>
  <c r="W8" i="73" s="1"/>
  <c r="U8" i="73"/>
  <c r="R8" i="73"/>
  <c r="Q8" i="73"/>
  <c r="N8" i="73"/>
  <c r="M8" i="73"/>
  <c r="F8" i="73"/>
  <c r="G8" i="73" s="1"/>
  <c r="E8" i="73"/>
  <c r="AD12" i="73"/>
  <c r="AE12" i="73" s="1"/>
  <c r="AC12" i="73"/>
  <c r="Z12" i="73"/>
  <c r="AA12" i="73" s="1"/>
  <c r="Y12" i="73"/>
  <c r="V12" i="73"/>
  <c r="W12" i="73" s="1"/>
  <c r="U12" i="73"/>
  <c r="R12" i="73"/>
  <c r="Q12" i="73"/>
  <c r="N12" i="73"/>
  <c r="M12" i="73"/>
  <c r="F12" i="73"/>
  <c r="G12" i="73" s="1"/>
  <c r="E12" i="73"/>
  <c r="AD18" i="73"/>
  <c r="AE18" i="73" s="1"/>
  <c r="AC18" i="73"/>
  <c r="Z18" i="73"/>
  <c r="Y18" i="73"/>
  <c r="V18" i="73"/>
  <c r="W18" i="73" s="1"/>
  <c r="U18" i="73"/>
  <c r="R18" i="73"/>
  <c r="S18" i="73" s="1"/>
  <c r="Q18" i="73"/>
  <c r="N18" i="73"/>
  <c r="M18" i="73"/>
  <c r="F18" i="73"/>
  <c r="G18" i="73" s="1"/>
  <c r="E18" i="73"/>
  <c r="AD15" i="73"/>
  <c r="AE15" i="73" s="1"/>
  <c r="AC15" i="73"/>
  <c r="Z15" i="73"/>
  <c r="AA15" i="73" s="1"/>
  <c r="Y15" i="73"/>
  <c r="V15" i="73"/>
  <c r="W15" i="73" s="1"/>
  <c r="U15" i="73"/>
  <c r="R15" i="73"/>
  <c r="S15" i="73" s="1"/>
  <c r="Q15" i="73"/>
  <c r="N15" i="73"/>
  <c r="M15" i="73"/>
  <c r="F15" i="73"/>
  <c r="G15" i="73" s="1"/>
  <c r="E15" i="73"/>
  <c r="AD10" i="73"/>
  <c r="AE10" i="73" s="1"/>
  <c r="AC10" i="73"/>
  <c r="Z10" i="73"/>
  <c r="Y10" i="73"/>
  <c r="V10" i="73"/>
  <c r="U10" i="73"/>
  <c r="R10" i="73"/>
  <c r="S10" i="73" s="1"/>
  <c r="Q10" i="73"/>
  <c r="N10" i="73"/>
  <c r="M10" i="73"/>
  <c r="F10" i="73"/>
  <c r="E10" i="73"/>
  <c r="AD14" i="73"/>
  <c r="AC14" i="73"/>
  <c r="Z14" i="73"/>
  <c r="Y14" i="73"/>
  <c r="V14" i="73"/>
  <c r="U14" i="73"/>
  <c r="R14" i="73"/>
  <c r="Q14" i="73"/>
  <c r="N14" i="73"/>
  <c r="M14" i="73"/>
  <c r="F14" i="73"/>
  <c r="G14" i="73" s="1"/>
  <c r="E14" i="73"/>
  <c r="AD7" i="73"/>
  <c r="AC7" i="73"/>
  <c r="Z7" i="73"/>
  <c r="AA7" i="73" s="1"/>
  <c r="Y7" i="73"/>
  <c r="V7" i="73"/>
  <c r="U7" i="73"/>
  <c r="R7" i="73"/>
  <c r="Q7" i="73"/>
  <c r="N7" i="73"/>
  <c r="M7" i="73"/>
  <c r="F7" i="73"/>
  <c r="E7" i="73"/>
  <c r="AD16" i="73"/>
  <c r="AC16" i="73"/>
  <c r="Z16" i="73"/>
  <c r="AA16" i="73" s="1"/>
  <c r="Y16" i="73"/>
  <c r="V16" i="73"/>
  <c r="U16" i="73"/>
  <c r="R16" i="73"/>
  <c r="Q16" i="73"/>
  <c r="N16" i="73"/>
  <c r="M16" i="73"/>
  <c r="F16" i="73"/>
  <c r="G16" i="73" s="1"/>
  <c r="E16" i="73"/>
  <c r="AD6" i="73"/>
  <c r="AC6" i="73"/>
  <c r="Z6" i="73"/>
  <c r="AA6" i="73" s="1"/>
  <c r="Y6" i="73"/>
  <c r="V6" i="73"/>
  <c r="W6" i="73" s="1"/>
  <c r="U6" i="73"/>
  <c r="R6" i="73"/>
  <c r="Q6" i="73"/>
  <c r="N6" i="73"/>
  <c r="O6" i="73" s="1"/>
  <c r="M6" i="73"/>
  <c r="F6" i="73"/>
  <c r="E6" i="73"/>
  <c r="AD20" i="73"/>
  <c r="AE20" i="73" s="1"/>
  <c r="AC20" i="73"/>
  <c r="Z20" i="73"/>
  <c r="AA20" i="73" s="1"/>
  <c r="Y20" i="73"/>
  <c r="V20" i="73"/>
  <c r="W20" i="73" s="1"/>
  <c r="U20" i="73"/>
  <c r="R20" i="73"/>
  <c r="S20" i="73" s="1"/>
  <c r="Q20" i="73"/>
  <c r="N20" i="73"/>
  <c r="M20" i="73"/>
  <c r="F20" i="73"/>
  <c r="E20" i="73"/>
  <c r="AD17" i="73"/>
  <c r="AC17" i="73"/>
  <c r="Z17" i="73"/>
  <c r="Y17" i="73"/>
  <c r="V17" i="73"/>
  <c r="U17" i="73"/>
  <c r="R17" i="73"/>
  <c r="Q17" i="73"/>
  <c r="N17" i="73"/>
  <c r="M17" i="73"/>
  <c r="F17" i="73"/>
  <c r="E17" i="73"/>
  <c r="AD5" i="73"/>
  <c r="AC5" i="73"/>
  <c r="Z5" i="73"/>
  <c r="Y5" i="73"/>
  <c r="V5" i="73"/>
  <c r="U5" i="73"/>
  <c r="R5" i="73"/>
  <c r="Q5" i="73"/>
  <c r="N5" i="73"/>
  <c r="M5" i="73"/>
  <c r="F5" i="73"/>
  <c r="E5" i="73"/>
  <c r="AD9" i="73"/>
  <c r="AC9" i="73"/>
  <c r="Z9" i="73"/>
  <c r="Y9" i="73"/>
  <c r="V9" i="73"/>
  <c r="U9" i="73"/>
  <c r="R9" i="73"/>
  <c r="Q9" i="73"/>
  <c r="N9" i="73"/>
  <c r="M9" i="73"/>
  <c r="F9" i="73"/>
  <c r="E9" i="73"/>
  <c r="AD19" i="73"/>
  <c r="AC19" i="73"/>
  <c r="Z19" i="73"/>
  <c r="Y19" i="73"/>
  <c r="V19" i="73"/>
  <c r="U19" i="73"/>
  <c r="R19" i="73"/>
  <c r="Q19" i="73"/>
  <c r="N19" i="73"/>
  <c r="O19" i="73" s="1"/>
  <c r="M19" i="73"/>
  <c r="J19" i="73"/>
  <c r="I19" i="73"/>
  <c r="F19" i="73"/>
  <c r="E19" i="73"/>
  <c r="AD16" i="72"/>
  <c r="AE16" i="72" s="1"/>
  <c r="AC16" i="72"/>
  <c r="Z16" i="72"/>
  <c r="AA16" i="72" s="1"/>
  <c r="R16" i="76" s="1"/>
  <c r="S16" i="76" s="1"/>
  <c r="Y16" i="72"/>
  <c r="V16" i="72"/>
  <c r="W16" i="72" s="1"/>
  <c r="U16" i="72"/>
  <c r="R16" i="72"/>
  <c r="S16" i="72" s="1"/>
  <c r="Q16" i="72"/>
  <c r="N16" i="72"/>
  <c r="O16" i="72" s="1"/>
  <c r="M16" i="72"/>
  <c r="F16" i="72"/>
  <c r="G16" i="72" s="1"/>
  <c r="C16" i="76" s="1"/>
  <c r="E16" i="72"/>
  <c r="AD17" i="72"/>
  <c r="AE17" i="72" s="1"/>
  <c r="AC17" i="72"/>
  <c r="Z17" i="72"/>
  <c r="AA17" i="72" s="1"/>
  <c r="Y17" i="72"/>
  <c r="V17" i="72"/>
  <c r="W17" i="72" s="1"/>
  <c r="U17" i="72"/>
  <c r="R17" i="72"/>
  <c r="S17" i="72" s="1"/>
  <c r="Q17" i="72"/>
  <c r="N17" i="72"/>
  <c r="M17" i="72"/>
  <c r="F17" i="72"/>
  <c r="G17" i="72" s="1"/>
  <c r="E17" i="72"/>
  <c r="AD9" i="72"/>
  <c r="AE9" i="72" s="1"/>
  <c r="AC9" i="72"/>
  <c r="Z9" i="72"/>
  <c r="AA9" i="72" s="1"/>
  <c r="Y9" i="72"/>
  <c r="V9" i="72"/>
  <c r="W9" i="72" s="1"/>
  <c r="U9" i="72"/>
  <c r="R9" i="72"/>
  <c r="Q9" i="72"/>
  <c r="N9" i="72"/>
  <c r="M9" i="72"/>
  <c r="F9" i="72"/>
  <c r="G9" i="72" s="1"/>
  <c r="E9" i="72"/>
  <c r="AD7" i="72"/>
  <c r="AE7" i="72" s="1"/>
  <c r="AC7" i="72"/>
  <c r="Z7" i="72"/>
  <c r="AA7" i="72" s="1"/>
  <c r="Y7" i="72"/>
  <c r="V7" i="72"/>
  <c r="W7" i="72" s="1"/>
  <c r="U7" i="72"/>
  <c r="R7" i="72"/>
  <c r="Q7" i="72"/>
  <c r="N7" i="72"/>
  <c r="O7" i="72" s="1"/>
  <c r="M7" i="72"/>
  <c r="F7" i="72"/>
  <c r="G7" i="72" s="1"/>
  <c r="E7" i="72"/>
  <c r="AD18" i="72"/>
  <c r="AE18" i="72" s="1"/>
  <c r="AC18" i="72"/>
  <c r="Z18" i="72"/>
  <c r="AA18" i="72" s="1"/>
  <c r="Y18" i="72"/>
  <c r="V18" i="72"/>
  <c r="W18" i="72" s="1"/>
  <c r="U18" i="72"/>
  <c r="R18" i="72"/>
  <c r="S18" i="72" s="1"/>
  <c r="Q18" i="72"/>
  <c r="N18" i="72"/>
  <c r="O18" i="72" s="1"/>
  <c r="M18" i="72"/>
  <c r="F18" i="72"/>
  <c r="G18" i="72" s="1"/>
  <c r="E18" i="72"/>
  <c r="AD10" i="72"/>
  <c r="AE10" i="72" s="1"/>
  <c r="AC10" i="72"/>
  <c r="Z10" i="72"/>
  <c r="AA10" i="72" s="1"/>
  <c r="Y10" i="72"/>
  <c r="V10" i="72"/>
  <c r="W10" i="72" s="1"/>
  <c r="U10" i="72"/>
  <c r="R10" i="72"/>
  <c r="Q10" i="72"/>
  <c r="N10" i="72"/>
  <c r="M10" i="72"/>
  <c r="F10" i="72"/>
  <c r="G10" i="72" s="1"/>
  <c r="E10" i="72"/>
  <c r="AD6" i="72"/>
  <c r="AE6" i="72" s="1"/>
  <c r="AC6" i="72"/>
  <c r="Z6" i="72"/>
  <c r="AA6" i="72" s="1"/>
  <c r="Y6" i="72"/>
  <c r="V6" i="72"/>
  <c r="W6" i="72" s="1"/>
  <c r="U6" i="72"/>
  <c r="R6" i="72"/>
  <c r="Q6" i="72"/>
  <c r="N6" i="72"/>
  <c r="M6" i="72"/>
  <c r="F6" i="72"/>
  <c r="G6" i="72" s="1"/>
  <c r="E6" i="72"/>
  <c r="AD8" i="72"/>
  <c r="AE8" i="72" s="1"/>
  <c r="AC8" i="72"/>
  <c r="Z8" i="72"/>
  <c r="AA8" i="72" s="1"/>
  <c r="Y8" i="72"/>
  <c r="V8" i="72"/>
  <c r="W8" i="72" s="1"/>
  <c r="U8" i="72"/>
  <c r="R8" i="72"/>
  <c r="Q8" i="72"/>
  <c r="N8" i="72"/>
  <c r="M8" i="72"/>
  <c r="F8" i="72"/>
  <c r="G8" i="72" s="1"/>
  <c r="E8" i="72"/>
  <c r="AD24" i="72"/>
  <c r="AE24" i="72" s="1"/>
  <c r="AC24" i="72"/>
  <c r="Z24" i="72"/>
  <c r="AA24" i="72" s="1"/>
  <c r="Y24" i="72"/>
  <c r="V24" i="72"/>
  <c r="W24" i="72" s="1"/>
  <c r="U24" i="72"/>
  <c r="R24" i="72"/>
  <c r="S24" i="72" s="1"/>
  <c r="Q24" i="72"/>
  <c r="N24" i="72"/>
  <c r="O24" i="72" s="1"/>
  <c r="M24" i="72"/>
  <c r="F24" i="72"/>
  <c r="G24" i="72" s="1"/>
  <c r="E24" i="72"/>
  <c r="AD26" i="72"/>
  <c r="AC26" i="72"/>
  <c r="Z26" i="72"/>
  <c r="AA26" i="72" s="1"/>
  <c r="Y26" i="72"/>
  <c r="V26" i="72"/>
  <c r="U26" i="72"/>
  <c r="R26" i="72"/>
  <c r="Q26" i="72"/>
  <c r="N26" i="72"/>
  <c r="M26" i="72"/>
  <c r="F26" i="72"/>
  <c r="E26" i="72"/>
  <c r="AD20" i="72"/>
  <c r="AC20" i="72"/>
  <c r="Z20" i="72"/>
  <c r="Y20" i="72"/>
  <c r="V20" i="72"/>
  <c r="U20" i="72"/>
  <c r="R20" i="72"/>
  <c r="Q20" i="72"/>
  <c r="N20" i="72"/>
  <c r="M20" i="72"/>
  <c r="F20" i="72"/>
  <c r="E20" i="72"/>
  <c r="AD14" i="72"/>
  <c r="AC14" i="72"/>
  <c r="Z14" i="72"/>
  <c r="Y14" i="72"/>
  <c r="V14" i="72"/>
  <c r="W14" i="72" s="1"/>
  <c r="U14" i="72"/>
  <c r="R14" i="72"/>
  <c r="Q14" i="72"/>
  <c r="N14" i="72"/>
  <c r="M14" i="72"/>
  <c r="F14" i="72"/>
  <c r="E14" i="72"/>
  <c r="AD12" i="72"/>
  <c r="AC12" i="72"/>
  <c r="Z12" i="72"/>
  <c r="Y12" i="72"/>
  <c r="V12" i="72"/>
  <c r="W12" i="72" s="1"/>
  <c r="U12" i="72"/>
  <c r="R12" i="72"/>
  <c r="Q12" i="72"/>
  <c r="N12" i="72"/>
  <c r="M12" i="72"/>
  <c r="F12" i="72"/>
  <c r="E12" i="72"/>
  <c r="AD11" i="72"/>
  <c r="AC11" i="72"/>
  <c r="Z11" i="72"/>
  <c r="Y11" i="72"/>
  <c r="V11" i="72"/>
  <c r="U11" i="72"/>
  <c r="R11" i="72"/>
  <c r="Q11" i="72"/>
  <c r="N11" i="72"/>
  <c r="M11" i="72"/>
  <c r="F11" i="72"/>
  <c r="E11" i="72"/>
  <c r="AD5" i="72"/>
  <c r="AC5" i="72"/>
  <c r="Z5" i="72"/>
  <c r="Y5" i="72"/>
  <c r="V5" i="72"/>
  <c r="U5" i="72"/>
  <c r="R5" i="72"/>
  <c r="Q5" i="72"/>
  <c r="N5" i="72"/>
  <c r="M5" i="72"/>
  <c r="F5" i="72"/>
  <c r="E5" i="72"/>
  <c r="AD22" i="72"/>
  <c r="AC22" i="72"/>
  <c r="Z22" i="72"/>
  <c r="AA22" i="72" s="1"/>
  <c r="Y22" i="72"/>
  <c r="V22" i="72"/>
  <c r="U22" i="72"/>
  <c r="R22" i="72"/>
  <c r="Q22" i="72"/>
  <c r="N22" i="72"/>
  <c r="O22" i="72" s="1"/>
  <c r="M22" i="72"/>
  <c r="F22" i="72"/>
  <c r="E22" i="72"/>
  <c r="AD25" i="72"/>
  <c r="AC25" i="72"/>
  <c r="Z25" i="72"/>
  <c r="Y25" i="72"/>
  <c r="V25" i="72"/>
  <c r="U25" i="72"/>
  <c r="R25" i="72"/>
  <c r="Q25" i="72"/>
  <c r="N25" i="72"/>
  <c r="M25" i="72"/>
  <c r="F25" i="72"/>
  <c r="E25" i="72"/>
  <c r="AD21" i="72"/>
  <c r="AC21" i="72"/>
  <c r="Z21" i="72"/>
  <c r="Y21" i="72"/>
  <c r="V21" i="72"/>
  <c r="U21" i="72"/>
  <c r="R21" i="72"/>
  <c r="Q21" i="72"/>
  <c r="N21" i="72"/>
  <c r="M21" i="72"/>
  <c r="F21" i="72"/>
  <c r="E21" i="72"/>
  <c r="AD15" i="72"/>
  <c r="AC15" i="72"/>
  <c r="Z15" i="72"/>
  <c r="Y15" i="72"/>
  <c r="V15" i="72"/>
  <c r="W15" i="72" s="1"/>
  <c r="U15" i="72"/>
  <c r="R15" i="72"/>
  <c r="Q15" i="72"/>
  <c r="N15" i="72"/>
  <c r="M15" i="72"/>
  <c r="J15" i="72"/>
  <c r="I15" i="72"/>
  <c r="F15" i="72"/>
  <c r="E15" i="72"/>
  <c r="AD23" i="72"/>
  <c r="AC23" i="72"/>
  <c r="Z23" i="72"/>
  <c r="Y23" i="72"/>
  <c r="V23" i="72"/>
  <c r="U23" i="72"/>
  <c r="R23" i="72"/>
  <c r="S23" i="72" s="1"/>
  <c r="Q23" i="72"/>
  <c r="N23" i="72"/>
  <c r="M23" i="72"/>
  <c r="F23" i="72"/>
  <c r="E23" i="72"/>
  <c r="AI24" i="71"/>
  <c r="AD24" i="71"/>
  <c r="AE24" i="71" s="1"/>
  <c r="AC24" i="71"/>
  <c r="Z24" i="71"/>
  <c r="AA24" i="71" s="1"/>
  <c r="Y24" i="71"/>
  <c r="V24" i="71"/>
  <c r="W24" i="71" s="1"/>
  <c r="U24" i="71"/>
  <c r="R24" i="71"/>
  <c r="S24" i="71" s="1"/>
  <c r="Q24" i="71"/>
  <c r="N24" i="71"/>
  <c r="O24" i="71" s="1"/>
  <c r="M24" i="71"/>
  <c r="F24" i="71"/>
  <c r="G24" i="71" s="1"/>
  <c r="E24" i="71"/>
  <c r="AI23" i="71"/>
  <c r="AD23" i="71"/>
  <c r="AE23" i="71" s="1"/>
  <c r="AC23" i="71"/>
  <c r="Z23" i="71"/>
  <c r="AA23" i="71" s="1"/>
  <c r="Y23" i="71"/>
  <c r="V23" i="71"/>
  <c r="W23" i="71" s="1"/>
  <c r="U23" i="71"/>
  <c r="R23" i="71"/>
  <c r="S23" i="71" s="1"/>
  <c r="Q23" i="71"/>
  <c r="N23" i="71"/>
  <c r="O23" i="71" s="1"/>
  <c r="M23" i="71"/>
  <c r="F23" i="71"/>
  <c r="G23" i="71" s="1"/>
  <c r="E23" i="71"/>
  <c r="AI22" i="71"/>
  <c r="AD22" i="71"/>
  <c r="AE22" i="71" s="1"/>
  <c r="AC22" i="71"/>
  <c r="Z22" i="71"/>
  <c r="AA22" i="71" s="1"/>
  <c r="Y22" i="71"/>
  <c r="V22" i="71"/>
  <c r="W22" i="71" s="1"/>
  <c r="U22" i="71"/>
  <c r="R22" i="71"/>
  <c r="S22" i="71" s="1"/>
  <c r="Q22" i="71"/>
  <c r="N22" i="71"/>
  <c r="O22" i="71" s="1"/>
  <c r="M22" i="71"/>
  <c r="F22" i="71"/>
  <c r="G22" i="71" s="1"/>
  <c r="E22" i="71"/>
  <c r="AI21" i="71"/>
  <c r="AD21" i="71"/>
  <c r="AE21" i="71" s="1"/>
  <c r="AC21" i="71"/>
  <c r="Z21" i="71"/>
  <c r="AA21" i="71" s="1"/>
  <c r="Y21" i="71"/>
  <c r="V21" i="71"/>
  <c r="W21" i="71" s="1"/>
  <c r="U21" i="71"/>
  <c r="R21" i="71"/>
  <c r="S21" i="71" s="1"/>
  <c r="Q21" i="71"/>
  <c r="N21" i="71"/>
  <c r="O21" i="71" s="1"/>
  <c r="M21" i="71"/>
  <c r="F21" i="71"/>
  <c r="G21" i="71" s="1"/>
  <c r="E21" i="71"/>
  <c r="AI9" i="71"/>
  <c r="X22" i="76" s="1"/>
  <c r="Z22" i="76" s="1"/>
  <c r="AD9" i="71"/>
  <c r="AE9" i="71" s="1"/>
  <c r="AC9" i="71"/>
  <c r="Z9" i="71"/>
  <c r="AA9" i="71" s="1"/>
  <c r="R22" i="76" s="1"/>
  <c r="S22" i="76" s="1"/>
  <c r="Y9" i="71"/>
  <c r="V9" i="71"/>
  <c r="W9" i="71" s="1"/>
  <c r="U9" i="71"/>
  <c r="R9" i="71"/>
  <c r="S9" i="71" s="1"/>
  <c r="Q9" i="71"/>
  <c r="N9" i="71"/>
  <c r="O9" i="71" s="1"/>
  <c r="M9" i="71"/>
  <c r="F9" i="71"/>
  <c r="G9" i="71" s="1"/>
  <c r="C22" i="76" s="1"/>
  <c r="E9" i="71"/>
  <c r="AI18" i="71"/>
  <c r="AD18" i="71"/>
  <c r="AE18" i="71" s="1"/>
  <c r="AC18" i="71"/>
  <c r="Z18" i="71"/>
  <c r="AA18" i="71" s="1"/>
  <c r="Y18" i="71"/>
  <c r="V18" i="71"/>
  <c r="W18" i="71" s="1"/>
  <c r="U18" i="71"/>
  <c r="R18" i="71"/>
  <c r="S18" i="71" s="1"/>
  <c r="Q18" i="71"/>
  <c r="N18" i="71"/>
  <c r="M18" i="71"/>
  <c r="F18" i="71"/>
  <c r="E18" i="71"/>
  <c r="AI5" i="71"/>
  <c r="AD5" i="71"/>
  <c r="AE5" i="71" s="1"/>
  <c r="AC5" i="71"/>
  <c r="Z5" i="71"/>
  <c r="Y5" i="71"/>
  <c r="V5" i="71"/>
  <c r="W5" i="71" s="1"/>
  <c r="U5" i="71"/>
  <c r="R5" i="71"/>
  <c r="Q5" i="71"/>
  <c r="N5" i="71"/>
  <c r="M5" i="71"/>
  <c r="F5" i="71"/>
  <c r="E5" i="71"/>
  <c r="AI12" i="71"/>
  <c r="X17" i="76" s="1"/>
  <c r="AD12" i="71"/>
  <c r="AE12" i="71" s="1"/>
  <c r="AC12" i="71"/>
  <c r="Z12" i="71"/>
  <c r="AA12" i="71" s="1"/>
  <c r="Y12" i="71"/>
  <c r="V12" i="71"/>
  <c r="W12" i="71" s="1"/>
  <c r="U12" i="71"/>
  <c r="R12" i="71"/>
  <c r="S12" i="71" s="1"/>
  <c r="Q12" i="71"/>
  <c r="N12" i="71"/>
  <c r="O12" i="71" s="1"/>
  <c r="M12" i="71"/>
  <c r="F12" i="71"/>
  <c r="E12" i="71"/>
  <c r="AI19" i="71"/>
  <c r="X18" i="76" s="1"/>
  <c r="Y18" i="76" s="1"/>
  <c r="AD19" i="71"/>
  <c r="AE19" i="71" s="1"/>
  <c r="AC19" i="71"/>
  <c r="Z19" i="71"/>
  <c r="AA19" i="71" s="1"/>
  <c r="Y19" i="71"/>
  <c r="V19" i="71"/>
  <c r="W19" i="71" s="1"/>
  <c r="U19" i="71"/>
  <c r="R19" i="71"/>
  <c r="S19" i="71" s="1"/>
  <c r="Q19" i="71"/>
  <c r="N19" i="71"/>
  <c r="O19" i="71" s="1"/>
  <c r="M19" i="71"/>
  <c r="F19" i="71"/>
  <c r="G19" i="71" s="1"/>
  <c r="E19" i="71"/>
  <c r="AI16" i="71"/>
  <c r="AD16" i="71"/>
  <c r="AC16" i="71"/>
  <c r="Z16" i="71"/>
  <c r="Y16" i="71"/>
  <c r="V16" i="71"/>
  <c r="U16" i="71"/>
  <c r="R16" i="71"/>
  <c r="Q16" i="71"/>
  <c r="N16" i="71"/>
  <c r="M16" i="71"/>
  <c r="J16" i="71"/>
  <c r="I16" i="71"/>
  <c r="F16" i="71"/>
  <c r="E16" i="71"/>
  <c r="AI20" i="71"/>
  <c r="AD20" i="71"/>
  <c r="AE20" i="71" s="1"/>
  <c r="AC20" i="71"/>
  <c r="Z20" i="71"/>
  <c r="AA20" i="71" s="1"/>
  <c r="Y20" i="71"/>
  <c r="V20" i="71"/>
  <c r="W20" i="71" s="1"/>
  <c r="U20" i="71"/>
  <c r="R20" i="71"/>
  <c r="S20" i="71" s="1"/>
  <c r="Q20" i="71"/>
  <c r="N20" i="71"/>
  <c r="O20" i="71" s="1"/>
  <c r="M20" i="71"/>
  <c r="F20" i="71"/>
  <c r="G20" i="71" s="1"/>
  <c r="E20" i="71"/>
  <c r="AI11" i="71"/>
  <c r="X20" i="76" s="1"/>
  <c r="Y20" i="76" s="1"/>
  <c r="AD11" i="71"/>
  <c r="AE11" i="71" s="1"/>
  <c r="U20" i="76" s="1"/>
  <c r="AC11" i="71"/>
  <c r="Z11" i="71"/>
  <c r="AA11" i="71" s="1"/>
  <c r="R20" i="76" s="1"/>
  <c r="T20" i="76" s="1"/>
  <c r="Y11" i="71"/>
  <c r="V11" i="71"/>
  <c r="W11" i="71" s="1"/>
  <c r="O20" i="76" s="1"/>
  <c r="Q20" i="76" s="1"/>
  <c r="U11" i="71"/>
  <c r="R11" i="71"/>
  <c r="S11" i="71" s="1"/>
  <c r="L20" i="76" s="1"/>
  <c r="N20" i="76" s="1"/>
  <c r="Q11" i="71"/>
  <c r="N11" i="71"/>
  <c r="O11" i="71" s="1"/>
  <c r="I20" i="76" s="1"/>
  <c r="M11" i="71"/>
  <c r="F11" i="71"/>
  <c r="E11" i="71"/>
  <c r="AI14" i="71"/>
  <c r="AD14" i="71"/>
  <c r="AC14" i="71"/>
  <c r="Z14" i="71"/>
  <c r="Y14" i="71"/>
  <c r="V14" i="71"/>
  <c r="U14" i="71"/>
  <c r="R14" i="71"/>
  <c r="Q14" i="71"/>
  <c r="N14" i="71"/>
  <c r="M14" i="71"/>
  <c r="F14" i="71"/>
  <c r="E14" i="71"/>
  <c r="AI13" i="71"/>
  <c r="AD13" i="71"/>
  <c r="AE13" i="71" s="1"/>
  <c r="AC13" i="71"/>
  <c r="Z13" i="71"/>
  <c r="AA13" i="71" s="1"/>
  <c r="Y13" i="71"/>
  <c r="V13" i="71"/>
  <c r="W13" i="71" s="1"/>
  <c r="U13" i="71"/>
  <c r="R13" i="71"/>
  <c r="S13" i="71" s="1"/>
  <c r="Q13" i="71"/>
  <c r="N13" i="71"/>
  <c r="M13" i="71"/>
  <c r="F13" i="71"/>
  <c r="G13" i="71" s="1"/>
  <c r="E13" i="71"/>
  <c r="AI10" i="71"/>
  <c r="AD10" i="71"/>
  <c r="AC10" i="71"/>
  <c r="Z10" i="71"/>
  <c r="Y10" i="71"/>
  <c r="V10" i="71"/>
  <c r="W10" i="71" s="1"/>
  <c r="U10" i="71"/>
  <c r="R10" i="71"/>
  <c r="Q10" i="71"/>
  <c r="N10" i="71"/>
  <c r="M10" i="71"/>
  <c r="F10" i="71"/>
  <c r="G10" i="71" s="1"/>
  <c r="E10" i="71"/>
  <c r="AI17" i="71"/>
  <c r="AD17" i="71"/>
  <c r="AE17" i="71" s="1"/>
  <c r="AC17" i="71"/>
  <c r="Z17" i="71"/>
  <c r="AA17" i="71" s="1"/>
  <c r="Y17" i="71"/>
  <c r="V17" i="71"/>
  <c r="U17" i="71"/>
  <c r="R17" i="71"/>
  <c r="S17" i="71" s="1"/>
  <c r="Q17" i="71"/>
  <c r="N17" i="71"/>
  <c r="M17" i="71"/>
  <c r="F17" i="71"/>
  <c r="E17" i="71"/>
  <c r="AI8" i="71"/>
  <c r="AD8" i="71"/>
  <c r="AE8" i="71" s="1"/>
  <c r="AC8" i="71"/>
  <c r="Z8" i="71"/>
  <c r="Y8" i="71"/>
  <c r="V8" i="71"/>
  <c r="U8" i="71"/>
  <c r="R8" i="71"/>
  <c r="Q8" i="71"/>
  <c r="N8" i="71"/>
  <c r="M8" i="71"/>
  <c r="F8" i="71"/>
  <c r="G8" i="71" s="1"/>
  <c r="E8" i="71"/>
  <c r="AI15" i="71"/>
  <c r="AD15" i="71"/>
  <c r="AE15" i="71" s="1"/>
  <c r="AC15" i="71"/>
  <c r="Z15" i="71"/>
  <c r="Y15" i="71"/>
  <c r="V15" i="71"/>
  <c r="U15" i="71"/>
  <c r="R15" i="71"/>
  <c r="Q15" i="71"/>
  <c r="N15" i="71"/>
  <c r="M15" i="71"/>
  <c r="F15" i="71"/>
  <c r="G15" i="71" s="1"/>
  <c r="E15" i="71"/>
  <c r="AI7" i="71"/>
  <c r="AD7" i="71"/>
  <c r="AC7" i="71"/>
  <c r="Z7" i="71"/>
  <c r="AA7" i="71" s="1"/>
  <c r="Y7" i="71"/>
  <c r="V7" i="71"/>
  <c r="W7" i="71" s="1"/>
  <c r="U7" i="71"/>
  <c r="R7" i="71"/>
  <c r="Q7" i="71"/>
  <c r="N7" i="71"/>
  <c r="M7" i="71"/>
  <c r="F7" i="71"/>
  <c r="G7" i="71" s="1"/>
  <c r="E7" i="71"/>
  <c r="AI6" i="71"/>
  <c r="AD6" i="71"/>
  <c r="AE6" i="71" s="1"/>
  <c r="AC6" i="71"/>
  <c r="Z6" i="71"/>
  <c r="AA6" i="71" s="1"/>
  <c r="Y6" i="71"/>
  <c r="V6" i="71"/>
  <c r="U6" i="71"/>
  <c r="R6" i="71"/>
  <c r="S6" i="71" s="1"/>
  <c r="Q6" i="71"/>
  <c r="N6" i="71"/>
  <c r="O6" i="71" s="1"/>
  <c r="M6" i="71"/>
  <c r="F6" i="71"/>
  <c r="E6" i="71"/>
  <c r="F7" i="70"/>
  <c r="G7" i="70" s="1"/>
  <c r="F15" i="70"/>
  <c r="F20" i="70"/>
  <c r="G20" i="70" s="1"/>
  <c r="F21" i="70"/>
  <c r="G21" i="70" s="1"/>
  <c r="F24" i="70"/>
  <c r="F22" i="70"/>
  <c r="H22" i="70" s="1"/>
  <c r="F18" i="70"/>
  <c r="G18" i="70" s="1"/>
  <c r="F12" i="70"/>
  <c r="H12" i="70" s="1"/>
  <c r="F23" i="70"/>
  <c r="F6" i="70" l="1"/>
  <c r="G6" i="70" s="1"/>
  <c r="G24" i="57"/>
  <c r="R11" i="76"/>
  <c r="S11" i="76" s="1"/>
  <c r="O16" i="76"/>
  <c r="Q16" i="76" s="1"/>
  <c r="S7" i="75"/>
  <c r="S5" i="75"/>
  <c r="S13" i="75"/>
  <c r="S14" i="75"/>
  <c r="S11" i="75"/>
  <c r="AJ11" i="75" s="1"/>
  <c r="AK11" i="75" s="1"/>
  <c r="O5" i="75"/>
  <c r="O14" i="75"/>
  <c r="O7" i="75"/>
  <c r="O19" i="75"/>
  <c r="O10" i="75"/>
  <c r="O17" i="75"/>
  <c r="AJ17" i="75" s="1"/>
  <c r="AK17" i="75" s="1"/>
  <c r="O11" i="76"/>
  <c r="P11" i="76" s="1"/>
  <c r="C11" i="76"/>
  <c r="D11" i="76" s="1"/>
  <c r="O22" i="76"/>
  <c r="Q22" i="76" s="1"/>
  <c r="S15" i="74"/>
  <c r="S10" i="74"/>
  <c r="L11" i="76" s="1"/>
  <c r="S9" i="74"/>
  <c r="S6" i="74"/>
  <c r="AJ6" i="74" s="1"/>
  <c r="AK6" i="74" s="1"/>
  <c r="L22" i="76"/>
  <c r="M22" i="76" s="1"/>
  <c r="O7" i="74"/>
  <c r="O9" i="74"/>
  <c r="O6" i="74"/>
  <c r="O8" i="74"/>
  <c r="I22" i="76"/>
  <c r="J22" i="76" s="1"/>
  <c r="O14" i="74"/>
  <c r="I16" i="76" s="1"/>
  <c r="U16" i="76"/>
  <c r="W16" i="76" s="1"/>
  <c r="S13" i="73"/>
  <c r="S8" i="73"/>
  <c r="S12" i="73"/>
  <c r="S6" i="73"/>
  <c r="L16" i="76"/>
  <c r="M16" i="76" s="1"/>
  <c r="O10" i="73"/>
  <c r="O15" i="73"/>
  <c r="AJ15" i="73" s="1"/>
  <c r="AK15" i="73" s="1"/>
  <c r="O12" i="73"/>
  <c r="O18" i="73"/>
  <c r="O8" i="73"/>
  <c r="O11" i="73"/>
  <c r="I11" i="76" s="1"/>
  <c r="O16" i="73"/>
  <c r="O9" i="73"/>
  <c r="O20" i="73"/>
  <c r="S9" i="72"/>
  <c r="S10" i="72"/>
  <c r="S7" i="72"/>
  <c r="S6" i="72"/>
  <c r="S8" i="72"/>
  <c r="AJ8" i="72" s="1"/>
  <c r="AK8" i="72" s="1"/>
  <c r="O6" i="72"/>
  <c r="O26" i="72"/>
  <c r="O14" i="72"/>
  <c r="O8" i="72"/>
  <c r="O15" i="72"/>
  <c r="O17" i="72"/>
  <c r="O9" i="72"/>
  <c r="AJ9" i="72" s="1"/>
  <c r="AK9" i="72" s="1"/>
  <c r="O10" i="72"/>
  <c r="X23" i="76"/>
  <c r="Y23" i="76" s="1"/>
  <c r="O5" i="71"/>
  <c r="S7" i="80"/>
  <c r="S6" i="80"/>
  <c r="S10" i="80"/>
  <c r="S5" i="80"/>
  <c r="AJ5" i="80" s="1"/>
  <c r="AK5" i="80" s="1"/>
  <c r="O8" i="80"/>
  <c r="O12" i="80"/>
  <c r="AJ12" i="80" s="1"/>
  <c r="AK12" i="80" s="1"/>
  <c r="S12" i="79"/>
  <c r="S22" i="79"/>
  <c r="AJ22" i="79" s="1"/>
  <c r="AK22" i="79" s="1"/>
  <c r="S8" i="79"/>
  <c r="AJ8" i="79" s="1"/>
  <c r="AK8" i="79" s="1"/>
  <c r="S30" i="79"/>
  <c r="O7" i="79"/>
  <c r="O9" i="79"/>
  <c r="O12" i="79"/>
  <c r="O18" i="79"/>
  <c r="O8" i="79"/>
  <c r="O21" i="79"/>
  <c r="AJ21" i="79" s="1"/>
  <c r="AK21" i="79" s="1"/>
  <c r="S10" i="78"/>
  <c r="AJ10" i="78" s="1"/>
  <c r="AK10" i="78" s="1"/>
  <c r="S12" i="78"/>
  <c r="S22" i="78"/>
  <c r="AJ22" i="78" s="1"/>
  <c r="AK22" i="78" s="1"/>
  <c r="S11" i="78"/>
  <c r="X27" i="81"/>
  <c r="Z27" i="81" s="1"/>
  <c r="F17" i="81"/>
  <c r="G17" i="81" s="1"/>
  <c r="O7" i="78"/>
  <c r="S7" i="77"/>
  <c r="S8" i="77"/>
  <c r="S10" i="77"/>
  <c r="S9" i="77"/>
  <c r="O22" i="77"/>
  <c r="O10" i="77"/>
  <c r="S6" i="85"/>
  <c r="S14" i="85"/>
  <c r="S7" i="85"/>
  <c r="S9" i="85"/>
  <c r="O7" i="85"/>
  <c r="O8" i="85"/>
  <c r="F16" i="87"/>
  <c r="G16" i="87" s="1"/>
  <c r="S11" i="84"/>
  <c r="S8" i="84"/>
  <c r="S17" i="84"/>
  <c r="S10" i="84"/>
  <c r="O11" i="84"/>
  <c r="O5" i="84"/>
  <c r="O10" i="84"/>
  <c r="AJ10" i="84" s="1"/>
  <c r="O12" i="84"/>
  <c r="I16" i="87" s="1"/>
  <c r="O7" i="84"/>
  <c r="O14" i="84"/>
  <c r="AJ14" i="84" s="1"/>
  <c r="AK14" i="84" s="1"/>
  <c r="O8" i="84"/>
  <c r="S14" i="83"/>
  <c r="S5" i="83"/>
  <c r="O8" i="83"/>
  <c r="O7" i="83"/>
  <c r="O11" i="83"/>
  <c r="O10" i="83"/>
  <c r="O14" i="83"/>
  <c r="O9" i="83"/>
  <c r="O6" i="83"/>
  <c r="I10" i="87" s="1"/>
  <c r="J10" i="87" s="1"/>
  <c r="S7" i="91"/>
  <c r="S10" i="91"/>
  <c r="O8" i="91"/>
  <c r="O11" i="91"/>
  <c r="AJ11" i="91" s="1"/>
  <c r="AK11" i="91" s="1"/>
  <c r="S8" i="90"/>
  <c r="S9" i="90"/>
  <c r="O8" i="90"/>
  <c r="F22" i="92"/>
  <c r="G22" i="92" s="1"/>
  <c r="F11" i="92"/>
  <c r="G11" i="92" s="1"/>
  <c r="F18" i="92"/>
  <c r="G18" i="92" s="1"/>
  <c r="S5" i="89"/>
  <c r="S12" i="89"/>
  <c r="S9" i="89"/>
  <c r="AJ9" i="89" s="1"/>
  <c r="AK9" i="89" s="1"/>
  <c r="S19" i="89"/>
  <c r="S22" i="89"/>
  <c r="O12" i="89"/>
  <c r="O6" i="89"/>
  <c r="O10" i="89"/>
  <c r="I6" i="92" s="1"/>
  <c r="J6" i="92" s="1"/>
  <c r="S18" i="88"/>
  <c r="L21" i="92" s="1"/>
  <c r="S20" i="88"/>
  <c r="S6" i="88"/>
  <c r="S21" i="88"/>
  <c r="O7" i="88"/>
  <c r="O10" i="88"/>
  <c r="O6" i="88"/>
  <c r="O8" i="88"/>
  <c r="O20" i="88"/>
  <c r="O21" i="88"/>
  <c r="S13" i="100"/>
  <c r="S10" i="100"/>
  <c r="AJ10" i="100" s="1"/>
  <c r="AK10" i="100" s="1"/>
  <c r="S5" i="100"/>
  <c r="O15" i="100"/>
  <c r="I11" i="103" s="1"/>
  <c r="AA11" i="103" s="1"/>
  <c r="AB11" i="103" s="1"/>
  <c r="O11" i="100"/>
  <c r="I6" i="103" s="1"/>
  <c r="J6" i="103" s="1"/>
  <c r="O9" i="100"/>
  <c r="O8" i="100"/>
  <c r="AJ8" i="100" s="1"/>
  <c r="AK8" i="100" s="1"/>
  <c r="O14" i="100"/>
  <c r="I5" i="103" s="1"/>
  <c r="S5" i="97"/>
  <c r="O7" i="97"/>
  <c r="S7" i="96"/>
  <c r="S8" i="95"/>
  <c r="S5" i="95"/>
  <c r="O7" i="95"/>
  <c r="O14" i="95"/>
  <c r="O12" i="95"/>
  <c r="O8" i="95"/>
  <c r="R5" i="103"/>
  <c r="S5" i="103" s="1"/>
  <c r="Z21" i="81"/>
  <c r="Y21" i="81"/>
  <c r="AJ12" i="98"/>
  <c r="AK12" i="98" s="1"/>
  <c r="AL12" i="98" s="1"/>
  <c r="F5" i="92"/>
  <c r="F12" i="103"/>
  <c r="G12" i="103" s="1"/>
  <c r="F7" i="103"/>
  <c r="G7" i="103" s="1"/>
  <c r="R17" i="87"/>
  <c r="S17" i="87" s="1"/>
  <c r="X7" i="87"/>
  <c r="Y7" i="87" s="1"/>
  <c r="AJ17" i="86"/>
  <c r="AK17" i="86" s="1"/>
  <c r="AL17" i="86" s="1"/>
  <c r="F6" i="92"/>
  <c r="G6" i="92" s="1"/>
  <c r="Y9" i="81"/>
  <c r="Z9" i="81"/>
  <c r="AJ17" i="93"/>
  <c r="AK17" i="93" s="1"/>
  <c r="AL17" i="93" s="1"/>
  <c r="AJ21" i="93"/>
  <c r="AK21" i="93" s="1"/>
  <c r="AL21" i="93" s="1"/>
  <c r="F15" i="57"/>
  <c r="U17" i="87"/>
  <c r="V17" i="87" s="1"/>
  <c r="AJ21" i="86"/>
  <c r="AK21" i="86" s="1"/>
  <c r="AL21" i="86" s="1"/>
  <c r="X12" i="92"/>
  <c r="Y12" i="92" s="1"/>
  <c r="X17" i="87"/>
  <c r="Y17" i="87" s="1"/>
  <c r="K10" i="95"/>
  <c r="F16" i="102" s="1"/>
  <c r="G16" i="102" s="1"/>
  <c r="R9" i="81"/>
  <c r="U27" i="81"/>
  <c r="W27" i="81" s="1"/>
  <c r="L17" i="87"/>
  <c r="N17" i="87" s="1"/>
  <c r="F8" i="87"/>
  <c r="G8" i="87" s="1"/>
  <c r="F14" i="57"/>
  <c r="G9" i="81"/>
  <c r="X6" i="87"/>
  <c r="Y6" i="87" s="1"/>
  <c r="H18" i="103"/>
  <c r="H19" i="103"/>
  <c r="H6" i="103"/>
  <c r="F8" i="70"/>
  <c r="G8" i="70" s="1"/>
  <c r="F13" i="57"/>
  <c r="F7" i="57"/>
  <c r="G7" i="57" s="1"/>
  <c r="F5" i="76"/>
  <c r="G5" i="76" s="1"/>
  <c r="G12" i="79"/>
  <c r="F24" i="81"/>
  <c r="G24" i="81" s="1"/>
  <c r="F15" i="81"/>
  <c r="G15" i="81" s="1"/>
  <c r="X15" i="81"/>
  <c r="Y15" i="81" s="1"/>
  <c r="X8" i="81"/>
  <c r="Y8" i="81" s="1"/>
  <c r="C27" i="81"/>
  <c r="D27" i="81" s="1"/>
  <c r="F18" i="81"/>
  <c r="G18" i="81" s="1"/>
  <c r="F11" i="87"/>
  <c r="G11" i="87" s="1"/>
  <c r="F5" i="87"/>
  <c r="G5" i="87" s="1"/>
  <c r="F15" i="92"/>
  <c r="G15" i="92" s="1"/>
  <c r="G10" i="88"/>
  <c r="G21" i="88"/>
  <c r="G11" i="88"/>
  <c r="F12" i="102"/>
  <c r="G12" i="102" s="1"/>
  <c r="AE11" i="85"/>
  <c r="AJ11" i="85" s="1"/>
  <c r="AK11" i="85" s="1"/>
  <c r="AE19" i="85"/>
  <c r="AE9" i="85"/>
  <c r="G9" i="84"/>
  <c r="AA13" i="84"/>
  <c r="W19" i="84"/>
  <c r="AE19" i="84"/>
  <c r="AE9" i="84"/>
  <c r="AE5" i="84"/>
  <c r="AE13" i="84"/>
  <c r="AE14" i="83"/>
  <c r="AE5" i="82"/>
  <c r="U7" i="87" s="1"/>
  <c r="V7" i="87" s="1"/>
  <c r="AA9" i="91"/>
  <c r="AE7" i="90"/>
  <c r="AA12" i="90"/>
  <c r="AE16" i="90"/>
  <c r="AE5" i="90"/>
  <c r="AE21" i="90"/>
  <c r="AE12" i="90"/>
  <c r="AE18" i="90"/>
  <c r="AE13" i="90"/>
  <c r="S16" i="89"/>
  <c r="O19" i="89"/>
  <c r="W21" i="89"/>
  <c r="W8" i="89"/>
  <c r="W14" i="89"/>
  <c r="O5" i="89"/>
  <c r="AJ5" i="89" s="1"/>
  <c r="AK5" i="89" s="1"/>
  <c r="O18" i="89"/>
  <c r="AE20" i="89"/>
  <c r="AE21" i="89"/>
  <c r="AE5" i="89"/>
  <c r="AE10" i="89"/>
  <c r="AE16" i="88"/>
  <c r="AE17" i="88"/>
  <c r="AE11" i="88"/>
  <c r="AA19" i="100"/>
  <c r="S7" i="97"/>
  <c r="AE8" i="97"/>
  <c r="W11" i="97"/>
  <c r="AA9" i="95"/>
  <c r="AE15" i="95"/>
  <c r="AE10" i="95"/>
  <c r="AE16" i="95"/>
  <c r="AE9" i="95"/>
  <c r="U11" i="102" s="1"/>
  <c r="AE5" i="95"/>
  <c r="U19" i="102"/>
  <c r="V19" i="102" s="1"/>
  <c r="AE17" i="95"/>
  <c r="AE6" i="95"/>
  <c r="O5" i="74"/>
  <c r="AE17" i="74"/>
  <c r="AE19" i="74"/>
  <c r="AE5" i="73"/>
  <c r="AE6" i="73"/>
  <c r="AE12" i="72"/>
  <c r="AE14" i="72"/>
  <c r="AE5" i="72"/>
  <c r="AE21" i="72"/>
  <c r="AE10" i="71"/>
  <c r="AE18" i="79"/>
  <c r="AE30" i="79"/>
  <c r="AE24" i="79"/>
  <c r="AE5" i="78"/>
  <c r="AE26" i="78"/>
  <c r="AE7" i="78"/>
  <c r="AE28" i="78"/>
  <c r="AE24" i="77"/>
  <c r="AE20" i="77"/>
  <c r="AE30" i="77"/>
  <c r="AA8" i="75"/>
  <c r="AA6" i="75"/>
  <c r="AA10" i="75"/>
  <c r="AA20" i="75"/>
  <c r="AA25" i="72"/>
  <c r="R18" i="76" s="1"/>
  <c r="T18" i="76" s="1"/>
  <c r="AA21" i="72"/>
  <c r="AA23" i="72"/>
  <c r="AA10" i="71"/>
  <c r="AA8" i="71"/>
  <c r="AA15" i="71"/>
  <c r="AA19" i="80"/>
  <c r="AA31" i="78"/>
  <c r="AA14" i="77"/>
  <c r="R16" i="81" s="1"/>
  <c r="T16" i="81" s="1"/>
  <c r="AA5" i="77"/>
  <c r="AA15" i="77"/>
  <c r="AA17" i="77"/>
  <c r="AA11" i="77"/>
  <c r="AA11" i="85"/>
  <c r="AA10" i="85"/>
  <c r="AA15" i="84"/>
  <c r="AA16" i="84"/>
  <c r="AA19" i="84"/>
  <c r="O17" i="83"/>
  <c r="AA13" i="83"/>
  <c r="AA8" i="83"/>
  <c r="AA5" i="82"/>
  <c r="AA6" i="82"/>
  <c r="AA7" i="82"/>
  <c r="AA15" i="91"/>
  <c r="AA5" i="91"/>
  <c r="O12" i="90"/>
  <c r="AA10" i="90"/>
  <c r="AA17" i="90"/>
  <c r="AA18" i="90"/>
  <c r="F17" i="92"/>
  <c r="AA21" i="89"/>
  <c r="AA11" i="89"/>
  <c r="AA18" i="89"/>
  <c r="O12" i="88"/>
  <c r="W12" i="88"/>
  <c r="W22" i="88"/>
  <c r="AA11" i="88"/>
  <c r="AA14" i="88"/>
  <c r="G14" i="100"/>
  <c r="G12" i="100"/>
  <c r="C7" i="103" s="1"/>
  <c r="S12" i="100"/>
  <c r="L7" i="103" s="1"/>
  <c r="AA5" i="100"/>
  <c r="W10" i="96"/>
  <c r="S8" i="96"/>
  <c r="G11" i="96"/>
  <c r="S9" i="96"/>
  <c r="L8" i="102" s="1"/>
  <c r="M8" i="102" s="1"/>
  <c r="F11" i="102"/>
  <c r="G11" i="102" s="1"/>
  <c r="AA9" i="96"/>
  <c r="R8" i="102" s="1"/>
  <c r="S8" i="102" s="1"/>
  <c r="AA8" i="96"/>
  <c r="R11" i="102" s="1"/>
  <c r="S6" i="75"/>
  <c r="W10" i="75"/>
  <c r="W14" i="75"/>
  <c r="K5" i="74"/>
  <c r="W13" i="74"/>
  <c r="W19" i="74"/>
  <c r="W5" i="73"/>
  <c r="W14" i="73"/>
  <c r="O5" i="72"/>
  <c r="W20" i="72"/>
  <c r="W11" i="72"/>
  <c r="W26" i="72"/>
  <c r="W5" i="72"/>
  <c r="W25" i="72"/>
  <c r="O18" i="76" s="1"/>
  <c r="Q18" i="76" s="1"/>
  <c r="W21" i="72"/>
  <c r="W22" i="72"/>
  <c r="W15" i="71"/>
  <c r="W19" i="79"/>
  <c r="O20" i="81" s="1"/>
  <c r="P20" i="81" s="1"/>
  <c r="O28" i="78"/>
  <c r="W8" i="78"/>
  <c r="W5" i="78"/>
  <c r="W26" i="78"/>
  <c r="O26" i="81" s="1"/>
  <c r="P26" i="81" s="1"/>
  <c r="W28" i="78"/>
  <c r="W7" i="78"/>
  <c r="W14" i="77"/>
  <c r="W11" i="77"/>
  <c r="W24" i="77"/>
  <c r="S12" i="85"/>
  <c r="AJ12" i="85" s="1"/>
  <c r="AK12" i="85" s="1"/>
  <c r="S8" i="85"/>
  <c r="W14" i="85"/>
  <c r="W6" i="85"/>
  <c r="W8" i="85"/>
  <c r="F10" i="87"/>
  <c r="G10" i="87" s="1"/>
  <c r="W13" i="84"/>
  <c r="O11" i="87" s="1"/>
  <c r="W12" i="84"/>
  <c r="O13" i="87"/>
  <c r="P13" i="87" s="1"/>
  <c r="W9" i="84"/>
  <c r="W7" i="84"/>
  <c r="W5" i="84"/>
  <c r="W11" i="83"/>
  <c r="W10" i="83"/>
  <c r="W7" i="83"/>
  <c r="W8" i="83"/>
  <c r="O10" i="87" s="1"/>
  <c r="P10" i="87" s="1"/>
  <c r="W5" i="83"/>
  <c r="W14" i="83"/>
  <c r="O16" i="87" s="1"/>
  <c r="P16" i="87" s="1"/>
  <c r="W8" i="82"/>
  <c r="W6" i="82"/>
  <c r="W5" i="82"/>
  <c r="W12" i="82"/>
  <c r="S12" i="90"/>
  <c r="O7" i="90"/>
  <c r="O16" i="90"/>
  <c r="F8" i="92"/>
  <c r="G8" i="92" s="1"/>
  <c r="W7" i="90"/>
  <c r="W5" i="90"/>
  <c r="W17" i="90"/>
  <c r="W21" i="90"/>
  <c r="W10" i="90"/>
  <c r="W16" i="90"/>
  <c r="W20" i="89"/>
  <c r="W5" i="88"/>
  <c r="W11" i="88"/>
  <c r="W7" i="88"/>
  <c r="W9" i="88"/>
  <c r="W17" i="88"/>
  <c r="O6" i="97"/>
  <c r="AJ6" i="97" s="1"/>
  <c r="AK6" i="97" s="1"/>
  <c r="C6" i="102"/>
  <c r="D6" i="102" s="1"/>
  <c r="R6" i="102"/>
  <c r="T6" i="102" s="1"/>
  <c r="W9" i="95"/>
  <c r="W10" i="95"/>
  <c r="O16" i="102" s="1"/>
  <c r="W11" i="95"/>
  <c r="W5" i="95"/>
  <c r="W15" i="95"/>
  <c r="W17" i="95"/>
  <c r="O19" i="102"/>
  <c r="Q19" i="102" s="1"/>
  <c r="F5" i="57"/>
  <c r="F12" i="57"/>
  <c r="G12" i="57" s="1"/>
  <c r="F21" i="57"/>
  <c r="G21" i="57" s="1"/>
  <c r="F23" i="57"/>
  <c r="G23" i="57" s="1"/>
  <c r="F20" i="57"/>
  <c r="S20" i="75"/>
  <c r="S12" i="75"/>
  <c r="S8" i="75"/>
  <c r="S9" i="75"/>
  <c r="S17" i="74"/>
  <c r="S5" i="73"/>
  <c r="O7" i="73"/>
  <c r="O5" i="73"/>
  <c r="O17" i="73"/>
  <c r="O14" i="73"/>
  <c r="S12" i="72"/>
  <c r="S22" i="72"/>
  <c r="S5" i="72"/>
  <c r="S14" i="72"/>
  <c r="S26" i="72"/>
  <c r="O21" i="72"/>
  <c r="O25" i="72"/>
  <c r="I18" i="76" s="1"/>
  <c r="O11" i="72"/>
  <c r="O12" i="72"/>
  <c r="O20" i="72"/>
  <c r="O18" i="71"/>
  <c r="O17" i="71"/>
  <c r="O8" i="71"/>
  <c r="S19" i="79"/>
  <c r="L20" i="81" s="1"/>
  <c r="M20" i="81" s="1"/>
  <c r="S9" i="79"/>
  <c r="S11" i="79"/>
  <c r="S6" i="79"/>
  <c r="S18" i="79"/>
  <c r="S7" i="79"/>
  <c r="S27" i="79"/>
  <c r="O16" i="79"/>
  <c r="O19" i="79"/>
  <c r="O5" i="79"/>
  <c r="S17" i="78"/>
  <c r="S8" i="78"/>
  <c r="S7" i="78"/>
  <c r="O5" i="78"/>
  <c r="O16" i="78"/>
  <c r="O8" i="78"/>
  <c r="S5" i="77"/>
  <c r="S11" i="77"/>
  <c r="S15" i="77"/>
  <c r="S28" i="77"/>
  <c r="S17" i="77"/>
  <c r="S24" i="77"/>
  <c r="S22" i="77"/>
  <c r="S14" i="77"/>
  <c r="O17" i="77"/>
  <c r="O7" i="77"/>
  <c r="I23" i="81" s="1"/>
  <c r="O24" i="77"/>
  <c r="I24" i="81" s="1"/>
  <c r="O9" i="77"/>
  <c r="AJ9" i="77" s="1"/>
  <c r="AK9" i="77" s="1"/>
  <c r="O25" i="77"/>
  <c r="O14" i="77"/>
  <c r="O11" i="77"/>
  <c r="O28" i="77"/>
  <c r="O16" i="77"/>
  <c r="O20" i="77"/>
  <c r="O19" i="85"/>
  <c r="S19" i="85"/>
  <c r="S18" i="85"/>
  <c r="O14" i="85"/>
  <c r="I18" i="87" s="1"/>
  <c r="J18" i="87" s="1"/>
  <c r="O13" i="84"/>
  <c r="S16" i="84"/>
  <c r="S12" i="84"/>
  <c r="S13" i="84"/>
  <c r="S9" i="84"/>
  <c r="S5" i="84"/>
  <c r="S7" i="84"/>
  <c r="O19" i="84"/>
  <c r="O16" i="84"/>
  <c r="S9" i="83"/>
  <c r="S8" i="83"/>
  <c r="S15" i="83"/>
  <c r="S7" i="83"/>
  <c r="S17" i="83"/>
  <c r="O5" i="83"/>
  <c r="S8" i="82"/>
  <c r="S6" i="82"/>
  <c r="S7" i="82"/>
  <c r="O6" i="82"/>
  <c r="O7" i="82"/>
  <c r="S13" i="91"/>
  <c r="S9" i="91"/>
  <c r="S12" i="91"/>
  <c r="S17" i="90"/>
  <c r="S10" i="90"/>
  <c r="S13" i="90"/>
  <c r="S21" i="90"/>
  <c r="S20" i="90"/>
  <c r="AJ20" i="90" s="1"/>
  <c r="AK20" i="90" s="1"/>
  <c r="S14" i="90"/>
  <c r="S5" i="90"/>
  <c r="O17" i="90"/>
  <c r="O9" i="90"/>
  <c r="O10" i="90"/>
  <c r="O5" i="90"/>
  <c r="O21" i="90"/>
  <c r="O18" i="90"/>
  <c r="O15" i="90"/>
  <c r="S8" i="89"/>
  <c r="S18" i="89"/>
  <c r="S6" i="89"/>
  <c r="S14" i="89"/>
  <c r="S10" i="89"/>
  <c r="O16" i="89"/>
  <c r="O11" i="89"/>
  <c r="O5" i="88"/>
  <c r="X10" i="92"/>
  <c r="S22" i="88"/>
  <c r="S12" i="88"/>
  <c r="S11" i="88"/>
  <c r="S10" i="88"/>
  <c r="S16" i="88"/>
  <c r="S17" i="88"/>
  <c r="O11" i="88"/>
  <c r="O14" i="88"/>
  <c r="O17" i="88"/>
  <c r="O9" i="88"/>
  <c r="O16" i="88"/>
  <c r="S14" i="100"/>
  <c r="O5" i="100"/>
  <c r="O12" i="100"/>
  <c r="I7" i="103" s="1"/>
  <c r="O6" i="102"/>
  <c r="Q6" i="102" s="1"/>
  <c r="U6" i="102"/>
  <c r="V6" i="102" s="1"/>
  <c r="F14" i="102"/>
  <c r="G14" i="102" s="1"/>
  <c r="S10" i="97"/>
  <c r="S11" i="97"/>
  <c r="S12" i="97"/>
  <c r="S6" i="96"/>
  <c r="S5" i="96"/>
  <c r="S12" i="96"/>
  <c r="L6" i="102" s="1"/>
  <c r="M6" i="102" s="1"/>
  <c r="O11" i="96"/>
  <c r="O9" i="96"/>
  <c r="O12" i="96"/>
  <c r="O6" i="96"/>
  <c r="O5" i="95"/>
  <c r="I10" i="102" s="1"/>
  <c r="J10" i="102" s="1"/>
  <c r="O15" i="95"/>
  <c r="S6" i="95"/>
  <c r="S9" i="95"/>
  <c r="S11" i="95"/>
  <c r="O11" i="95"/>
  <c r="O17" i="95"/>
  <c r="O16" i="95"/>
  <c r="O6" i="95"/>
  <c r="O9" i="95"/>
  <c r="F19" i="102"/>
  <c r="G19" i="102" s="1"/>
  <c r="F6" i="102"/>
  <c r="G6" i="102" s="1"/>
  <c r="I8" i="102"/>
  <c r="J8" i="102" s="1"/>
  <c r="O11" i="102"/>
  <c r="P11" i="102" s="1"/>
  <c r="K12" i="97"/>
  <c r="C8" i="102"/>
  <c r="D8" i="102" s="1"/>
  <c r="U8" i="102"/>
  <c r="W8" i="102" s="1"/>
  <c r="K5" i="96"/>
  <c r="F18" i="102" s="1"/>
  <c r="G18" i="102" s="1"/>
  <c r="L19" i="102"/>
  <c r="M19" i="102" s="1"/>
  <c r="R19" i="102"/>
  <c r="T19" i="102" s="1"/>
  <c r="F8" i="102"/>
  <c r="G8" i="102" s="1"/>
  <c r="C19" i="102"/>
  <c r="D19" i="102" s="1"/>
  <c r="F17" i="102"/>
  <c r="G17" i="102" s="1"/>
  <c r="G15" i="84"/>
  <c r="G13" i="83"/>
  <c r="G5" i="83"/>
  <c r="G8" i="82"/>
  <c r="G7" i="90"/>
  <c r="K21" i="90"/>
  <c r="X16" i="92"/>
  <c r="Y16" i="92" s="1"/>
  <c r="X13" i="92"/>
  <c r="Y13" i="92" s="1"/>
  <c r="X21" i="92"/>
  <c r="F23" i="92"/>
  <c r="G23" i="92" s="1"/>
  <c r="X22" i="92"/>
  <c r="Z22" i="92" s="1"/>
  <c r="X15" i="92"/>
  <c r="F16" i="92"/>
  <c r="G16" i="92" s="1"/>
  <c r="K13" i="88"/>
  <c r="F12" i="92" s="1"/>
  <c r="K16" i="75"/>
  <c r="X11" i="81"/>
  <c r="Y11" i="81" s="1"/>
  <c r="F17" i="70"/>
  <c r="G17" i="70" s="1"/>
  <c r="X18" i="81"/>
  <c r="Y18" i="81" s="1"/>
  <c r="Y19" i="87"/>
  <c r="F13" i="92"/>
  <c r="X7" i="92"/>
  <c r="Y7" i="92" s="1"/>
  <c r="F10" i="70"/>
  <c r="G10" i="70" s="1"/>
  <c r="G9" i="75"/>
  <c r="G20" i="75"/>
  <c r="G6" i="75"/>
  <c r="G7" i="74"/>
  <c r="G17" i="74"/>
  <c r="G5" i="73"/>
  <c r="G19" i="73"/>
  <c r="G22" i="72"/>
  <c r="G12" i="72"/>
  <c r="G21" i="72"/>
  <c r="G11" i="72"/>
  <c r="G23" i="72"/>
  <c r="G15" i="72"/>
  <c r="G26" i="72"/>
  <c r="G10" i="79"/>
  <c r="G7" i="79"/>
  <c r="G5" i="79"/>
  <c r="G11" i="79"/>
  <c r="G18" i="78"/>
  <c r="G11" i="77"/>
  <c r="G7" i="77"/>
  <c r="G20" i="77"/>
  <c r="G22" i="77"/>
  <c r="G5" i="77"/>
  <c r="G18" i="85"/>
  <c r="G7" i="85"/>
  <c r="G14" i="85"/>
  <c r="G7" i="84"/>
  <c r="G19" i="84"/>
  <c r="G11" i="83"/>
  <c r="C13" i="87" s="1"/>
  <c r="E13" i="87" s="1"/>
  <c r="X9" i="87"/>
  <c r="X10" i="87"/>
  <c r="X14" i="87"/>
  <c r="Y14" i="87" s="1"/>
  <c r="X12" i="87"/>
  <c r="Y12" i="87" s="1"/>
  <c r="G7" i="82"/>
  <c r="G13" i="91"/>
  <c r="G5" i="91"/>
  <c r="G21" i="90"/>
  <c r="G5" i="90"/>
  <c r="G11" i="90"/>
  <c r="G14" i="90"/>
  <c r="G18" i="90"/>
  <c r="G9" i="90"/>
  <c r="G10" i="90"/>
  <c r="G16" i="90"/>
  <c r="F10" i="92"/>
  <c r="G10" i="92" s="1"/>
  <c r="G18" i="89"/>
  <c r="G16" i="89"/>
  <c r="G19" i="89"/>
  <c r="G21" i="89"/>
  <c r="C22" i="92" s="1"/>
  <c r="D22" i="92" s="1"/>
  <c r="X23" i="92"/>
  <c r="Y23" i="92" s="1"/>
  <c r="X11" i="92"/>
  <c r="Y11" i="92" s="1"/>
  <c r="X17" i="92"/>
  <c r="U6" i="92"/>
  <c r="V6" i="92" s="1"/>
  <c r="X20" i="92"/>
  <c r="X19" i="92"/>
  <c r="Y19" i="92" s="1"/>
  <c r="G17" i="88"/>
  <c r="G12" i="88"/>
  <c r="G14" i="88"/>
  <c r="G13" i="88"/>
  <c r="G5" i="88"/>
  <c r="G7" i="88"/>
  <c r="G5" i="97"/>
  <c r="AJ5" i="97" s="1"/>
  <c r="AK5" i="97" s="1"/>
  <c r="G10" i="97"/>
  <c r="G13" i="95"/>
  <c r="G6" i="95"/>
  <c r="G8" i="95"/>
  <c r="AJ8" i="95" s="1"/>
  <c r="AK8" i="95" s="1"/>
  <c r="G5" i="95"/>
  <c r="G10" i="95"/>
  <c r="F20" i="102"/>
  <c r="G20" i="102" s="1"/>
  <c r="C14" i="102"/>
  <c r="D14" i="102" s="1"/>
  <c r="F9" i="102"/>
  <c r="O23" i="76"/>
  <c r="P23" i="76" s="1"/>
  <c r="X28" i="81"/>
  <c r="Y28" i="81" s="1"/>
  <c r="F18" i="87"/>
  <c r="G18" i="87" s="1"/>
  <c r="I19" i="87"/>
  <c r="J19" i="87" s="1"/>
  <c r="X18" i="87"/>
  <c r="Y18" i="87" s="1"/>
  <c r="X5" i="87"/>
  <c r="G10" i="91"/>
  <c r="AJ10" i="91" s="1"/>
  <c r="AK10" i="91" s="1"/>
  <c r="F10" i="102"/>
  <c r="G6" i="79"/>
  <c r="G29" i="79"/>
  <c r="S29" i="79"/>
  <c r="G16" i="79"/>
  <c r="S16" i="79"/>
  <c r="G19" i="79"/>
  <c r="G13" i="79"/>
  <c r="S13" i="79"/>
  <c r="G14" i="79"/>
  <c r="O14" i="79"/>
  <c r="W14" i="79"/>
  <c r="O10" i="79"/>
  <c r="W10" i="79"/>
  <c r="W27" i="79"/>
  <c r="W5" i="79"/>
  <c r="O30" i="79"/>
  <c r="G20" i="89"/>
  <c r="S10" i="95"/>
  <c r="AA10" i="95"/>
  <c r="G14" i="95"/>
  <c r="AJ14" i="95" s="1"/>
  <c r="AK14" i="95" s="1"/>
  <c r="AA5" i="95"/>
  <c r="G15" i="95"/>
  <c r="S15" i="95"/>
  <c r="AA15" i="95"/>
  <c r="G17" i="95"/>
  <c r="S17" i="95"/>
  <c r="AA17" i="95"/>
  <c r="AJ6" i="99"/>
  <c r="AK6" i="99" s="1"/>
  <c r="AL6" i="99" s="1"/>
  <c r="G6" i="99"/>
  <c r="AJ8" i="99"/>
  <c r="AK8" i="99" s="1"/>
  <c r="AL8" i="99" s="1"/>
  <c r="G8" i="99"/>
  <c r="G10" i="99"/>
  <c r="AJ10" i="99" s="1"/>
  <c r="AK10" i="99" s="1"/>
  <c r="AL10" i="99" s="1"/>
  <c r="G12" i="99"/>
  <c r="AJ12" i="99" s="1"/>
  <c r="AK12" i="99" s="1"/>
  <c r="AL12" i="99" s="1"/>
  <c r="AJ14" i="99"/>
  <c r="AK14" i="99" s="1"/>
  <c r="AL14" i="99" s="1"/>
  <c r="G14" i="99"/>
  <c r="AJ16" i="99"/>
  <c r="AK16" i="99" s="1"/>
  <c r="AL16" i="99" s="1"/>
  <c r="G16" i="99"/>
  <c r="G18" i="99"/>
  <c r="AJ18" i="99" s="1"/>
  <c r="AK18" i="99" s="1"/>
  <c r="AL18" i="99" s="1"/>
  <c r="G20" i="99"/>
  <c r="AJ20" i="99" s="1"/>
  <c r="AK20" i="99" s="1"/>
  <c r="AL20" i="99" s="1"/>
  <c r="AJ22" i="99"/>
  <c r="AK22" i="99" s="1"/>
  <c r="AL22" i="99" s="1"/>
  <c r="G22" i="99"/>
  <c r="AJ24" i="99"/>
  <c r="AK24" i="99" s="1"/>
  <c r="AL24" i="99" s="1"/>
  <c r="G24" i="99"/>
  <c r="K14" i="100"/>
  <c r="G6" i="100"/>
  <c r="AE12" i="100"/>
  <c r="U7" i="103" s="1"/>
  <c r="S5" i="101"/>
  <c r="AJ5" i="101" s="1"/>
  <c r="AK5" i="101" s="1"/>
  <c r="K5" i="86"/>
  <c r="AJ5" i="86" s="1"/>
  <c r="AK5" i="86" s="1"/>
  <c r="AL5" i="86" s="1"/>
  <c r="O7" i="92"/>
  <c r="AE12" i="91"/>
  <c r="U5" i="92" s="1"/>
  <c r="V5" i="92" s="1"/>
  <c r="W8" i="91"/>
  <c r="AE8" i="91"/>
  <c r="W18" i="91"/>
  <c r="O13" i="91"/>
  <c r="W13" i="91"/>
  <c r="O15" i="91"/>
  <c r="W15" i="91"/>
  <c r="W5" i="91"/>
  <c r="AE14" i="91"/>
  <c r="W17" i="91"/>
  <c r="O6" i="92" s="1"/>
  <c r="Q6" i="92" s="1"/>
  <c r="K5" i="93"/>
  <c r="AJ5" i="93" s="1"/>
  <c r="AK5" i="93" s="1"/>
  <c r="AL5" i="93" s="1"/>
  <c r="G5" i="96"/>
  <c r="O5" i="96"/>
  <c r="W5" i="96"/>
  <c r="W6" i="96"/>
  <c r="O10" i="96"/>
  <c r="I19" i="102" s="1"/>
  <c r="K19" i="102" s="1"/>
  <c r="S11" i="96"/>
  <c r="I12" i="102"/>
  <c r="J12" i="102" s="1"/>
  <c r="O12" i="102"/>
  <c r="Q12" i="102" s="1"/>
  <c r="U12" i="102"/>
  <c r="V12" i="102" s="1"/>
  <c r="I16" i="102"/>
  <c r="K16" i="102" s="1"/>
  <c r="Z5" i="103"/>
  <c r="W9" i="73"/>
  <c r="W16" i="73"/>
  <c r="W7" i="73"/>
  <c r="W19" i="73"/>
  <c r="W17" i="73"/>
  <c r="S14" i="78"/>
  <c r="G12" i="97"/>
  <c r="O12" i="97"/>
  <c r="W12" i="97"/>
  <c r="AE12" i="97"/>
  <c r="W8" i="97"/>
  <c r="AJ8" i="97" s="1"/>
  <c r="AK8" i="97" s="1"/>
  <c r="O11" i="97"/>
  <c r="O10" i="97"/>
  <c r="AE10" i="97"/>
  <c r="O9" i="97"/>
  <c r="W9" i="97"/>
  <c r="AA10" i="97"/>
  <c r="G9" i="97"/>
  <c r="C9" i="102" s="1"/>
  <c r="E9" i="102" s="1"/>
  <c r="S9" i="97"/>
  <c r="AE9" i="97"/>
  <c r="U9" i="102" s="1"/>
  <c r="V9" i="102" s="1"/>
  <c r="C12" i="102"/>
  <c r="R12" i="102"/>
  <c r="T12" i="102" s="1"/>
  <c r="AE6" i="96"/>
  <c r="AE5" i="96"/>
  <c r="AA6" i="96"/>
  <c r="W16" i="95"/>
  <c r="S13" i="95"/>
  <c r="L12" i="102" s="1"/>
  <c r="S7" i="95"/>
  <c r="G16" i="95"/>
  <c r="S16" i="95"/>
  <c r="R15" i="102"/>
  <c r="AA13" i="95"/>
  <c r="AA16" i="95"/>
  <c r="R20" i="102"/>
  <c r="R14" i="102"/>
  <c r="U14" i="102"/>
  <c r="R16" i="102"/>
  <c r="S16" i="102" s="1"/>
  <c r="G19" i="100"/>
  <c r="C12" i="103" s="1"/>
  <c r="S19" i="100"/>
  <c r="L12" i="103" s="1"/>
  <c r="W14" i="100"/>
  <c r="O6" i="100"/>
  <c r="I8" i="103" s="1"/>
  <c r="W6" i="100"/>
  <c r="O7" i="100"/>
  <c r="W7" i="100"/>
  <c r="AA12" i="100"/>
  <c r="R7" i="103" s="1"/>
  <c r="T7" i="103" s="1"/>
  <c r="O19" i="100"/>
  <c r="W19" i="100"/>
  <c r="O12" i="103" s="1"/>
  <c r="S6" i="100"/>
  <c r="G7" i="100"/>
  <c r="S7" i="100"/>
  <c r="AE14" i="100"/>
  <c r="U5" i="103" s="1"/>
  <c r="V5" i="103" s="1"/>
  <c r="AE6" i="100"/>
  <c r="AE7" i="100"/>
  <c r="AE19" i="100"/>
  <c r="U12" i="103" s="1"/>
  <c r="AA6" i="100"/>
  <c r="R8" i="103" s="1"/>
  <c r="S8" i="103" s="1"/>
  <c r="AA7" i="100"/>
  <c r="K19" i="91"/>
  <c r="F7" i="92" s="1"/>
  <c r="G7" i="92" s="1"/>
  <c r="G12" i="91"/>
  <c r="AA12" i="91"/>
  <c r="S8" i="91"/>
  <c r="AA8" i="91"/>
  <c r="AA13" i="91"/>
  <c r="S20" i="91"/>
  <c r="AJ20" i="91" s="1"/>
  <c r="AK20" i="91" s="1"/>
  <c r="S15" i="91"/>
  <c r="AA14" i="91"/>
  <c r="AE10" i="90"/>
  <c r="AE15" i="90"/>
  <c r="AA9" i="90"/>
  <c r="AA15" i="90"/>
  <c r="AA5" i="90"/>
  <c r="AA21" i="90"/>
  <c r="AA7" i="90"/>
  <c r="AA16" i="90"/>
  <c r="AA11" i="90"/>
  <c r="AA14" i="90"/>
  <c r="AA19" i="90"/>
  <c r="AJ19" i="90" s="1"/>
  <c r="AK19" i="90" s="1"/>
  <c r="G11" i="89"/>
  <c r="S11" i="89"/>
  <c r="G12" i="89"/>
  <c r="G7" i="89"/>
  <c r="O7" i="89"/>
  <c r="AE7" i="89"/>
  <c r="O15" i="89"/>
  <c r="O13" i="89"/>
  <c r="W13" i="89"/>
  <c r="AE13" i="89"/>
  <c r="O20" i="89"/>
  <c r="W11" i="89"/>
  <c r="W16" i="89"/>
  <c r="K7" i="89"/>
  <c r="F9" i="92" s="1"/>
  <c r="G9" i="92" s="1"/>
  <c r="S7" i="89"/>
  <c r="AA7" i="89"/>
  <c r="S15" i="89"/>
  <c r="G13" i="89"/>
  <c r="S13" i="89"/>
  <c r="AA13" i="89"/>
  <c r="AA22" i="89"/>
  <c r="AA19" i="89"/>
  <c r="S21" i="89"/>
  <c r="G6" i="89"/>
  <c r="AE19" i="89"/>
  <c r="O21" i="89"/>
  <c r="I22" i="92" s="1"/>
  <c r="J22" i="92" s="1"/>
  <c r="AE16" i="89"/>
  <c r="AE11" i="89"/>
  <c r="AE18" i="89"/>
  <c r="AA16" i="89"/>
  <c r="AA8" i="89"/>
  <c r="AA20" i="89"/>
  <c r="AA24" i="89"/>
  <c r="AJ24" i="89" s="1"/>
  <c r="AK24" i="89" s="1"/>
  <c r="S13" i="88"/>
  <c r="G19" i="88"/>
  <c r="S19" i="88"/>
  <c r="O15" i="88"/>
  <c r="W15" i="88"/>
  <c r="G22" i="88"/>
  <c r="W16" i="88"/>
  <c r="W21" i="88"/>
  <c r="S7" i="88"/>
  <c r="G9" i="88"/>
  <c r="W8" i="88"/>
  <c r="AE8" i="88"/>
  <c r="U11" i="92" s="1"/>
  <c r="V11" i="92" s="1"/>
  <c r="S5" i="88"/>
  <c r="S14" i="88"/>
  <c r="O13" i="88"/>
  <c r="O19" i="88"/>
  <c r="I8" i="92" s="1"/>
  <c r="W19" i="88"/>
  <c r="G15" i="88"/>
  <c r="S15" i="88"/>
  <c r="O22" i="88"/>
  <c r="G16" i="88"/>
  <c r="C11" i="92" s="1"/>
  <c r="D11" i="92" s="1"/>
  <c r="AE15" i="88"/>
  <c r="AE13" i="88"/>
  <c r="AE21" i="88"/>
  <c r="AE12" i="88"/>
  <c r="AE19" i="88"/>
  <c r="AE23" i="88"/>
  <c r="AJ23" i="88" s="1"/>
  <c r="AK23" i="88" s="1"/>
  <c r="AE22" i="88"/>
  <c r="AA22" i="88"/>
  <c r="AA12" i="88"/>
  <c r="AA9" i="88"/>
  <c r="AA21" i="88"/>
  <c r="AA13" i="88"/>
  <c r="AA6" i="88"/>
  <c r="AA8" i="88"/>
  <c r="AA5" i="88"/>
  <c r="AA7" i="88"/>
  <c r="R6" i="92" s="1"/>
  <c r="T6" i="92" s="1"/>
  <c r="AA15" i="88"/>
  <c r="G10" i="85"/>
  <c r="O10" i="85"/>
  <c r="W10" i="85"/>
  <c r="O5" i="85"/>
  <c r="K10" i="85"/>
  <c r="F12" i="87" s="1"/>
  <c r="G12" i="87" s="1"/>
  <c r="S10" i="85"/>
  <c r="S5" i="85"/>
  <c r="AA5" i="85"/>
  <c r="AE10" i="85"/>
  <c r="AE5" i="85"/>
  <c r="AE14" i="85"/>
  <c r="AE7" i="85"/>
  <c r="AA19" i="85"/>
  <c r="AA7" i="85"/>
  <c r="AA9" i="85"/>
  <c r="G6" i="84"/>
  <c r="O6" i="84"/>
  <c r="W6" i="84"/>
  <c r="O15" i="84"/>
  <c r="W15" i="84"/>
  <c r="W16" i="84"/>
  <c r="O8" i="87" s="1"/>
  <c r="AA5" i="84"/>
  <c r="AA9" i="84"/>
  <c r="K6" i="84"/>
  <c r="S6" i="84"/>
  <c r="S15" i="84"/>
  <c r="G16" i="84"/>
  <c r="S19" i="84"/>
  <c r="AE6" i="84"/>
  <c r="AE16" i="84"/>
  <c r="AA6" i="84"/>
  <c r="W15" i="83"/>
  <c r="K11" i="83"/>
  <c r="S11" i="83"/>
  <c r="AA11" i="83"/>
  <c r="R13" i="87" s="1"/>
  <c r="T13" i="87" s="1"/>
  <c r="G10" i="83"/>
  <c r="C16" i="87" s="1"/>
  <c r="D16" i="87" s="1"/>
  <c r="S10" i="83"/>
  <c r="AA10" i="83"/>
  <c r="R19" i="87" s="1"/>
  <c r="G6" i="83"/>
  <c r="S6" i="83"/>
  <c r="AA6" i="83"/>
  <c r="R10" i="87" s="1"/>
  <c r="S10" i="87" s="1"/>
  <c r="G7" i="83"/>
  <c r="AA7" i="83"/>
  <c r="G12" i="83"/>
  <c r="S12" i="83"/>
  <c r="AA12" i="83"/>
  <c r="W13" i="83"/>
  <c r="O19" i="87" s="1"/>
  <c r="P19" i="87" s="1"/>
  <c r="W12" i="83"/>
  <c r="S13" i="83"/>
  <c r="AE11" i="83"/>
  <c r="U13" i="87" s="1"/>
  <c r="V13" i="87" s="1"/>
  <c r="AE10" i="83"/>
  <c r="U16" i="87" s="1"/>
  <c r="V16" i="87" s="1"/>
  <c r="AE15" i="83"/>
  <c r="AE7" i="83"/>
  <c r="AE6" i="83"/>
  <c r="AE12" i="83"/>
  <c r="AE13" i="83"/>
  <c r="AA15" i="83"/>
  <c r="K10" i="82"/>
  <c r="AE9" i="82"/>
  <c r="AA14" i="82"/>
  <c r="AE8" i="82"/>
  <c r="AE15" i="82"/>
  <c r="AE14" i="82"/>
  <c r="AA8" i="82"/>
  <c r="AA15" i="82"/>
  <c r="AA9" i="82"/>
  <c r="Z8" i="103"/>
  <c r="AA14" i="75"/>
  <c r="O16" i="75"/>
  <c r="W16" i="75"/>
  <c r="O20" i="75"/>
  <c r="W20" i="75"/>
  <c r="O12" i="75"/>
  <c r="W12" i="75"/>
  <c r="O8" i="75"/>
  <c r="W8" i="75"/>
  <c r="O17" i="76" s="1"/>
  <c r="P17" i="76" s="1"/>
  <c r="AE8" i="75"/>
  <c r="O6" i="75"/>
  <c r="AE6" i="75"/>
  <c r="O9" i="75"/>
  <c r="W9" i="75"/>
  <c r="W13" i="75"/>
  <c r="G16" i="75"/>
  <c r="AE20" i="75"/>
  <c r="AE12" i="75"/>
  <c r="AE10" i="75"/>
  <c r="AE16" i="75"/>
  <c r="AE14" i="75"/>
  <c r="AA9" i="75"/>
  <c r="S5" i="74"/>
  <c r="AA5" i="74"/>
  <c r="AA8" i="74"/>
  <c r="AA9" i="74"/>
  <c r="AA13" i="74"/>
  <c r="AA7" i="74"/>
  <c r="AE11" i="74"/>
  <c r="AE5" i="74"/>
  <c r="AE18" i="74"/>
  <c r="AE13" i="74"/>
  <c r="AA11" i="74"/>
  <c r="W10" i="73"/>
  <c r="AA10" i="73"/>
  <c r="S19" i="73"/>
  <c r="G9" i="73"/>
  <c r="S9" i="73"/>
  <c r="AA9" i="73"/>
  <c r="G17" i="73"/>
  <c r="S17" i="73"/>
  <c r="G20" i="73"/>
  <c r="G6" i="73"/>
  <c r="S16" i="73"/>
  <c r="G7" i="73"/>
  <c r="S7" i="73"/>
  <c r="S14" i="73"/>
  <c r="L23" i="76" s="1"/>
  <c r="AA14" i="73"/>
  <c r="R15" i="76" s="1"/>
  <c r="S15" i="76" s="1"/>
  <c r="G10" i="73"/>
  <c r="K19" i="73"/>
  <c r="F21" i="76" s="1"/>
  <c r="H21" i="76" s="1"/>
  <c r="AE19" i="73"/>
  <c r="AE17" i="73"/>
  <c r="AE16" i="73"/>
  <c r="AE9" i="73"/>
  <c r="AE14" i="73"/>
  <c r="AE7" i="73"/>
  <c r="AA18" i="73"/>
  <c r="AA19" i="73"/>
  <c r="AA5" i="73"/>
  <c r="AA17" i="73"/>
  <c r="O23" i="72"/>
  <c r="K15" i="72"/>
  <c r="AA15" i="72"/>
  <c r="S21" i="72"/>
  <c r="G25" i="72"/>
  <c r="S25" i="72"/>
  <c r="G5" i="72"/>
  <c r="S11" i="72"/>
  <c r="AA11" i="72"/>
  <c r="AA12" i="72"/>
  <c r="G14" i="72"/>
  <c r="C23" i="76" s="1"/>
  <c r="D23" i="76" s="1"/>
  <c r="G20" i="72"/>
  <c r="S20" i="72"/>
  <c r="W23" i="72"/>
  <c r="S15" i="72"/>
  <c r="AE26" i="72"/>
  <c r="AE15" i="72"/>
  <c r="AE25" i="72"/>
  <c r="U18" i="76" s="1"/>
  <c r="W18" i="76" s="1"/>
  <c r="AE11" i="72"/>
  <c r="AE22" i="72"/>
  <c r="AE20" i="72"/>
  <c r="AE23" i="72"/>
  <c r="U21" i="76" s="1"/>
  <c r="AA14" i="72"/>
  <c r="R23" i="76" s="1"/>
  <c r="S23" i="76" s="1"/>
  <c r="AA20" i="72"/>
  <c r="AA5" i="72"/>
  <c r="O14" i="71"/>
  <c r="AE14" i="71"/>
  <c r="I17" i="76"/>
  <c r="X14" i="76"/>
  <c r="Y14" i="76" s="1"/>
  <c r="X15" i="76"/>
  <c r="Y15" i="76" s="1"/>
  <c r="X8" i="76"/>
  <c r="Y8" i="76" s="1"/>
  <c r="X5" i="76"/>
  <c r="Y5" i="76" s="1"/>
  <c r="X21" i="76"/>
  <c r="Z21" i="76" s="1"/>
  <c r="AE7" i="71"/>
  <c r="AE16" i="71"/>
  <c r="AA5" i="71"/>
  <c r="AA16" i="71"/>
  <c r="R17" i="76"/>
  <c r="S17" i="76" s="1"/>
  <c r="AA14" i="71"/>
  <c r="G9" i="80"/>
  <c r="O9" i="80"/>
  <c r="AE9" i="80"/>
  <c r="O7" i="80"/>
  <c r="K9" i="80"/>
  <c r="F6" i="81" s="1"/>
  <c r="AA9" i="80"/>
  <c r="AA7" i="80"/>
  <c r="AA11" i="80"/>
  <c r="O6" i="79"/>
  <c r="W6" i="79"/>
  <c r="AE6" i="79"/>
  <c r="O29" i="79"/>
  <c r="AE29" i="79"/>
  <c r="AE16" i="79"/>
  <c r="O13" i="79"/>
  <c r="W13" i="79"/>
  <c r="AE13" i="79"/>
  <c r="K14" i="79"/>
  <c r="S14" i="79"/>
  <c r="S10" i="79"/>
  <c r="S5" i="79"/>
  <c r="AE14" i="79"/>
  <c r="AE27" i="79"/>
  <c r="AE5" i="79"/>
  <c r="O18" i="78"/>
  <c r="W18" i="78"/>
  <c r="W12" i="78"/>
  <c r="O17" i="81" s="1"/>
  <c r="G28" i="78"/>
  <c r="S28" i="78"/>
  <c r="AA19" i="78"/>
  <c r="R21" i="81" s="1"/>
  <c r="AE14" i="78"/>
  <c r="AE12" i="78"/>
  <c r="AE17" i="78"/>
  <c r="AE19" i="78"/>
  <c r="U21" i="81" s="1"/>
  <c r="AE18" i="78"/>
  <c r="AA28" i="78"/>
  <c r="AA16" i="78"/>
  <c r="O13" i="77"/>
  <c r="W13" i="77"/>
  <c r="W25" i="77"/>
  <c r="K13" i="77"/>
  <c r="S30" i="77"/>
  <c r="G24" i="77"/>
  <c r="C24" i="81" s="1"/>
  <c r="D24" i="81" s="1"/>
  <c r="S20" i="77"/>
  <c r="G16" i="77"/>
  <c r="G13" i="77"/>
  <c r="O15" i="77"/>
  <c r="W15" i="77"/>
  <c r="O5" i="77"/>
  <c r="W5" i="77"/>
  <c r="O6" i="77"/>
  <c r="S13" i="77"/>
  <c r="G10" i="77"/>
  <c r="G25" i="77"/>
  <c r="S25" i="77"/>
  <c r="AA25" i="77"/>
  <c r="G15" i="77"/>
  <c r="AE5" i="77"/>
  <c r="AE22" i="77"/>
  <c r="AE13" i="77"/>
  <c r="U13" i="81" s="1"/>
  <c r="AE6" i="77"/>
  <c r="AE25" i="77"/>
  <c r="AE10" i="77"/>
  <c r="AA24" i="77"/>
  <c r="R24" i="81" s="1"/>
  <c r="AA30" i="77"/>
  <c r="AA20" i="77"/>
  <c r="AA13" i="77"/>
  <c r="AA22" i="77"/>
  <c r="H21" i="70"/>
  <c r="G12" i="70"/>
  <c r="K19" i="78"/>
  <c r="F21" i="81" s="1"/>
  <c r="S19" i="78"/>
  <c r="L21" i="81" s="1"/>
  <c r="O17" i="78"/>
  <c r="W17" i="78"/>
  <c r="S30" i="78"/>
  <c r="G19" i="78"/>
  <c r="C21" i="81" s="1"/>
  <c r="O19" i="78"/>
  <c r="W19" i="78"/>
  <c r="O21" i="81" s="1"/>
  <c r="G17" i="78"/>
  <c r="O30" i="78"/>
  <c r="W30" i="78"/>
  <c r="O27" i="81" s="1"/>
  <c r="P27" i="81" s="1"/>
  <c r="S29" i="78"/>
  <c r="AA29" i="78"/>
  <c r="X24" i="81"/>
  <c r="AI29" i="78"/>
  <c r="X16" i="81" s="1"/>
  <c r="G14" i="78"/>
  <c r="AA14" i="78"/>
  <c r="AI14" i="78"/>
  <c r="X7" i="81" s="1"/>
  <c r="G26" i="78"/>
  <c r="S26" i="78"/>
  <c r="AA26" i="78"/>
  <c r="G31" i="78"/>
  <c r="L23" i="81"/>
  <c r="S31" i="78"/>
  <c r="X14" i="81"/>
  <c r="Y14" i="81" s="1"/>
  <c r="AA17" i="78"/>
  <c r="R14" i="81" s="1"/>
  <c r="T14" i="81" s="1"/>
  <c r="G12" i="78"/>
  <c r="AA12" i="78"/>
  <c r="R26" i="81" s="1"/>
  <c r="S26" i="81" s="1"/>
  <c r="AI12" i="78"/>
  <c r="G11" i="78"/>
  <c r="O24" i="81"/>
  <c r="W29" i="78"/>
  <c r="AE29" i="78"/>
  <c r="U16" i="81" s="1"/>
  <c r="V16" i="81" s="1"/>
  <c r="AA30" i="78"/>
  <c r="R27" i="81" s="1"/>
  <c r="S27" i="81" s="1"/>
  <c r="W11" i="78"/>
  <c r="AE11" i="78"/>
  <c r="W14" i="78"/>
  <c r="G16" i="78"/>
  <c r="S16" i="78"/>
  <c r="G29" i="78"/>
  <c r="C16" i="81" s="1"/>
  <c r="E16" i="81" s="1"/>
  <c r="O23" i="81"/>
  <c r="Q23" i="81" s="1"/>
  <c r="W31" i="78"/>
  <c r="U23" i="81"/>
  <c r="W23" i="81" s="1"/>
  <c r="AE31" i="78"/>
  <c r="O12" i="78"/>
  <c r="O11" i="78"/>
  <c r="O29" i="78"/>
  <c r="O14" i="78"/>
  <c r="O26" i="78"/>
  <c r="O31" i="78"/>
  <c r="V22" i="102"/>
  <c r="AJ8" i="98"/>
  <c r="AK8" i="98" s="1"/>
  <c r="AL8" i="98" s="1"/>
  <c r="AJ14" i="98"/>
  <c r="AK14" i="98" s="1"/>
  <c r="AL14" i="98" s="1"/>
  <c r="AJ17" i="98"/>
  <c r="AK17" i="98" s="1"/>
  <c r="AL17" i="98" s="1"/>
  <c r="AJ18" i="98"/>
  <c r="AK18" i="98" s="1"/>
  <c r="AL18" i="98" s="1"/>
  <c r="AJ22" i="98"/>
  <c r="AK22" i="98" s="1"/>
  <c r="AL22" i="98" s="1"/>
  <c r="AJ5" i="98"/>
  <c r="AK5" i="98" s="1"/>
  <c r="AL5" i="98" s="1"/>
  <c r="AJ10" i="98"/>
  <c r="AK10" i="98" s="1"/>
  <c r="AL10" i="98" s="1"/>
  <c r="AJ13" i="98"/>
  <c r="AK13" i="98" s="1"/>
  <c r="AL13" i="98" s="1"/>
  <c r="AJ20" i="98"/>
  <c r="AK20" i="98" s="1"/>
  <c r="AL20" i="98" s="1"/>
  <c r="AJ24" i="98"/>
  <c r="AK24" i="98" s="1"/>
  <c r="AL24" i="98" s="1"/>
  <c r="AJ6" i="98"/>
  <c r="AK6" i="98" s="1"/>
  <c r="AL6" i="98" s="1"/>
  <c r="AJ9" i="98"/>
  <c r="AK9" i="98" s="1"/>
  <c r="AL9" i="98" s="1"/>
  <c r="H23" i="103"/>
  <c r="H20" i="70"/>
  <c r="S6" i="103"/>
  <c r="Z6" i="103"/>
  <c r="W17" i="103"/>
  <c r="Y5" i="103"/>
  <c r="S21" i="103"/>
  <c r="V6" i="103"/>
  <c r="T17" i="103"/>
  <c r="Y17" i="103"/>
  <c r="V21" i="103"/>
  <c r="V18" i="103"/>
  <c r="Q13" i="103"/>
  <c r="J17" i="103"/>
  <c r="E10" i="103"/>
  <c r="D16" i="103"/>
  <c r="J20" i="103"/>
  <c r="G19" i="103"/>
  <c r="P15" i="103"/>
  <c r="G6" i="103"/>
  <c r="N6" i="103"/>
  <c r="M17" i="103"/>
  <c r="K21" i="103"/>
  <c r="H17" i="103"/>
  <c r="Z12" i="103"/>
  <c r="E14" i="103"/>
  <c r="Z15" i="103"/>
  <c r="Z19" i="103"/>
  <c r="Z23" i="103"/>
  <c r="Z14" i="103"/>
  <c r="G14" i="103"/>
  <c r="M19" i="103"/>
  <c r="P19" i="103"/>
  <c r="T15" i="103"/>
  <c r="AJ9" i="100"/>
  <c r="AK9" i="100" s="1"/>
  <c r="AJ24" i="100"/>
  <c r="AK24" i="100" s="1"/>
  <c r="AL24" i="100" s="1"/>
  <c r="G15" i="103"/>
  <c r="S14" i="103"/>
  <c r="Q14" i="103"/>
  <c r="AJ20" i="100"/>
  <c r="AK20" i="100" s="1"/>
  <c r="AL20" i="100" s="1"/>
  <c r="Q10" i="103"/>
  <c r="W20" i="103"/>
  <c r="AJ18" i="100"/>
  <c r="AK18" i="100" s="1"/>
  <c r="AL18" i="100" s="1"/>
  <c r="AJ17" i="100"/>
  <c r="AK17" i="100" s="1"/>
  <c r="AL17" i="100" s="1"/>
  <c r="AJ22" i="100"/>
  <c r="AK22" i="100" s="1"/>
  <c r="AL22" i="100" s="1"/>
  <c r="D15" i="103"/>
  <c r="Y20" i="103"/>
  <c r="D19" i="103"/>
  <c r="D23" i="103"/>
  <c r="AJ19" i="97"/>
  <c r="AK19" i="97" s="1"/>
  <c r="AL19" i="97" s="1"/>
  <c r="AJ20" i="97"/>
  <c r="AK20" i="97" s="1"/>
  <c r="AL20" i="97" s="1"/>
  <c r="AJ15" i="97"/>
  <c r="AK15" i="97" s="1"/>
  <c r="AL15" i="97" s="1"/>
  <c r="AJ16" i="97"/>
  <c r="AK16" i="97" s="1"/>
  <c r="AL16" i="97" s="1"/>
  <c r="AJ14" i="97"/>
  <c r="AJ7" i="97"/>
  <c r="AK7" i="97" s="1"/>
  <c r="Z12" i="102"/>
  <c r="Y20" i="102"/>
  <c r="Y6" i="102"/>
  <c r="AJ14" i="96"/>
  <c r="AK14" i="96" s="1"/>
  <c r="AJ7" i="96"/>
  <c r="AK7" i="96" s="1"/>
  <c r="AJ17" i="96"/>
  <c r="AK17" i="96" s="1"/>
  <c r="AL17" i="96" s="1"/>
  <c r="AJ21" i="96"/>
  <c r="AK21" i="96" s="1"/>
  <c r="AL21" i="96" s="1"/>
  <c r="AJ23" i="96"/>
  <c r="AK23" i="96" s="1"/>
  <c r="AL23" i="96" s="1"/>
  <c r="Z17" i="102"/>
  <c r="Y7" i="102"/>
  <c r="M24" i="102"/>
  <c r="Z10" i="102"/>
  <c r="W24" i="102"/>
  <c r="J22" i="102"/>
  <c r="Z13" i="102"/>
  <c r="Y13" i="102"/>
  <c r="Z16" i="102"/>
  <c r="Y16" i="102"/>
  <c r="Y15" i="102"/>
  <c r="Z15" i="102"/>
  <c r="AJ23" i="95"/>
  <c r="AK23" i="95" s="1"/>
  <c r="AL23" i="95" s="1"/>
  <c r="AJ21" i="95"/>
  <c r="AK21" i="95" s="1"/>
  <c r="AL21" i="95" s="1"/>
  <c r="AJ22" i="95"/>
  <c r="AK22" i="95" s="1"/>
  <c r="AL22" i="95" s="1"/>
  <c r="AJ24" i="95"/>
  <c r="AK24" i="95" s="1"/>
  <c r="AL24" i="95" s="1"/>
  <c r="Q22" i="102"/>
  <c r="G23" i="102"/>
  <c r="S22" i="102"/>
  <c r="AJ8" i="94"/>
  <c r="AK8" i="94" s="1"/>
  <c r="AJ24" i="94"/>
  <c r="AK24" i="94" s="1"/>
  <c r="AL24" i="94" s="1"/>
  <c r="Y14" i="102"/>
  <c r="K24" i="102"/>
  <c r="P24" i="102"/>
  <c r="Y24" i="102"/>
  <c r="AJ21" i="91"/>
  <c r="AK21" i="91" s="1"/>
  <c r="AL21" i="91" s="1"/>
  <c r="V13" i="103"/>
  <c r="S11" i="103"/>
  <c r="G18" i="103"/>
  <c r="G22" i="103"/>
  <c r="Q18" i="103"/>
  <c r="P22" i="103"/>
  <c r="G22" i="102"/>
  <c r="Y9" i="103"/>
  <c r="J13" i="103"/>
  <c r="S22" i="103"/>
  <c r="S23" i="102"/>
  <c r="S13" i="103"/>
  <c r="G11" i="103"/>
  <c r="Q11" i="103"/>
  <c r="V11" i="103"/>
  <c r="J18" i="103"/>
  <c r="S18" i="103"/>
  <c r="E24" i="102"/>
  <c r="D23" i="102"/>
  <c r="AA24" i="102"/>
  <c r="AB24" i="102" s="1"/>
  <c r="AC24" i="102" s="1"/>
  <c r="Z19" i="102"/>
  <c r="N23" i="102"/>
  <c r="Z9" i="102"/>
  <c r="H21" i="102"/>
  <c r="P23" i="102"/>
  <c r="Z23" i="102"/>
  <c r="Z14" i="92"/>
  <c r="Y8" i="92"/>
  <c r="Y9" i="92"/>
  <c r="AJ24" i="90"/>
  <c r="AK24" i="90" s="1"/>
  <c r="AL24" i="90" s="1"/>
  <c r="AJ22" i="90"/>
  <c r="AK22" i="90" s="1"/>
  <c r="AL22" i="90" s="1"/>
  <c r="F23" i="81"/>
  <c r="H23" i="81" s="1"/>
  <c r="F11" i="81"/>
  <c r="G11" i="81" s="1"/>
  <c r="M24" i="87"/>
  <c r="E24" i="87"/>
  <c r="Q20" i="87"/>
  <c r="Z13" i="87"/>
  <c r="AJ17" i="85"/>
  <c r="AK17" i="85" s="1"/>
  <c r="AJ13" i="85"/>
  <c r="AK13" i="85" s="1"/>
  <c r="AL13" i="85" s="1"/>
  <c r="AJ22" i="85"/>
  <c r="AK22" i="85" s="1"/>
  <c r="AL22" i="85" s="1"/>
  <c r="AJ24" i="85"/>
  <c r="AK24" i="85" s="1"/>
  <c r="AL24" i="85" s="1"/>
  <c r="W21" i="87"/>
  <c r="Y23" i="87"/>
  <c r="P24" i="87"/>
  <c r="G23" i="87"/>
  <c r="Q23" i="87"/>
  <c r="AJ17" i="84"/>
  <c r="AK17" i="84" s="1"/>
  <c r="AJ21" i="84"/>
  <c r="AK21" i="84" s="1"/>
  <c r="AL21" i="84" s="1"/>
  <c r="V20" i="87"/>
  <c r="S23" i="87"/>
  <c r="J21" i="87"/>
  <c r="N23" i="87"/>
  <c r="AJ16" i="83"/>
  <c r="AK16" i="83" s="1"/>
  <c r="AL16" i="83" s="1"/>
  <c r="G19" i="87"/>
  <c r="AJ20" i="83"/>
  <c r="AK20" i="83" s="1"/>
  <c r="AL20" i="83" s="1"/>
  <c r="Y8" i="87"/>
  <c r="O8" i="82"/>
  <c r="W9" i="82"/>
  <c r="O15" i="82"/>
  <c r="W15" i="82"/>
  <c r="S5" i="82"/>
  <c r="W10" i="82"/>
  <c r="O17" i="87" s="1"/>
  <c r="S15" i="82"/>
  <c r="S14" i="82"/>
  <c r="S9" i="82"/>
  <c r="D21" i="87"/>
  <c r="G20" i="87"/>
  <c r="O10" i="82"/>
  <c r="I17" i="87" s="1"/>
  <c r="O5" i="82"/>
  <c r="O9" i="82"/>
  <c r="I15" i="87" s="1"/>
  <c r="J15" i="87" s="1"/>
  <c r="P22" i="87"/>
  <c r="AJ24" i="82"/>
  <c r="AK24" i="82" s="1"/>
  <c r="AL24" i="82" s="1"/>
  <c r="W22" i="87"/>
  <c r="AJ20" i="82"/>
  <c r="AK20" i="82" s="1"/>
  <c r="AL20" i="82" s="1"/>
  <c r="AJ22" i="82"/>
  <c r="AK22" i="82" s="1"/>
  <c r="AL22" i="82" s="1"/>
  <c r="Z15" i="87"/>
  <c r="G10" i="82"/>
  <c r="G14" i="82"/>
  <c r="H22" i="87"/>
  <c r="S22" i="87"/>
  <c r="D20" i="87"/>
  <c r="K22" i="87"/>
  <c r="G11" i="82"/>
  <c r="C10" i="87" s="1"/>
  <c r="G9" i="82"/>
  <c r="G5" i="82"/>
  <c r="AA22" i="87"/>
  <c r="AB22" i="87" s="1"/>
  <c r="AC22" i="87" s="1"/>
  <c r="AA23" i="87"/>
  <c r="AB23" i="87" s="1"/>
  <c r="AC23" i="87" s="1"/>
  <c r="D23" i="87"/>
  <c r="X25" i="81"/>
  <c r="U20" i="81"/>
  <c r="X5" i="81"/>
  <c r="F14" i="81"/>
  <c r="X13" i="81"/>
  <c r="R23" i="81"/>
  <c r="S23" i="81" s="1"/>
  <c r="X6" i="81"/>
  <c r="X10" i="81"/>
  <c r="X12" i="81"/>
  <c r="F19" i="81"/>
  <c r="F5" i="81"/>
  <c r="G5" i="81" s="1"/>
  <c r="F7" i="81"/>
  <c r="G7" i="81" s="1"/>
  <c r="F28" i="81"/>
  <c r="G28" i="81" s="1"/>
  <c r="F26" i="81"/>
  <c r="X12" i="76"/>
  <c r="X6" i="76"/>
  <c r="Y6" i="76" s="1"/>
  <c r="T22" i="76"/>
  <c r="X13" i="76"/>
  <c r="X10" i="76"/>
  <c r="X7" i="76"/>
  <c r="X19" i="76"/>
  <c r="Y19" i="76" s="1"/>
  <c r="X9" i="76"/>
  <c r="F12" i="76"/>
  <c r="G12" i="76" s="1"/>
  <c r="F9" i="76"/>
  <c r="G9" i="76" s="1"/>
  <c r="F7" i="76"/>
  <c r="G7" i="76" s="1"/>
  <c r="F14" i="76"/>
  <c r="G14" i="76" s="1"/>
  <c r="H22" i="76"/>
  <c r="Z20" i="76"/>
  <c r="Y17" i="76"/>
  <c r="W8" i="71"/>
  <c r="O19" i="76" s="1"/>
  <c r="P19" i="76" s="1"/>
  <c r="O10" i="71"/>
  <c r="S16" i="71"/>
  <c r="G5" i="71"/>
  <c r="T11" i="76"/>
  <c r="O7" i="71"/>
  <c r="S15" i="71"/>
  <c r="O16" i="71"/>
  <c r="W16" i="71"/>
  <c r="S5" i="71"/>
  <c r="G18" i="71"/>
  <c r="M20" i="76"/>
  <c r="W14" i="71"/>
  <c r="W6" i="71"/>
  <c r="S14" i="71"/>
  <c r="S8" i="71"/>
  <c r="P20" i="76"/>
  <c r="S7" i="71"/>
  <c r="O15" i="71"/>
  <c r="O13" i="71"/>
  <c r="AJ13" i="71" s="1"/>
  <c r="AK13" i="71" s="1"/>
  <c r="K16" i="71"/>
  <c r="F15" i="76" s="1"/>
  <c r="G15" i="76" s="1"/>
  <c r="G14" i="71"/>
  <c r="G12" i="71"/>
  <c r="AJ12" i="71" s="1"/>
  <c r="AK12" i="71" s="1"/>
  <c r="C15" i="114" s="1"/>
  <c r="D15" i="114" s="1"/>
  <c r="E15" i="114" s="1"/>
  <c r="G16" i="71"/>
  <c r="G11" i="71"/>
  <c r="G6" i="71"/>
  <c r="AA24" i="76"/>
  <c r="AB24" i="76" s="1"/>
  <c r="AC24" i="76" s="1"/>
  <c r="Z16" i="103"/>
  <c r="W10" i="103"/>
  <c r="T23" i="103"/>
  <c r="M20" i="103"/>
  <c r="Y10" i="103"/>
  <c r="Y24" i="103"/>
  <c r="W16" i="103"/>
  <c r="S19" i="103"/>
  <c r="P16" i="103"/>
  <c r="Q20" i="103"/>
  <c r="P23" i="103"/>
  <c r="Q24" i="103"/>
  <c r="N14" i="103"/>
  <c r="N15" i="103"/>
  <c r="N16" i="103"/>
  <c r="M23" i="103"/>
  <c r="M24" i="103"/>
  <c r="K24" i="103"/>
  <c r="K16" i="103"/>
  <c r="H21" i="103"/>
  <c r="AA20" i="103"/>
  <c r="AB20" i="103" s="1"/>
  <c r="AC20" i="103" s="1"/>
  <c r="D24" i="103"/>
  <c r="D20" i="103"/>
  <c r="Y8" i="102"/>
  <c r="Y21" i="102"/>
  <c r="V21" i="102"/>
  <c r="T21" i="102"/>
  <c r="M21" i="102"/>
  <c r="J21" i="102"/>
  <c r="Y8" i="103"/>
  <c r="Z7" i="103"/>
  <c r="H10" i="103"/>
  <c r="G10" i="103"/>
  <c r="T10" i="103"/>
  <c r="S10" i="103"/>
  <c r="K15" i="103"/>
  <c r="J15" i="103"/>
  <c r="W15" i="103"/>
  <c r="V15" i="103"/>
  <c r="AA16" i="103"/>
  <c r="AB16" i="103" s="1"/>
  <c r="E17" i="103"/>
  <c r="D17" i="103"/>
  <c r="Q17" i="103"/>
  <c r="P17" i="103"/>
  <c r="AA17" i="103"/>
  <c r="AB17" i="103" s="1"/>
  <c r="N18" i="103"/>
  <c r="M18" i="103"/>
  <c r="Z18" i="103"/>
  <c r="Y18" i="103"/>
  <c r="AA22" i="103"/>
  <c r="AB22" i="103" s="1"/>
  <c r="AC22" i="103" s="1"/>
  <c r="W23" i="103"/>
  <c r="V23" i="103"/>
  <c r="AA24" i="103"/>
  <c r="AB24" i="103" s="1"/>
  <c r="AC24" i="103" s="1"/>
  <c r="G9" i="103"/>
  <c r="K14" i="103"/>
  <c r="J14" i="103"/>
  <c r="W14" i="103"/>
  <c r="V14" i="103"/>
  <c r="AA10" i="103"/>
  <c r="AB10" i="103" s="1"/>
  <c r="E6" i="103"/>
  <c r="D6" i="103"/>
  <c r="Q6" i="103"/>
  <c r="P6" i="103"/>
  <c r="M11" i="103"/>
  <c r="Z11" i="103"/>
  <c r="Y11" i="103"/>
  <c r="AA18" i="103"/>
  <c r="AB18" i="103" s="1"/>
  <c r="Q21" i="103"/>
  <c r="P21" i="103"/>
  <c r="N22" i="103"/>
  <c r="M22" i="103"/>
  <c r="K23" i="103"/>
  <c r="J23" i="103"/>
  <c r="AA13" i="103"/>
  <c r="AB13" i="103" s="1"/>
  <c r="N13" i="103"/>
  <c r="Z13" i="103"/>
  <c r="Y13" i="103"/>
  <c r="H20" i="103"/>
  <c r="G20" i="103"/>
  <c r="T20" i="103"/>
  <c r="S20" i="103"/>
  <c r="H16" i="103"/>
  <c r="G16" i="103"/>
  <c r="T16" i="103"/>
  <c r="S16" i="103"/>
  <c r="K19" i="103"/>
  <c r="J19" i="103"/>
  <c r="W19" i="103"/>
  <c r="V19" i="103"/>
  <c r="E21" i="103"/>
  <c r="D21" i="103"/>
  <c r="AA21" i="103"/>
  <c r="AB21" i="103" s="1"/>
  <c r="Z22" i="103"/>
  <c r="Y22" i="103"/>
  <c r="H24" i="103"/>
  <c r="G24" i="103"/>
  <c r="T24" i="103"/>
  <c r="S24" i="103"/>
  <c r="E13" i="103"/>
  <c r="E11" i="103"/>
  <c r="E18" i="103"/>
  <c r="E22" i="103"/>
  <c r="AA14" i="103"/>
  <c r="AB14" i="103" s="1"/>
  <c r="AA15" i="103"/>
  <c r="AB15" i="103" s="1"/>
  <c r="AC15" i="103" s="1"/>
  <c r="AA19" i="103"/>
  <c r="AB19" i="103" s="1"/>
  <c r="M21" i="103"/>
  <c r="Y21" i="103"/>
  <c r="J22" i="103"/>
  <c r="V22" i="103"/>
  <c r="AA23" i="103"/>
  <c r="AB23" i="103" s="1"/>
  <c r="K23" i="102"/>
  <c r="J23" i="102"/>
  <c r="W23" i="102"/>
  <c r="V23" i="102"/>
  <c r="Z5" i="102"/>
  <c r="E21" i="102"/>
  <c r="D21" i="102"/>
  <c r="Q21" i="102"/>
  <c r="P21" i="102"/>
  <c r="AA21" i="102"/>
  <c r="AB21" i="102" s="1"/>
  <c r="AC21" i="102" s="1"/>
  <c r="N22" i="102"/>
  <c r="M22" i="102"/>
  <c r="Z22" i="102"/>
  <c r="Y22" i="102"/>
  <c r="Z11" i="102"/>
  <c r="Y11" i="102"/>
  <c r="AA22" i="102"/>
  <c r="AB22" i="102" s="1"/>
  <c r="AC22" i="102" s="1"/>
  <c r="Z18" i="102"/>
  <c r="H24" i="102"/>
  <c r="G24" i="102"/>
  <c r="T24" i="102"/>
  <c r="S24" i="102"/>
  <c r="E22" i="102"/>
  <c r="AA23" i="102"/>
  <c r="AB23" i="102" s="1"/>
  <c r="AC23" i="102" s="1"/>
  <c r="AJ9" i="101"/>
  <c r="AK9" i="101" s="1"/>
  <c r="AL9" i="101" s="1"/>
  <c r="AJ13" i="101"/>
  <c r="AK13" i="101" s="1"/>
  <c r="AL13" i="101" s="1"/>
  <c r="AJ17" i="101"/>
  <c r="AK17" i="101" s="1"/>
  <c r="AL17" i="101" s="1"/>
  <c r="AJ21" i="101"/>
  <c r="AK21" i="101" s="1"/>
  <c r="AL21" i="101" s="1"/>
  <c r="AJ6" i="101"/>
  <c r="AK6" i="101" s="1"/>
  <c r="AL6" i="101" s="1"/>
  <c r="AJ8" i="101"/>
  <c r="AK8" i="101" s="1"/>
  <c r="AL8" i="101" s="1"/>
  <c r="AJ10" i="101"/>
  <c r="AK10" i="101" s="1"/>
  <c r="AL10" i="101" s="1"/>
  <c r="AJ12" i="101"/>
  <c r="AK12" i="101" s="1"/>
  <c r="AL12" i="101" s="1"/>
  <c r="AJ14" i="101"/>
  <c r="AK14" i="101" s="1"/>
  <c r="AL14" i="101" s="1"/>
  <c r="AJ16" i="101"/>
  <c r="AK16" i="101" s="1"/>
  <c r="AL16" i="101" s="1"/>
  <c r="AJ18" i="101"/>
  <c r="AK18" i="101" s="1"/>
  <c r="AL18" i="101" s="1"/>
  <c r="AJ20" i="101"/>
  <c r="AK20" i="101" s="1"/>
  <c r="AL20" i="101" s="1"/>
  <c r="AJ22" i="101"/>
  <c r="AK22" i="101" s="1"/>
  <c r="AL22" i="101" s="1"/>
  <c r="AJ24" i="101"/>
  <c r="AK24" i="101" s="1"/>
  <c r="AL24" i="101" s="1"/>
  <c r="AJ7" i="101"/>
  <c r="AK7" i="101" s="1"/>
  <c r="AL7" i="101" s="1"/>
  <c r="AJ11" i="101"/>
  <c r="AK11" i="101" s="1"/>
  <c r="AL11" i="101" s="1"/>
  <c r="AJ15" i="101"/>
  <c r="AK15" i="101" s="1"/>
  <c r="AL15" i="101" s="1"/>
  <c r="AJ19" i="101"/>
  <c r="AK19" i="101" s="1"/>
  <c r="AL19" i="101" s="1"/>
  <c r="AJ23" i="101"/>
  <c r="AK23" i="101" s="1"/>
  <c r="AL23" i="101" s="1"/>
  <c r="AJ16" i="100"/>
  <c r="AK16" i="100" s="1"/>
  <c r="AL16" i="100" s="1"/>
  <c r="AJ23" i="100"/>
  <c r="AK23" i="100" s="1"/>
  <c r="AL23" i="100" s="1"/>
  <c r="AJ13" i="100"/>
  <c r="AK13" i="100" s="1"/>
  <c r="AJ15" i="100"/>
  <c r="AK15" i="100" s="1"/>
  <c r="AJ21" i="100"/>
  <c r="AK21" i="100" s="1"/>
  <c r="AL21" i="100" s="1"/>
  <c r="AJ7" i="99"/>
  <c r="AK7" i="99" s="1"/>
  <c r="AL7" i="99" s="1"/>
  <c r="AJ11" i="99"/>
  <c r="AK11" i="99" s="1"/>
  <c r="AL11" i="99" s="1"/>
  <c r="AJ15" i="99"/>
  <c r="AK15" i="99" s="1"/>
  <c r="AL15" i="99" s="1"/>
  <c r="AJ19" i="99"/>
  <c r="AK19" i="99" s="1"/>
  <c r="AL19" i="99" s="1"/>
  <c r="AJ5" i="99"/>
  <c r="AK5" i="99" s="1"/>
  <c r="AL5" i="99" s="1"/>
  <c r="AJ9" i="99"/>
  <c r="AK9" i="99" s="1"/>
  <c r="AL9" i="99" s="1"/>
  <c r="AJ13" i="99"/>
  <c r="AK13" i="99" s="1"/>
  <c r="AL13" i="99" s="1"/>
  <c r="AJ17" i="99"/>
  <c r="AK17" i="99" s="1"/>
  <c r="AL17" i="99" s="1"/>
  <c r="AJ21" i="99"/>
  <c r="AK21" i="99" s="1"/>
  <c r="AL21" i="99" s="1"/>
  <c r="AJ23" i="99"/>
  <c r="AK23" i="99" s="1"/>
  <c r="AL23" i="99" s="1"/>
  <c r="AJ7" i="98"/>
  <c r="AK7" i="98" s="1"/>
  <c r="AL7" i="98" s="1"/>
  <c r="AJ11" i="98"/>
  <c r="AK11" i="98" s="1"/>
  <c r="AL11" i="98" s="1"/>
  <c r="AJ15" i="98"/>
  <c r="AK15" i="98" s="1"/>
  <c r="AL15" i="98" s="1"/>
  <c r="AJ21" i="98"/>
  <c r="AK21" i="98" s="1"/>
  <c r="AL21" i="98" s="1"/>
  <c r="AJ19" i="98"/>
  <c r="AK19" i="98" s="1"/>
  <c r="AL19" i="98" s="1"/>
  <c r="AJ23" i="98"/>
  <c r="AK23" i="98" s="1"/>
  <c r="AL23" i="98" s="1"/>
  <c r="AJ13" i="97"/>
  <c r="AJ23" i="97"/>
  <c r="AK23" i="97" s="1"/>
  <c r="AL23" i="97" s="1"/>
  <c r="AJ17" i="97"/>
  <c r="AK17" i="97" s="1"/>
  <c r="AL17" i="97" s="1"/>
  <c r="AJ18" i="97"/>
  <c r="AK18" i="97" s="1"/>
  <c r="AL18" i="97" s="1"/>
  <c r="AJ21" i="97"/>
  <c r="AK21" i="97" s="1"/>
  <c r="AL21" i="97" s="1"/>
  <c r="AJ22" i="97"/>
  <c r="AK22" i="97" s="1"/>
  <c r="AL22" i="97" s="1"/>
  <c r="AJ24" i="97"/>
  <c r="AK24" i="97" s="1"/>
  <c r="AL24" i="97" s="1"/>
  <c r="AJ15" i="96"/>
  <c r="AK15" i="96" s="1"/>
  <c r="AL15" i="96" s="1"/>
  <c r="AJ19" i="96"/>
  <c r="AK19" i="96" s="1"/>
  <c r="AL19" i="96" s="1"/>
  <c r="AJ13" i="96"/>
  <c r="AK13" i="96" s="1"/>
  <c r="AJ16" i="96"/>
  <c r="AK16" i="96" s="1"/>
  <c r="AL16" i="96" s="1"/>
  <c r="AJ18" i="96"/>
  <c r="AK18" i="96" s="1"/>
  <c r="AL18" i="96" s="1"/>
  <c r="AJ20" i="96"/>
  <c r="AK20" i="96" s="1"/>
  <c r="AL20" i="96" s="1"/>
  <c r="AJ22" i="96"/>
  <c r="AK22" i="96" s="1"/>
  <c r="AL22" i="96" s="1"/>
  <c r="AJ24" i="96"/>
  <c r="AK24" i="96" s="1"/>
  <c r="AL24" i="96" s="1"/>
  <c r="AJ20" i="95"/>
  <c r="AK20" i="95" s="1"/>
  <c r="AL20" i="95" s="1"/>
  <c r="AJ19" i="95"/>
  <c r="AK19" i="95" s="1"/>
  <c r="AJ18" i="95"/>
  <c r="AK18" i="95" s="1"/>
  <c r="AL18" i="95" s="1"/>
  <c r="AJ12" i="95"/>
  <c r="AK12" i="95" s="1"/>
  <c r="AJ5" i="94"/>
  <c r="AK5" i="94" s="1"/>
  <c r="AJ9" i="94"/>
  <c r="AK9" i="94" s="1"/>
  <c r="AJ20" i="94"/>
  <c r="AK20" i="94" s="1"/>
  <c r="AL20" i="94" s="1"/>
  <c r="AJ22" i="94"/>
  <c r="AK22" i="94" s="1"/>
  <c r="AL22" i="94" s="1"/>
  <c r="AJ14" i="94"/>
  <c r="AK14" i="94" s="1"/>
  <c r="AJ23" i="94"/>
  <c r="AK23" i="94" s="1"/>
  <c r="AL23" i="94" s="1"/>
  <c r="Y20" i="87"/>
  <c r="Y24" i="87"/>
  <c r="W24" i="87"/>
  <c r="S20" i="87"/>
  <c r="M20" i="87"/>
  <c r="K20" i="87"/>
  <c r="K24" i="87"/>
  <c r="AA20" i="87"/>
  <c r="AB20" i="87" s="1"/>
  <c r="AC20" i="87" s="1"/>
  <c r="Y21" i="87"/>
  <c r="T21" i="87"/>
  <c r="M21" i="87"/>
  <c r="H21" i="87"/>
  <c r="AJ6" i="93"/>
  <c r="AK6" i="93" s="1"/>
  <c r="AL6" i="93" s="1"/>
  <c r="AJ8" i="93"/>
  <c r="AK8" i="93" s="1"/>
  <c r="AL8" i="93" s="1"/>
  <c r="AJ10" i="93"/>
  <c r="AK10" i="93" s="1"/>
  <c r="AL10" i="93" s="1"/>
  <c r="AJ12" i="93"/>
  <c r="AK12" i="93" s="1"/>
  <c r="AL12" i="93" s="1"/>
  <c r="AJ14" i="93"/>
  <c r="AK14" i="93" s="1"/>
  <c r="AL14" i="93" s="1"/>
  <c r="AJ16" i="93"/>
  <c r="AK16" i="93" s="1"/>
  <c r="AL16" i="93" s="1"/>
  <c r="AJ18" i="93"/>
  <c r="AK18" i="93" s="1"/>
  <c r="AL18" i="93" s="1"/>
  <c r="AJ20" i="93"/>
  <c r="AK20" i="93" s="1"/>
  <c r="AL20" i="93" s="1"/>
  <c r="AJ22" i="93"/>
  <c r="AK22" i="93" s="1"/>
  <c r="AL22" i="93" s="1"/>
  <c r="AJ24" i="93"/>
  <c r="AK24" i="93" s="1"/>
  <c r="AL24" i="93" s="1"/>
  <c r="AJ7" i="93"/>
  <c r="AK7" i="93" s="1"/>
  <c r="AL7" i="93" s="1"/>
  <c r="AJ11" i="93"/>
  <c r="AK11" i="93" s="1"/>
  <c r="AL11" i="93" s="1"/>
  <c r="AJ15" i="93"/>
  <c r="AK15" i="93" s="1"/>
  <c r="AL15" i="93" s="1"/>
  <c r="AJ19" i="93"/>
  <c r="AK19" i="93" s="1"/>
  <c r="AL19" i="93" s="1"/>
  <c r="AJ23" i="93"/>
  <c r="AK23" i="93" s="1"/>
  <c r="AL23" i="93" s="1"/>
  <c r="Y18" i="92"/>
  <c r="AJ21" i="77"/>
  <c r="AK21" i="77" s="1"/>
  <c r="D21" i="92"/>
  <c r="N24" i="92"/>
  <c r="V24" i="92"/>
  <c r="T21" i="92"/>
  <c r="J24" i="92"/>
  <c r="Z8" i="92"/>
  <c r="H21" i="92"/>
  <c r="P21" i="92"/>
  <c r="Z24" i="92"/>
  <c r="T24" i="92"/>
  <c r="S24" i="92"/>
  <c r="H24" i="92"/>
  <c r="G24" i="92"/>
  <c r="AA24" i="92"/>
  <c r="AB24" i="92" s="1"/>
  <c r="AC24" i="92" s="1"/>
  <c r="Y6" i="92"/>
  <c r="J21" i="92"/>
  <c r="V21" i="92"/>
  <c r="D24" i="92"/>
  <c r="P24" i="92"/>
  <c r="AJ6" i="91"/>
  <c r="AK6" i="91" s="1"/>
  <c r="AJ7" i="91"/>
  <c r="AK7" i="91" s="1"/>
  <c r="AJ22" i="91"/>
  <c r="AK22" i="91" s="1"/>
  <c r="AL22" i="91" s="1"/>
  <c r="AJ24" i="91"/>
  <c r="AK24" i="91" s="1"/>
  <c r="AL24" i="91" s="1"/>
  <c r="AJ16" i="91"/>
  <c r="AK16" i="91" s="1"/>
  <c r="AJ23" i="91"/>
  <c r="AK23" i="91" s="1"/>
  <c r="AL23" i="91" s="1"/>
  <c r="AJ9" i="91"/>
  <c r="AK9" i="91" s="1"/>
  <c r="AJ6" i="90"/>
  <c r="AK6" i="90" s="1"/>
  <c r="AJ23" i="90"/>
  <c r="AK23" i="90" s="1"/>
  <c r="AL23" i="90" s="1"/>
  <c r="AJ8" i="90"/>
  <c r="AK8" i="90" s="1"/>
  <c r="AJ23" i="89"/>
  <c r="AK23" i="89" s="1"/>
  <c r="AL23" i="89" s="1"/>
  <c r="AJ17" i="89"/>
  <c r="AK17" i="89" s="1"/>
  <c r="AL17" i="89" s="1"/>
  <c r="AJ18" i="88"/>
  <c r="AK18" i="88" s="1"/>
  <c r="AJ24" i="88"/>
  <c r="AK24" i="88" s="1"/>
  <c r="K23" i="87"/>
  <c r="J23" i="87"/>
  <c r="W23" i="87"/>
  <c r="V23" i="87"/>
  <c r="AA24" i="87"/>
  <c r="AB24" i="87" s="1"/>
  <c r="AC24" i="87" s="1"/>
  <c r="Q21" i="87"/>
  <c r="P21" i="87"/>
  <c r="AA21" i="87"/>
  <c r="AB21" i="87" s="1"/>
  <c r="AC21" i="87" s="1"/>
  <c r="N22" i="87"/>
  <c r="M22" i="87"/>
  <c r="Z22" i="87"/>
  <c r="Y22" i="87"/>
  <c r="H24" i="87"/>
  <c r="G24" i="87"/>
  <c r="T24" i="87"/>
  <c r="S24" i="87"/>
  <c r="E22" i="87"/>
  <c r="AJ6" i="86"/>
  <c r="AK6" i="86" s="1"/>
  <c r="AL6" i="86" s="1"/>
  <c r="AJ8" i="86"/>
  <c r="AK8" i="86" s="1"/>
  <c r="AL8" i="86" s="1"/>
  <c r="AJ10" i="86"/>
  <c r="AK10" i="86" s="1"/>
  <c r="AL10" i="86" s="1"/>
  <c r="AJ12" i="86"/>
  <c r="AK12" i="86" s="1"/>
  <c r="AL12" i="86" s="1"/>
  <c r="AJ14" i="86"/>
  <c r="AK14" i="86" s="1"/>
  <c r="AL14" i="86" s="1"/>
  <c r="AJ16" i="86"/>
  <c r="AK16" i="86" s="1"/>
  <c r="AL16" i="86" s="1"/>
  <c r="AJ18" i="86"/>
  <c r="AK18" i="86" s="1"/>
  <c r="AL18" i="86" s="1"/>
  <c r="AJ20" i="86"/>
  <c r="AK20" i="86" s="1"/>
  <c r="AL20" i="86" s="1"/>
  <c r="AJ22" i="86"/>
  <c r="AK22" i="86" s="1"/>
  <c r="AL22" i="86" s="1"/>
  <c r="AJ24" i="86"/>
  <c r="AK24" i="86" s="1"/>
  <c r="AL24" i="86" s="1"/>
  <c r="AJ7" i="86"/>
  <c r="AK7" i="86" s="1"/>
  <c r="AL7" i="86" s="1"/>
  <c r="AJ11" i="86"/>
  <c r="AK11" i="86" s="1"/>
  <c r="AL11" i="86" s="1"/>
  <c r="AJ15" i="86"/>
  <c r="AK15" i="86" s="1"/>
  <c r="AL15" i="86" s="1"/>
  <c r="AJ19" i="86"/>
  <c r="AK19" i="86" s="1"/>
  <c r="AL19" i="86" s="1"/>
  <c r="AJ23" i="86"/>
  <c r="AK23" i="86" s="1"/>
  <c r="AL23" i="86" s="1"/>
  <c r="AJ15" i="85"/>
  <c r="AK15" i="85" s="1"/>
  <c r="AJ21" i="85"/>
  <c r="AK21" i="85" s="1"/>
  <c r="AL21" i="85" s="1"/>
  <c r="AJ16" i="85"/>
  <c r="AK16" i="85" s="1"/>
  <c r="AL16" i="85" s="1"/>
  <c r="AJ20" i="85"/>
  <c r="AK20" i="85" s="1"/>
  <c r="AL20" i="85" s="1"/>
  <c r="AJ23" i="85"/>
  <c r="AK23" i="85" s="1"/>
  <c r="AL23" i="85" s="1"/>
  <c r="AJ20" i="84"/>
  <c r="AK20" i="84" s="1"/>
  <c r="AL20" i="84" s="1"/>
  <c r="AJ22" i="84"/>
  <c r="AK22" i="84" s="1"/>
  <c r="AL22" i="84" s="1"/>
  <c r="AJ24" i="84"/>
  <c r="AK24" i="84" s="1"/>
  <c r="AL24" i="84" s="1"/>
  <c r="AJ18" i="84"/>
  <c r="AK18" i="84" s="1"/>
  <c r="AL18" i="84" s="1"/>
  <c r="AJ23" i="84"/>
  <c r="AK23" i="84" s="1"/>
  <c r="AL23" i="84" s="1"/>
  <c r="AJ18" i="83"/>
  <c r="AK18" i="83" s="1"/>
  <c r="AL18" i="83" s="1"/>
  <c r="AJ21" i="83"/>
  <c r="AK21" i="83" s="1"/>
  <c r="AL21" i="83" s="1"/>
  <c r="AJ22" i="83"/>
  <c r="AK22" i="83" s="1"/>
  <c r="AL22" i="83" s="1"/>
  <c r="AJ19" i="83"/>
  <c r="AK19" i="83" s="1"/>
  <c r="AL19" i="83" s="1"/>
  <c r="AJ23" i="83"/>
  <c r="AK23" i="83" s="1"/>
  <c r="AL23" i="83" s="1"/>
  <c r="AJ24" i="83"/>
  <c r="AK24" i="83" s="1"/>
  <c r="AL24" i="83" s="1"/>
  <c r="AJ19" i="82"/>
  <c r="AK19" i="82" s="1"/>
  <c r="AL19" i="82" s="1"/>
  <c r="AJ23" i="82"/>
  <c r="AK23" i="82" s="1"/>
  <c r="AL23" i="82" s="1"/>
  <c r="AJ13" i="82"/>
  <c r="AK13" i="82" s="1"/>
  <c r="AJ12" i="82"/>
  <c r="AK12" i="82" s="1"/>
  <c r="AJ16" i="82"/>
  <c r="AK16" i="82" s="1"/>
  <c r="AJ17" i="82"/>
  <c r="AK17" i="82" s="1"/>
  <c r="AL17" i="82" s="1"/>
  <c r="AJ18" i="82"/>
  <c r="AK18" i="82" s="1"/>
  <c r="AL18" i="82" s="1"/>
  <c r="AJ21" i="82"/>
  <c r="AK21" i="82" s="1"/>
  <c r="AL21" i="82" s="1"/>
  <c r="H27" i="81"/>
  <c r="AJ15" i="80"/>
  <c r="AK15" i="80" s="1"/>
  <c r="AL15" i="80" s="1"/>
  <c r="AJ17" i="80"/>
  <c r="AK17" i="80" s="1"/>
  <c r="AL17" i="80" s="1"/>
  <c r="AJ20" i="80"/>
  <c r="AK20" i="80" s="1"/>
  <c r="AL20" i="80" s="1"/>
  <c r="AJ21" i="80"/>
  <c r="AK21" i="80" s="1"/>
  <c r="AL21" i="80" s="1"/>
  <c r="AJ8" i="80"/>
  <c r="AK8" i="80" s="1"/>
  <c r="AJ6" i="80"/>
  <c r="AK6" i="80" s="1"/>
  <c r="AJ23" i="78"/>
  <c r="AK23" i="78" s="1"/>
  <c r="AJ25" i="78"/>
  <c r="AK25" i="78" s="1"/>
  <c r="AL25" i="78" s="1"/>
  <c r="H16" i="81"/>
  <c r="G16" i="81"/>
  <c r="Y23" i="81"/>
  <c r="AJ19" i="80"/>
  <c r="AK19" i="80" s="1"/>
  <c r="AJ13" i="80"/>
  <c r="AK13" i="80" s="1"/>
  <c r="AL13" i="80" s="1"/>
  <c r="AJ16" i="80"/>
  <c r="AK16" i="80" s="1"/>
  <c r="AL16" i="80" s="1"/>
  <c r="AJ10" i="80"/>
  <c r="AK10" i="80" s="1"/>
  <c r="AJ18" i="80"/>
  <c r="AK18" i="80" s="1"/>
  <c r="AJ23" i="80"/>
  <c r="AK23" i="80" s="1"/>
  <c r="AL23" i="80" s="1"/>
  <c r="AJ14" i="80"/>
  <c r="AK14" i="80" s="1"/>
  <c r="AJ22" i="80"/>
  <c r="AK22" i="80" s="1"/>
  <c r="AL22" i="80" s="1"/>
  <c r="AJ24" i="80"/>
  <c r="AK24" i="80" s="1"/>
  <c r="AL24" i="80" s="1"/>
  <c r="AJ25" i="79"/>
  <c r="AK25" i="79" s="1"/>
  <c r="AJ21" i="78"/>
  <c r="AK21" i="78" s="1"/>
  <c r="AL21" i="78" s="1"/>
  <c r="AJ26" i="77"/>
  <c r="AK26" i="77" s="1"/>
  <c r="AJ8" i="77"/>
  <c r="AK8" i="77" s="1"/>
  <c r="V24" i="76"/>
  <c r="J24" i="76"/>
  <c r="Y24" i="76"/>
  <c r="V22" i="76"/>
  <c r="P24" i="76"/>
  <c r="M24" i="76"/>
  <c r="D24" i="76"/>
  <c r="H20" i="76"/>
  <c r="Z18" i="76"/>
  <c r="H16" i="76"/>
  <c r="P16" i="76"/>
  <c r="H11" i="76"/>
  <c r="D16" i="76"/>
  <c r="T16" i="76"/>
  <c r="Y11" i="76"/>
  <c r="W11" i="76"/>
  <c r="V11" i="76"/>
  <c r="W20" i="76"/>
  <c r="V20" i="76"/>
  <c r="K20" i="76"/>
  <c r="J20" i="76"/>
  <c r="H18" i="76"/>
  <c r="G18" i="76"/>
  <c r="E22" i="76"/>
  <c r="D22" i="76"/>
  <c r="Z16" i="76"/>
  <c r="Y16" i="76"/>
  <c r="H24" i="76"/>
  <c r="G24" i="76"/>
  <c r="T24" i="76"/>
  <c r="S24" i="76"/>
  <c r="E16" i="76"/>
  <c r="S20" i="76"/>
  <c r="Y22" i="76"/>
  <c r="AJ18" i="75"/>
  <c r="AK18" i="75" s="1"/>
  <c r="AL18" i="75" s="1"/>
  <c r="AJ21" i="75"/>
  <c r="AK21" i="75" s="1"/>
  <c r="AL21" i="75" s="1"/>
  <c r="AJ24" i="75"/>
  <c r="AK24" i="75" s="1"/>
  <c r="AL24" i="75" s="1"/>
  <c r="AJ15" i="74"/>
  <c r="AK15" i="74" s="1"/>
  <c r="AJ21" i="74"/>
  <c r="AK21" i="74" s="1"/>
  <c r="AL21" i="74" s="1"/>
  <c r="AJ21" i="73"/>
  <c r="AK21" i="73" s="1"/>
  <c r="AL21" i="73" s="1"/>
  <c r="AJ12" i="73"/>
  <c r="AK12" i="73" s="1"/>
  <c r="AJ13" i="73"/>
  <c r="AK13" i="73" s="1"/>
  <c r="W17" i="71"/>
  <c r="S10" i="71"/>
  <c r="AJ21" i="71"/>
  <c r="AK21" i="71" s="1"/>
  <c r="AL21" i="71" s="1"/>
  <c r="G17" i="71"/>
  <c r="AJ7" i="75"/>
  <c r="AK7" i="75" s="1"/>
  <c r="AJ19" i="75"/>
  <c r="AK19" i="75" s="1"/>
  <c r="AJ15" i="75"/>
  <c r="AK15" i="75" s="1"/>
  <c r="AL15" i="75" s="1"/>
  <c r="AJ22" i="75"/>
  <c r="AK22" i="75" s="1"/>
  <c r="AL22" i="75" s="1"/>
  <c r="AJ23" i="75"/>
  <c r="AK23" i="75" s="1"/>
  <c r="AL23" i="75" s="1"/>
  <c r="AJ20" i="74"/>
  <c r="AJ12" i="74"/>
  <c r="AK12" i="74" s="1"/>
  <c r="AJ16" i="74"/>
  <c r="AK16" i="74" s="1"/>
  <c r="AL16" i="74" s="1"/>
  <c r="AJ22" i="74"/>
  <c r="AK22" i="74" s="1"/>
  <c r="AL22" i="74" s="1"/>
  <c r="AJ24" i="74"/>
  <c r="AK24" i="74" s="1"/>
  <c r="AL24" i="74" s="1"/>
  <c r="AJ23" i="74"/>
  <c r="AK23" i="74" s="1"/>
  <c r="AL23" i="74" s="1"/>
  <c r="AJ11" i="73"/>
  <c r="AK11" i="73" s="1"/>
  <c r="AJ22" i="73"/>
  <c r="AK22" i="73" s="1"/>
  <c r="AL22" i="73" s="1"/>
  <c r="AJ23" i="73"/>
  <c r="AK23" i="73" s="1"/>
  <c r="AL23" i="73" s="1"/>
  <c r="AJ24" i="73"/>
  <c r="AK24" i="73" s="1"/>
  <c r="AL24" i="73" s="1"/>
  <c r="AJ7" i="72"/>
  <c r="AK7" i="72" s="1"/>
  <c r="AJ24" i="72"/>
  <c r="AK24" i="72" s="1"/>
  <c r="AJ17" i="72"/>
  <c r="AK17" i="72" s="1"/>
  <c r="AJ6" i="72"/>
  <c r="AK6" i="72" s="1"/>
  <c r="AJ18" i="72"/>
  <c r="AK18" i="72" s="1"/>
  <c r="AL18" i="72" s="1"/>
  <c r="AJ16" i="72"/>
  <c r="AK16" i="72" s="1"/>
  <c r="AJ19" i="71"/>
  <c r="AK19" i="71" s="1"/>
  <c r="AL19" i="71" s="1"/>
  <c r="AJ9" i="71"/>
  <c r="AK9" i="71" s="1"/>
  <c r="AL9" i="71" s="1"/>
  <c r="AJ22" i="71"/>
  <c r="AK22" i="71" s="1"/>
  <c r="AL22" i="71" s="1"/>
  <c r="AJ24" i="71"/>
  <c r="AK24" i="71" s="1"/>
  <c r="AL24" i="71" s="1"/>
  <c r="AJ20" i="71"/>
  <c r="AK20" i="71" s="1"/>
  <c r="AJ23" i="71"/>
  <c r="AK23" i="71" s="1"/>
  <c r="AL23" i="71" s="1"/>
  <c r="G22" i="70"/>
  <c r="H18" i="70"/>
  <c r="H24" i="70"/>
  <c r="G24" i="70"/>
  <c r="H15" i="70"/>
  <c r="G15" i="70"/>
  <c r="H23" i="70"/>
  <c r="G23" i="70"/>
  <c r="G16" i="57"/>
  <c r="AI24" i="56"/>
  <c r="AD24" i="56"/>
  <c r="AC24" i="56"/>
  <c r="Z24" i="56"/>
  <c r="Y24" i="56"/>
  <c r="V24" i="56"/>
  <c r="U24" i="56"/>
  <c r="R24" i="56"/>
  <c r="Q24" i="56"/>
  <c r="N24" i="56"/>
  <c r="M24" i="56"/>
  <c r="F24" i="56"/>
  <c r="G24" i="56" s="1"/>
  <c r="E24" i="56"/>
  <c r="AI14" i="56"/>
  <c r="AD14" i="56"/>
  <c r="AE14" i="56" s="1"/>
  <c r="AC14" i="56"/>
  <c r="Z14" i="56"/>
  <c r="AA14" i="56" s="1"/>
  <c r="Y14" i="56"/>
  <c r="V14" i="56"/>
  <c r="W14" i="56" s="1"/>
  <c r="U14" i="56"/>
  <c r="R14" i="56"/>
  <c r="S14" i="56" s="1"/>
  <c r="Q14" i="56"/>
  <c r="N14" i="56"/>
  <c r="O14" i="56" s="1"/>
  <c r="M14" i="56"/>
  <c r="F14" i="56"/>
  <c r="G14" i="56" s="1"/>
  <c r="E14" i="56"/>
  <c r="AD23" i="56"/>
  <c r="AC23" i="56"/>
  <c r="Z23" i="56"/>
  <c r="Y23" i="56"/>
  <c r="V23" i="56"/>
  <c r="W23" i="56" s="1"/>
  <c r="U23" i="56"/>
  <c r="R23" i="56"/>
  <c r="S23" i="56" s="1"/>
  <c r="Q23" i="56"/>
  <c r="N23" i="56"/>
  <c r="M23" i="56"/>
  <c r="F23" i="56"/>
  <c r="G23" i="56" s="1"/>
  <c r="E23" i="56"/>
  <c r="AD17" i="56"/>
  <c r="AC17" i="56"/>
  <c r="Z17" i="56"/>
  <c r="Y17" i="56"/>
  <c r="V17" i="56"/>
  <c r="W17" i="56" s="1"/>
  <c r="U17" i="56"/>
  <c r="R17" i="56"/>
  <c r="S17" i="56" s="1"/>
  <c r="Q17" i="56"/>
  <c r="N17" i="56"/>
  <c r="O17" i="56" s="1"/>
  <c r="M17" i="56"/>
  <c r="F17" i="56"/>
  <c r="G17" i="56" s="1"/>
  <c r="E17" i="56"/>
  <c r="AD15" i="56"/>
  <c r="AC15" i="56"/>
  <c r="Z15" i="56"/>
  <c r="Y15" i="56"/>
  <c r="V15" i="56"/>
  <c r="W15" i="56" s="1"/>
  <c r="U15" i="56"/>
  <c r="R15" i="56"/>
  <c r="Q15" i="56"/>
  <c r="N15" i="56"/>
  <c r="O15" i="56" s="1"/>
  <c r="M15" i="56"/>
  <c r="F15" i="56"/>
  <c r="E15" i="56"/>
  <c r="AI5" i="56"/>
  <c r="AD5" i="56"/>
  <c r="AE5" i="56" s="1"/>
  <c r="AC5" i="56"/>
  <c r="Z5" i="56"/>
  <c r="Y5" i="56"/>
  <c r="V5" i="56"/>
  <c r="U5" i="56"/>
  <c r="R5" i="56"/>
  <c r="Q5" i="56"/>
  <c r="N5" i="56"/>
  <c r="M5" i="56"/>
  <c r="F5" i="56"/>
  <c r="E5" i="56"/>
  <c r="AD16" i="56"/>
  <c r="AE16" i="56" s="1"/>
  <c r="AC16" i="56"/>
  <c r="Z16" i="56"/>
  <c r="Y16" i="56"/>
  <c r="V16" i="56"/>
  <c r="U16" i="56"/>
  <c r="R16" i="56"/>
  <c r="Q16" i="56"/>
  <c r="N16" i="56"/>
  <c r="O16" i="56" s="1"/>
  <c r="M16" i="56"/>
  <c r="F16" i="56"/>
  <c r="E16" i="56"/>
  <c r="AI12" i="56"/>
  <c r="AD12" i="56"/>
  <c r="AC12" i="56"/>
  <c r="Z12" i="56"/>
  <c r="AA12" i="56" s="1"/>
  <c r="Y12" i="56"/>
  <c r="V12" i="56"/>
  <c r="W12" i="56" s="1"/>
  <c r="U12" i="56"/>
  <c r="R12" i="56"/>
  <c r="Q12" i="56"/>
  <c r="N12" i="56"/>
  <c r="M12" i="56"/>
  <c r="F12" i="56"/>
  <c r="G12" i="56" s="1"/>
  <c r="E12" i="56"/>
  <c r="AI20" i="56"/>
  <c r="AD20" i="56"/>
  <c r="AC20" i="56"/>
  <c r="Z20" i="56"/>
  <c r="Y20" i="56"/>
  <c r="V20" i="56"/>
  <c r="U20" i="56"/>
  <c r="R20" i="56"/>
  <c r="S20" i="56" s="1"/>
  <c r="Q20" i="56"/>
  <c r="N20" i="56"/>
  <c r="M20" i="56"/>
  <c r="F20" i="56"/>
  <c r="E20" i="56"/>
  <c r="AI18" i="56"/>
  <c r="AD18" i="56"/>
  <c r="AC18" i="56"/>
  <c r="Z18" i="56"/>
  <c r="Y18" i="56"/>
  <c r="V18" i="56"/>
  <c r="W18" i="56" s="1"/>
  <c r="U18" i="56"/>
  <c r="R18" i="56"/>
  <c r="Q18" i="56"/>
  <c r="N18" i="56"/>
  <c r="M18" i="56"/>
  <c r="F18" i="56"/>
  <c r="G18" i="56" s="1"/>
  <c r="E18" i="56"/>
  <c r="AI22" i="56"/>
  <c r="AD22" i="56"/>
  <c r="AE22" i="56" s="1"/>
  <c r="AC22" i="56"/>
  <c r="Z22" i="56"/>
  <c r="AA22" i="56" s="1"/>
  <c r="Y22" i="56"/>
  <c r="V22" i="56"/>
  <c r="U22" i="56"/>
  <c r="R22" i="56"/>
  <c r="Q22" i="56"/>
  <c r="N22" i="56"/>
  <c r="O22" i="56" s="1"/>
  <c r="M22" i="56"/>
  <c r="F22" i="56"/>
  <c r="E22" i="56"/>
  <c r="AD9" i="56"/>
  <c r="AC9" i="56"/>
  <c r="Z9" i="56"/>
  <c r="Y9" i="56"/>
  <c r="V9" i="56"/>
  <c r="U9" i="56"/>
  <c r="R9" i="56"/>
  <c r="Q9" i="56"/>
  <c r="N9" i="56"/>
  <c r="M9" i="56"/>
  <c r="F9" i="56"/>
  <c r="E9" i="56"/>
  <c r="AI13" i="56"/>
  <c r="AD13" i="56"/>
  <c r="AE13" i="56" s="1"/>
  <c r="AC13" i="56"/>
  <c r="Z13" i="56"/>
  <c r="Y13" i="56"/>
  <c r="V13" i="56"/>
  <c r="U13" i="56"/>
  <c r="R13" i="56"/>
  <c r="Q13" i="56"/>
  <c r="N13" i="56"/>
  <c r="M13" i="56"/>
  <c r="F13" i="56"/>
  <c r="E13" i="56"/>
  <c r="AD8" i="56"/>
  <c r="AC8" i="56"/>
  <c r="Z8" i="56"/>
  <c r="Y8" i="56"/>
  <c r="V8" i="56"/>
  <c r="W8" i="56" s="1"/>
  <c r="U8" i="56"/>
  <c r="R8" i="56"/>
  <c r="Q8" i="56"/>
  <c r="N8" i="56"/>
  <c r="M8" i="56"/>
  <c r="F8" i="56"/>
  <c r="G8" i="56" s="1"/>
  <c r="E8" i="56"/>
  <c r="AI7" i="56"/>
  <c r="AD7" i="56"/>
  <c r="AC7" i="56"/>
  <c r="Z7" i="56"/>
  <c r="Y7" i="56"/>
  <c r="V7" i="56"/>
  <c r="U7" i="56"/>
  <c r="R7" i="56"/>
  <c r="Q7" i="56"/>
  <c r="N7" i="56"/>
  <c r="M7" i="56"/>
  <c r="F7" i="56"/>
  <c r="E7" i="56"/>
  <c r="AD6" i="56"/>
  <c r="AC6" i="56"/>
  <c r="Z6" i="56"/>
  <c r="Y6" i="56"/>
  <c r="V6" i="56"/>
  <c r="U6" i="56"/>
  <c r="R6" i="56"/>
  <c r="Q6" i="56"/>
  <c r="N6" i="56"/>
  <c r="M6" i="56"/>
  <c r="J6" i="56"/>
  <c r="I6" i="56"/>
  <c r="F6" i="56"/>
  <c r="E6" i="56"/>
  <c r="AI19" i="56"/>
  <c r="AD19" i="56"/>
  <c r="AC19" i="56"/>
  <c r="Z19" i="56"/>
  <c r="Y19" i="56"/>
  <c r="V19" i="56"/>
  <c r="U19" i="56"/>
  <c r="R19" i="56"/>
  <c r="Q19" i="56"/>
  <c r="N19" i="56"/>
  <c r="M19" i="56"/>
  <c r="F19" i="56"/>
  <c r="G19" i="56" s="1"/>
  <c r="E19" i="56"/>
  <c r="AI6" i="55"/>
  <c r="AD6" i="55"/>
  <c r="AE6" i="55" s="1"/>
  <c r="AC6" i="55"/>
  <c r="Z6" i="55"/>
  <c r="AA6" i="55" s="1"/>
  <c r="Y6" i="55"/>
  <c r="V6" i="55"/>
  <c r="W6" i="55" s="1"/>
  <c r="U6" i="55"/>
  <c r="R6" i="55"/>
  <c r="Q6" i="55"/>
  <c r="N6" i="55"/>
  <c r="M6" i="55"/>
  <c r="F6" i="55"/>
  <c r="G6" i="55" s="1"/>
  <c r="E6" i="55"/>
  <c r="AD11" i="55"/>
  <c r="AC11" i="55"/>
  <c r="Z11" i="55"/>
  <c r="AA11" i="55" s="1"/>
  <c r="Y11" i="55"/>
  <c r="V11" i="55"/>
  <c r="W11" i="55" s="1"/>
  <c r="U11" i="55"/>
  <c r="R11" i="55"/>
  <c r="Q11" i="55"/>
  <c r="N11" i="55"/>
  <c r="M11" i="55"/>
  <c r="F11" i="55"/>
  <c r="E11" i="55"/>
  <c r="AI16" i="55"/>
  <c r="AD16" i="55"/>
  <c r="AE16" i="55" s="1"/>
  <c r="AC16" i="55"/>
  <c r="Z16" i="55"/>
  <c r="AA16" i="55" s="1"/>
  <c r="Y16" i="55"/>
  <c r="V16" i="55"/>
  <c r="U16" i="55"/>
  <c r="R16" i="55"/>
  <c r="Q16" i="55"/>
  <c r="N16" i="55"/>
  <c r="M16" i="55"/>
  <c r="F16" i="55"/>
  <c r="E16" i="55"/>
  <c r="AI9" i="55"/>
  <c r="AD9" i="55"/>
  <c r="AE9" i="55" s="1"/>
  <c r="AC9" i="55"/>
  <c r="Z9" i="55"/>
  <c r="AA9" i="55" s="1"/>
  <c r="Y9" i="55"/>
  <c r="V9" i="55"/>
  <c r="W9" i="55" s="1"/>
  <c r="U9" i="55"/>
  <c r="R9" i="55"/>
  <c r="Q9" i="55"/>
  <c r="N9" i="55"/>
  <c r="M9" i="55"/>
  <c r="F9" i="55"/>
  <c r="G9" i="55" s="1"/>
  <c r="E9" i="55"/>
  <c r="AI14" i="55"/>
  <c r="AD14" i="55"/>
  <c r="AE14" i="55" s="1"/>
  <c r="AC14" i="55"/>
  <c r="Z14" i="55"/>
  <c r="AA14" i="55" s="1"/>
  <c r="Y14" i="55"/>
  <c r="V14" i="55"/>
  <c r="W14" i="55" s="1"/>
  <c r="U14" i="55"/>
  <c r="R14" i="55"/>
  <c r="Q14" i="55"/>
  <c r="N14" i="55"/>
  <c r="O14" i="55" s="1"/>
  <c r="M14" i="55"/>
  <c r="F14" i="55"/>
  <c r="G14" i="55" s="1"/>
  <c r="E14" i="55"/>
  <c r="AI12" i="55"/>
  <c r="AD12" i="55"/>
  <c r="AC12" i="55"/>
  <c r="Z12" i="55"/>
  <c r="Y12" i="55"/>
  <c r="V12" i="55"/>
  <c r="U12" i="55"/>
  <c r="R12" i="55"/>
  <c r="Q12" i="55"/>
  <c r="N12" i="55"/>
  <c r="M12" i="55"/>
  <c r="F12" i="55"/>
  <c r="E12" i="55"/>
  <c r="AI18" i="55"/>
  <c r="AD18" i="55"/>
  <c r="AC18" i="55"/>
  <c r="Z18" i="55"/>
  <c r="AA18" i="55" s="1"/>
  <c r="Y18" i="55"/>
  <c r="V18" i="55"/>
  <c r="W18" i="55" s="1"/>
  <c r="U18" i="55"/>
  <c r="R18" i="55"/>
  <c r="S18" i="55" s="1"/>
  <c r="Q18" i="55"/>
  <c r="N18" i="55"/>
  <c r="O18" i="55" s="1"/>
  <c r="M18" i="55"/>
  <c r="F18" i="55"/>
  <c r="G18" i="55" s="1"/>
  <c r="E18" i="55"/>
  <c r="AI21" i="55"/>
  <c r="AD21" i="55"/>
  <c r="AE21" i="55" s="1"/>
  <c r="AC21" i="55"/>
  <c r="Z21" i="55"/>
  <c r="Y21" i="55"/>
  <c r="V21" i="55"/>
  <c r="U21" i="55"/>
  <c r="R21" i="55"/>
  <c r="Q21" i="55"/>
  <c r="N21" i="55"/>
  <c r="M21" i="55"/>
  <c r="F21" i="55"/>
  <c r="G21" i="55" s="1"/>
  <c r="E21" i="55"/>
  <c r="AI23" i="55"/>
  <c r="AD23" i="55"/>
  <c r="AC23" i="55"/>
  <c r="Z23" i="55"/>
  <c r="Y23" i="55"/>
  <c r="V23" i="55"/>
  <c r="W23" i="55" s="1"/>
  <c r="U23" i="55"/>
  <c r="R23" i="55"/>
  <c r="Q23" i="55"/>
  <c r="N23" i="55"/>
  <c r="M23" i="55"/>
  <c r="F23" i="55"/>
  <c r="G23" i="55" s="1"/>
  <c r="E23" i="55"/>
  <c r="AI22" i="55"/>
  <c r="AD22" i="55"/>
  <c r="AE22" i="55" s="1"/>
  <c r="AC22" i="55"/>
  <c r="Z22" i="55"/>
  <c r="Y22" i="55"/>
  <c r="V22" i="55"/>
  <c r="W22" i="55" s="1"/>
  <c r="U22" i="55"/>
  <c r="R22" i="55"/>
  <c r="Q22" i="55"/>
  <c r="N22" i="55"/>
  <c r="M22" i="55"/>
  <c r="F22" i="55"/>
  <c r="E22" i="55"/>
  <c r="AI15" i="55"/>
  <c r="AD15" i="55"/>
  <c r="AC15" i="55"/>
  <c r="Z15" i="55"/>
  <c r="AA15" i="55" s="1"/>
  <c r="Y15" i="55"/>
  <c r="V15" i="55"/>
  <c r="U15" i="55"/>
  <c r="R15" i="55"/>
  <c r="Q15" i="55"/>
  <c r="N15" i="55"/>
  <c r="M15" i="55"/>
  <c r="F15" i="55"/>
  <c r="G15" i="55" s="1"/>
  <c r="E15" i="55"/>
  <c r="AD8" i="55"/>
  <c r="AC8" i="55"/>
  <c r="Z8" i="55"/>
  <c r="Y8" i="55"/>
  <c r="V8" i="55"/>
  <c r="U8" i="55"/>
  <c r="R8" i="55"/>
  <c r="Q8" i="55"/>
  <c r="N8" i="55"/>
  <c r="M8" i="55"/>
  <c r="F8" i="55"/>
  <c r="E8" i="55"/>
  <c r="AI10" i="55"/>
  <c r="AD10" i="55"/>
  <c r="AC10" i="55"/>
  <c r="Z10" i="55"/>
  <c r="Y10" i="55"/>
  <c r="V10" i="55"/>
  <c r="U10" i="55"/>
  <c r="R10" i="55"/>
  <c r="Q10" i="55"/>
  <c r="N10" i="55"/>
  <c r="M10" i="55"/>
  <c r="F10" i="55"/>
  <c r="E10" i="55"/>
  <c r="AD17" i="55"/>
  <c r="AC17" i="55"/>
  <c r="Z17" i="55"/>
  <c r="AA17" i="55" s="1"/>
  <c r="Y17" i="55"/>
  <c r="V17" i="55"/>
  <c r="U17" i="55"/>
  <c r="R17" i="55"/>
  <c r="Q17" i="55"/>
  <c r="N17" i="55"/>
  <c r="M17" i="55"/>
  <c r="F17" i="55"/>
  <c r="E17" i="55"/>
  <c r="AI20" i="55"/>
  <c r="AD20" i="55"/>
  <c r="AC20" i="55"/>
  <c r="Z20" i="55"/>
  <c r="Y20" i="55"/>
  <c r="V20" i="55"/>
  <c r="U20" i="55"/>
  <c r="R20" i="55"/>
  <c r="Q20" i="55"/>
  <c r="N20" i="55"/>
  <c r="M20" i="55"/>
  <c r="J20" i="55"/>
  <c r="I20" i="55"/>
  <c r="F20" i="55"/>
  <c r="E20" i="55"/>
  <c r="AI5" i="55"/>
  <c r="AD5" i="55"/>
  <c r="AC5" i="55"/>
  <c r="Z5" i="55"/>
  <c r="Y5" i="55"/>
  <c r="V5" i="55"/>
  <c r="U5" i="55"/>
  <c r="R5" i="55"/>
  <c r="Q5" i="55"/>
  <c r="N5" i="55"/>
  <c r="M5" i="55"/>
  <c r="F5" i="55"/>
  <c r="E5" i="55"/>
  <c r="AD13" i="54"/>
  <c r="AE13" i="54" s="1"/>
  <c r="AC13" i="54"/>
  <c r="Z13" i="54"/>
  <c r="AA13" i="54" s="1"/>
  <c r="Y13" i="54"/>
  <c r="V13" i="54"/>
  <c r="W13" i="54" s="1"/>
  <c r="U13" i="54"/>
  <c r="R13" i="54"/>
  <c r="Q13" i="54"/>
  <c r="N13" i="54"/>
  <c r="M13" i="54"/>
  <c r="F13" i="54"/>
  <c r="G13" i="54" s="1"/>
  <c r="E13" i="54"/>
  <c r="AD11" i="54"/>
  <c r="AE11" i="54" s="1"/>
  <c r="AC11" i="54"/>
  <c r="Z11" i="54"/>
  <c r="AA11" i="54" s="1"/>
  <c r="Y11" i="54"/>
  <c r="V11" i="54"/>
  <c r="W11" i="54" s="1"/>
  <c r="U11" i="54"/>
  <c r="R11" i="54"/>
  <c r="Q11" i="54"/>
  <c r="N11" i="54"/>
  <c r="M11" i="54"/>
  <c r="F11" i="54"/>
  <c r="G11" i="54" s="1"/>
  <c r="E11" i="54"/>
  <c r="AD17" i="54"/>
  <c r="AE17" i="54" s="1"/>
  <c r="AC17" i="54"/>
  <c r="Z17" i="54"/>
  <c r="AA17" i="54" s="1"/>
  <c r="Y17" i="54"/>
  <c r="V17" i="54"/>
  <c r="U17" i="54"/>
  <c r="R17" i="54"/>
  <c r="Q17" i="54"/>
  <c r="N17" i="54"/>
  <c r="M17" i="54"/>
  <c r="F17" i="54"/>
  <c r="E17" i="54"/>
  <c r="AD22" i="54"/>
  <c r="AE22" i="54" s="1"/>
  <c r="AC22" i="54"/>
  <c r="Z22" i="54"/>
  <c r="Y22" i="54"/>
  <c r="V22" i="54"/>
  <c r="W22" i="54" s="1"/>
  <c r="U22" i="54"/>
  <c r="R22" i="54"/>
  <c r="Q22" i="54"/>
  <c r="N22" i="54"/>
  <c r="M22" i="54"/>
  <c r="F22" i="54"/>
  <c r="E22" i="54"/>
  <c r="AD8" i="54"/>
  <c r="AE8" i="54" s="1"/>
  <c r="AC8" i="54"/>
  <c r="Z8" i="54"/>
  <c r="AA8" i="54" s="1"/>
  <c r="Y8" i="54"/>
  <c r="V8" i="54"/>
  <c r="W8" i="54" s="1"/>
  <c r="U8" i="54"/>
  <c r="R8" i="54"/>
  <c r="Q8" i="54"/>
  <c r="N8" i="54"/>
  <c r="M8" i="54"/>
  <c r="F8" i="54"/>
  <c r="E8" i="54"/>
  <c r="AD15" i="54"/>
  <c r="AE15" i="54" s="1"/>
  <c r="AC15" i="54"/>
  <c r="Z15" i="54"/>
  <c r="Y15" i="54"/>
  <c r="V15" i="54"/>
  <c r="U15" i="54"/>
  <c r="R15" i="54"/>
  <c r="Q15" i="54"/>
  <c r="N15" i="54"/>
  <c r="M15" i="54"/>
  <c r="F15" i="54"/>
  <c r="E15" i="54"/>
  <c r="AD10" i="54"/>
  <c r="AC10" i="54"/>
  <c r="Z10" i="54"/>
  <c r="Y10" i="54"/>
  <c r="V10" i="54"/>
  <c r="U10" i="54"/>
  <c r="R10" i="54"/>
  <c r="Q10" i="54"/>
  <c r="N10" i="54"/>
  <c r="M10" i="54"/>
  <c r="F10" i="54"/>
  <c r="E10" i="54"/>
  <c r="AD23" i="54"/>
  <c r="AE23" i="54" s="1"/>
  <c r="AC23" i="54"/>
  <c r="Z23" i="54"/>
  <c r="AA23" i="54" s="1"/>
  <c r="Y23" i="54"/>
  <c r="V23" i="54"/>
  <c r="W23" i="54" s="1"/>
  <c r="U23" i="54"/>
  <c r="R23" i="54"/>
  <c r="Q23" i="54"/>
  <c r="N23" i="54"/>
  <c r="M23" i="54"/>
  <c r="F23" i="54"/>
  <c r="G23" i="54" s="1"/>
  <c r="E23" i="54"/>
  <c r="AD7" i="54"/>
  <c r="AE7" i="54" s="1"/>
  <c r="AC7" i="54"/>
  <c r="Z7" i="54"/>
  <c r="AA7" i="54" s="1"/>
  <c r="Y7" i="54"/>
  <c r="V7" i="54"/>
  <c r="W7" i="54" s="1"/>
  <c r="U7" i="54"/>
  <c r="R7" i="54"/>
  <c r="Q7" i="54"/>
  <c r="N7" i="54"/>
  <c r="O7" i="54" s="1"/>
  <c r="M7" i="54"/>
  <c r="F7" i="54"/>
  <c r="G7" i="54" s="1"/>
  <c r="E7" i="54"/>
  <c r="AD21" i="54"/>
  <c r="AE21" i="54" s="1"/>
  <c r="AC21" i="54"/>
  <c r="Z21" i="54"/>
  <c r="AA21" i="54" s="1"/>
  <c r="Y21" i="54"/>
  <c r="V21" i="54"/>
  <c r="W21" i="54" s="1"/>
  <c r="U21" i="54"/>
  <c r="R21" i="54"/>
  <c r="S21" i="54" s="1"/>
  <c r="Q21" i="54"/>
  <c r="N21" i="54"/>
  <c r="O21" i="54" s="1"/>
  <c r="M21" i="54"/>
  <c r="F21" i="54"/>
  <c r="G21" i="54" s="1"/>
  <c r="E21" i="54"/>
  <c r="AD5" i="54"/>
  <c r="AC5" i="54"/>
  <c r="Z5" i="54"/>
  <c r="Y5" i="54"/>
  <c r="V5" i="54"/>
  <c r="U5" i="54"/>
  <c r="R5" i="54"/>
  <c r="Q5" i="54"/>
  <c r="N5" i="54"/>
  <c r="M5" i="54"/>
  <c r="F5" i="54"/>
  <c r="E5" i="54"/>
  <c r="AD14" i="54"/>
  <c r="AC14" i="54"/>
  <c r="Z14" i="54"/>
  <c r="Y14" i="54"/>
  <c r="V14" i="54"/>
  <c r="U14" i="54"/>
  <c r="R14" i="54"/>
  <c r="Q14" i="54"/>
  <c r="N14" i="54"/>
  <c r="M14" i="54"/>
  <c r="F14" i="54"/>
  <c r="E14" i="54"/>
  <c r="AD18" i="54"/>
  <c r="AC18" i="54"/>
  <c r="Z18" i="54"/>
  <c r="AA18" i="54" s="1"/>
  <c r="Y18" i="54"/>
  <c r="V18" i="54"/>
  <c r="U18" i="54"/>
  <c r="R18" i="54"/>
  <c r="Q18" i="54"/>
  <c r="N18" i="54"/>
  <c r="M18" i="54"/>
  <c r="F18" i="54"/>
  <c r="E18" i="54"/>
  <c r="AD12" i="54"/>
  <c r="AC12" i="54"/>
  <c r="Z12" i="54"/>
  <c r="Y12" i="54"/>
  <c r="V12" i="54"/>
  <c r="U12" i="54"/>
  <c r="R12" i="54"/>
  <c r="Q12" i="54"/>
  <c r="N12" i="54"/>
  <c r="M12" i="54"/>
  <c r="J12" i="54"/>
  <c r="I12" i="54"/>
  <c r="F12" i="54"/>
  <c r="E12" i="54"/>
  <c r="AD9" i="54"/>
  <c r="AC9" i="54"/>
  <c r="Z9" i="54"/>
  <c r="Y9" i="54"/>
  <c r="V9" i="54"/>
  <c r="U9" i="54"/>
  <c r="R9" i="54"/>
  <c r="Q9" i="54"/>
  <c r="N9" i="54"/>
  <c r="M9" i="54"/>
  <c r="F9" i="54"/>
  <c r="E9" i="54"/>
  <c r="AI19" i="49"/>
  <c r="X23" i="70" s="1"/>
  <c r="Z23" i="70" s="1"/>
  <c r="AI18" i="49"/>
  <c r="X12" i="70" s="1"/>
  <c r="Z12" i="70" s="1"/>
  <c r="AI20" i="49"/>
  <c r="X13" i="70" s="1"/>
  <c r="Y13" i="70" s="1"/>
  <c r="AI17" i="49"/>
  <c r="X18" i="70" s="1"/>
  <c r="Z18" i="70" s="1"/>
  <c r="AI24" i="49"/>
  <c r="X22" i="70" s="1"/>
  <c r="Z22" i="70" s="1"/>
  <c r="AI15" i="49"/>
  <c r="X24" i="70" s="1"/>
  <c r="Y24" i="70" s="1"/>
  <c r="AI23" i="49"/>
  <c r="X21" i="70" s="1"/>
  <c r="Z21" i="70" s="1"/>
  <c r="AI22" i="49"/>
  <c r="X20" i="70" s="1"/>
  <c r="Y20" i="70" s="1"/>
  <c r="AI16" i="49"/>
  <c r="AI5" i="49"/>
  <c r="AI7" i="49"/>
  <c r="AI8" i="49"/>
  <c r="AI6" i="49"/>
  <c r="AI10" i="49"/>
  <c r="AI11" i="49"/>
  <c r="AI12" i="49"/>
  <c r="X15" i="70" s="1"/>
  <c r="Y15" i="70" s="1"/>
  <c r="AI14" i="49"/>
  <c r="AI9" i="49"/>
  <c r="AI13" i="49"/>
  <c r="AI21" i="49"/>
  <c r="AD19" i="49"/>
  <c r="AE19" i="49" s="1"/>
  <c r="AC19" i="49"/>
  <c r="AD18" i="49"/>
  <c r="AE18" i="49" s="1"/>
  <c r="AC18" i="49"/>
  <c r="AD20" i="49"/>
  <c r="AE20" i="49" s="1"/>
  <c r="AC20" i="49"/>
  <c r="AD17" i="49"/>
  <c r="AE17" i="49" s="1"/>
  <c r="AC17" i="49"/>
  <c r="AD24" i="49"/>
  <c r="AE24" i="49" s="1"/>
  <c r="AC24" i="49"/>
  <c r="AD15" i="49"/>
  <c r="AE15" i="49" s="1"/>
  <c r="U24" i="70" s="1"/>
  <c r="W24" i="70" s="1"/>
  <c r="AC15" i="49"/>
  <c r="AD23" i="49"/>
  <c r="AE23" i="49" s="1"/>
  <c r="AC23" i="49"/>
  <c r="AD22" i="49"/>
  <c r="AE22" i="49" s="1"/>
  <c r="U20" i="70" s="1"/>
  <c r="W20" i="70" s="1"/>
  <c r="AC22" i="49"/>
  <c r="AD16" i="49"/>
  <c r="AE16" i="49" s="1"/>
  <c r="AC16" i="49"/>
  <c r="AD5" i="49"/>
  <c r="AE5" i="49" s="1"/>
  <c r="AC5" i="49"/>
  <c r="AD7" i="49"/>
  <c r="AE7" i="49" s="1"/>
  <c r="AC7" i="49"/>
  <c r="AD8" i="49"/>
  <c r="AE8" i="49" s="1"/>
  <c r="AC8" i="49"/>
  <c r="AD6" i="49"/>
  <c r="AC6" i="49"/>
  <c r="AD10" i="49"/>
  <c r="AC10" i="49"/>
  <c r="AD11" i="49"/>
  <c r="AC11" i="49"/>
  <c r="AD12" i="49"/>
  <c r="AC12" i="49"/>
  <c r="AD14" i="49"/>
  <c r="AC14" i="49"/>
  <c r="AD9" i="49"/>
  <c r="AC9" i="49"/>
  <c r="AD13" i="49"/>
  <c r="AC13" i="49"/>
  <c r="AD21" i="49"/>
  <c r="AC21" i="49"/>
  <c r="Z19" i="49"/>
  <c r="AA19" i="49" s="1"/>
  <c r="Y19" i="49"/>
  <c r="Z18" i="49"/>
  <c r="AA18" i="49" s="1"/>
  <c r="Y18" i="49"/>
  <c r="Z20" i="49"/>
  <c r="AA20" i="49" s="1"/>
  <c r="Y20" i="49"/>
  <c r="Z17" i="49"/>
  <c r="AA17" i="49" s="1"/>
  <c r="Y17" i="49"/>
  <c r="Z24" i="49"/>
  <c r="AA24" i="49" s="1"/>
  <c r="Y24" i="49"/>
  <c r="Z15" i="49"/>
  <c r="AA15" i="49" s="1"/>
  <c r="R24" i="70" s="1"/>
  <c r="T24" i="70" s="1"/>
  <c r="Y15" i="49"/>
  <c r="Z23" i="49"/>
  <c r="AA23" i="49" s="1"/>
  <c r="Y23" i="49"/>
  <c r="Z22" i="49"/>
  <c r="AA22" i="49" s="1"/>
  <c r="R20" i="70" s="1"/>
  <c r="T20" i="70" s="1"/>
  <c r="Y22" i="49"/>
  <c r="Z16" i="49"/>
  <c r="AA16" i="49" s="1"/>
  <c r="Y16" i="49"/>
  <c r="Z5" i="49"/>
  <c r="AA5" i="49" s="1"/>
  <c r="Y5" i="49"/>
  <c r="Z7" i="49"/>
  <c r="Y7" i="49"/>
  <c r="Z8" i="49"/>
  <c r="AA8" i="49" s="1"/>
  <c r="Y8" i="49"/>
  <c r="Z6" i="49"/>
  <c r="Y6" i="49"/>
  <c r="Z10" i="49"/>
  <c r="Y10" i="49"/>
  <c r="Z11" i="49"/>
  <c r="Y11" i="49"/>
  <c r="Z12" i="49"/>
  <c r="Y12" i="49"/>
  <c r="Z14" i="49"/>
  <c r="Y14" i="49"/>
  <c r="Z9" i="49"/>
  <c r="Y9" i="49"/>
  <c r="Z13" i="49"/>
  <c r="AA13" i="49" s="1"/>
  <c r="Y13" i="49"/>
  <c r="Z21" i="49"/>
  <c r="Y21" i="49"/>
  <c r="V19" i="49"/>
  <c r="W19" i="49" s="1"/>
  <c r="U19" i="49"/>
  <c r="V18" i="49"/>
  <c r="W18" i="49" s="1"/>
  <c r="O12" i="70" s="1"/>
  <c r="Q12" i="70" s="1"/>
  <c r="U18" i="49"/>
  <c r="V20" i="49"/>
  <c r="W20" i="49" s="1"/>
  <c r="U20" i="49"/>
  <c r="V17" i="49"/>
  <c r="W17" i="49" s="1"/>
  <c r="U17" i="49"/>
  <c r="V24" i="49"/>
  <c r="W24" i="49" s="1"/>
  <c r="U24" i="49"/>
  <c r="V15" i="49"/>
  <c r="W15" i="49" s="1"/>
  <c r="U15" i="49"/>
  <c r="V23" i="49"/>
  <c r="W23" i="49" s="1"/>
  <c r="U23" i="49"/>
  <c r="V22" i="49"/>
  <c r="W22" i="49" s="1"/>
  <c r="O20" i="70" s="1"/>
  <c r="Q20" i="70" s="1"/>
  <c r="U22" i="49"/>
  <c r="V16" i="49"/>
  <c r="W16" i="49" s="1"/>
  <c r="U16" i="49"/>
  <c r="V5" i="49"/>
  <c r="W5" i="49" s="1"/>
  <c r="U5" i="49"/>
  <c r="V7" i="49"/>
  <c r="W7" i="49" s="1"/>
  <c r="U7" i="49"/>
  <c r="V8" i="49"/>
  <c r="W8" i="49" s="1"/>
  <c r="U8" i="49"/>
  <c r="V6" i="49"/>
  <c r="U6" i="49"/>
  <c r="V10" i="49"/>
  <c r="U10" i="49"/>
  <c r="V11" i="49"/>
  <c r="U11" i="49"/>
  <c r="V12" i="49"/>
  <c r="U12" i="49"/>
  <c r="V14" i="49"/>
  <c r="U14" i="49"/>
  <c r="V9" i="49"/>
  <c r="U9" i="49"/>
  <c r="V13" i="49"/>
  <c r="U13" i="49"/>
  <c r="V21" i="49"/>
  <c r="U21" i="49"/>
  <c r="R19" i="49"/>
  <c r="S19" i="49" s="1"/>
  <c r="Q19" i="49"/>
  <c r="R18" i="49"/>
  <c r="Q18" i="49"/>
  <c r="R20" i="49"/>
  <c r="S20" i="49" s="1"/>
  <c r="Q20" i="49"/>
  <c r="R17" i="49"/>
  <c r="Q17" i="49"/>
  <c r="R24" i="49"/>
  <c r="S24" i="49" s="1"/>
  <c r="Q24" i="49"/>
  <c r="R15" i="49"/>
  <c r="Q15" i="49"/>
  <c r="R23" i="49"/>
  <c r="Q23" i="49"/>
  <c r="R22" i="49"/>
  <c r="Q22" i="49"/>
  <c r="R16" i="49"/>
  <c r="S16" i="49" s="1"/>
  <c r="Q16" i="49"/>
  <c r="R5" i="49"/>
  <c r="Q5" i="49"/>
  <c r="R7" i="49"/>
  <c r="Q7" i="49"/>
  <c r="R8" i="49"/>
  <c r="S8" i="49" s="1"/>
  <c r="Q8" i="49"/>
  <c r="R6" i="49"/>
  <c r="Q6" i="49"/>
  <c r="R10" i="49"/>
  <c r="Q10" i="49"/>
  <c r="R11" i="49"/>
  <c r="Q11" i="49"/>
  <c r="R12" i="49"/>
  <c r="Q12" i="49"/>
  <c r="R14" i="49"/>
  <c r="Q14" i="49"/>
  <c r="R9" i="49"/>
  <c r="Q9" i="49"/>
  <c r="R13" i="49"/>
  <c r="Q13" i="49"/>
  <c r="R21" i="49"/>
  <c r="Q21" i="49"/>
  <c r="N19" i="49"/>
  <c r="O19" i="49" s="1"/>
  <c r="M19" i="49"/>
  <c r="N18" i="49"/>
  <c r="O18" i="49" s="1"/>
  <c r="M18" i="49"/>
  <c r="N20" i="49"/>
  <c r="M20" i="49"/>
  <c r="N17" i="49"/>
  <c r="O17" i="49" s="1"/>
  <c r="M17" i="49"/>
  <c r="N24" i="49"/>
  <c r="O24" i="49" s="1"/>
  <c r="M24" i="49"/>
  <c r="N15" i="49"/>
  <c r="O15" i="49" s="1"/>
  <c r="M15" i="49"/>
  <c r="N23" i="49"/>
  <c r="M23" i="49"/>
  <c r="N22" i="49"/>
  <c r="M22" i="49"/>
  <c r="N16" i="49"/>
  <c r="M16" i="49"/>
  <c r="N5" i="49"/>
  <c r="M5" i="49"/>
  <c r="N7" i="49"/>
  <c r="M7" i="49"/>
  <c r="N8" i="49"/>
  <c r="M8" i="49"/>
  <c r="N6" i="49"/>
  <c r="M6" i="49"/>
  <c r="N10" i="49"/>
  <c r="M10" i="49"/>
  <c r="N11" i="49"/>
  <c r="M11" i="49"/>
  <c r="N12" i="49"/>
  <c r="M12" i="49"/>
  <c r="N14" i="49"/>
  <c r="M14" i="49"/>
  <c r="N9" i="49"/>
  <c r="M9" i="49"/>
  <c r="N13" i="49"/>
  <c r="M13" i="49"/>
  <c r="N21" i="49"/>
  <c r="M21" i="49"/>
  <c r="J21" i="49"/>
  <c r="I21" i="49"/>
  <c r="F19" i="49"/>
  <c r="G19" i="49" s="1"/>
  <c r="E19" i="49"/>
  <c r="F18" i="49"/>
  <c r="G18" i="49" s="1"/>
  <c r="E18" i="49"/>
  <c r="F20" i="49"/>
  <c r="G20" i="49" s="1"/>
  <c r="E20" i="49"/>
  <c r="F17" i="49"/>
  <c r="G17" i="49" s="1"/>
  <c r="E17" i="49"/>
  <c r="F24" i="49"/>
  <c r="G24" i="49" s="1"/>
  <c r="E24" i="49"/>
  <c r="F15" i="49"/>
  <c r="G15" i="49" s="1"/>
  <c r="E15" i="49"/>
  <c r="F23" i="49"/>
  <c r="G23" i="49" s="1"/>
  <c r="E23" i="49"/>
  <c r="F22" i="49"/>
  <c r="G22" i="49" s="1"/>
  <c r="C20" i="70" s="1"/>
  <c r="E20" i="70" s="1"/>
  <c r="E22" i="49"/>
  <c r="F16" i="49"/>
  <c r="G16" i="49" s="1"/>
  <c r="E16" i="49"/>
  <c r="F5" i="49"/>
  <c r="G5" i="49" s="1"/>
  <c r="E5" i="49"/>
  <c r="F7" i="49"/>
  <c r="G7" i="49" s="1"/>
  <c r="E7" i="49"/>
  <c r="F8" i="49"/>
  <c r="G8" i="49" s="1"/>
  <c r="E8" i="49"/>
  <c r="F6" i="49"/>
  <c r="E6" i="49"/>
  <c r="F10" i="49"/>
  <c r="E10" i="49"/>
  <c r="F11" i="49"/>
  <c r="E11" i="49"/>
  <c r="F12" i="49"/>
  <c r="E12" i="49"/>
  <c r="F14" i="49"/>
  <c r="E14" i="49"/>
  <c r="F9" i="49"/>
  <c r="E9" i="49"/>
  <c r="F13" i="49"/>
  <c r="E13" i="49"/>
  <c r="F21" i="49"/>
  <c r="E21" i="49"/>
  <c r="Z24" i="53"/>
  <c r="AA24" i="53" s="1"/>
  <c r="Y24" i="53"/>
  <c r="Z5" i="53"/>
  <c r="Y5" i="53"/>
  <c r="Z15" i="53"/>
  <c r="Y15" i="53"/>
  <c r="Z10" i="53"/>
  <c r="AA10" i="53" s="1"/>
  <c r="Y10" i="53"/>
  <c r="Z9" i="53"/>
  <c r="AA9" i="53" s="1"/>
  <c r="Y9" i="53"/>
  <c r="Z12" i="53"/>
  <c r="Y12" i="53"/>
  <c r="Z16" i="53"/>
  <c r="AA16" i="53" s="1"/>
  <c r="Y16" i="53"/>
  <c r="Z17" i="53"/>
  <c r="Y17" i="53"/>
  <c r="Z14" i="53"/>
  <c r="Y14" i="53"/>
  <c r="Z11" i="53"/>
  <c r="Y11" i="53"/>
  <c r="Z18" i="53"/>
  <c r="Y18" i="53"/>
  <c r="Z22" i="53"/>
  <c r="Y22" i="53"/>
  <c r="Z20" i="53"/>
  <c r="Y20" i="53"/>
  <c r="Z6" i="53"/>
  <c r="Y6" i="53"/>
  <c r="Z23" i="53"/>
  <c r="Y23" i="53"/>
  <c r="Z19" i="53"/>
  <c r="Y19" i="53"/>
  <c r="Z21" i="53"/>
  <c r="AA21" i="53" s="1"/>
  <c r="Y21" i="53"/>
  <c r="Z13" i="53"/>
  <c r="Y13" i="53"/>
  <c r="Z8" i="53"/>
  <c r="AA8" i="53" s="1"/>
  <c r="Y8" i="53"/>
  <c r="Z7" i="53"/>
  <c r="Y7" i="53"/>
  <c r="V24" i="53"/>
  <c r="W24" i="53" s="1"/>
  <c r="U24" i="53"/>
  <c r="V5" i="53"/>
  <c r="U5" i="53"/>
  <c r="V15" i="53"/>
  <c r="W15" i="53" s="1"/>
  <c r="U15" i="53"/>
  <c r="V10" i="53"/>
  <c r="W10" i="53" s="1"/>
  <c r="U10" i="53"/>
  <c r="V9" i="53"/>
  <c r="W9" i="53" s="1"/>
  <c r="U9" i="53"/>
  <c r="V12" i="53"/>
  <c r="W12" i="53" s="1"/>
  <c r="U12" i="53"/>
  <c r="V16" i="53"/>
  <c r="W16" i="53" s="1"/>
  <c r="U16" i="53"/>
  <c r="V17" i="53"/>
  <c r="U17" i="53"/>
  <c r="V14" i="53"/>
  <c r="U14" i="53"/>
  <c r="V11" i="53"/>
  <c r="W11" i="53" s="1"/>
  <c r="U11" i="53"/>
  <c r="V18" i="53"/>
  <c r="U18" i="53"/>
  <c r="V22" i="53"/>
  <c r="U22" i="53"/>
  <c r="V20" i="53"/>
  <c r="U20" i="53"/>
  <c r="V6" i="53"/>
  <c r="U6" i="53"/>
  <c r="V23" i="53"/>
  <c r="U23" i="53"/>
  <c r="V19" i="53"/>
  <c r="W19" i="53" s="1"/>
  <c r="U19" i="53"/>
  <c r="V21" i="53"/>
  <c r="W21" i="53" s="1"/>
  <c r="U21" i="53"/>
  <c r="V13" i="53"/>
  <c r="U13" i="53"/>
  <c r="V8" i="53"/>
  <c r="W8" i="53" s="1"/>
  <c r="U8" i="53"/>
  <c r="V7" i="53"/>
  <c r="W7" i="53" s="1"/>
  <c r="U7" i="53"/>
  <c r="R24" i="53"/>
  <c r="S24" i="53" s="1"/>
  <c r="Q24" i="53"/>
  <c r="R5" i="53"/>
  <c r="Q5" i="53"/>
  <c r="R15" i="53"/>
  <c r="Q15" i="53"/>
  <c r="R10" i="53"/>
  <c r="Q10" i="53"/>
  <c r="R9" i="53"/>
  <c r="Q9" i="53"/>
  <c r="R12" i="53"/>
  <c r="Q12" i="53"/>
  <c r="R16" i="53"/>
  <c r="S16" i="53" s="1"/>
  <c r="Q16" i="53"/>
  <c r="R17" i="53"/>
  <c r="S17" i="53" s="1"/>
  <c r="Q17" i="53"/>
  <c r="R14" i="53"/>
  <c r="Q14" i="53"/>
  <c r="R11" i="53"/>
  <c r="Q11" i="53"/>
  <c r="R18" i="53"/>
  <c r="Q18" i="53"/>
  <c r="R22" i="53"/>
  <c r="Q22" i="53"/>
  <c r="R20" i="53"/>
  <c r="Q20" i="53"/>
  <c r="R6" i="53"/>
  <c r="Q6" i="53"/>
  <c r="R23" i="53"/>
  <c r="Q23" i="53"/>
  <c r="R19" i="53"/>
  <c r="S19" i="53" s="1"/>
  <c r="Q19" i="53"/>
  <c r="R21" i="53"/>
  <c r="S21" i="53" s="1"/>
  <c r="Q21" i="53"/>
  <c r="R13" i="53"/>
  <c r="Q13" i="53"/>
  <c r="R8" i="53"/>
  <c r="Q8" i="53"/>
  <c r="R7" i="53"/>
  <c r="Q7" i="53"/>
  <c r="J14" i="53"/>
  <c r="I14" i="53"/>
  <c r="F24" i="53"/>
  <c r="G24" i="53" s="1"/>
  <c r="E24" i="53"/>
  <c r="F5" i="53"/>
  <c r="G5" i="53" s="1"/>
  <c r="E5" i="53"/>
  <c r="F15" i="53"/>
  <c r="G15" i="53" s="1"/>
  <c r="E15" i="53"/>
  <c r="F10" i="53"/>
  <c r="G10" i="53" s="1"/>
  <c r="E10" i="53"/>
  <c r="F9" i="53"/>
  <c r="G9" i="53" s="1"/>
  <c r="C24" i="57" s="1"/>
  <c r="E9" i="53"/>
  <c r="F12" i="53"/>
  <c r="G12" i="53" s="1"/>
  <c r="E12" i="53"/>
  <c r="F16" i="53"/>
  <c r="G16" i="53" s="1"/>
  <c r="E16" i="53"/>
  <c r="F17" i="53"/>
  <c r="E17" i="53"/>
  <c r="F14" i="53"/>
  <c r="E14" i="53"/>
  <c r="F11" i="53"/>
  <c r="G11" i="53" s="1"/>
  <c r="E11" i="53"/>
  <c r="F18" i="53"/>
  <c r="E18" i="53"/>
  <c r="F22" i="53"/>
  <c r="E22" i="53"/>
  <c r="F20" i="53"/>
  <c r="G20" i="53" s="1"/>
  <c r="E20" i="53"/>
  <c r="F6" i="53"/>
  <c r="G6" i="53" s="1"/>
  <c r="E6" i="53"/>
  <c r="F23" i="53"/>
  <c r="E23" i="53"/>
  <c r="F19" i="53"/>
  <c r="E19" i="53"/>
  <c r="F21" i="53"/>
  <c r="G21" i="53" s="1"/>
  <c r="E21" i="53"/>
  <c r="F13" i="53"/>
  <c r="G13" i="53" s="1"/>
  <c r="E13" i="53"/>
  <c r="F8" i="53"/>
  <c r="G8" i="53" s="1"/>
  <c r="E8" i="53"/>
  <c r="F7" i="53"/>
  <c r="G7" i="53" s="1"/>
  <c r="E7" i="53"/>
  <c r="N7" i="53"/>
  <c r="N8" i="53"/>
  <c r="N13" i="53"/>
  <c r="N21" i="53"/>
  <c r="N19" i="53"/>
  <c r="N23" i="53"/>
  <c r="N6" i="53"/>
  <c r="N20" i="53"/>
  <c r="N22" i="53"/>
  <c r="N18" i="53"/>
  <c r="N11" i="53"/>
  <c r="N14" i="53"/>
  <c r="N17" i="53"/>
  <c r="N16" i="53"/>
  <c r="O16" i="53" s="1"/>
  <c r="N12" i="53"/>
  <c r="N9" i="53"/>
  <c r="O9" i="53" s="1"/>
  <c r="N10" i="53"/>
  <c r="N15" i="53"/>
  <c r="O15" i="53" s="1"/>
  <c r="N5" i="53"/>
  <c r="N24" i="53"/>
  <c r="O24" i="53" s="1"/>
  <c r="M7" i="53"/>
  <c r="M8" i="53"/>
  <c r="M13" i="53"/>
  <c r="M21" i="53"/>
  <c r="M19" i="53"/>
  <c r="M23" i="53"/>
  <c r="M6" i="53"/>
  <c r="M20" i="53"/>
  <c r="M22" i="53"/>
  <c r="M18" i="53"/>
  <c r="M11" i="53"/>
  <c r="M14" i="53"/>
  <c r="M17" i="53"/>
  <c r="M16" i="53"/>
  <c r="M12" i="53"/>
  <c r="M9" i="53"/>
  <c r="M10" i="53"/>
  <c r="M15" i="53"/>
  <c r="M5" i="53"/>
  <c r="M24" i="53"/>
  <c r="AI24" i="53"/>
  <c r="AD24" i="53"/>
  <c r="AE24" i="53" s="1"/>
  <c r="AC24" i="53"/>
  <c r="AI5" i="53"/>
  <c r="AD5" i="53"/>
  <c r="AE5" i="53" s="1"/>
  <c r="AC5" i="53"/>
  <c r="AI15" i="53"/>
  <c r="X24" i="57" s="1"/>
  <c r="AD15" i="53"/>
  <c r="AE15" i="53" s="1"/>
  <c r="AC15" i="53"/>
  <c r="AI10" i="53"/>
  <c r="AD10" i="53"/>
  <c r="AC10" i="53"/>
  <c r="AD9" i="53"/>
  <c r="AE9" i="53" s="1"/>
  <c r="AC9" i="53"/>
  <c r="AI12" i="53"/>
  <c r="AD12" i="53"/>
  <c r="AE12" i="53" s="1"/>
  <c r="AC12" i="53"/>
  <c r="AI16" i="53"/>
  <c r="AD16" i="53"/>
  <c r="AE16" i="53" s="1"/>
  <c r="AC16" i="53"/>
  <c r="AI17" i="53"/>
  <c r="AD17" i="53"/>
  <c r="AE17" i="53" s="1"/>
  <c r="AC17" i="53"/>
  <c r="AI14" i="53"/>
  <c r="AD14" i="53"/>
  <c r="AE14" i="53" s="1"/>
  <c r="AC14" i="53"/>
  <c r="AI11" i="53"/>
  <c r="AD11" i="53"/>
  <c r="AE11" i="53" s="1"/>
  <c r="AC11" i="53"/>
  <c r="AI18" i="53"/>
  <c r="AD18" i="53"/>
  <c r="AC18" i="53"/>
  <c r="AI22" i="53"/>
  <c r="AD22" i="53"/>
  <c r="AE22" i="53" s="1"/>
  <c r="AC22" i="53"/>
  <c r="AI20" i="53"/>
  <c r="AD20" i="53"/>
  <c r="AE20" i="53" s="1"/>
  <c r="AC20" i="53"/>
  <c r="AI6" i="53"/>
  <c r="AD6" i="53"/>
  <c r="AE6" i="53" s="1"/>
  <c r="AC6" i="53"/>
  <c r="AI23" i="53"/>
  <c r="AD23" i="53"/>
  <c r="AE23" i="53" s="1"/>
  <c r="AC23" i="53"/>
  <c r="AI19" i="53"/>
  <c r="AD19" i="53"/>
  <c r="AE19" i="53" s="1"/>
  <c r="AC19" i="53"/>
  <c r="AI21" i="53"/>
  <c r="AD21" i="53"/>
  <c r="AE21" i="53" s="1"/>
  <c r="AC21" i="53"/>
  <c r="AI13" i="53"/>
  <c r="AD13" i="53"/>
  <c r="AC13" i="53"/>
  <c r="AI8" i="53"/>
  <c r="AD8" i="53"/>
  <c r="AE8" i="53" s="1"/>
  <c r="AC8" i="53"/>
  <c r="AI7" i="53"/>
  <c r="AD7" i="53"/>
  <c r="AE7" i="53" s="1"/>
  <c r="AC7" i="53"/>
  <c r="AD24" i="52"/>
  <c r="AE24" i="52" s="1"/>
  <c r="AC24" i="52"/>
  <c r="Z24" i="52"/>
  <c r="AA24" i="52" s="1"/>
  <c r="Y24" i="52"/>
  <c r="V24" i="52"/>
  <c r="W24" i="52" s="1"/>
  <c r="U24" i="52"/>
  <c r="R24" i="52"/>
  <c r="S24" i="52" s="1"/>
  <c r="Q24" i="52"/>
  <c r="N24" i="52"/>
  <c r="O24" i="52" s="1"/>
  <c r="M24" i="52"/>
  <c r="F24" i="52"/>
  <c r="G24" i="52" s="1"/>
  <c r="E24" i="52"/>
  <c r="AD23" i="52"/>
  <c r="AE23" i="52" s="1"/>
  <c r="AC23" i="52"/>
  <c r="Z23" i="52"/>
  <c r="AA23" i="52" s="1"/>
  <c r="Y23" i="52"/>
  <c r="V23" i="52"/>
  <c r="W23" i="52" s="1"/>
  <c r="U23" i="52"/>
  <c r="R23" i="52"/>
  <c r="S23" i="52" s="1"/>
  <c r="Q23" i="52"/>
  <c r="N23" i="52"/>
  <c r="O23" i="52" s="1"/>
  <c r="M23" i="52"/>
  <c r="F23" i="52"/>
  <c r="G23" i="52" s="1"/>
  <c r="E23" i="52"/>
  <c r="AD22" i="52"/>
  <c r="AE22" i="52" s="1"/>
  <c r="AC22" i="52"/>
  <c r="Z22" i="52"/>
  <c r="AA22" i="52" s="1"/>
  <c r="Y22" i="52"/>
  <c r="V22" i="52"/>
  <c r="W22" i="52" s="1"/>
  <c r="U22" i="52"/>
  <c r="R22" i="52"/>
  <c r="S22" i="52" s="1"/>
  <c r="Q22" i="52"/>
  <c r="N22" i="52"/>
  <c r="O22" i="52" s="1"/>
  <c r="M22" i="52"/>
  <c r="F22" i="52"/>
  <c r="G22" i="52" s="1"/>
  <c r="E22" i="52"/>
  <c r="AD16" i="52"/>
  <c r="AE16" i="52" s="1"/>
  <c r="AC16" i="52"/>
  <c r="Z16" i="52"/>
  <c r="AA16" i="52" s="1"/>
  <c r="Y16" i="52"/>
  <c r="V16" i="52"/>
  <c r="W16" i="52" s="1"/>
  <c r="U16" i="52"/>
  <c r="R16" i="52"/>
  <c r="S16" i="52" s="1"/>
  <c r="Q16" i="52"/>
  <c r="N16" i="52"/>
  <c r="O16" i="52" s="1"/>
  <c r="M16" i="52"/>
  <c r="F16" i="52"/>
  <c r="G16" i="52" s="1"/>
  <c r="E16" i="52"/>
  <c r="AD14" i="52"/>
  <c r="AE14" i="52" s="1"/>
  <c r="AC14" i="52"/>
  <c r="Z14" i="52"/>
  <c r="AA14" i="52" s="1"/>
  <c r="Y14" i="52"/>
  <c r="V14" i="52"/>
  <c r="W14" i="52" s="1"/>
  <c r="U14" i="52"/>
  <c r="R14" i="52"/>
  <c r="Q14" i="52"/>
  <c r="N14" i="52"/>
  <c r="M14" i="52"/>
  <c r="F14" i="52"/>
  <c r="G14" i="52" s="1"/>
  <c r="E14" i="52"/>
  <c r="AD21" i="52"/>
  <c r="AE21" i="52" s="1"/>
  <c r="AC21" i="52"/>
  <c r="Z21" i="52"/>
  <c r="AA21" i="52" s="1"/>
  <c r="Y21" i="52"/>
  <c r="V21" i="52"/>
  <c r="W21" i="52" s="1"/>
  <c r="U21" i="52"/>
  <c r="R21" i="52"/>
  <c r="S21" i="52" s="1"/>
  <c r="Q21" i="52"/>
  <c r="N21" i="52"/>
  <c r="O21" i="52" s="1"/>
  <c r="M21" i="52"/>
  <c r="F21" i="52"/>
  <c r="G21" i="52" s="1"/>
  <c r="E21" i="52"/>
  <c r="AD20" i="52"/>
  <c r="AE20" i="52" s="1"/>
  <c r="AC20" i="52"/>
  <c r="Z20" i="52"/>
  <c r="AA20" i="52" s="1"/>
  <c r="Y20" i="52"/>
  <c r="V20" i="52"/>
  <c r="W20" i="52" s="1"/>
  <c r="U20" i="52"/>
  <c r="R20" i="52"/>
  <c r="Q20" i="52"/>
  <c r="N20" i="52"/>
  <c r="M20" i="52"/>
  <c r="F20" i="52"/>
  <c r="G20" i="52" s="1"/>
  <c r="E20" i="52"/>
  <c r="AD12" i="52"/>
  <c r="AE12" i="52" s="1"/>
  <c r="AC12" i="52"/>
  <c r="Z12" i="52"/>
  <c r="AA12" i="52" s="1"/>
  <c r="Y12" i="52"/>
  <c r="V12" i="52"/>
  <c r="W12" i="52" s="1"/>
  <c r="U12" i="52"/>
  <c r="R12" i="52"/>
  <c r="S12" i="52" s="1"/>
  <c r="Q12" i="52"/>
  <c r="N12" i="52"/>
  <c r="O12" i="52" s="1"/>
  <c r="M12" i="52"/>
  <c r="F12" i="52"/>
  <c r="G12" i="52" s="1"/>
  <c r="E12" i="52"/>
  <c r="AD19" i="52"/>
  <c r="AE19" i="52" s="1"/>
  <c r="AC19" i="52"/>
  <c r="Z19" i="52"/>
  <c r="AA19" i="52" s="1"/>
  <c r="Y19" i="52"/>
  <c r="V19" i="52"/>
  <c r="W19" i="52" s="1"/>
  <c r="U19" i="52"/>
  <c r="R19" i="52"/>
  <c r="Q19" i="52"/>
  <c r="N19" i="52"/>
  <c r="M19" i="52"/>
  <c r="F19" i="52"/>
  <c r="G19" i="52" s="1"/>
  <c r="E19" i="52"/>
  <c r="AD15" i="52"/>
  <c r="AE15" i="52" s="1"/>
  <c r="AC15" i="52"/>
  <c r="Z15" i="52"/>
  <c r="AA15" i="52" s="1"/>
  <c r="Y15" i="52"/>
  <c r="V15" i="52"/>
  <c r="W15" i="52" s="1"/>
  <c r="U15" i="52"/>
  <c r="R15" i="52"/>
  <c r="S15" i="52" s="1"/>
  <c r="Q15" i="52"/>
  <c r="N15" i="52"/>
  <c r="M15" i="52"/>
  <c r="F15" i="52"/>
  <c r="G15" i="52" s="1"/>
  <c r="E15" i="52"/>
  <c r="AD8" i="52"/>
  <c r="AE8" i="52" s="1"/>
  <c r="AC8" i="52"/>
  <c r="Z8" i="52"/>
  <c r="AA8" i="52" s="1"/>
  <c r="Y8" i="52"/>
  <c r="V8" i="52"/>
  <c r="W8" i="52" s="1"/>
  <c r="U8" i="52"/>
  <c r="R8" i="52"/>
  <c r="Q8" i="52"/>
  <c r="N8" i="52"/>
  <c r="M8" i="52"/>
  <c r="F8" i="52"/>
  <c r="G8" i="52" s="1"/>
  <c r="E8" i="52"/>
  <c r="AD18" i="52"/>
  <c r="AE18" i="52" s="1"/>
  <c r="AC18" i="52"/>
  <c r="Z18" i="52"/>
  <c r="AA18" i="52" s="1"/>
  <c r="Y18" i="52"/>
  <c r="V18" i="52"/>
  <c r="W18" i="52" s="1"/>
  <c r="U18" i="52"/>
  <c r="R18" i="52"/>
  <c r="S18" i="52" s="1"/>
  <c r="Q18" i="52"/>
  <c r="N18" i="52"/>
  <c r="O18" i="52" s="1"/>
  <c r="M18" i="52"/>
  <c r="F18" i="52"/>
  <c r="G18" i="52" s="1"/>
  <c r="E18" i="52"/>
  <c r="AD13" i="52"/>
  <c r="AE13" i="52" s="1"/>
  <c r="AC13" i="52"/>
  <c r="Z13" i="52"/>
  <c r="AA13" i="52" s="1"/>
  <c r="Y13" i="52"/>
  <c r="V13" i="52"/>
  <c r="W13" i="52" s="1"/>
  <c r="U13" i="52"/>
  <c r="R13" i="52"/>
  <c r="Q13" i="52"/>
  <c r="N13" i="52"/>
  <c r="O13" i="52" s="1"/>
  <c r="M13" i="52"/>
  <c r="F13" i="52"/>
  <c r="G13" i="52" s="1"/>
  <c r="E13" i="52"/>
  <c r="AD9" i="52"/>
  <c r="AE9" i="52" s="1"/>
  <c r="AC9" i="52"/>
  <c r="Z9" i="52"/>
  <c r="AA9" i="52" s="1"/>
  <c r="Y9" i="52"/>
  <c r="V9" i="52"/>
  <c r="U9" i="52"/>
  <c r="R9" i="52"/>
  <c r="Q9" i="52"/>
  <c r="N9" i="52"/>
  <c r="M9" i="52"/>
  <c r="F9" i="52"/>
  <c r="G9" i="52" s="1"/>
  <c r="E9" i="52"/>
  <c r="AD11" i="52"/>
  <c r="AE11" i="52" s="1"/>
  <c r="AC11" i="52"/>
  <c r="Z11" i="52"/>
  <c r="AA11" i="52" s="1"/>
  <c r="Y11" i="52"/>
  <c r="V11" i="52"/>
  <c r="W11" i="52" s="1"/>
  <c r="U11" i="52"/>
  <c r="R11" i="52"/>
  <c r="Q11" i="52"/>
  <c r="N11" i="52"/>
  <c r="M11" i="52"/>
  <c r="F11" i="52"/>
  <c r="E11" i="52"/>
  <c r="AD7" i="52"/>
  <c r="AC7" i="52"/>
  <c r="Z7" i="52"/>
  <c r="Y7" i="52"/>
  <c r="V7" i="52"/>
  <c r="U7" i="52"/>
  <c r="R7" i="52"/>
  <c r="Q7" i="52"/>
  <c r="N7" i="52"/>
  <c r="M7" i="52"/>
  <c r="F7" i="52"/>
  <c r="E7" i="52"/>
  <c r="AD5" i="52"/>
  <c r="AE5" i="52" s="1"/>
  <c r="AC5" i="52"/>
  <c r="Z5" i="52"/>
  <c r="Y5" i="52"/>
  <c r="V5" i="52"/>
  <c r="W5" i="52" s="1"/>
  <c r="U5" i="52"/>
  <c r="R5" i="52"/>
  <c r="Q5" i="52"/>
  <c r="N5" i="52"/>
  <c r="M5" i="52"/>
  <c r="F5" i="52"/>
  <c r="E5" i="52"/>
  <c r="AD10" i="52"/>
  <c r="AC10" i="52"/>
  <c r="Z10" i="52"/>
  <c r="AA10" i="52" s="1"/>
  <c r="Y10" i="52"/>
  <c r="V10" i="52"/>
  <c r="U10" i="52"/>
  <c r="R10" i="52"/>
  <c r="Q10" i="52"/>
  <c r="N10" i="52"/>
  <c r="M10" i="52"/>
  <c r="F10" i="52"/>
  <c r="E10" i="52"/>
  <c r="AD17" i="52"/>
  <c r="AC17" i="52"/>
  <c r="Z17" i="52"/>
  <c r="Y17" i="52"/>
  <c r="V17" i="52"/>
  <c r="U17" i="52"/>
  <c r="R17" i="52"/>
  <c r="Q17" i="52"/>
  <c r="N17" i="52"/>
  <c r="O17" i="52" s="1"/>
  <c r="M17" i="52"/>
  <c r="F17" i="52"/>
  <c r="E17" i="52"/>
  <c r="AD6" i="52"/>
  <c r="AC6" i="52"/>
  <c r="Z6" i="52"/>
  <c r="Y6" i="52"/>
  <c r="V6" i="52"/>
  <c r="U6" i="52"/>
  <c r="R6" i="52"/>
  <c r="Q6" i="52"/>
  <c r="N6" i="52"/>
  <c r="M6" i="52"/>
  <c r="J6" i="52"/>
  <c r="I6" i="52"/>
  <c r="F6" i="52"/>
  <c r="E6" i="52"/>
  <c r="AD24" i="51"/>
  <c r="AE24" i="51" s="1"/>
  <c r="AC24" i="51"/>
  <c r="Z24" i="51"/>
  <c r="AA24" i="51" s="1"/>
  <c r="Y24" i="51"/>
  <c r="V24" i="51"/>
  <c r="W24" i="51" s="1"/>
  <c r="U24" i="51"/>
  <c r="R24" i="51"/>
  <c r="S24" i="51" s="1"/>
  <c r="Q24" i="51"/>
  <c r="N24" i="51"/>
  <c r="O24" i="51" s="1"/>
  <c r="M24" i="51"/>
  <c r="F24" i="51"/>
  <c r="G24" i="51" s="1"/>
  <c r="E24" i="51"/>
  <c r="AD23" i="51"/>
  <c r="AE23" i="51" s="1"/>
  <c r="AC23" i="51"/>
  <c r="Z23" i="51"/>
  <c r="AA23" i="51" s="1"/>
  <c r="Y23" i="51"/>
  <c r="V23" i="51"/>
  <c r="W23" i="51" s="1"/>
  <c r="U23" i="51"/>
  <c r="R23" i="51"/>
  <c r="S23" i="51" s="1"/>
  <c r="Q23" i="51"/>
  <c r="N23" i="51"/>
  <c r="O23" i="51" s="1"/>
  <c r="M23" i="51"/>
  <c r="F23" i="51"/>
  <c r="G23" i="51" s="1"/>
  <c r="E23" i="51"/>
  <c r="AD22" i="51"/>
  <c r="AE22" i="51" s="1"/>
  <c r="AC22" i="51"/>
  <c r="Z22" i="51"/>
  <c r="AA22" i="51" s="1"/>
  <c r="Y22" i="51"/>
  <c r="V22" i="51"/>
  <c r="W22" i="51" s="1"/>
  <c r="U22" i="51"/>
  <c r="R22" i="51"/>
  <c r="S22" i="51" s="1"/>
  <c r="Q22" i="51"/>
  <c r="N22" i="51"/>
  <c r="O22" i="51" s="1"/>
  <c r="M22" i="51"/>
  <c r="F22" i="51"/>
  <c r="G22" i="51" s="1"/>
  <c r="E22" i="51"/>
  <c r="AD16" i="51"/>
  <c r="AE16" i="51" s="1"/>
  <c r="AC16" i="51"/>
  <c r="Z16" i="51"/>
  <c r="AA16" i="51" s="1"/>
  <c r="Y16" i="51"/>
  <c r="V16" i="51"/>
  <c r="W16" i="51" s="1"/>
  <c r="U16" i="51"/>
  <c r="R16" i="51"/>
  <c r="S16" i="51" s="1"/>
  <c r="Q16" i="51"/>
  <c r="N16" i="51"/>
  <c r="O16" i="51" s="1"/>
  <c r="M16" i="51"/>
  <c r="F16" i="51"/>
  <c r="G16" i="51" s="1"/>
  <c r="E16" i="51"/>
  <c r="AD11" i="51"/>
  <c r="AE11" i="51" s="1"/>
  <c r="AC11" i="51"/>
  <c r="Z11" i="51"/>
  <c r="AA11" i="51" s="1"/>
  <c r="Y11" i="51"/>
  <c r="V11" i="51"/>
  <c r="W11" i="51" s="1"/>
  <c r="U11" i="51"/>
  <c r="R11" i="51"/>
  <c r="S11" i="51" s="1"/>
  <c r="Q11" i="51"/>
  <c r="N11" i="51"/>
  <c r="M11" i="51"/>
  <c r="F11" i="51"/>
  <c r="G11" i="51" s="1"/>
  <c r="E11" i="51"/>
  <c r="AD13" i="51"/>
  <c r="AE13" i="51" s="1"/>
  <c r="AC13" i="51"/>
  <c r="Z13" i="51"/>
  <c r="AA13" i="51" s="1"/>
  <c r="Y13" i="51"/>
  <c r="V13" i="51"/>
  <c r="W13" i="51" s="1"/>
  <c r="U13" i="51"/>
  <c r="R13" i="51"/>
  <c r="S13" i="51" s="1"/>
  <c r="Q13" i="51"/>
  <c r="N13" i="51"/>
  <c r="O13" i="51" s="1"/>
  <c r="M13" i="51"/>
  <c r="F13" i="51"/>
  <c r="G13" i="51" s="1"/>
  <c r="E13" i="51"/>
  <c r="AD20" i="51"/>
  <c r="AE20" i="51" s="1"/>
  <c r="AC20" i="51"/>
  <c r="Z20" i="51"/>
  <c r="AA20" i="51" s="1"/>
  <c r="Y20" i="51"/>
  <c r="V20" i="51"/>
  <c r="W20" i="51" s="1"/>
  <c r="U20" i="51"/>
  <c r="R20" i="51"/>
  <c r="S20" i="51" s="1"/>
  <c r="Q20" i="51"/>
  <c r="N20" i="51"/>
  <c r="M20" i="51"/>
  <c r="F20" i="51"/>
  <c r="G20" i="51" s="1"/>
  <c r="E20" i="51"/>
  <c r="AD21" i="51"/>
  <c r="AE21" i="51" s="1"/>
  <c r="AC21" i="51"/>
  <c r="Z21" i="51"/>
  <c r="AA21" i="51" s="1"/>
  <c r="Y21" i="51"/>
  <c r="V21" i="51"/>
  <c r="W21" i="51" s="1"/>
  <c r="U21" i="51"/>
  <c r="R21" i="51"/>
  <c r="S21" i="51" s="1"/>
  <c r="Q21" i="51"/>
  <c r="N21" i="51"/>
  <c r="O21" i="51" s="1"/>
  <c r="M21" i="51"/>
  <c r="F21" i="51"/>
  <c r="G21" i="51" s="1"/>
  <c r="E21" i="51"/>
  <c r="AD19" i="51"/>
  <c r="AE19" i="51" s="1"/>
  <c r="AC19" i="51"/>
  <c r="Z19" i="51"/>
  <c r="AA19" i="51" s="1"/>
  <c r="Y19" i="51"/>
  <c r="V19" i="51"/>
  <c r="W19" i="51" s="1"/>
  <c r="U19" i="51"/>
  <c r="R19" i="51"/>
  <c r="Q19" i="51"/>
  <c r="N19" i="51"/>
  <c r="M19" i="51"/>
  <c r="F19" i="51"/>
  <c r="G19" i="51" s="1"/>
  <c r="E19" i="51"/>
  <c r="AD8" i="51"/>
  <c r="AE8" i="51" s="1"/>
  <c r="AC8" i="51"/>
  <c r="Z8" i="51"/>
  <c r="AA8" i="51" s="1"/>
  <c r="Y8" i="51"/>
  <c r="V8" i="51"/>
  <c r="W8" i="51" s="1"/>
  <c r="U8" i="51"/>
  <c r="R8" i="51"/>
  <c r="Q8" i="51"/>
  <c r="N8" i="51"/>
  <c r="O8" i="51" s="1"/>
  <c r="M8" i="51"/>
  <c r="F8" i="51"/>
  <c r="G8" i="51" s="1"/>
  <c r="E8" i="51"/>
  <c r="AD18" i="51"/>
  <c r="AE18" i="51" s="1"/>
  <c r="AC18" i="51"/>
  <c r="Z18" i="51"/>
  <c r="AA18" i="51" s="1"/>
  <c r="Y18" i="51"/>
  <c r="V18" i="51"/>
  <c r="W18" i="51" s="1"/>
  <c r="U18" i="51"/>
  <c r="R18" i="51"/>
  <c r="Q18" i="51"/>
  <c r="N18" i="51"/>
  <c r="O18" i="51" s="1"/>
  <c r="M18" i="51"/>
  <c r="F18" i="51"/>
  <c r="G18" i="51" s="1"/>
  <c r="E18" i="51"/>
  <c r="AD6" i="51"/>
  <c r="AE6" i="51" s="1"/>
  <c r="AC6" i="51"/>
  <c r="Z6" i="51"/>
  <c r="AA6" i="51" s="1"/>
  <c r="Y6" i="51"/>
  <c r="V6" i="51"/>
  <c r="W6" i="51" s="1"/>
  <c r="U6" i="51"/>
  <c r="R6" i="51"/>
  <c r="S6" i="51" s="1"/>
  <c r="Q6" i="51"/>
  <c r="N6" i="51"/>
  <c r="M6" i="51"/>
  <c r="F6" i="51"/>
  <c r="G6" i="51" s="1"/>
  <c r="E6" i="51"/>
  <c r="AD9" i="51"/>
  <c r="AC9" i="51"/>
  <c r="Z9" i="51"/>
  <c r="Y9" i="51"/>
  <c r="V9" i="51"/>
  <c r="W9" i="51" s="1"/>
  <c r="U9" i="51"/>
  <c r="R9" i="51"/>
  <c r="S9" i="51" s="1"/>
  <c r="Q9" i="51"/>
  <c r="N9" i="51"/>
  <c r="M9" i="51"/>
  <c r="F9" i="51"/>
  <c r="G9" i="51" s="1"/>
  <c r="E9" i="51"/>
  <c r="AD10" i="51"/>
  <c r="AE10" i="51" s="1"/>
  <c r="AC10" i="51"/>
  <c r="Z10" i="51"/>
  <c r="AA10" i="51" s="1"/>
  <c r="Y10" i="51"/>
  <c r="V10" i="51"/>
  <c r="W10" i="51" s="1"/>
  <c r="U10" i="51"/>
  <c r="R10" i="51"/>
  <c r="S10" i="51" s="1"/>
  <c r="Q10" i="51"/>
  <c r="N10" i="51"/>
  <c r="M10" i="51"/>
  <c r="F10" i="51"/>
  <c r="G10" i="51" s="1"/>
  <c r="E10" i="51"/>
  <c r="AD5" i="51"/>
  <c r="AC5" i="51"/>
  <c r="Z5" i="51"/>
  <c r="Y5" i="51"/>
  <c r="V5" i="51"/>
  <c r="W5" i="51" s="1"/>
  <c r="U5" i="51"/>
  <c r="R5" i="51"/>
  <c r="Q5" i="51"/>
  <c r="N5" i="51"/>
  <c r="M5" i="51"/>
  <c r="F5" i="51"/>
  <c r="G5" i="51" s="1"/>
  <c r="E5" i="51"/>
  <c r="AD14" i="51"/>
  <c r="AC14" i="51"/>
  <c r="Z14" i="51"/>
  <c r="Y14" i="51"/>
  <c r="V14" i="51"/>
  <c r="U14" i="51"/>
  <c r="R14" i="51"/>
  <c r="Q14" i="51"/>
  <c r="N14" i="51"/>
  <c r="M14" i="51"/>
  <c r="F14" i="51"/>
  <c r="E14" i="51"/>
  <c r="AD12" i="51"/>
  <c r="AC12" i="51"/>
  <c r="Z12" i="51"/>
  <c r="Y12" i="51"/>
  <c r="V12" i="51"/>
  <c r="W12" i="51" s="1"/>
  <c r="U12" i="51"/>
  <c r="R12" i="51"/>
  <c r="Q12" i="51"/>
  <c r="N12" i="51"/>
  <c r="M12" i="51"/>
  <c r="F12" i="51"/>
  <c r="G12" i="51" s="1"/>
  <c r="E12" i="51"/>
  <c r="AD15" i="51"/>
  <c r="AC15" i="51"/>
  <c r="Z15" i="51"/>
  <c r="Y15" i="51"/>
  <c r="V15" i="51"/>
  <c r="U15" i="51"/>
  <c r="R15" i="51"/>
  <c r="S15" i="51" s="1"/>
  <c r="Q15" i="51"/>
  <c r="N15" i="51"/>
  <c r="M15" i="51"/>
  <c r="F15" i="51"/>
  <c r="G15" i="51" s="1"/>
  <c r="E15" i="51"/>
  <c r="AD17" i="51"/>
  <c r="AC17" i="51"/>
  <c r="Z17" i="51"/>
  <c r="AA17" i="51" s="1"/>
  <c r="Y17" i="51"/>
  <c r="V17" i="51"/>
  <c r="U17" i="51"/>
  <c r="R17" i="51"/>
  <c r="Q17" i="51"/>
  <c r="N17" i="51"/>
  <c r="M17" i="51"/>
  <c r="J17" i="51"/>
  <c r="I17" i="51"/>
  <c r="F17" i="51"/>
  <c r="G17" i="51" s="1"/>
  <c r="E17" i="51"/>
  <c r="AD7" i="51"/>
  <c r="AE7" i="51" s="1"/>
  <c r="AC7" i="51"/>
  <c r="Z7" i="51"/>
  <c r="AA7" i="51" s="1"/>
  <c r="Y7" i="51"/>
  <c r="V7" i="51"/>
  <c r="W7" i="51" s="1"/>
  <c r="U7" i="51"/>
  <c r="R7" i="51"/>
  <c r="Q7" i="51"/>
  <c r="N7" i="51"/>
  <c r="O7" i="51" s="1"/>
  <c r="M7" i="51"/>
  <c r="F7" i="51"/>
  <c r="E7" i="51"/>
  <c r="AD13" i="50"/>
  <c r="AC13" i="50"/>
  <c r="Z13" i="50"/>
  <c r="Y13" i="50"/>
  <c r="V13" i="50"/>
  <c r="U13" i="50"/>
  <c r="R13" i="50"/>
  <c r="Q13" i="50"/>
  <c r="N13" i="50"/>
  <c r="M13" i="50"/>
  <c r="F13" i="50"/>
  <c r="E13" i="50"/>
  <c r="AC8" i="50"/>
  <c r="AC6" i="50"/>
  <c r="AC19" i="50"/>
  <c r="AC12" i="50"/>
  <c r="AC10" i="50"/>
  <c r="AC7" i="50"/>
  <c r="AC5" i="50"/>
  <c r="AC17" i="50"/>
  <c r="AC20" i="50"/>
  <c r="AC11" i="50"/>
  <c r="AC16" i="50"/>
  <c r="AC21" i="50"/>
  <c r="AC14" i="50"/>
  <c r="AC22" i="50"/>
  <c r="AC15" i="50"/>
  <c r="AC9" i="50"/>
  <c r="AC18" i="50"/>
  <c r="AC23" i="50"/>
  <c r="AC24" i="50"/>
  <c r="AD8" i="50"/>
  <c r="AD6" i="50"/>
  <c r="AD19" i="50"/>
  <c r="AD12" i="50"/>
  <c r="AE12" i="50" s="1"/>
  <c r="AD10" i="50"/>
  <c r="AD7" i="50"/>
  <c r="AE7" i="50" s="1"/>
  <c r="AD5" i="50"/>
  <c r="AE5" i="50" s="1"/>
  <c r="AD17" i="50"/>
  <c r="AD20" i="50"/>
  <c r="AD11" i="50"/>
  <c r="AE11" i="50" s="1"/>
  <c r="AD16" i="50"/>
  <c r="AE16" i="50" s="1"/>
  <c r="AD21" i="50"/>
  <c r="AE21" i="50" s="1"/>
  <c r="AD14" i="50"/>
  <c r="AE14" i="50" s="1"/>
  <c r="AD22" i="50"/>
  <c r="AE22" i="50" s="1"/>
  <c r="AD15" i="50"/>
  <c r="AE15" i="50" s="1"/>
  <c r="AD9" i="50"/>
  <c r="AE9" i="50" s="1"/>
  <c r="AD18" i="50"/>
  <c r="AE18" i="50" s="1"/>
  <c r="AD23" i="50"/>
  <c r="AE23" i="50" s="1"/>
  <c r="AD24" i="50"/>
  <c r="AE24" i="50" s="1"/>
  <c r="Y8" i="50"/>
  <c r="Y6" i="50"/>
  <c r="Y19" i="50"/>
  <c r="Y12" i="50"/>
  <c r="Y10" i="50"/>
  <c r="Y7" i="50"/>
  <c r="Y5" i="50"/>
  <c r="Y17" i="50"/>
  <c r="Y20" i="50"/>
  <c r="Y11" i="50"/>
  <c r="Y16" i="50"/>
  <c r="Y21" i="50"/>
  <c r="Y14" i="50"/>
  <c r="Y22" i="50"/>
  <c r="Y15" i="50"/>
  <c r="Y9" i="50"/>
  <c r="Y18" i="50"/>
  <c r="Y23" i="50"/>
  <c r="Y24" i="50"/>
  <c r="Z8" i="50"/>
  <c r="Z6" i="50"/>
  <c r="Z19" i="50"/>
  <c r="Z12" i="50"/>
  <c r="AA12" i="50" s="1"/>
  <c r="Z10" i="50"/>
  <c r="Z7" i="50"/>
  <c r="AA7" i="50" s="1"/>
  <c r="Z5" i="50"/>
  <c r="AA5" i="50" s="1"/>
  <c r="Z17" i="50"/>
  <c r="Z20" i="50"/>
  <c r="AA20" i="50" s="1"/>
  <c r="Z11" i="50"/>
  <c r="AA11" i="50" s="1"/>
  <c r="Z16" i="50"/>
  <c r="AA16" i="50" s="1"/>
  <c r="Z21" i="50"/>
  <c r="AA21" i="50" s="1"/>
  <c r="Z14" i="50"/>
  <c r="AA14" i="50" s="1"/>
  <c r="Z22" i="50"/>
  <c r="AA22" i="50" s="1"/>
  <c r="Z15" i="50"/>
  <c r="AA15" i="50" s="1"/>
  <c r="Z9" i="50"/>
  <c r="AA9" i="50" s="1"/>
  <c r="Z18" i="50"/>
  <c r="AA18" i="50" s="1"/>
  <c r="Z23" i="50"/>
  <c r="AA23" i="50" s="1"/>
  <c r="Z24" i="50"/>
  <c r="AA24" i="50" s="1"/>
  <c r="U8" i="50"/>
  <c r="U6" i="50"/>
  <c r="U19" i="50"/>
  <c r="U12" i="50"/>
  <c r="U10" i="50"/>
  <c r="U7" i="50"/>
  <c r="U5" i="50"/>
  <c r="U17" i="50"/>
  <c r="U20" i="50"/>
  <c r="U11" i="50"/>
  <c r="U16" i="50"/>
  <c r="U21" i="50"/>
  <c r="U14" i="50"/>
  <c r="U22" i="50"/>
  <c r="U15" i="50"/>
  <c r="U9" i="50"/>
  <c r="U18" i="50"/>
  <c r="U23" i="50"/>
  <c r="U24" i="50"/>
  <c r="V8" i="50"/>
  <c r="V6" i="50"/>
  <c r="V19" i="50"/>
  <c r="V12" i="50"/>
  <c r="W12" i="50" s="1"/>
  <c r="V10" i="50"/>
  <c r="V7" i="50"/>
  <c r="W7" i="50" s="1"/>
  <c r="V5" i="50"/>
  <c r="V17" i="50"/>
  <c r="V20" i="50"/>
  <c r="V11" i="50"/>
  <c r="W11" i="50" s="1"/>
  <c r="V16" i="50"/>
  <c r="W16" i="50" s="1"/>
  <c r="V21" i="50"/>
  <c r="W21" i="50" s="1"/>
  <c r="V14" i="50"/>
  <c r="W14" i="50" s="1"/>
  <c r="V22" i="50"/>
  <c r="W22" i="50" s="1"/>
  <c r="V15" i="50"/>
  <c r="W15" i="50" s="1"/>
  <c r="V9" i="50"/>
  <c r="W9" i="50" s="1"/>
  <c r="V18" i="50"/>
  <c r="W18" i="50" s="1"/>
  <c r="V23" i="50"/>
  <c r="W23" i="50" s="1"/>
  <c r="V24" i="50"/>
  <c r="W24" i="50" s="1"/>
  <c r="Q8" i="50"/>
  <c r="Q6" i="50"/>
  <c r="Q19" i="50"/>
  <c r="Q12" i="50"/>
  <c r="Q10" i="50"/>
  <c r="Q7" i="50"/>
  <c r="Q5" i="50"/>
  <c r="Q17" i="50"/>
  <c r="Q20" i="50"/>
  <c r="Q11" i="50"/>
  <c r="Q16" i="50"/>
  <c r="Q21" i="50"/>
  <c r="Q14" i="50"/>
  <c r="Q22" i="50"/>
  <c r="Q15" i="50"/>
  <c r="Q9" i="50"/>
  <c r="Q18" i="50"/>
  <c r="Q23" i="50"/>
  <c r="Q24" i="50"/>
  <c r="R8" i="50"/>
  <c r="R6" i="50"/>
  <c r="R19" i="50"/>
  <c r="R12" i="50"/>
  <c r="R10" i="50"/>
  <c r="R7" i="50"/>
  <c r="S7" i="50" s="1"/>
  <c r="R5" i="50"/>
  <c r="S5" i="50" s="1"/>
  <c r="R17" i="50"/>
  <c r="R20" i="50"/>
  <c r="R11" i="50"/>
  <c r="R16" i="50"/>
  <c r="S16" i="50" s="1"/>
  <c r="R21" i="50"/>
  <c r="R14" i="50"/>
  <c r="S14" i="50" s="1"/>
  <c r="R22" i="50"/>
  <c r="S22" i="50" s="1"/>
  <c r="R15" i="50"/>
  <c r="S15" i="50" s="1"/>
  <c r="R9" i="50"/>
  <c r="R18" i="50"/>
  <c r="R23" i="50"/>
  <c r="S23" i="50" s="1"/>
  <c r="R24" i="50"/>
  <c r="S24" i="50" s="1"/>
  <c r="M8" i="50"/>
  <c r="M6" i="50"/>
  <c r="M19" i="50"/>
  <c r="M12" i="50"/>
  <c r="M10" i="50"/>
  <c r="M7" i="50"/>
  <c r="M5" i="50"/>
  <c r="M17" i="50"/>
  <c r="M20" i="50"/>
  <c r="M11" i="50"/>
  <c r="M16" i="50"/>
  <c r="M21" i="50"/>
  <c r="M14" i="50"/>
  <c r="M22" i="50"/>
  <c r="M15" i="50"/>
  <c r="M9" i="50"/>
  <c r="M18" i="50"/>
  <c r="M23" i="50"/>
  <c r="M24" i="50"/>
  <c r="N8" i="50"/>
  <c r="N6" i="50"/>
  <c r="N19" i="50"/>
  <c r="N12" i="50"/>
  <c r="N10" i="50"/>
  <c r="N7" i="50"/>
  <c r="N5" i="50"/>
  <c r="O5" i="50" s="1"/>
  <c r="N17" i="50"/>
  <c r="N20" i="50"/>
  <c r="N11" i="50"/>
  <c r="N16" i="50"/>
  <c r="N21" i="50"/>
  <c r="N14" i="50"/>
  <c r="O14" i="50" s="1"/>
  <c r="N22" i="50"/>
  <c r="N15" i="50"/>
  <c r="O15" i="50" s="1"/>
  <c r="N9" i="50"/>
  <c r="O9" i="50" s="1"/>
  <c r="N18" i="50"/>
  <c r="O18" i="50" s="1"/>
  <c r="N23" i="50"/>
  <c r="O23" i="50" s="1"/>
  <c r="N24" i="50"/>
  <c r="O24" i="50" s="1"/>
  <c r="E8" i="50"/>
  <c r="E6" i="50"/>
  <c r="E19" i="50"/>
  <c r="E12" i="50"/>
  <c r="E10" i="50"/>
  <c r="E7" i="50"/>
  <c r="E5" i="50"/>
  <c r="E17" i="50"/>
  <c r="E20" i="50"/>
  <c r="E11" i="50"/>
  <c r="E16" i="50"/>
  <c r="E21" i="50"/>
  <c r="E14" i="50"/>
  <c r="E22" i="50"/>
  <c r="E15" i="50"/>
  <c r="E9" i="50"/>
  <c r="E18" i="50"/>
  <c r="E23" i="50"/>
  <c r="E24" i="50"/>
  <c r="F8" i="50"/>
  <c r="F6" i="50"/>
  <c r="F19" i="50"/>
  <c r="F12" i="50"/>
  <c r="F10" i="50"/>
  <c r="F7" i="50"/>
  <c r="G7" i="50" s="1"/>
  <c r="F5" i="50"/>
  <c r="G5" i="50" s="1"/>
  <c r="F17" i="50"/>
  <c r="F20" i="50"/>
  <c r="F11" i="50"/>
  <c r="G11" i="50" s="1"/>
  <c r="F16" i="50"/>
  <c r="G16" i="50" s="1"/>
  <c r="F21" i="50"/>
  <c r="G21" i="50" s="1"/>
  <c r="F14" i="50"/>
  <c r="G14" i="50" s="1"/>
  <c r="F22" i="50"/>
  <c r="G22" i="50" s="1"/>
  <c r="F15" i="50"/>
  <c r="G15" i="50" s="1"/>
  <c r="F9" i="50"/>
  <c r="G9" i="50" s="1"/>
  <c r="F18" i="50"/>
  <c r="G18" i="50" s="1"/>
  <c r="F23" i="50"/>
  <c r="G23" i="50" s="1"/>
  <c r="F24" i="50"/>
  <c r="G24" i="50" s="1"/>
  <c r="J19" i="50"/>
  <c r="I19" i="50"/>
  <c r="C18" i="70" l="1"/>
  <c r="D18" i="70" s="1"/>
  <c r="R22" i="70"/>
  <c r="S22" i="70" s="1"/>
  <c r="C22" i="70"/>
  <c r="E22" i="70" s="1"/>
  <c r="R12" i="70"/>
  <c r="S12" i="70" s="1"/>
  <c r="S5" i="52"/>
  <c r="S20" i="52"/>
  <c r="S19" i="52"/>
  <c r="S11" i="52"/>
  <c r="S13" i="52"/>
  <c r="AJ13" i="52" s="1"/>
  <c r="AK13" i="52" s="1"/>
  <c r="S14" i="52"/>
  <c r="S8" i="52"/>
  <c r="AJ8" i="52" s="1"/>
  <c r="AK8" i="52" s="1"/>
  <c r="O20" i="52"/>
  <c r="O19" i="52"/>
  <c r="O8" i="52"/>
  <c r="O15" i="52"/>
  <c r="AJ15" i="52" s="1"/>
  <c r="AK15" i="52" s="1"/>
  <c r="O14" i="52"/>
  <c r="I24" i="70"/>
  <c r="K24" i="70" s="1"/>
  <c r="O11" i="52"/>
  <c r="U22" i="70"/>
  <c r="W22" i="70" s="1"/>
  <c r="O23" i="70"/>
  <c r="Q23" i="70" s="1"/>
  <c r="C23" i="70"/>
  <c r="D23" i="70" s="1"/>
  <c r="U12" i="70"/>
  <c r="V12" i="70" s="1"/>
  <c r="S12" i="51"/>
  <c r="S19" i="51"/>
  <c r="AJ19" i="51" s="1"/>
  <c r="AK19" i="51" s="1"/>
  <c r="S8" i="51"/>
  <c r="AJ8" i="51" s="1"/>
  <c r="AK8" i="51" s="1"/>
  <c r="S17" i="51"/>
  <c r="S18" i="51"/>
  <c r="AJ18" i="51" s="1"/>
  <c r="AK18" i="51" s="1"/>
  <c r="O19" i="51"/>
  <c r="O6" i="51"/>
  <c r="O20" i="51"/>
  <c r="AJ20" i="51" s="1"/>
  <c r="AK20" i="51" s="1"/>
  <c r="O11" i="51"/>
  <c r="O12" i="51"/>
  <c r="O5" i="51"/>
  <c r="O10" i="51"/>
  <c r="AJ10" i="51" s="1"/>
  <c r="AK10" i="51" s="1"/>
  <c r="O24" i="70"/>
  <c r="Q24" i="70" s="1"/>
  <c r="O22" i="70"/>
  <c r="Q22" i="70" s="1"/>
  <c r="C21" i="70"/>
  <c r="D21" i="70" s="1"/>
  <c r="O18" i="70"/>
  <c r="Q18" i="70" s="1"/>
  <c r="R18" i="70"/>
  <c r="S18" i="70" s="1"/>
  <c r="U18" i="70"/>
  <c r="W18" i="70" s="1"/>
  <c r="R23" i="70"/>
  <c r="S23" i="70" s="1"/>
  <c r="U23" i="70"/>
  <c r="W23" i="70" s="1"/>
  <c r="C24" i="70"/>
  <c r="E24" i="70" s="1"/>
  <c r="C12" i="70"/>
  <c r="E12" i="70" s="1"/>
  <c r="O21" i="70"/>
  <c r="Q21" i="70" s="1"/>
  <c r="R21" i="70"/>
  <c r="T21" i="70" s="1"/>
  <c r="U21" i="70"/>
  <c r="W21" i="70" s="1"/>
  <c r="S18" i="50"/>
  <c r="S9" i="50"/>
  <c r="S12" i="50"/>
  <c r="L23" i="70"/>
  <c r="S21" i="50"/>
  <c r="S11" i="50"/>
  <c r="L22" i="70"/>
  <c r="M22" i="70" s="1"/>
  <c r="O7" i="50"/>
  <c r="AJ7" i="50" s="1"/>
  <c r="AK7" i="50" s="1"/>
  <c r="O11" i="50"/>
  <c r="O12" i="50"/>
  <c r="O21" i="50"/>
  <c r="O22" i="50"/>
  <c r="O16" i="50"/>
  <c r="I18" i="70"/>
  <c r="I23" i="70"/>
  <c r="K23" i="70" s="1"/>
  <c r="Y21" i="70"/>
  <c r="Z13" i="70"/>
  <c r="S24" i="70"/>
  <c r="Y18" i="70"/>
  <c r="D22" i="70"/>
  <c r="Z24" i="70"/>
  <c r="X7" i="70"/>
  <c r="Y7" i="70" s="1"/>
  <c r="P12" i="70"/>
  <c r="T12" i="70"/>
  <c r="Y22" i="70"/>
  <c r="Y12" i="70"/>
  <c r="E18" i="70"/>
  <c r="Y23" i="70"/>
  <c r="V24" i="70"/>
  <c r="S10" i="49"/>
  <c r="S7" i="49"/>
  <c r="S5" i="49"/>
  <c r="S23" i="49"/>
  <c r="S22" i="49"/>
  <c r="L20" i="70" s="1"/>
  <c r="M20" i="70" s="1"/>
  <c r="S17" i="49"/>
  <c r="L18" i="70" s="1"/>
  <c r="S18" i="49"/>
  <c r="L12" i="70" s="1"/>
  <c r="S15" i="49"/>
  <c r="L24" i="70" s="1"/>
  <c r="M24" i="70" s="1"/>
  <c r="O8" i="49"/>
  <c r="O22" i="49"/>
  <c r="I20" i="70" s="1"/>
  <c r="J20" i="70" s="1"/>
  <c r="O7" i="49"/>
  <c r="O20" i="49"/>
  <c r="O23" i="49"/>
  <c r="O5" i="49"/>
  <c r="O16" i="49"/>
  <c r="S7" i="56"/>
  <c r="S12" i="56"/>
  <c r="S5" i="56"/>
  <c r="S22" i="56"/>
  <c r="S24" i="56"/>
  <c r="O7" i="56"/>
  <c r="O12" i="56"/>
  <c r="O8" i="56"/>
  <c r="O5" i="56"/>
  <c r="O23" i="56"/>
  <c r="S14" i="55"/>
  <c r="S6" i="55"/>
  <c r="S9" i="55"/>
  <c r="S21" i="55"/>
  <c r="S17" i="55"/>
  <c r="O6" i="55"/>
  <c r="O9" i="55"/>
  <c r="AJ9" i="55" s="1"/>
  <c r="AK9" i="55" s="1"/>
  <c r="O22" i="55"/>
  <c r="S7" i="54"/>
  <c r="S23" i="54"/>
  <c r="O9" i="54"/>
  <c r="O13" i="54"/>
  <c r="O23" i="54"/>
  <c r="X16" i="57"/>
  <c r="Z24" i="57"/>
  <c r="Y24" i="57"/>
  <c r="R24" i="57"/>
  <c r="S24" i="57" s="1"/>
  <c r="S22" i="53"/>
  <c r="S13" i="53"/>
  <c r="S20" i="53"/>
  <c r="S9" i="53"/>
  <c r="S6" i="53"/>
  <c r="S10" i="53"/>
  <c r="S12" i="53"/>
  <c r="S15" i="53"/>
  <c r="S8" i="53"/>
  <c r="O10" i="53"/>
  <c r="I24" i="57"/>
  <c r="J24" i="57" s="1"/>
  <c r="O12" i="53"/>
  <c r="Q11" i="76"/>
  <c r="AJ5" i="75"/>
  <c r="AK5" i="75" s="1"/>
  <c r="R21" i="76"/>
  <c r="S21" i="76" s="1"/>
  <c r="AJ13" i="75"/>
  <c r="AK13" i="75" s="1"/>
  <c r="L18" i="76"/>
  <c r="M18" i="76" s="1"/>
  <c r="L21" i="76"/>
  <c r="N21" i="76" s="1"/>
  <c r="E11" i="76"/>
  <c r="P22" i="76"/>
  <c r="I21" i="76"/>
  <c r="J21" i="76" s="1"/>
  <c r="M11" i="76"/>
  <c r="AA11" i="76"/>
  <c r="AB11" i="76" s="1"/>
  <c r="AJ10" i="74"/>
  <c r="AK10" i="74" s="1"/>
  <c r="V16" i="76"/>
  <c r="AA22" i="76"/>
  <c r="AB22" i="76" s="1"/>
  <c r="AJ14" i="74"/>
  <c r="AK14" i="74" s="1"/>
  <c r="O21" i="76"/>
  <c r="Q21" i="76" s="1"/>
  <c r="AJ8" i="73"/>
  <c r="AK8" i="73" s="1"/>
  <c r="J11" i="76"/>
  <c r="J16" i="76"/>
  <c r="AA16" i="76"/>
  <c r="AB16" i="76" s="1"/>
  <c r="AJ18" i="73"/>
  <c r="AK18" i="73" s="1"/>
  <c r="AJ10" i="72"/>
  <c r="AK10" i="72" s="1"/>
  <c r="L15" i="76"/>
  <c r="M15" i="76" s="1"/>
  <c r="C12" i="76"/>
  <c r="D12" i="76" s="1"/>
  <c r="O15" i="76"/>
  <c r="Q15" i="76" s="1"/>
  <c r="AJ11" i="71"/>
  <c r="AK11" i="71" s="1"/>
  <c r="C20" i="76"/>
  <c r="I23" i="76"/>
  <c r="J23" i="76" s="1"/>
  <c r="V18" i="76"/>
  <c r="J18" i="76"/>
  <c r="AJ9" i="79"/>
  <c r="AK9" i="79" s="1"/>
  <c r="AJ12" i="79"/>
  <c r="AK12" i="79" s="1"/>
  <c r="I21" i="81"/>
  <c r="J21" i="81" s="1"/>
  <c r="Y27" i="81"/>
  <c r="L27" i="81"/>
  <c r="M27" i="81" s="1"/>
  <c r="O5" i="81"/>
  <c r="P5" i="81" s="1"/>
  <c r="U5" i="81"/>
  <c r="V5" i="81" s="1"/>
  <c r="O16" i="81"/>
  <c r="Q16" i="81" s="1"/>
  <c r="V27" i="81"/>
  <c r="L9" i="81"/>
  <c r="M9" i="81" s="1"/>
  <c r="I16" i="81"/>
  <c r="J16" i="81" s="1"/>
  <c r="I15" i="81"/>
  <c r="J15" i="81" s="1"/>
  <c r="I11" i="87"/>
  <c r="J11" i="87" s="1"/>
  <c r="AJ6" i="85"/>
  <c r="AK6" i="85" s="1"/>
  <c r="AJ18" i="85"/>
  <c r="AK18" i="85" s="1"/>
  <c r="C7" i="87"/>
  <c r="D7" i="87" s="1"/>
  <c r="C9" i="87"/>
  <c r="D9" i="87" s="1"/>
  <c r="U11" i="87"/>
  <c r="V11" i="87" s="1"/>
  <c r="AJ11" i="84"/>
  <c r="AK11" i="84" s="1"/>
  <c r="AJ8" i="84"/>
  <c r="AK8" i="84" s="1"/>
  <c r="L16" i="87"/>
  <c r="M16" i="87" s="1"/>
  <c r="AJ12" i="84"/>
  <c r="AK12" i="84" s="1"/>
  <c r="I13" i="87"/>
  <c r="J13" i="87" s="1"/>
  <c r="R8" i="87"/>
  <c r="S8" i="87" s="1"/>
  <c r="U19" i="87"/>
  <c r="V19" i="87" s="1"/>
  <c r="L19" i="87"/>
  <c r="M19" i="87" s="1"/>
  <c r="R7" i="87"/>
  <c r="S7" i="87" s="1"/>
  <c r="W17" i="87"/>
  <c r="Z17" i="87"/>
  <c r="T17" i="87"/>
  <c r="M17" i="87"/>
  <c r="O5" i="92"/>
  <c r="P5" i="92" s="1"/>
  <c r="C13" i="92"/>
  <c r="D13" i="92" s="1"/>
  <c r="I23" i="92"/>
  <c r="J23" i="92" s="1"/>
  <c r="U18" i="92"/>
  <c r="V18" i="92" s="1"/>
  <c r="C5" i="92"/>
  <c r="L13" i="92"/>
  <c r="M13" i="92" s="1"/>
  <c r="AJ22" i="89"/>
  <c r="AK22" i="89" s="1"/>
  <c r="C18" i="92"/>
  <c r="D18" i="92" s="1"/>
  <c r="C6" i="92"/>
  <c r="D6" i="92" s="1"/>
  <c r="AJ20" i="88"/>
  <c r="AK20" i="88" s="1"/>
  <c r="L22" i="92"/>
  <c r="M22" i="92" s="1"/>
  <c r="M21" i="92"/>
  <c r="AA21" i="92"/>
  <c r="AB21" i="92" s="1"/>
  <c r="I11" i="92"/>
  <c r="J11" i="92" s="1"/>
  <c r="AJ6" i="88"/>
  <c r="AK6" i="88" s="1"/>
  <c r="I13" i="92"/>
  <c r="J13" i="92" s="1"/>
  <c r="I17" i="92"/>
  <c r="J17" i="92" s="1"/>
  <c r="J11" i="103"/>
  <c r="AA6" i="103"/>
  <c r="AB6" i="103" s="1"/>
  <c r="AJ11" i="100"/>
  <c r="AK11" i="100" s="1"/>
  <c r="J5" i="103"/>
  <c r="I12" i="103"/>
  <c r="O8" i="102"/>
  <c r="Q8" i="102" s="1"/>
  <c r="I6" i="102"/>
  <c r="J6" i="102" s="1"/>
  <c r="R9" i="102"/>
  <c r="S9" i="102" s="1"/>
  <c r="AJ8" i="96"/>
  <c r="AK8" i="96" s="1"/>
  <c r="C11" i="102"/>
  <c r="D11" i="102" s="1"/>
  <c r="Z16" i="81"/>
  <c r="Y16" i="81"/>
  <c r="P17" i="87"/>
  <c r="Q17" i="87"/>
  <c r="T21" i="81"/>
  <c r="S21" i="81"/>
  <c r="M21" i="81"/>
  <c r="W21" i="81"/>
  <c r="V21" i="81"/>
  <c r="K17" i="87"/>
  <c r="J17" i="87"/>
  <c r="P21" i="81"/>
  <c r="Q21" i="81"/>
  <c r="L8" i="103"/>
  <c r="M8" i="103" s="1"/>
  <c r="L5" i="103"/>
  <c r="T9" i="81"/>
  <c r="S9" i="81"/>
  <c r="I14" i="81"/>
  <c r="J14" i="81" s="1"/>
  <c r="C14" i="81"/>
  <c r="E14" i="81" s="1"/>
  <c r="S20" i="70"/>
  <c r="O9" i="81"/>
  <c r="Q9" i="81" s="1"/>
  <c r="L12" i="92"/>
  <c r="M12" i="92" s="1"/>
  <c r="S7" i="103"/>
  <c r="O7" i="87"/>
  <c r="P7" i="87" s="1"/>
  <c r="C17" i="87"/>
  <c r="X11" i="57"/>
  <c r="Y11" i="57" s="1"/>
  <c r="P18" i="76"/>
  <c r="Q27" i="81"/>
  <c r="X26" i="81"/>
  <c r="Z26" i="81" s="1"/>
  <c r="X17" i="81"/>
  <c r="I9" i="81"/>
  <c r="J9" i="81" s="1"/>
  <c r="U8" i="87"/>
  <c r="W8" i="87" s="1"/>
  <c r="I7" i="87"/>
  <c r="J7" i="87" s="1"/>
  <c r="O12" i="76"/>
  <c r="P12" i="76" s="1"/>
  <c r="U17" i="81"/>
  <c r="C8" i="103"/>
  <c r="D8" i="103" s="1"/>
  <c r="C5" i="103"/>
  <c r="P20" i="70"/>
  <c r="L7" i="87"/>
  <c r="M7" i="87" s="1"/>
  <c r="P17" i="81"/>
  <c r="Q17" i="81"/>
  <c r="V20" i="70"/>
  <c r="C17" i="81"/>
  <c r="L18" i="92"/>
  <c r="M18" i="92" s="1"/>
  <c r="I17" i="81"/>
  <c r="U10" i="87"/>
  <c r="V10" i="87" s="1"/>
  <c r="D20" i="70"/>
  <c r="S18" i="76"/>
  <c r="G21" i="76"/>
  <c r="H21" i="81"/>
  <c r="G21" i="81"/>
  <c r="L26" i="81"/>
  <c r="M26" i="81" s="1"/>
  <c r="L17" i="81"/>
  <c r="F9" i="87"/>
  <c r="G9" i="87" s="1"/>
  <c r="F17" i="87"/>
  <c r="U15" i="87"/>
  <c r="W15" i="87" s="1"/>
  <c r="O7" i="76"/>
  <c r="P7" i="76" s="1"/>
  <c r="AJ17" i="74"/>
  <c r="AK17" i="74" s="1"/>
  <c r="F13" i="102"/>
  <c r="G13" i="102" s="1"/>
  <c r="I18" i="92"/>
  <c r="I14" i="76"/>
  <c r="J14" i="76" s="1"/>
  <c r="D21" i="81"/>
  <c r="E21" i="81"/>
  <c r="X21" i="57"/>
  <c r="Y21" i="57" s="1"/>
  <c r="X10" i="70"/>
  <c r="Y10" i="70" s="1"/>
  <c r="Z20" i="70"/>
  <c r="H7" i="103"/>
  <c r="Z15" i="70"/>
  <c r="R13" i="81"/>
  <c r="S13" i="81" s="1"/>
  <c r="F15" i="87"/>
  <c r="G15" i="87" s="1"/>
  <c r="F13" i="87"/>
  <c r="U23" i="92"/>
  <c r="V23" i="92" s="1"/>
  <c r="F8" i="103"/>
  <c r="F5" i="103"/>
  <c r="C9" i="81"/>
  <c r="D9" i="81" s="1"/>
  <c r="I5" i="92"/>
  <c r="J5" i="92" s="1"/>
  <c r="C14" i="76"/>
  <c r="D14" i="76" s="1"/>
  <c r="I8" i="87"/>
  <c r="J8" i="87" s="1"/>
  <c r="I14" i="87"/>
  <c r="J14" i="87" s="1"/>
  <c r="AJ28" i="77"/>
  <c r="AK28" i="77" s="1"/>
  <c r="F7" i="102"/>
  <c r="G7" i="102" s="1"/>
  <c r="C18" i="76"/>
  <c r="X6" i="70"/>
  <c r="Z6" i="70" s="1"/>
  <c r="X19" i="81"/>
  <c r="Y19" i="81" s="1"/>
  <c r="R17" i="81"/>
  <c r="U9" i="81"/>
  <c r="V9" i="81" s="1"/>
  <c r="U12" i="76"/>
  <c r="V12" i="76" s="1"/>
  <c r="O14" i="87"/>
  <c r="P14" i="87" s="1"/>
  <c r="R5" i="92"/>
  <c r="S5" i="92" s="1"/>
  <c r="O8" i="103"/>
  <c r="P8" i="103" s="1"/>
  <c r="O5" i="103"/>
  <c r="P5" i="103" s="1"/>
  <c r="C28" i="81"/>
  <c r="D28" i="81" s="1"/>
  <c r="L8" i="87"/>
  <c r="M8" i="87" s="1"/>
  <c r="O18" i="92"/>
  <c r="P18" i="92" s="1"/>
  <c r="O15" i="87"/>
  <c r="P15" i="87" s="1"/>
  <c r="U24" i="81"/>
  <c r="V24" i="81" s="1"/>
  <c r="I27" i="81"/>
  <c r="J27" i="81" s="1"/>
  <c r="X5" i="70"/>
  <c r="Y5" i="70" s="1"/>
  <c r="X8" i="70"/>
  <c r="Y8" i="70" s="1"/>
  <c r="AE10" i="53"/>
  <c r="AJ19" i="74"/>
  <c r="AK19" i="74" s="1"/>
  <c r="AJ11" i="79"/>
  <c r="AK11" i="79" s="1"/>
  <c r="L16" i="81"/>
  <c r="AJ24" i="79"/>
  <c r="AK24" i="79" s="1"/>
  <c r="L14" i="81"/>
  <c r="M14" i="81" s="1"/>
  <c r="AJ8" i="85"/>
  <c r="AK8" i="85" s="1"/>
  <c r="R11" i="87"/>
  <c r="S11" i="87" s="1"/>
  <c r="AJ9" i="85"/>
  <c r="AK9" i="85" s="1"/>
  <c r="C15" i="87"/>
  <c r="D15" i="87" s="1"/>
  <c r="Q11" i="87"/>
  <c r="P11" i="87"/>
  <c r="L11" i="87"/>
  <c r="M11" i="87" s="1"/>
  <c r="R15" i="87"/>
  <c r="S15" i="87" s="1"/>
  <c r="R16" i="87"/>
  <c r="AJ14" i="83"/>
  <c r="AK14" i="83" s="1"/>
  <c r="U14" i="87"/>
  <c r="V14" i="87" s="1"/>
  <c r="O14" i="92"/>
  <c r="P14" i="92" s="1"/>
  <c r="R18" i="92"/>
  <c r="S18" i="92" s="1"/>
  <c r="O8" i="92"/>
  <c r="P8" i="92" s="1"/>
  <c r="L5" i="92"/>
  <c r="M5" i="92" s="1"/>
  <c r="U8" i="92"/>
  <c r="V8" i="92" s="1"/>
  <c r="O19" i="92"/>
  <c r="P19" i="92" s="1"/>
  <c r="H11" i="103"/>
  <c r="R12" i="103"/>
  <c r="U18" i="102"/>
  <c r="V18" i="102" s="1"/>
  <c r="AJ10" i="75"/>
  <c r="AK10" i="75" s="1"/>
  <c r="I5" i="76"/>
  <c r="I10" i="76"/>
  <c r="J10" i="76" s="1"/>
  <c r="AK20" i="74"/>
  <c r="AL20" i="74" s="1"/>
  <c r="U5" i="76"/>
  <c r="V5" i="76" s="1"/>
  <c r="AJ30" i="79"/>
  <c r="AK30" i="79" s="1"/>
  <c r="U8" i="81"/>
  <c r="V8" i="81" s="1"/>
  <c r="AJ5" i="78"/>
  <c r="AK5" i="78" s="1"/>
  <c r="R8" i="81"/>
  <c r="S8" i="81" s="1"/>
  <c r="O15" i="81"/>
  <c r="P15" i="81" s="1"/>
  <c r="O19" i="81"/>
  <c r="P19" i="81" s="1"/>
  <c r="U6" i="81"/>
  <c r="V6" i="81" s="1"/>
  <c r="O11" i="81"/>
  <c r="P11" i="81" s="1"/>
  <c r="C15" i="81"/>
  <c r="D15" i="81" s="1"/>
  <c r="U15" i="81"/>
  <c r="V15" i="81" s="1"/>
  <c r="T27" i="81"/>
  <c r="E27" i="81"/>
  <c r="R19" i="81"/>
  <c r="S19" i="81" s="1"/>
  <c r="C6" i="81"/>
  <c r="D6" i="81" s="1"/>
  <c r="L24" i="81"/>
  <c r="M24" i="81" s="1"/>
  <c r="R15" i="81"/>
  <c r="S15" i="81" s="1"/>
  <c r="U19" i="81"/>
  <c r="V19" i="81" s="1"/>
  <c r="R6" i="81"/>
  <c r="S6" i="81" s="1"/>
  <c r="O8" i="81"/>
  <c r="P8" i="81" s="1"/>
  <c r="O13" i="81"/>
  <c r="P13" i="81" s="1"/>
  <c r="AK10" i="84"/>
  <c r="L10" i="87"/>
  <c r="M10" i="87" s="1"/>
  <c r="C19" i="87"/>
  <c r="D19" i="87" s="1"/>
  <c r="O12" i="87"/>
  <c r="P12" i="87" s="1"/>
  <c r="L15" i="87"/>
  <c r="M15" i="87" s="1"/>
  <c r="R13" i="92"/>
  <c r="S13" i="92" s="1"/>
  <c r="O13" i="92"/>
  <c r="P13" i="92" s="1"/>
  <c r="O23" i="92"/>
  <c r="P23" i="92" s="1"/>
  <c r="U15" i="92"/>
  <c r="V15" i="92" s="1"/>
  <c r="U13" i="92"/>
  <c r="V13" i="92" s="1"/>
  <c r="I9" i="92"/>
  <c r="J9" i="92" s="1"/>
  <c r="AC14" i="103"/>
  <c r="AK13" i="97"/>
  <c r="AL13" i="97" s="1"/>
  <c r="AK14" i="97"/>
  <c r="AL14" i="97" s="1"/>
  <c r="AJ12" i="96"/>
  <c r="AK12" i="96" s="1"/>
  <c r="W19" i="102"/>
  <c r="Z16" i="87"/>
  <c r="L13" i="87"/>
  <c r="M13" i="87" s="1"/>
  <c r="AJ13" i="84"/>
  <c r="AK13" i="84" s="1"/>
  <c r="Z10" i="87"/>
  <c r="AJ6" i="82"/>
  <c r="AK6" i="82" s="1"/>
  <c r="C8" i="114" s="1"/>
  <c r="D8" i="114" s="1"/>
  <c r="Z11" i="87"/>
  <c r="Z5" i="92"/>
  <c r="AJ11" i="90"/>
  <c r="AK11" i="90" s="1"/>
  <c r="AJ13" i="90"/>
  <c r="AK13" i="90" s="1"/>
  <c r="Z18" i="92"/>
  <c r="L23" i="92"/>
  <c r="M23" i="92" s="1"/>
  <c r="O12" i="92"/>
  <c r="P12" i="92" s="1"/>
  <c r="AJ10" i="89"/>
  <c r="AK10" i="89" s="1"/>
  <c r="Z12" i="92"/>
  <c r="Z15" i="92"/>
  <c r="O10" i="92"/>
  <c r="P10" i="92" s="1"/>
  <c r="AJ11" i="88"/>
  <c r="AK11" i="88" s="1"/>
  <c r="Z10" i="92"/>
  <c r="Z20" i="92"/>
  <c r="Z17" i="92"/>
  <c r="AJ5" i="100"/>
  <c r="AK5" i="100" s="1"/>
  <c r="F15" i="102"/>
  <c r="G15" i="102" s="1"/>
  <c r="AJ9" i="96"/>
  <c r="AK9" i="96" s="1"/>
  <c r="AJ11" i="96"/>
  <c r="AK11" i="96" s="1"/>
  <c r="AJ10" i="95"/>
  <c r="AK10" i="95" s="1"/>
  <c r="U7" i="102"/>
  <c r="V7" i="102" s="1"/>
  <c r="AA5" i="56"/>
  <c r="AE18" i="56"/>
  <c r="AE20" i="56"/>
  <c r="AE24" i="56"/>
  <c r="U15" i="57" s="1"/>
  <c r="V15" i="57" s="1"/>
  <c r="AE23" i="56"/>
  <c r="AE17" i="56"/>
  <c r="O12" i="55"/>
  <c r="W12" i="55"/>
  <c r="AE12" i="55"/>
  <c r="AE11" i="55"/>
  <c r="AE23" i="55"/>
  <c r="G14" i="54"/>
  <c r="AA14" i="54"/>
  <c r="R16" i="57" s="1"/>
  <c r="S16" i="57" s="1"/>
  <c r="S5" i="54"/>
  <c r="AA5" i="54"/>
  <c r="AE14" i="54"/>
  <c r="AE5" i="54"/>
  <c r="S7" i="53"/>
  <c r="S11" i="53"/>
  <c r="S5" i="53"/>
  <c r="W13" i="53"/>
  <c r="AA7" i="53"/>
  <c r="AA6" i="53"/>
  <c r="AA5" i="53"/>
  <c r="AE13" i="53"/>
  <c r="R14" i="76"/>
  <c r="S14" i="76" s="1"/>
  <c r="L17" i="76"/>
  <c r="M17" i="76" s="1"/>
  <c r="U7" i="76"/>
  <c r="V7" i="76" s="1"/>
  <c r="L5" i="76"/>
  <c r="R19" i="76"/>
  <c r="S19" i="76" s="1"/>
  <c r="AJ19" i="79"/>
  <c r="AK19" i="79" s="1"/>
  <c r="Z24" i="81"/>
  <c r="U14" i="81"/>
  <c r="V14" i="81" s="1"/>
  <c r="U11" i="81"/>
  <c r="V11" i="81" s="1"/>
  <c r="Z15" i="81"/>
  <c r="U28" i="81"/>
  <c r="V28" i="81" s="1"/>
  <c r="Z8" i="81"/>
  <c r="AE5" i="51"/>
  <c r="AE9" i="51"/>
  <c r="AE12" i="51"/>
  <c r="AE14" i="51"/>
  <c r="AE20" i="50"/>
  <c r="AA14" i="49"/>
  <c r="R16" i="70" s="1"/>
  <c r="S16" i="70" s="1"/>
  <c r="AE6" i="49"/>
  <c r="AE10" i="49"/>
  <c r="AE13" i="49"/>
  <c r="AA20" i="56"/>
  <c r="AA24" i="56"/>
  <c r="AA23" i="56"/>
  <c r="AA17" i="56"/>
  <c r="AA21" i="55"/>
  <c r="AA20" i="55"/>
  <c r="AA15" i="53"/>
  <c r="AA18" i="53"/>
  <c r="R5" i="76"/>
  <c r="S5" i="76" s="1"/>
  <c r="Z12" i="76"/>
  <c r="AA5" i="51"/>
  <c r="AA15" i="51"/>
  <c r="AA9" i="51"/>
  <c r="AA14" i="51"/>
  <c r="AA12" i="51"/>
  <c r="G17" i="50"/>
  <c r="AA10" i="49"/>
  <c r="AA11" i="49"/>
  <c r="AJ8" i="78"/>
  <c r="AK8" i="78" s="1"/>
  <c r="AJ11" i="77"/>
  <c r="AK11" i="77" s="1"/>
  <c r="D16" i="81"/>
  <c r="W13" i="87"/>
  <c r="C5" i="87"/>
  <c r="D5" i="87" s="1"/>
  <c r="O18" i="87"/>
  <c r="P18" i="87" s="1"/>
  <c r="AJ7" i="82"/>
  <c r="AK7" i="82" s="1"/>
  <c r="Z7" i="87"/>
  <c r="AJ19" i="91"/>
  <c r="AK19" i="91" s="1"/>
  <c r="C8" i="92"/>
  <c r="D8" i="92" s="1"/>
  <c r="AJ17" i="90"/>
  <c r="AK17" i="90" s="1"/>
  <c r="AJ6" i="89"/>
  <c r="AK6" i="89" s="1"/>
  <c r="R14" i="92"/>
  <c r="S14" i="92" s="1"/>
  <c r="O17" i="92"/>
  <c r="P17" i="92" s="1"/>
  <c r="S6" i="102"/>
  <c r="C15" i="102"/>
  <c r="D15" i="102" s="1"/>
  <c r="L11" i="102"/>
  <c r="M11" i="102" s="1"/>
  <c r="O15" i="102"/>
  <c r="P15" i="102" s="1"/>
  <c r="I18" i="102"/>
  <c r="J18" i="102" s="1"/>
  <c r="O9" i="102"/>
  <c r="P9" i="102" s="1"/>
  <c r="AJ11" i="95"/>
  <c r="AK11" i="95" s="1"/>
  <c r="O14" i="102"/>
  <c r="P14" i="102" s="1"/>
  <c r="AJ10" i="94"/>
  <c r="AK10" i="94" s="1"/>
  <c r="E6" i="102"/>
  <c r="W5" i="50"/>
  <c r="W20" i="50"/>
  <c r="W10" i="49"/>
  <c r="O7" i="70" s="1"/>
  <c r="Q7" i="70" s="1"/>
  <c r="W6" i="49"/>
  <c r="W5" i="56"/>
  <c r="W20" i="56"/>
  <c r="W24" i="56"/>
  <c r="W19" i="56"/>
  <c r="W22" i="56"/>
  <c r="W8" i="55"/>
  <c r="W21" i="55"/>
  <c r="W5" i="54"/>
  <c r="W15" i="54"/>
  <c r="W17" i="54"/>
  <c r="W6" i="53"/>
  <c r="W22" i="53"/>
  <c r="W17" i="53"/>
  <c r="O21" i="57" s="1"/>
  <c r="P21" i="57" s="1"/>
  <c r="W5" i="53"/>
  <c r="AJ9" i="75"/>
  <c r="AK9" i="75" s="1"/>
  <c r="U17" i="76"/>
  <c r="V17" i="76" s="1"/>
  <c r="C5" i="76"/>
  <c r="D5" i="76" s="1"/>
  <c r="O14" i="81"/>
  <c r="AJ7" i="78"/>
  <c r="AK7" i="78" s="1"/>
  <c r="L8" i="81"/>
  <c r="M8" i="81" s="1"/>
  <c r="L15" i="81"/>
  <c r="M15" i="81" s="1"/>
  <c r="J16" i="87"/>
  <c r="AJ5" i="84"/>
  <c r="AK5" i="84" s="1"/>
  <c r="AJ16" i="84"/>
  <c r="AK16" i="84" s="1"/>
  <c r="O5" i="87"/>
  <c r="P5" i="87" s="1"/>
  <c r="S13" i="87"/>
  <c r="L9" i="92"/>
  <c r="M9" i="92" s="1"/>
  <c r="I15" i="92"/>
  <c r="J15" i="92" s="1"/>
  <c r="AJ11" i="97"/>
  <c r="AK11" i="97" s="1"/>
  <c r="L14" i="102"/>
  <c r="M14" i="102" s="1"/>
  <c r="I9" i="102"/>
  <c r="J9" i="102" s="1"/>
  <c r="C7" i="102"/>
  <c r="D7" i="102" s="1"/>
  <c r="O5" i="102"/>
  <c r="P5" i="102" s="1"/>
  <c r="O18" i="102"/>
  <c r="P18" i="102" s="1"/>
  <c r="P19" i="102"/>
  <c r="P6" i="102"/>
  <c r="AJ13" i="94"/>
  <c r="AK13" i="94" s="1"/>
  <c r="AJ17" i="94"/>
  <c r="AK17" i="94" s="1"/>
  <c r="L5" i="102"/>
  <c r="W6" i="102"/>
  <c r="S14" i="51"/>
  <c r="S5" i="51"/>
  <c r="S17" i="50"/>
  <c r="O17" i="50"/>
  <c r="S6" i="49"/>
  <c r="S19" i="56"/>
  <c r="S18" i="56"/>
  <c r="S15" i="56"/>
  <c r="O20" i="56"/>
  <c r="O24" i="56"/>
  <c r="O16" i="55"/>
  <c r="S11" i="55"/>
  <c r="S16" i="55"/>
  <c r="S12" i="55"/>
  <c r="S15" i="55"/>
  <c r="S23" i="55"/>
  <c r="O11" i="55"/>
  <c r="O23" i="55"/>
  <c r="O21" i="55"/>
  <c r="X15" i="57"/>
  <c r="Y15" i="57" s="1"/>
  <c r="U16" i="57"/>
  <c r="S15" i="54"/>
  <c r="S17" i="54"/>
  <c r="S14" i="54"/>
  <c r="S9" i="54"/>
  <c r="S11" i="54"/>
  <c r="O14" i="54"/>
  <c r="O15" i="54"/>
  <c r="O17" i="54"/>
  <c r="O5" i="54"/>
  <c r="O11" i="54"/>
  <c r="O22" i="57"/>
  <c r="P22" i="57" s="1"/>
  <c r="S18" i="53"/>
  <c r="O18" i="53"/>
  <c r="O7" i="53"/>
  <c r="O6" i="53"/>
  <c r="O11" i="53"/>
  <c r="O5" i="53"/>
  <c r="O21" i="53"/>
  <c r="O8" i="53"/>
  <c r="O13" i="53"/>
  <c r="AJ12" i="75"/>
  <c r="AK12" i="75" s="1"/>
  <c r="AJ14" i="73"/>
  <c r="AK14" i="73" s="1"/>
  <c r="AJ12" i="72"/>
  <c r="AK12" i="72" s="1"/>
  <c r="L9" i="76"/>
  <c r="M9" i="76" s="1"/>
  <c r="I19" i="76"/>
  <c r="J19" i="76" s="1"/>
  <c r="U8" i="76"/>
  <c r="V8" i="76" s="1"/>
  <c r="C15" i="76"/>
  <c r="D15" i="76" s="1"/>
  <c r="Q23" i="76"/>
  <c r="AJ7" i="80"/>
  <c r="AK7" i="80" s="1"/>
  <c r="AJ18" i="79"/>
  <c r="AK18" i="79" s="1"/>
  <c r="AJ7" i="79"/>
  <c r="AK7" i="79" s="1"/>
  <c r="S16" i="81"/>
  <c r="I28" i="81"/>
  <c r="J28" i="81" s="1"/>
  <c r="L25" i="81"/>
  <c r="M25" i="81" s="1"/>
  <c r="AJ17" i="77"/>
  <c r="AK17" i="77" s="1"/>
  <c r="L6" i="81"/>
  <c r="M6" i="81" s="1"/>
  <c r="L19" i="81"/>
  <c r="M19" i="81" s="1"/>
  <c r="AJ14" i="77"/>
  <c r="AK14" i="77" s="1"/>
  <c r="C8" i="81"/>
  <c r="D8" i="81" s="1"/>
  <c r="AJ16" i="77"/>
  <c r="AK16" i="77" s="1"/>
  <c r="I19" i="81"/>
  <c r="J19" i="81" s="1"/>
  <c r="AL21" i="77"/>
  <c r="AJ6" i="77"/>
  <c r="AK6" i="77" s="1"/>
  <c r="AJ14" i="85"/>
  <c r="AK14" i="85" s="1"/>
  <c r="D13" i="87"/>
  <c r="L5" i="87"/>
  <c r="M5" i="87" s="1"/>
  <c r="C8" i="87"/>
  <c r="AJ9" i="84"/>
  <c r="AK9" i="84" s="1"/>
  <c r="AJ7" i="84"/>
  <c r="AK7" i="84" s="1"/>
  <c r="AJ8" i="83"/>
  <c r="AK8" i="83" s="1"/>
  <c r="AJ17" i="83"/>
  <c r="AK17" i="83" s="1"/>
  <c r="L18" i="87"/>
  <c r="M18" i="87" s="1"/>
  <c r="L6" i="87"/>
  <c r="AJ5" i="83"/>
  <c r="AK5" i="83" s="1"/>
  <c r="AJ9" i="83"/>
  <c r="AK9" i="83" s="1"/>
  <c r="AL13" i="82"/>
  <c r="C13" i="114"/>
  <c r="D13" i="114" s="1"/>
  <c r="E13" i="114" s="1"/>
  <c r="AJ5" i="91"/>
  <c r="AK5" i="91" s="1"/>
  <c r="L8" i="92"/>
  <c r="M8" i="92" s="1"/>
  <c r="AJ5" i="90"/>
  <c r="AK5" i="90" s="1"/>
  <c r="L6" i="92"/>
  <c r="I7" i="92"/>
  <c r="J7" i="92" s="1"/>
  <c r="L16" i="92"/>
  <c r="M16" i="92" s="1"/>
  <c r="L17" i="92"/>
  <c r="M17" i="92" s="1"/>
  <c r="L11" i="92"/>
  <c r="M11" i="92" s="1"/>
  <c r="L14" i="92"/>
  <c r="Y10" i="92"/>
  <c r="AJ10" i="88"/>
  <c r="AK10" i="88" s="1"/>
  <c r="AJ17" i="88"/>
  <c r="AK17" i="88" s="1"/>
  <c r="U15" i="102"/>
  <c r="V15" i="102" s="1"/>
  <c r="I5" i="102"/>
  <c r="J5" i="102" s="1"/>
  <c r="AJ6" i="95"/>
  <c r="AK6" i="95" s="1"/>
  <c r="L9" i="102"/>
  <c r="M9" i="102" s="1"/>
  <c r="AJ9" i="95"/>
  <c r="AK9" i="95" s="1"/>
  <c r="J19" i="102"/>
  <c r="I11" i="102"/>
  <c r="J11" i="102" s="1"/>
  <c r="L7" i="102"/>
  <c r="M7" i="102" s="1"/>
  <c r="I7" i="102"/>
  <c r="J7" i="102" s="1"/>
  <c r="AJ15" i="94"/>
  <c r="AK15" i="94" s="1"/>
  <c r="L15" i="102"/>
  <c r="M15" i="102" s="1"/>
  <c r="AJ12" i="94"/>
  <c r="AK12" i="94" s="1"/>
  <c r="I14" i="102"/>
  <c r="J14" i="102" s="1"/>
  <c r="T8" i="102"/>
  <c r="S19" i="102"/>
  <c r="AJ12" i="100"/>
  <c r="AK12" i="100" s="1"/>
  <c r="V11" i="102"/>
  <c r="U5" i="102"/>
  <c r="E8" i="102"/>
  <c r="V8" i="102"/>
  <c r="E19" i="102"/>
  <c r="AA19" i="102"/>
  <c r="AB19" i="102" s="1"/>
  <c r="S11" i="102"/>
  <c r="R17" i="102"/>
  <c r="S17" i="102" s="1"/>
  <c r="AJ18" i="94"/>
  <c r="AK18" i="94" s="1"/>
  <c r="H19" i="102"/>
  <c r="G10" i="102"/>
  <c r="I5" i="87"/>
  <c r="J5" i="87" s="1"/>
  <c r="U12" i="92"/>
  <c r="V12" i="92" s="1"/>
  <c r="Z7" i="92"/>
  <c r="F20" i="92"/>
  <c r="G20" i="92" s="1"/>
  <c r="Y21" i="92"/>
  <c r="Z21" i="92"/>
  <c r="AJ18" i="89"/>
  <c r="AK18" i="89" s="1"/>
  <c r="AJ12" i="88"/>
  <c r="AK12" i="88" s="1"/>
  <c r="I7" i="76"/>
  <c r="J7" i="76" s="1"/>
  <c r="U13" i="76"/>
  <c r="V13" i="76" s="1"/>
  <c r="L14" i="76"/>
  <c r="M14" i="76" s="1"/>
  <c r="AJ10" i="71"/>
  <c r="AK10" i="71" s="1"/>
  <c r="R9" i="76"/>
  <c r="S9" i="76" s="1"/>
  <c r="W16" i="81"/>
  <c r="U26" i="81"/>
  <c r="V26" i="81" s="1"/>
  <c r="C11" i="81"/>
  <c r="D11" i="81" s="1"/>
  <c r="AJ30" i="77"/>
  <c r="AK30" i="77" s="1"/>
  <c r="G14" i="51"/>
  <c r="G20" i="50"/>
  <c r="D24" i="57"/>
  <c r="E24" i="57"/>
  <c r="U7" i="92"/>
  <c r="V7" i="92" s="1"/>
  <c r="U14" i="92"/>
  <c r="V14" i="92" s="1"/>
  <c r="C7" i="92"/>
  <c r="AJ8" i="74"/>
  <c r="AK8" i="74" s="1"/>
  <c r="AJ10" i="73"/>
  <c r="AK10" i="73" s="1"/>
  <c r="AJ5" i="72"/>
  <c r="AK5" i="72" s="1"/>
  <c r="U10" i="76"/>
  <c r="V10" i="76" s="1"/>
  <c r="AJ7" i="71"/>
  <c r="AK7" i="71" s="1"/>
  <c r="AJ18" i="71"/>
  <c r="AK18" i="71" s="1"/>
  <c r="O12" i="81"/>
  <c r="P12" i="81" s="1"/>
  <c r="I6" i="81"/>
  <c r="J6" i="81" s="1"/>
  <c r="AJ10" i="79"/>
  <c r="AK10" i="79" s="1"/>
  <c r="C7" i="81"/>
  <c r="D7" i="81" s="1"/>
  <c r="O28" i="81"/>
  <c r="P28" i="81" s="1"/>
  <c r="L5" i="81"/>
  <c r="M5" i="81" s="1"/>
  <c r="L28" i="81"/>
  <c r="M28" i="81" s="1"/>
  <c r="C23" i="81"/>
  <c r="AA23" i="81" s="1"/>
  <c r="AB23" i="81" s="1"/>
  <c r="L11" i="81"/>
  <c r="M11" i="81" s="1"/>
  <c r="U10" i="81"/>
  <c r="V10" i="81" s="1"/>
  <c r="AJ7" i="77"/>
  <c r="AK7" i="77" s="1"/>
  <c r="C14" i="115" s="1"/>
  <c r="D14" i="115" s="1"/>
  <c r="C6" i="87"/>
  <c r="D6" i="87" s="1"/>
  <c r="AJ19" i="85"/>
  <c r="AK19" i="85" s="1"/>
  <c r="C11" i="87"/>
  <c r="D11" i="87" s="1"/>
  <c r="AJ5" i="85"/>
  <c r="AK5" i="85" s="1"/>
  <c r="U18" i="87"/>
  <c r="V18" i="87" s="1"/>
  <c r="AJ13" i="91"/>
  <c r="AK13" i="91" s="1"/>
  <c r="O11" i="92"/>
  <c r="P11" i="92" s="1"/>
  <c r="AJ18" i="91"/>
  <c r="AK18" i="91" s="1"/>
  <c r="I20" i="92"/>
  <c r="J20" i="92" s="1"/>
  <c r="C10" i="92"/>
  <c r="D10" i="92" s="1"/>
  <c r="U19" i="92"/>
  <c r="V19" i="92" s="1"/>
  <c r="I19" i="92"/>
  <c r="J19" i="92" s="1"/>
  <c r="U20" i="92"/>
  <c r="V20" i="92" s="1"/>
  <c r="I15" i="102"/>
  <c r="J15" i="102" s="1"/>
  <c r="AJ13" i="95"/>
  <c r="AK13" i="95" s="1"/>
  <c r="C20" i="102"/>
  <c r="D20" i="102" s="1"/>
  <c r="G11" i="52"/>
  <c r="G7" i="52"/>
  <c r="G17" i="52"/>
  <c r="C13" i="70" s="1"/>
  <c r="G6" i="49"/>
  <c r="X17" i="70"/>
  <c r="G10" i="49"/>
  <c r="X16" i="70"/>
  <c r="X9" i="70"/>
  <c r="X11" i="70"/>
  <c r="Y11" i="70" s="1"/>
  <c r="G9" i="56"/>
  <c r="G22" i="56"/>
  <c r="G20" i="56"/>
  <c r="G5" i="56"/>
  <c r="G12" i="55"/>
  <c r="G16" i="55"/>
  <c r="C12" i="57" s="1"/>
  <c r="G11" i="55"/>
  <c r="G15" i="54"/>
  <c r="G17" i="54"/>
  <c r="G5" i="54"/>
  <c r="G18" i="53"/>
  <c r="G23" i="53"/>
  <c r="G14" i="53"/>
  <c r="R12" i="76"/>
  <c r="S12" i="76" s="1"/>
  <c r="R8" i="76"/>
  <c r="S8" i="76" s="1"/>
  <c r="AJ11" i="74"/>
  <c r="AK11" i="74" s="1"/>
  <c r="L10" i="76"/>
  <c r="M10" i="76" s="1"/>
  <c r="R10" i="76"/>
  <c r="S10" i="76" s="1"/>
  <c r="C6" i="76"/>
  <c r="D6" i="76" s="1"/>
  <c r="AJ26" i="72"/>
  <c r="AK26" i="72" s="1"/>
  <c r="I12" i="76"/>
  <c r="J12" i="76" s="1"/>
  <c r="AJ16" i="79"/>
  <c r="AK16" i="79" s="1"/>
  <c r="O6" i="81"/>
  <c r="P6" i="81" s="1"/>
  <c r="I8" i="81"/>
  <c r="I25" i="81"/>
  <c r="J25" i="81" s="1"/>
  <c r="C19" i="81"/>
  <c r="C25" i="81"/>
  <c r="D25" i="81" s="1"/>
  <c r="U7" i="81"/>
  <c r="V7" i="81" s="1"/>
  <c r="L18" i="81"/>
  <c r="M18" i="81" s="1"/>
  <c r="R12" i="81"/>
  <c r="S12" i="81" s="1"/>
  <c r="R5" i="81"/>
  <c r="S5" i="81" s="1"/>
  <c r="I5" i="81"/>
  <c r="J5" i="81" s="1"/>
  <c r="AJ18" i="78"/>
  <c r="AK18" i="78" s="1"/>
  <c r="C5" i="81"/>
  <c r="D5" i="81" s="1"/>
  <c r="U25" i="81"/>
  <c r="V25" i="81" s="1"/>
  <c r="AJ15" i="77"/>
  <c r="AK15" i="77" s="1"/>
  <c r="R18" i="81"/>
  <c r="S18" i="81" s="1"/>
  <c r="O7" i="81"/>
  <c r="P7" i="81" s="1"/>
  <c r="C20" i="81"/>
  <c r="D20" i="81" s="1"/>
  <c r="P24" i="81"/>
  <c r="AJ24" i="77"/>
  <c r="AK24" i="77" s="1"/>
  <c r="AJ7" i="85"/>
  <c r="AK7" i="85" s="1"/>
  <c r="O6" i="87"/>
  <c r="F6" i="87"/>
  <c r="R12" i="87"/>
  <c r="S12" i="87" s="1"/>
  <c r="C18" i="87"/>
  <c r="I9" i="87"/>
  <c r="J9" i="87" s="1"/>
  <c r="AJ8" i="82"/>
  <c r="AK8" i="82" s="1"/>
  <c r="R9" i="87"/>
  <c r="S9" i="87" s="1"/>
  <c r="U5" i="87"/>
  <c r="I12" i="87"/>
  <c r="J12" i="87" s="1"/>
  <c r="C14" i="87"/>
  <c r="D14" i="87" s="1"/>
  <c r="AJ17" i="91"/>
  <c r="AK17" i="91" s="1"/>
  <c r="U22" i="92"/>
  <c r="V22" i="92" s="1"/>
  <c r="L10" i="92"/>
  <c r="M10" i="92" s="1"/>
  <c r="AJ14" i="91"/>
  <c r="AK14" i="91" s="1"/>
  <c r="C9" i="92"/>
  <c r="D9" i="92" s="1"/>
  <c r="F19" i="92"/>
  <c r="G19" i="92" s="1"/>
  <c r="AJ12" i="91"/>
  <c r="AK12" i="91" s="1"/>
  <c r="C19" i="92"/>
  <c r="D19" i="92" s="1"/>
  <c r="AJ10" i="90"/>
  <c r="AK10" i="90" s="1"/>
  <c r="AJ15" i="89"/>
  <c r="AK15" i="89" s="1"/>
  <c r="U9" i="92"/>
  <c r="V9" i="92" s="1"/>
  <c r="O20" i="92"/>
  <c r="P20" i="92" s="1"/>
  <c r="L19" i="92"/>
  <c r="M19" i="92" s="1"/>
  <c r="I12" i="92"/>
  <c r="J12" i="92" s="1"/>
  <c r="O9" i="92"/>
  <c r="P9" i="92" s="1"/>
  <c r="F14" i="92"/>
  <c r="G14" i="92" s="1"/>
  <c r="I14" i="92"/>
  <c r="J14" i="92" s="1"/>
  <c r="C20" i="92"/>
  <c r="P6" i="92"/>
  <c r="W6" i="92"/>
  <c r="S6" i="92"/>
  <c r="Z19" i="92"/>
  <c r="C12" i="92"/>
  <c r="D12" i="92" s="1"/>
  <c r="R10" i="92"/>
  <c r="S10" i="92" s="1"/>
  <c r="O16" i="92"/>
  <c r="P16" i="92" s="1"/>
  <c r="I10" i="92"/>
  <c r="J10" i="92" s="1"/>
  <c r="I16" i="92"/>
  <c r="J16" i="92" s="1"/>
  <c r="U10" i="92"/>
  <c r="AJ13" i="88"/>
  <c r="AK13" i="88" s="1"/>
  <c r="O15" i="92"/>
  <c r="P15" i="92" s="1"/>
  <c r="R20" i="92"/>
  <c r="S20" i="92" s="1"/>
  <c r="R23" i="92"/>
  <c r="S23" i="92" s="1"/>
  <c r="O22" i="92"/>
  <c r="R17" i="92"/>
  <c r="S17" i="92" s="1"/>
  <c r="U16" i="92"/>
  <c r="R22" i="92"/>
  <c r="S22" i="92" s="1"/>
  <c r="C23" i="92"/>
  <c r="D23" i="92" s="1"/>
  <c r="C16" i="92"/>
  <c r="D16" i="92" s="1"/>
  <c r="AJ16" i="88"/>
  <c r="AK16" i="88" s="1"/>
  <c r="C15" i="92"/>
  <c r="V12" i="103"/>
  <c r="P12" i="103"/>
  <c r="U8" i="103"/>
  <c r="R9" i="103"/>
  <c r="O7" i="102"/>
  <c r="P7" i="102" s="1"/>
  <c r="I13" i="102"/>
  <c r="J13" i="102" s="1"/>
  <c r="U13" i="102"/>
  <c r="V13" i="102" s="1"/>
  <c r="R5" i="102"/>
  <c r="O13" i="102"/>
  <c r="P13" i="102" s="1"/>
  <c r="L16" i="102"/>
  <c r="AJ5" i="95"/>
  <c r="AK5" i="95" s="1"/>
  <c r="H20" i="102"/>
  <c r="C13" i="102"/>
  <c r="D13" i="102" s="1"/>
  <c r="AJ21" i="94"/>
  <c r="AK21" i="94" s="1"/>
  <c r="T20" i="102"/>
  <c r="S20" i="102"/>
  <c r="L18" i="102"/>
  <c r="L20" i="102"/>
  <c r="O17" i="102"/>
  <c r="P17" i="102" s="1"/>
  <c r="U20" i="102"/>
  <c r="C18" i="102"/>
  <c r="D18" i="102" s="1"/>
  <c r="L17" i="102"/>
  <c r="M17" i="102" s="1"/>
  <c r="I17" i="102"/>
  <c r="I20" i="102"/>
  <c r="AJ7" i="94"/>
  <c r="AK7" i="94" s="1"/>
  <c r="AJ11" i="94"/>
  <c r="AK11" i="94" s="1"/>
  <c r="R10" i="102"/>
  <c r="S10" i="102" s="1"/>
  <c r="U10" i="102"/>
  <c r="V10" i="102" s="1"/>
  <c r="O20" i="102"/>
  <c r="C16" i="102"/>
  <c r="D16" i="102" s="1"/>
  <c r="C17" i="102"/>
  <c r="C5" i="102"/>
  <c r="D5" i="102" s="1"/>
  <c r="AJ6" i="94"/>
  <c r="AK6" i="94" s="1"/>
  <c r="G9" i="102"/>
  <c r="X14" i="70"/>
  <c r="X19" i="70"/>
  <c r="Z19" i="70" s="1"/>
  <c r="AJ14" i="75"/>
  <c r="AK14" i="75" s="1"/>
  <c r="U14" i="76"/>
  <c r="V14" i="76" s="1"/>
  <c r="AJ13" i="74"/>
  <c r="AK13" i="74" s="1"/>
  <c r="AJ16" i="73"/>
  <c r="AK16" i="73" s="1"/>
  <c r="O8" i="76"/>
  <c r="P8" i="76" s="1"/>
  <c r="AJ17" i="73"/>
  <c r="AK17" i="73" s="1"/>
  <c r="C19" i="76"/>
  <c r="D19" i="76" s="1"/>
  <c r="U23" i="76"/>
  <c r="V23" i="76" s="1"/>
  <c r="U6" i="76"/>
  <c r="V6" i="76" s="1"/>
  <c r="AJ20" i="72"/>
  <c r="AK20" i="72" s="1"/>
  <c r="L7" i="76"/>
  <c r="M7" i="76" s="1"/>
  <c r="L6" i="76"/>
  <c r="M6" i="76" s="1"/>
  <c r="R13" i="76"/>
  <c r="S13" i="76" s="1"/>
  <c r="AJ15" i="71"/>
  <c r="AK15" i="71" s="1"/>
  <c r="I15" i="76"/>
  <c r="J15" i="76" s="1"/>
  <c r="AJ16" i="71"/>
  <c r="AK16" i="71" s="1"/>
  <c r="I13" i="76"/>
  <c r="J13" i="76" s="1"/>
  <c r="Z15" i="76"/>
  <c r="AJ5" i="79"/>
  <c r="AK5" i="79" s="1"/>
  <c r="R7" i="81"/>
  <c r="S7" i="81" s="1"/>
  <c r="R11" i="81"/>
  <c r="S11" i="81" s="1"/>
  <c r="I10" i="81"/>
  <c r="J10" i="81" s="1"/>
  <c r="I18" i="81"/>
  <c r="J18" i="81" s="1"/>
  <c r="Z18" i="81"/>
  <c r="C18" i="81"/>
  <c r="D18" i="81" s="1"/>
  <c r="U18" i="81"/>
  <c r="V18" i="81" s="1"/>
  <c r="O18" i="81"/>
  <c r="P18" i="81" s="1"/>
  <c r="Z6" i="81"/>
  <c r="AJ28" i="78"/>
  <c r="AK28" i="78" s="1"/>
  <c r="AJ14" i="78"/>
  <c r="AK14" i="78" s="1"/>
  <c r="L7" i="81"/>
  <c r="M7" i="81" s="1"/>
  <c r="I11" i="81"/>
  <c r="I26" i="81"/>
  <c r="J26" i="81" s="1"/>
  <c r="C26" i="81"/>
  <c r="D26" i="81" s="1"/>
  <c r="AJ20" i="77"/>
  <c r="AK20" i="77" s="1"/>
  <c r="S14" i="81"/>
  <c r="R14" i="87"/>
  <c r="S14" i="87" s="1"/>
  <c r="L9" i="87"/>
  <c r="M9" i="87" s="1"/>
  <c r="R18" i="87"/>
  <c r="S18" i="87" s="1"/>
  <c r="O9" i="87"/>
  <c r="P9" i="87" s="1"/>
  <c r="AJ19" i="84"/>
  <c r="AK19" i="84" s="1"/>
  <c r="L14" i="87"/>
  <c r="M14" i="87" s="1"/>
  <c r="Z5" i="87"/>
  <c r="Z8" i="87"/>
  <c r="Z9" i="87"/>
  <c r="Z19" i="87"/>
  <c r="Z18" i="87"/>
  <c r="Z14" i="87"/>
  <c r="F14" i="87"/>
  <c r="C12" i="87"/>
  <c r="D12" i="87" s="1"/>
  <c r="R5" i="87"/>
  <c r="I6" i="87"/>
  <c r="U17" i="92"/>
  <c r="R12" i="92"/>
  <c r="S12" i="92" s="1"/>
  <c r="AJ15" i="91"/>
  <c r="AK15" i="91" s="1"/>
  <c r="C17" i="92"/>
  <c r="D17" i="92" s="1"/>
  <c r="R11" i="92"/>
  <c r="AJ13" i="89"/>
  <c r="AK13" i="89" s="1"/>
  <c r="R15" i="92"/>
  <c r="S15" i="92" s="1"/>
  <c r="L15" i="92"/>
  <c r="M15" i="92" s="1"/>
  <c r="L20" i="92"/>
  <c r="M20" i="92" s="1"/>
  <c r="AJ15" i="88"/>
  <c r="AK15" i="88" s="1"/>
  <c r="AJ14" i="88"/>
  <c r="AK14" i="88" s="1"/>
  <c r="AJ9" i="88"/>
  <c r="AK9" i="88" s="1"/>
  <c r="R18" i="102"/>
  <c r="S18" i="102" s="1"/>
  <c r="W7" i="103"/>
  <c r="U9" i="103"/>
  <c r="V9" i="103" s="1"/>
  <c r="P7" i="103"/>
  <c r="O9" i="103"/>
  <c r="Q12" i="103" s="1"/>
  <c r="M7" i="103"/>
  <c r="L9" i="103"/>
  <c r="J7" i="103"/>
  <c r="I9" i="103"/>
  <c r="E7" i="103"/>
  <c r="C9" i="103"/>
  <c r="D9" i="103" s="1"/>
  <c r="M12" i="103"/>
  <c r="D7" i="103"/>
  <c r="Q7" i="103"/>
  <c r="O10" i="102"/>
  <c r="P10" i="102" s="1"/>
  <c r="AJ16" i="95"/>
  <c r="AK16" i="95" s="1"/>
  <c r="L10" i="102"/>
  <c r="M10" i="102" s="1"/>
  <c r="C10" i="102"/>
  <c r="D10" i="102" s="1"/>
  <c r="AJ19" i="94"/>
  <c r="AK19" i="94" s="1"/>
  <c r="D9" i="102"/>
  <c r="G19" i="50"/>
  <c r="O8" i="50"/>
  <c r="AE8" i="50"/>
  <c r="G19" i="53"/>
  <c r="G22" i="53"/>
  <c r="S23" i="53"/>
  <c r="S14" i="53"/>
  <c r="W23" i="53"/>
  <c r="W20" i="53"/>
  <c r="W18" i="53"/>
  <c r="W14" i="53"/>
  <c r="AA12" i="49"/>
  <c r="R15" i="70" s="1"/>
  <c r="AE21" i="49"/>
  <c r="AE9" i="49"/>
  <c r="AE12" i="49"/>
  <c r="U15" i="70" s="1"/>
  <c r="O5" i="55"/>
  <c r="W5" i="55"/>
  <c r="O17" i="55"/>
  <c r="W17" i="55"/>
  <c r="AE17" i="55"/>
  <c r="U21" i="57" s="1"/>
  <c r="O10" i="55"/>
  <c r="W10" i="55"/>
  <c r="K6" i="56"/>
  <c r="F6" i="57" s="1"/>
  <c r="G6" i="57" s="1"/>
  <c r="S6" i="56"/>
  <c r="O9" i="56"/>
  <c r="W9" i="56"/>
  <c r="AJ22" i="77"/>
  <c r="AK22" i="77" s="1"/>
  <c r="U6" i="87"/>
  <c r="V6" i="87" s="1"/>
  <c r="R7" i="102"/>
  <c r="S7" i="102" s="1"/>
  <c r="U17" i="102"/>
  <c r="V17" i="102" s="1"/>
  <c r="O10" i="50"/>
  <c r="G17" i="53"/>
  <c r="G22" i="57"/>
  <c r="G7" i="51"/>
  <c r="S7" i="51"/>
  <c r="O17" i="51"/>
  <c r="W17" i="51"/>
  <c r="AE17" i="51"/>
  <c r="O15" i="51"/>
  <c r="W15" i="51"/>
  <c r="O14" i="51"/>
  <c r="W14" i="51"/>
  <c r="O9" i="51"/>
  <c r="K6" i="52"/>
  <c r="F9" i="70" s="1"/>
  <c r="G9" i="70" s="1"/>
  <c r="S6" i="52"/>
  <c r="AA6" i="52"/>
  <c r="S17" i="52"/>
  <c r="G10" i="52"/>
  <c r="S10" i="52"/>
  <c r="G5" i="52"/>
  <c r="S7" i="52"/>
  <c r="S9" i="52"/>
  <c r="S8" i="56"/>
  <c r="G13" i="56"/>
  <c r="S13" i="56"/>
  <c r="O18" i="56"/>
  <c r="R7" i="76"/>
  <c r="S7" i="76" s="1"/>
  <c r="R6" i="76"/>
  <c r="S6" i="76" s="1"/>
  <c r="U19" i="76"/>
  <c r="V19" i="76" s="1"/>
  <c r="R9" i="92"/>
  <c r="O20" i="50"/>
  <c r="S19" i="50"/>
  <c r="AA19" i="50"/>
  <c r="AE10" i="50"/>
  <c r="W7" i="56"/>
  <c r="O9" i="57" s="1"/>
  <c r="G16" i="56"/>
  <c r="U12" i="87"/>
  <c r="V12" i="87" s="1"/>
  <c r="L12" i="87"/>
  <c r="M12" i="87" s="1"/>
  <c r="L7" i="92"/>
  <c r="R13" i="102"/>
  <c r="S13" i="102" s="1"/>
  <c r="L13" i="102"/>
  <c r="M13" i="102" s="1"/>
  <c r="AJ9" i="97"/>
  <c r="AK9" i="97" s="1"/>
  <c r="Z11" i="81"/>
  <c r="AJ10" i="97"/>
  <c r="AK10" i="97" s="1"/>
  <c r="AJ6" i="96"/>
  <c r="AK6" i="96" s="1"/>
  <c r="U16" i="102"/>
  <c r="T14" i="102"/>
  <c r="D12" i="103"/>
  <c r="AA7" i="103"/>
  <c r="AB7" i="103" s="1"/>
  <c r="AJ19" i="100"/>
  <c r="AK19" i="100" s="1"/>
  <c r="AJ7" i="100"/>
  <c r="AK7" i="100" s="1"/>
  <c r="V7" i="103"/>
  <c r="R8" i="92"/>
  <c r="S8" i="92" s="1"/>
  <c r="AJ15" i="90"/>
  <c r="AK15" i="90" s="1"/>
  <c r="R16" i="92"/>
  <c r="S16" i="92" s="1"/>
  <c r="AJ19" i="89"/>
  <c r="AK19" i="89" s="1"/>
  <c r="R7" i="92"/>
  <c r="S7" i="92" s="1"/>
  <c r="C14" i="92"/>
  <c r="D14" i="92" s="1"/>
  <c r="R19" i="92"/>
  <c r="S19" i="92" s="1"/>
  <c r="AJ19" i="88"/>
  <c r="AK19" i="88" s="1"/>
  <c r="AJ5" i="88"/>
  <c r="AK5" i="88" s="1"/>
  <c r="AJ22" i="88"/>
  <c r="AK22" i="88" s="1"/>
  <c r="AJ8" i="88"/>
  <c r="AK8" i="88" s="1"/>
  <c r="AL24" i="88" s="1"/>
  <c r="AJ21" i="88"/>
  <c r="AK21" i="88" s="1"/>
  <c r="P8" i="87"/>
  <c r="R6" i="87"/>
  <c r="U9" i="87"/>
  <c r="AJ10" i="82"/>
  <c r="AK10" i="82" s="1"/>
  <c r="C12" i="114" s="1"/>
  <c r="D12" i="114" s="1"/>
  <c r="AJ15" i="82"/>
  <c r="AK15" i="82" s="1"/>
  <c r="U9" i="76"/>
  <c r="V9" i="76" s="1"/>
  <c r="AJ7" i="74"/>
  <c r="AK7" i="74" s="1"/>
  <c r="AJ20" i="75"/>
  <c r="AK20" i="75" s="1"/>
  <c r="AJ6" i="75"/>
  <c r="AK6" i="75" s="1"/>
  <c r="C10" i="76"/>
  <c r="D10" i="76" s="1"/>
  <c r="I8" i="76"/>
  <c r="J8" i="76" s="1"/>
  <c r="AJ9" i="74"/>
  <c r="AK9" i="74" s="1"/>
  <c r="Y12" i="76"/>
  <c r="AJ9" i="73"/>
  <c r="AK9" i="73" s="1"/>
  <c r="M23" i="76"/>
  <c r="C7" i="76"/>
  <c r="D7" i="76" s="1"/>
  <c r="L19" i="76"/>
  <c r="M19" i="76" s="1"/>
  <c r="L8" i="76"/>
  <c r="M8" i="76" s="1"/>
  <c r="Z17" i="76"/>
  <c r="Z23" i="76"/>
  <c r="U15" i="76"/>
  <c r="V15" i="76" s="1"/>
  <c r="Z9" i="76"/>
  <c r="V21" i="76"/>
  <c r="Z7" i="76"/>
  <c r="Z14" i="76"/>
  <c r="Z5" i="76"/>
  <c r="Z6" i="76"/>
  <c r="J17" i="76"/>
  <c r="Z8" i="76"/>
  <c r="AJ6" i="71"/>
  <c r="AK6" i="71" s="1"/>
  <c r="AJ14" i="71"/>
  <c r="AK14" i="71" s="1"/>
  <c r="AJ5" i="71"/>
  <c r="AK5" i="71" s="1"/>
  <c r="C13" i="76"/>
  <c r="D13" i="76" s="1"/>
  <c r="C21" i="76"/>
  <c r="Y21" i="76"/>
  <c r="C17" i="76"/>
  <c r="Z10" i="76"/>
  <c r="Z13" i="76"/>
  <c r="T15" i="76"/>
  <c r="AJ11" i="80"/>
  <c r="AK11" i="80" s="1"/>
  <c r="AJ29" i="79"/>
  <c r="AK29" i="79" s="1"/>
  <c r="E24" i="81"/>
  <c r="AJ13" i="79"/>
  <c r="AK13" i="79" s="1"/>
  <c r="V23" i="81"/>
  <c r="J23" i="81"/>
  <c r="L13" i="81"/>
  <c r="Z5" i="81"/>
  <c r="Y24" i="81"/>
  <c r="J24" i="81"/>
  <c r="AJ19" i="78"/>
  <c r="AK19" i="78" s="1"/>
  <c r="AJ17" i="78"/>
  <c r="AK17" i="78" s="1"/>
  <c r="AJ11" i="78"/>
  <c r="AK11" i="78" s="1"/>
  <c r="AJ26" i="78"/>
  <c r="AK26" i="78" s="1"/>
  <c r="C10" i="81"/>
  <c r="D10" i="81" s="1"/>
  <c r="Z20" i="81"/>
  <c r="AJ30" i="78"/>
  <c r="AK30" i="78" s="1"/>
  <c r="R10" i="81"/>
  <c r="R25" i="81"/>
  <c r="S25" i="81" s="1"/>
  <c r="AJ5" i="77"/>
  <c r="AK5" i="77" s="1"/>
  <c r="Z28" i="81"/>
  <c r="U12" i="81"/>
  <c r="V12" i="81" s="1"/>
  <c r="AJ25" i="77"/>
  <c r="AK25" i="77" s="1"/>
  <c r="AJ10" i="77"/>
  <c r="AK10" i="77" s="1"/>
  <c r="I20" i="81"/>
  <c r="J20" i="81" s="1"/>
  <c r="Z12" i="81"/>
  <c r="Z10" i="81"/>
  <c r="Z13" i="81"/>
  <c r="Z25" i="81"/>
  <c r="R28" i="81"/>
  <c r="S28" i="81" s="1"/>
  <c r="P23" i="81"/>
  <c r="M23" i="81"/>
  <c r="S24" i="81"/>
  <c r="O6" i="52"/>
  <c r="AE6" i="52"/>
  <c r="AE17" i="52"/>
  <c r="W10" i="52"/>
  <c r="O5" i="52"/>
  <c r="O7" i="52"/>
  <c r="AE7" i="52"/>
  <c r="O9" i="52"/>
  <c r="W9" i="52"/>
  <c r="G6" i="52"/>
  <c r="W6" i="52"/>
  <c r="W17" i="52"/>
  <c r="O10" i="52"/>
  <c r="AE10" i="52"/>
  <c r="W7" i="52"/>
  <c r="AA5" i="52"/>
  <c r="AA7" i="52"/>
  <c r="AA17" i="52"/>
  <c r="R13" i="70" s="1"/>
  <c r="O6" i="70"/>
  <c r="P6" i="70" s="1"/>
  <c r="AE15" i="51"/>
  <c r="G6" i="50"/>
  <c r="S6" i="50"/>
  <c r="W17" i="50"/>
  <c r="G13" i="50"/>
  <c r="S13" i="50"/>
  <c r="O19" i="50"/>
  <c r="S10" i="50"/>
  <c r="W19" i="50"/>
  <c r="O19" i="70" s="1"/>
  <c r="P19" i="70" s="1"/>
  <c r="AE19" i="50"/>
  <c r="U19" i="70" s="1"/>
  <c r="V19" i="70" s="1"/>
  <c r="G10" i="50"/>
  <c r="G8" i="50"/>
  <c r="S20" i="50"/>
  <c r="S8" i="50"/>
  <c r="K19" i="50"/>
  <c r="G12" i="50"/>
  <c r="O6" i="50"/>
  <c r="W6" i="50"/>
  <c r="O13" i="50"/>
  <c r="W13" i="50"/>
  <c r="AE17" i="50"/>
  <c r="AE6" i="50"/>
  <c r="AE13" i="50"/>
  <c r="U6" i="70"/>
  <c r="V6" i="70" s="1"/>
  <c r="U7" i="70"/>
  <c r="W7" i="70" s="1"/>
  <c r="AA8" i="50"/>
  <c r="AA10" i="50"/>
  <c r="AA13" i="50"/>
  <c r="AA6" i="50"/>
  <c r="AA17" i="50"/>
  <c r="AE14" i="49"/>
  <c r="AE11" i="49"/>
  <c r="U10" i="70" s="1"/>
  <c r="AA9" i="49"/>
  <c r="AA21" i="49"/>
  <c r="R19" i="70" s="1"/>
  <c r="S19" i="70" s="1"/>
  <c r="AA6" i="49"/>
  <c r="AA7" i="49"/>
  <c r="R6" i="70" s="1"/>
  <c r="T6" i="70" s="1"/>
  <c r="O19" i="56"/>
  <c r="AE19" i="56"/>
  <c r="U5" i="57" s="1"/>
  <c r="G6" i="56"/>
  <c r="O6" i="56"/>
  <c r="W6" i="56"/>
  <c r="AE6" i="56"/>
  <c r="G7" i="56"/>
  <c r="AE8" i="56"/>
  <c r="U22" i="57" s="1"/>
  <c r="O13" i="56"/>
  <c r="W13" i="56"/>
  <c r="S9" i="56"/>
  <c r="AA9" i="56"/>
  <c r="W16" i="56"/>
  <c r="AE15" i="56"/>
  <c r="U14" i="57" s="1"/>
  <c r="V14" i="57" s="1"/>
  <c r="S16" i="56"/>
  <c r="G15" i="56"/>
  <c r="AI9" i="56"/>
  <c r="AI6" i="56"/>
  <c r="AI8" i="56"/>
  <c r="AI16" i="56"/>
  <c r="AI15" i="56"/>
  <c r="X14" i="57" s="1"/>
  <c r="AE7" i="56"/>
  <c r="AE12" i="56"/>
  <c r="U12" i="57" s="1"/>
  <c r="V12" i="57" s="1"/>
  <c r="AE9" i="56"/>
  <c r="AA13" i="56"/>
  <c r="AA6" i="56"/>
  <c r="AA16" i="56"/>
  <c r="AA18" i="56"/>
  <c r="AA7" i="56"/>
  <c r="R9" i="57" s="1"/>
  <c r="AA15" i="56"/>
  <c r="AA8" i="56"/>
  <c r="AA19" i="56"/>
  <c r="K20" i="55"/>
  <c r="F19" i="57" s="1"/>
  <c r="G19" i="57" s="1"/>
  <c r="S20" i="55"/>
  <c r="O8" i="55"/>
  <c r="AE8" i="55"/>
  <c r="G22" i="55"/>
  <c r="S22" i="55"/>
  <c r="G20" i="55"/>
  <c r="O20" i="55"/>
  <c r="W20" i="55"/>
  <c r="G8" i="55"/>
  <c r="S8" i="55"/>
  <c r="G5" i="55"/>
  <c r="S5" i="55"/>
  <c r="AA5" i="55"/>
  <c r="G17" i="55"/>
  <c r="G10" i="55"/>
  <c r="C11" i="57" s="1"/>
  <c r="S10" i="55"/>
  <c r="AA10" i="55"/>
  <c r="O15" i="55"/>
  <c r="W15" i="55"/>
  <c r="O24" i="57" s="1"/>
  <c r="P24" i="57" s="1"/>
  <c r="AA23" i="55"/>
  <c r="W16" i="55"/>
  <c r="AI17" i="55"/>
  <c r="AI8" i="55"/>
  <c r="X13" i="57" s="1"/>
  <c r="AE5" i="55"/>
  <c r="AE15" i="55"/>
  <c r="U24" i="57" s="1"/>
  <c r="AE20" i="55"/>
  <c r="AE10" i="55"/>
  <c r="AE18" i="55"/>
  <c r="AA8" i="55"/>
  <c r="AA22" i="55"/>
  <c r="AA12" i="55"/>
  <c r="K12" i="54"/>
  <c r="S12" i="54"/>
  <c r="AA12" i="54"/>
  <c r="W14" i="54"/>
  <c r="O10" i="54"/>
  <c r="W10" i="54"/>
  <c r="O20" i="57" s="1"/>
  <c r="AE10" i="54"/>
  <c r="G8" i="54"/>
  <c r="S8" i="54"/>
  <c r="G9" i="54"/>
  <c r="C7" i="57" s="1"/>
  <c r="S18" i="54"/>
  <c r="S22" i="54"/>
  <c r="G12" i="54"/>
  <c r="O12" i="54"/>
  <c r="W12" i="54"/>
  <c r="G10" i="54"/>
  <c r="S10" i="54"/>
  <c r="AA10" i="54"/>
  <c r="O8" i="54"/>
  <c r="AA9" i="54"/>
  <c r="G18" i="54"/>
  <c r="G22" i="54"/>
  <c r="C15" i="57" s="1"/>
  <c r="E15" i="57" s="1"/>
  <c r="AA22" i="54"/>
  <c r="W9" i="54"/>
  <c r="O7" i="57" s="1"/>
  <c r="AE9" i="54"/>
  <c r="O18" i="54"/>
  <c r="W18" i="54"/>
  <c r="AA15" i="54"/>
  <c r="O22" i="54"/>
  <c r="X17" i="57"/>
  <c r="AE12" i="54"/>
  <c r="AE18" i="54"/>
  <c r="AA23" i="53"/>
  <c r="AA20" i="53"/>
  <c r="O22" i="53"/>
  <c r="O19" i="53"/>
  <c r="O14" i="53"/>
  <c r="O20" i="53"/>
  <c r="AA14" i="53"/>
  <c r="O17" i="53"/>
  <c r="O23" i="53"/>
  <c r="AA13" i="53"/>
  <c r="AA19" i="53"/>
  <c r="AA22" i="53"/>
  <c r="AA12" i="53"/>
  <c r="AA11" i="53"/>
  <c r="AA17" i="53"/>
  <c r="W10" i="50"/>
  <c r="W8" i="50"/>
  <c r="K17" i="51"/>
  <c r="Y7" i="81"/>
  <c r="Z7" i="81"/>
  <c r="AJ31" i="78"/>
  <c r="AK31" i="78" s="1"/>
  <c r="R20" i="81"/>
  <c r="AJ29" i="78"/>
  <c r="AK29" i="78" s="1"/>
  <c r="Z14" i="81"/>
  <c r="J8" i="103"/>
  <c r="S15" i="102"/>
  <c r="AJ6" i="100"/>
  <c r="AK6" i="100" s="1"/>
  <c r="AJ14" i="100"/>
  <c r="AK14" i="100" s="1"/>
  <c r="S12" i="102"/>
  <c r="AL5" i="101"/>
  <c r="W12" i="102"/>
  <c r="AJ12" i="97"/>
  <c r="AK12" i="97" s="1"/>
  <c r="Y12" i="102"/>
  <c r="AJ5" i="96"/>
  <c r="AK5" i="96" s="1"/>
  <c r="AJ10" i="96"/>
  <c r="AK10" i="96" s="1"/>
  <c r="P12" i="102"/>
  <c r="H10" i="102"/>
  <c r="Y17" i="102"/>
  <c r="Z7" i="102"/>
  <c r="J16" i="102"/>
  <c r="AJ17" i="95"/>
  <c r="AK17" i="95" s="1"/>
  <c r="Y10" i="102"/>
  <c r="H12" i="102"/>
  <c r="H16" i="102"/>
  <c r="S14" i="102"/>
  <c r="AJ7" i="95"/>
  <c r="AK7" i="95" s="1"/>
  <c r="AJ15" i="95"/>
  <c r="AK15" i="95" s="1"/>
  <c r="V14" i="102"/>
  <c r="M12" i="102"/>
  <c r="AJ16" i="94"/>
  <c r="AK16" i="94" s="1"/>
  <c r="G13" i="92"/>
  <c r="Z11" i="92"/>
  <c r="AJ8" i="91"/>
  <c r="AK8" i="91" s="1"/>
  <c r="Y5" i="92"/>
  <c r="Z16" i="92"/>
  <c r="Z23" i="92"/>
  <c r="Z9" i="92"/>
  <c r="Y20" i="92"/>
  <c r="Y15" i="92"/>
  <c r="T23" i="81"/>
  <c r="Y25" i="81"/>
  <c r="G23" i="81"/>
  <c r="S19" i="87"/>
  <c r="Y14" i="92"/>
  <c r="Y22" i="92"/>
  <c r="AJ16" i="90"/>
  <c r="AK16" i="90" s="1"/>
  <c r="AJ14" i="90"/>
  <c r="AK14" i="90" s="1"/>
  <c r="AJ7" i="90"/>
  <c r="AK7" i="90" s="1"/>
  <c r="Z13" i="92"/>
  <c r="AJ21" i="90"/>
  <c r="AK21" i="90" s="1"/>
  <c r="AJ12" i="90"/>
  <c r="AK12" i="90" s="1"/>
  <c r="Y17" i="92"/>
  <c r="G12" i="92"/>
  <c r="AJ18" i="90"/>
  <c r="AK18" i="90" s="1"/>
  <c r="P7" i="92"/>
  <c r="Q7" i="92"/>
  <c r="G17" i="92"/>
  <c r="G5" i="92"/>
  <c r="AJ9" i="90"/>
  <c r="AK9" i="90" s="1"/>
  <c r="J8" i="92"/>
  <c r="AJ12" i="89"/>
  <c r="AK12" i="89" s="1"/>
  <c r="AJ20" i="89"/>
  <c r="AK20" i="89" s="1"/>
  <c r="AJ14" i="89"/>
  <c r="AK14" i="89" s="1"/>
  <c r="AJ21" i="89"/>
  <c r="AK21" i="89" s="1"/>
  <c r="AJ11" i="89"/>
  <c r="AK11" i="89" s="1"/>
  <c r="AJ8" i="89"/>
  <c r="AK8" i="89" s="1"/>
  <c r="AJ7" i="89"/>
  <c r="AK7" i="89" s="1"/>
  <c r="AJ16" i="89"/>
  <c r="AK16" i="89" s="1"/>
  <c r="AJ7" i="88"/>
  <c r="AK7" i="88" s="1"/>
  <c r="G26" i="81"/>
  <c r="F20" i="81"/>
  <c r="G6" i="81"/>
  <c r="F25" i="81"/>
  <c r="G25" i="81" s="1"/>
  <c r="AJ10" i="85"/>
  <c r="AK10" i="85" s="1"/>
  <c r="Y10" i="87"/>
  <c r="Y9" i="87"/>
  <c r="Z12" i="87"/>
  <c r="Y5" i="87"/>
  <c r="Z6" i="87"/>
  <c r="AJ15" i="84"/>
  <c r="AK15" i="84" s="1"/>
  <c r="AJ6" i="84"/>
  <c r="AK6" i="84" s="1"/>
  <c r="AJ13" i="83"/>
  <c r="AK13" i="83" s="1"/>
  <c r="AJ7" i="83"/>
  <c r="AK7" i="83" s="1"/>
  <c r="AJ10" i="83"/>
  <c r="AK10" i="83" s="1"/>
  <c r="AJ12" i="83"/>
  <c r="AK12" i="83" s="1"/>
  <c r="AJ11" i="83"/>
  <c r="AK11" i="83" s="1"/>
  <c r="AJ15" i="83"/>
  <c r="AK15" i="83" s="1"/>
  <c r="AJ6" i="83"/>
  <c r="AK6" i="83" s="1"/>
  <c r="D10" i="87"/>
  <c r="AJ11" i="82"/>
  <c r="AK11" i="82" s="1"/>
  <c r="AJ5" i="82"/>
  <c r="AK5" i="82" s="1"/>
  <c r="AJ14" i="82"/>
  <c r="AK14" i="82" s="1"/>
  <c r="AJ9" i="82"/>
  <c r="AK9" i="82" s="1"/>
  <c r="AL16" i="82" s="1"/>
  <c r="AJ9" i="80"/>
  <c r="AK9" i="80" s="1"/>
  <c r="F13" i="81"/>
  <c r="I13" i="81"/>
  <c r="Y13" i="81"/>
  <c r="G19" i="81"/>
  <c r="V13" i="81"/>
  <c r="Y5" i="81"/>
  <c r="V20" i="81"/>
  <c r="Y12" i="81"/>
  <c r="Y10" i="81"/>
  <c r="Y6" i="81"/>
  <c r="AJ6" i="79"/>
  <c r="AK6" i="79" s="1"/>
  <c r="AJ14" i="79"/>
  <c r="AK14" i="79" s="1"/>
  <c r="AJ27" i="79"/>
  <c r="AK27" i="79" s="1"/>
  <c r="L12" i="81"/>
  <c r="M12" i="81" s="1"/>
  <c r="G14" i="81"/>
  <c r="C12" i="81"/>
  <c r="D12" i="81" s="1"/>
  <c r="O25" i="81"/>
  <c r="I12" i="81"/>
  <c r="J12" i="81" s="1"/>
  <c r="F10" i="81"/>
  <c r="O10" i="81"/>
  <c r="L10" i="81"/>
  <c r="I7" i="81"/>
  <c r="K24" i="81" s="1"/>
  <c r="F12" i="81"/>
  <c r="G12" i="81" s="1"/>
  <c r="AJ12" i="78"/>
  <c r="AK12" i="78" s="1"/>
  <c r="AJ16" i="78"/>
  <c r="AK16" i="78" s="1"/>
  <c r="C13" i="81"/>
  <c r="AJ13" i="77"/>
  <c r="AK13" i="77" s="1"/>
  <c r="AJ16" i="75"/>
  <c r="AK16" i="75" s="1"/>
  <c r="AJ8" i="75"/>
  <c r="AK8" i="75" s="1"/>
  <c r="O13" i="76"/>
  <c r="P13" i="76" s="1"/>
  <c r="F10" i="76"/>
  <c r="AJ5" i="74"/>
  <c r="AK5" i="74" s="1"/>
  <c r="AJ18" i="74"/>
  <c r="AK18" i="74" s="1"/>
  <c r="Y13" i="76"/>
  <c r="Y7" i="76"/>
  <c r="I6" i="76"/>
  <c r="J6" i="76" s="1"/>
  <c r="O9" i="76"/>
  <c r="P9" i="76" s="1"/>
  <c r="O5" i="76"/>
  <c r="P5" i="76" s="1"/>
  <c r="F8" i="76"/>
  <c r="G8" i="76" s="1"/>
  <c r="Y9" i="76"/>
  <c r="F19" i="76"/>
  <c r="Y10" i="76"/>
  <c r="Z19" i="76"/>
  <c r="AJ5" i="73"/>
  <c r="AK5" i="73" s="1"/>
  <c r="AJ7" i="73"/>
  <c r="AK7" i="73" s="1"/>
  <c r="F13" i="76"/>
  <c r="L13" i="76"/>
  <c r="M13" i="76" s="1"/>
  <c r="O6" i="76"/>
  <c r="P6" i="76" s="1"/>
  <c r="O10" i="76"/>
  <c r="AJ6" i="73"/>
  <c r="AK6" i="73" s="1"/>
  <c r="L12" i="76"/>
  <c r="AJ19" i="73"/>
  <c r="AK19" i="73" s="1"/>
  <c r="I9" i="76"/>
  <c r="AJ20" i="73"/>
  <c r="AK20" i="73" s="1"/>
  <c r="C9" i="76"/>
  <c r="D9" i="76" s="1"/>
  <c r="AJ14" i="72"/>
  <c r="AK14" i="72" s="1"/>
  <c r="AJ15" i="72"/>
  <c r="AK15" i="72" s="1"/>
  <c r="AJ11" i="72"/>
  <c r="AK11" i="72" s="1"/>
  <c r="AJ22" i="72"/>
  <c r="AK22" i="72" s="1"/>
  <c r="O14" i="76"/>
  <c r="AJ21" i="72"/>
  <c r="AK21" i="72" s="1"/>
  <c r="AJ25" i="72"/>
  <c r="AK25" i="72" s="1"/>
  <c r="F6" i="76"/>
  <c r="AJ23" i="72"/>
  <c r="AK23" i="72" s="1"/>
  <c r="C8" i="76"/>
  <c r="AJ17" i="71"/>
  <c r="AK17" i="71" s="1"/>
  <c r="AJ8" i="71"/>
  <c r="AK8" i="71" s="1"/>
  <c r="AL11" i="71"/>
  <c r="AL18" i="80"/>
  <c r="AL14" i="80"/>
  <c r="S13" i="49"/>
  <c r="S14" i="49"/>
  <c r="S11" i="49"/>
  <c r="W13" i="49"/>
  <c r="W14" i="49"/>
  <c r="W11" i="49"/>
  <c r="G21" i="49"/>
  <c r="C19" i="70" s="1"/>
  <c r="D19" i="70" s="1"/>
  <c r="G9" i="49"/>
  <c r="G12" i="49"/>
  <c r="K21" i="49"/>
  <c r="O21" i="49"/>
  <c r="O9" i="49"/>
  <c r="S21" i="49"/>
  <c r="S9" i="49"/>
  <c r="S12" i="49"/>
  <c r="W21" i="49"/>
  <c r="W9" i="49"/>
  <c r="W12" i="49"/>
  <c r="O15" i="70" s="1"/>
  <c r="G14" i="57"/>
  <c r="G20" i="57"/>
  <c r="O12" i="49"/>
  <c r="G13" i="49"/>
  <c r="G14" i="49"/>
  <c r="G11" i="49"/>
  <c r="O13" i="49"/>
  <c r="O14" i="49"/>
  <c r="O11" i="49"/>
  <c r="O6" i="49"/>
  <c r="O10" i="49"/>
  <c r="G5" i="57"/>
  <c r="G13" i="57"/>
  <c r="G9" i="57"/>
  <c r="G15" i="57"/>
  <c r="AJ14" i="56"/>
  <c r="AK14" i="56" s="1"/>
  <c r="AJ14" i="55"/>
  <c r="AK14" i="55" s="1"/>
  <c r="AJ13" i="54"/>
  <c r="AK13" i="54" s="1"/>
  <c r="AJ9" i="53"/>
  <c r="AK9" i="53" s="1"/>
  <c r="AJ16" i="53"/>
  <c r="AK16" i="53" s="1"/>
  <c r="AJ24" i="53"/>
  <c r="AK24" i="53" s="1"/>
  <c r="AL24" i="53" s="1"/>
  <c r="AJ18" i="52"/>
  <c r="AK18" i="52" s="1"/>
  <c r="AL18" i="52" s="1"/>
  <c r="AJ20" i="52"/>
  <c r="AK20" i="52" s="1"/>
  <c r="AJ23" i="52"/>
  <c r="AK23" i="52" s="1"/>
  <c r="AL23" i="52" s="1"/>
  <c r="AJ19" i="52"/>
  <c r="AK19" i="52" s="1"/>
  <c r="AJ21" i="52"/>
  <c r="AK21" i="52" s="1"/>
  <c r="AL21" i="52" s="1"/>
  <c r="AJ16" i="52"/>
  <c r="AK16" i="52" s="1"/>
  <c r="AL16" i="52" s="1"/>
  <c r="AJ22" i="52"/>
  <c r="AK22" i="52" s="1"/>
  <c r="AL22" i="52" s="1"/>
  <c r="AJ24" i="52"/>
  <c r="AK24" i="52" s="1"/>
  <c r="AL24" i="52" s="1"/>
  <c r="AJ12" i="52"/>
  <c r="AK12" i="52" s="1"/>
  <c r="AL12" i="52" s="1"/>
  <c r="AJ13" i="51"/>
  <c r="AK13" i="51" s="1"/>
  <c r="AL13" i="51" s="1"/>
  <c r="AJ24" i="51"/>
  <c r="AK24" i="51" s="1"/>
  <c r="AL24" i="51" s="1"/>
  <c r="AJ21" i="51"/>
  <c r="AK21" i="51" s="1"/>
  <c r="AL21" i="51" s="1"/>
  <c r="AJ16" i="51"/>
  <c r="AK16" i="51" s="1"/>
  <c r="AJ6" i="51"/>
  <c r="AK6" i="51" s="1"/>
  <c r="AJ11" i="51"/>
  <c r="AK11" i="51" s="1"/>
  <c r="AJ22" i="51"/>
  <c r="AK22" i="51" s="1"/>
  <c r="AL22" i="51" s="1"/>
  <c r="AJ23" i="51"/>
  <c r="AK23" i="51" s="1"/>
  <c r="AL23" i="51" s="1"/>
  <c r="AJ23" i="50"/>
  <c r="AK23" i="50" s="1"/>
  <c r="AJ14" i="50"/>
  <c r="AK14" i="50" s="1"/>
  <c r="AJ9" i="50"/>
  <c r="AK9" i="50" s="1"/>
  <c r="AJ18" i="50"/>
  <c r="AK18" i="50" s="1"/>
  <c r="AJ16" i="50"/>
  <c r="AK16" i="50" s="1"/>
  <c r="AJ15" i="50"/>
  <c r="AK15" i="50" s="1"/>
  <c r="AJ24" i="50"/>
  <c r="AK24" i="50" s="1"/>
  <c r="R7" i="70" l="1"/>
  <c r="S7" i="70" s="1"/>
  <c r="C15" i="70"/>
  <c r="L7" i="70"/>
  <c r="M7" i="70" s="1"/>
  <c r="AA8" i="102"/>
  <c r="AB8" i="102" s="1"/>
  <c r="T21" i="76"/>
  <c r="T22" i="70"/>
  <c r="C6" i="70"/>
  <c r="D6" i="70" s="1"/>
  <c r="AJ14" i="52"/>
  <c r="AK14" i="52" s="1"/>
  <c r="AJ11" i="52"/>
  <c r="AK11" i="52" s="1"/>
  <c r="V22" i="70"/>
  <c r="J24" i="70"/>
  <c r="P23" i="70"/>
  <c r="I12" i="70"/>
  <c r="J12" i="70" s="1"/>
  <c r="E23" i="70"/>
  <c r="AJ9" i="51"/>
  <c r="AK9" i="51" s="1"/>
  <c r="W12" i="70"/>
  <c r="I22" i="70"/>
  <c r="J22" i="70" s="1"/>
  <c r="L13" i="70"/>
  <c r="M13" i="70" s="1"/>
  <c r="L6" i="70"/>
  <c r="M6" i="70" s="1"/>
  <c r="P22" i="70"/>
  <c r="D12" i="70"/>
  <c r="E21" i="70"/>
  <c r="P21" i="70"/>
  <c r="T18" i="70"/>
  <c r="P18" i="70"/>
  <c r="D24" i="70"/>
  <c r="V18" i="70"/>
  <c r="T23" i="70"/>
  <c r="S21" i="70"/>
  <c r="P24" i="70"/>
  <c r="V23" i="70"/>
  <c r="I21" i="70"/>
  <c r="J21" i="70" s="1"/>
  <c r="V21" i="70"/>
  <c r="L21" i="70"/>
  <c r="M21" i="70" s="1"/>
  <c r="M23" i="70"/>
  <c r="L19" i="70"/>
  <c r="M19" i="70" s="1"/>
  <c r="L15" i="70"/>
  <c r="M15" i="70" s="1"/>
  <c r="AJ21" i="50"/>
  <c r="AK21" i="50" s="1"/>
  <c r="AJ11" i="50"/>
  <c r="AK11" i="50" s="1"/>
  <c r="AJ22" i="50"/>
  <c r="AK22" i="50" s="1"/>
  <c r="J18" i="70"/>
  <c r="AA23" i="70"/>
  <c r="AB23" i="70" s="1"/>
  <c r="I15" i="70"/>
  <c r="AA18" i="70"/>
  <c r="AB18" i="70" s="1"/>
  <c r="J23" i="70"/>
  <c r="Z7" i="70"/>
  <c r="C7" i="70"/>
  <c r="D7" i="70" s="1"/>
  <c r="I6" i="70"/>
  <c r="M18" i="70"/>
  <c r="AA24" i="70"/>
  <c r="AB24" i="70" s="1"/>
  <c r="M12" i="70"/>
  <c r="AA20" i="70"/>
  <c r="AB20" i="70" s="1"/>
  <c r="I13" i="70"/>
  <c r="J13" i="70" s="1"/>
  <c r="Y6" i="70"/>
  <c r="X6" i="57"/>
  <c r="Y6" i="57" s="1"/>
  <c r="C9" i="57"/>
  <c r="W24" i="57"/>
  <c r="V24" i="57"/>
  <c r="AJ6" i="55"/>
  <c r="AK6" i="55" s="1"/>
  <c r="L21" i="57"/>
  <c r="M21" i="57" s="1"/>
  <c r="L11" i="57"/>
  <c r="M11" i="57" s="1"/>
  <c r="L24" i="57"/>
  <c r="M24" i="57" s="1"/>
  <c r="L20" i="57"/>
  <c r="M20" i="57" s="1"/>
  <c r="T24" i="57"/>
  <c r="C21" i="57"/>
  <c r="E21" i="57" s="1"/>
  <c r="R21" i="57"/>
  <c r="T21" i="57" s="1"/>
  <c r="L17" i="57"/>
  <c r="M17" i="57" s="1"/>
  <c r="Q24" i="57"/>
  <c r="I16" i="57"/>
  <c r="J16" i="57" s="1"/>
  <c r="AJ12" i="53"/>
  <c r="AK12" i="53" s="1"/>
  <c r="L9" i="57"/>
  <c r="M9" i="57" s="1"/>
  <c r="AJ10" i="53"/>
  <c r="AK10" i="53" s="1"/>
  <c r="C10" i="115" s="1"/>
  <c r="D10" i="115" s="1"/>
  <c r="AJ15" i="53"/>
  <c r="AK15" i="53" s="1"/>
  <c r="L7" i="57"/>
  <c r="M7" i="57" s="1"/>
  <c r="I21" i="57"/>
  <c r="J21" i="57" s="1"/>
  <c r="I6" i="57"/>
  <c r="J6" i="57" s="1"/>
  <c r="I9" i="57"/>
  <c r="J9" i="57" s="1"/>
  <c r="I22" i="57"/>
  <c r="J22" i="57" s="1"/>
  <c r="M21" i="76"/>
  <c r="N18" i="76"/>
  <c r="K21" i="76"/>
  <c r="AL7" i="75"/>
  <c r="AL19" i="75"/>
  <c r="AL17" i="75"/>
  <c r="AL15" i="74"/>
  <c r="N11" i="76"/>
  <c r="AL10" i="74"/>
  <c r="AA21" i="76"/>
  <c r="AB21" i="76" s="1"/>
  <c r="AL6" i="74"/>
  <c r="P21" i="76"/>
  <c r="AL14" i="74"/>
  <c r="K16" i="76"/>
  <c r="AL13" i="73"/>
  <c r="AL15" i="73"/>
  <c r="K11" i="76"/>
  <c r="AL11" i="73"/>
  <c r="K18" i="76"/>
  <c r="AL16" i="72"/>
  <c r="N22" i="76"/>
  <c r="M5" i="76"/>
  <c r="N16" i="76"/>
  <c r="AL13" i="72"/>
  <c r="J5" i="76"/>
  <c r="K22" i="76"/>
  <c r="AL17" i="72"/>
  <c r="AL9" i="72"/>
  <c r="P15" i="76"/>
  <c r="D20" i="76"/>
  <c r="E20" i="76"/>
  <c r="AA20" i="76"/>
  <c r="AB20" i="76" s="1"/>
  <c r="AC20" i="76" s="1"/>
  <c r="AL8" i="80"/>
  <c r="AL5" i="80"/>
  <c r="AL12" i="80"/>
  <c r="AL26" i="79"/>
  <c r="AA21" i="81"/>
  <c r="AB21" i="81" s="1"/>
  <c r="AL15" i="79"/>
  <c r="AL21" i="79"/>
  <c r="AL8" i="79"/>
  <c r="AL17" i="79"/>
  <c r="AL10" i="78"/>
  <c r="N21" i="81"/>
  <c r="AL22" i="78"/>
  <c r="AL24" i="78"/>
  <c r="P16" i="81"/>
  <c r="K21" i="81"/>
  <c r="Z19" i="81"/>
  <c r="N9" i="81"/>
  <c r="N27" i="81"/>
  <c r="N16" i="81"/>
  <c r="AL23" i="77"/>
  <c r="N23" i="81"/>
  <c r="K16" i="81"/>
  <c r="Y26" i="81"/>
  <c r="K9" i="81"/>
  <c r="K27" i="81"/>
  <c r="D14" i="81"/>
  <c r="P9" i="81"/>
  <c r="W9" i="81"/>
  <c r="AL18" i="77"/>
  <c r="AA16" i="81"/>
  <c r="AB16" i="81" s="1"/>
  <c r="AA27" i="81"/>
  <c r="AB27" i="81" s="1"/>
  <c r="M16" i="81"/>
  <c r="AA16" i="87"/>
  <c r="AB16" i="87" s="1"/>
  <c r="E7" i="87"/>
  <c r="AL17" i="84"/>
  <c r="AL10" i="84"/>
  <c r="K16" i="87"/>
  <c r="AL14" i="84"/>
  <c r="K13" i="87"/>
  <c r="K19" i="87"/>
  <c r="V8" i="87"/>
  <c r="AA7" i="87"/>
  <c r="AB7" i="87" s="1"/>
  <c r="V15" i="87"/>
  <c r="Q15" i="87"/>
  <c r="AL10" i="91"/>
  <c r="AL11" i="91"/>
  <c r="AL8" i="90"/>
  <c r="AL6" i="90"/>
  <c r="E18" i="92"/>
  <c r="AA6" i="92"/>
  <c r="AB6" i="92" s="1"/>
  <c r="AL18" i="88"/>
  <c r="N21" i="92"/>
  <c r="N22" i="92"/>
  <c r="K6" i="92"/>
  <c r="AL20" i="88"/>
  <c r="K8" i="92"/>
  <c r="AA18" i="92"/>
  <c r="AB18" i="92" s="1"/>
  <c r="J18" i="92"/>
  <c r="N10" i="103"/>
  <c r="K7" i="103"/>
  <c r="N11" i="103"/>
  <c r="K8" i="103"/>
  <c r="AL13" i="100"/>
  <c r="N7" i="103"/>
  <c r="AL10" i="100"/>
  <c r="J12" i="103"/>
  <c r="AL15" i="100"/>
  <c r="K11" i="103"/>
  <c r="K12" i="103"/>
  <c r="AA12" i="103"/>
  <c r="AB12" i="103" s="1"/>
  <c r="AL11" i="100"/>
  <c r="J9" i="103"/>
  <c r="K6" i="103"/>
  <c r="K10" i="103"/>
  <c r="K5" i="103"/>
  <c r="H12" i="103"/>
  <c r="N9" i="103"/>
  <c r="P8" i="102"/>
  <c r="H8" i="103"/>
  <c r="H6" i="102"/>
  <c r="H5" i="103"/>
  <c r="G8" i="103"/>
  <c r="H9" i="103"/>
  <c r="N12" i="102"/>
  <c r="AA6" i="102"/>
  <c r="AB6" i="102" s="1"/>
  <c r="N19" i="102"/>
  <c r="E11" i="102"/>
  <c r="N8" i="102"/>
  <c r="K12" i="102"/>
  <c r="K8" i="102"/>
  <c r="AL12" i="95"/>
  <c r="D13" i="70"/>
  <c r="E13" i="70"/>
  <c r="T13" i="70"/>
  <c r="S13" i="70"/>
  <c r="W21" i="57"/>
  <c r="V21" i="57"/>
  <c r="AJ7" i="53"/>
  <c r="AK7" i="53" s="1"/>
  <c r="C13" i="57"/>
  <c r="E13" i="57" s="1"/>
  <c r="S17" i="81"/>
  <c r="T17" i="81"/>
  <c r="D17" i="81"/>
  <c r="E17" i="81"/>
  <c r="AA17" i="81"/>
  <c r="AB17" i="81" s="1"/>
  <c r="E5" i="103"/>
  <c r="D5" i="103"/>
  <c r="AA5" i="103"/>
  <c r="AB5" i="103" s="1"/>
  <c r="Z17" i="81"/>
  <c r="Y17" i="81"/>
  <c r="F18" i="57"/>
  <c r="G18" i="57" s="1"/>
  <c r="F17" i="57"/>
  <c r="G17" i="57" s="1"/>
  <c r="F11" i="70"/>
  <c r="G11" i="70" s="1"/>
  <c r="F13" i="70"/>
  <c r="G13" i="70" s="1"/>
  <c r="C6" i="57"/>
  <c r="D6" i="57" s="1"/>
  <c r="I11" i="57"/>
  <c r="J11" i="57" s="1"/>
  <c r="X7" i="57"/>
  <c r="Y7" i="57" s="1"/>
  <c r="L13" i="57"/>
  <c r="M13" i="57" s="1"/>
  <c r="G13" i="87"/>
  <c r="H13" i="87"/>
  <c r="F14" i="70"/>
  <c r="G14" i="70" s="1"/>
  <c r="F19" i="70"/>
  <c r="V15" i="70"/>
  <c r="W15" i="70"/>
  <c r="I13" i="57"/>
  <c r="O16" i="57"/>
  <c r="P16" i="57" s="1"/>
  <c r="O15" i="57"/>
  <c r="P15" i="57" s="1"/>
  <c r="R15" i="57"/>
  <c r="S15" i="57" s="1"/>
  <c r="W17" i="81"/>
  <c r="V17" i="81"/>
  <c r="Q15" i="70"/>
  <c r="P15" i="70"/>
  <c r="U13" i="70"/>
  <c r="R20" i="57"/>
  <c r="S20" i="57" s="1"/>
  <c r="U13" i="57"/>
  <c r="W13" i="57" s="1"/>
  <c r="AA9" i="81"/>
  <c r="AB9" i="81" s="1"/>
  <c r="H17" i="87"/>
  <c r="G17" i="87"/>
  <c r="M5" i="103"/>
  <c r="N5" i="103"/>
  <c r="O14" i="70"/>
  <c r="P14" i="70" s="1"/>
  <c r="O13" i="70"/>
  <c r="D18" i="76"/>
  <c r="AA18" i="76"/>
  <c r="AB18" i="76" s="1"/>
  <c r="E18" i="76"/>
  <c r="O19" i="57"/>
  <c r="P19" i="57" s="1"/>
  <c r="D15" i="70"/>
  <c r="E15" i="70"/>
  <c r="I7" i="70"/>
  <c r="J7" i="70" s="1"/>
  <c r="S15" i="70"/>
  <c r="T15" i="70"/>
  <c r="Z21" i="57"/>
  <c r="L16" i="57"/>
  <c r="M16" i="57" s="1"/>
  <c r="H13" i="103"/>
  <c r="G5" i="103"/>
  <c r="M17" i="81"/>
  <c r="N17" i="81"/>
  <c r="K17" i="81"/>
  <c r="J17" i="81"/>
  <c r="O13" i="57"/>
  <c r="Q13" i="57" s="1"/>
  <c r="U17" i="57"/>
  <c r="V17" i="57" s="1"/>
  <c r="AA8" i="87"/>
  <c r="AB8" i="87" s="1"/>
  <c r="L15" i="57"/>
  <c r="M15" i="57" s="1"/>
  <c r="R13" i="57"/>
  <c r="S13" i="57" s="1"/>
  <c r="E17" i="87"/>
  <c r="D17" i="87"/>
  <c r="AA17" i="87"/>
  <c r="AB17" i="87" s="1"/>
  <c r="AC17" i="87" s="1"/>
  <c r="S16" i="87"/>
  <c r="L10" i="70"/>
  <c r="AJ12" i="50"/>
  <c r="AK12" i="50" s="1"/>
  <c r="C14" i="114" s="1"/>
  <c r="D14" i="114" s="1"/>
  <c r="E14" i="114" s="1"/>
  <c r="O6" i="57"/>
  <c r="P6" i="57" s="1"/>
  <c r="I14" i="57"/>
  <c r="J14" i="57" s="1"/>
  <c r="C14" i="57"/>
  <c r="D14" i="57" s="1"/>
  <c r="O14" i="57"/>
  <c r="L6" i="57"/>
  <c r="M6" i="57" s="1"/>
  <c r="U6" i="57"/>
  <c r="V6" i="57" s="1"/>
  <c r="L19" i="57"/>
  <c r="M19" i="57" s="1"/>
  <c r="AJ21" i="55"/>
  <c r="AK21" i="55" s="1"/>
  <c r="O11" i="57"/>
  <c r="P11" i="57" s="1"/>
  <c r="R14" i="57"/>
  <c r="S14" i="57" s="1"/>
  <c r="L14" i="57"/>
  <c r="M14" i="57" s="1"/>
  <c r="R7" i="57"/>
  <c r="S7" i="57" s="1"/>
  <c r="I19" i="57"/>
  <c r="J19" i="57" s="1"/>
  <c r="C18" i="57"/>
  <c r="D18" i="57" s="1"/>
  <c r="R11" i="57"/>
  <c r="S11" i="57" s="1"/>
  <c r="G13" i="76"/>
  <c r="H15" i="76"/>
  <c r="E9" i="81"/>
  <c r="H26" i="81"/>
  <c r="H17" i="81"/>
  <c r="H9" i="81"/>
  <c r="W8" i="92"/>
  <c r="Q8" i="92"/>
  <c r="H6" i="92"/>
  <c r="E6" i="92"/>
  <c r="AA5" i="92"/>
  <c r="AB5" i="92" s="1"/>
  <c r="Q19" i="92"/>
  <c r="S12" i="103"/>
  <c r="AC21" i="103"/>
  <c r="F16" i="70"/>
  <c r="G16" i="70" s="1"/>
  <c r="F10" i="57"/>
  <c r="F11" i="57"/>
  <c r="G11" i="57" s="1"/>
  <c r="O17" i="57"/>
  <c r="P17" i="57" s="1"/>
  <c r="U11" i="57"/>
  <c r="V11" i="57" s="1"/>
  <c r="R17" i="57"/>
  <c r="S17" i="57" s="1"/>
  <c r="C19" i="57"/>
  <c r="D19" i="57" s="1"/>
  <c r="AL11" i="75"/>
  <c r="AL5" i="75"/>
  <c r="AL12" i="74"/>
  <c r="AL12" i="73"/>
  <c r="AL8" i="73"/>
  <c r="AL7" i="72"/>
  <c r="AL6" i="72"/>
  <c r="AL10" i="72"/>
  <c r="AL8" i="72"/>
  <c r="AL12" i="79"/>
  <c r="AL9" i="78"/>
  <c r="AL13" i="78"/>
  <c r="AL8" i="77"/>
  <c r="AL12" i="77"/>
  <c r="AL29" i="77"/>
  <c r="C21" i="115"/>
  <c r="D21" i="115" s="1"/>
  <c r="AA24" i="81"/>
  <c r="AB24" i="81" s="1"/>
  <c r="AA10" i="87"/>
  <c r="AB10" i="87" s="1"/>
  <c r="AA19" i="87"/>
  <c r="AB19" i="87" s="1"/>
  <c r="AA15" i="87"/>
  <c r="AB15" i="87" s="1"/>
  <c r="S5" i="87"/>
  <c r="T11" i="87"/>
  <c r="H16" i="87"/>
  <c r="N16" i="87"/>
  <c r="AL6" i="91"/>
  <c r="H18" i="92"/>
  <c r="AL9" i="89"/>
  <c r="AA13" i="92"/>
  <c r="AB13" i="92" s="1"/>
  <c r="AL9" i="100"/>
  <c r="AL8" i="100"/>
  <c r="H13" i="102"/>
  <c r="H18" i="102"/>
  <c r="H11" i="102"/>
  <c r="H17" i="102"/>
  <c r="H9" i="102"/>
  <c r="H7" i="102"/>
  <c r="H5" i="102"/>
  <c r="H14" i="102"/>
  <c r="H8" i="102"/>
  <c r="H15" i="102"/>
  <c r="AA13" i="87"/>
  <c r="AB13" i="87" s="1"/>
  <c r="W10" i="87"/>
  <c r="W16" i="87"/>
  <c r="V5" i="87"/>
  <c r="W7" i="87"/>
  <c r="W11" i="87"/>
  <c r="W5" i="92"/>
  <c r="V17" i="92"/>
  <c r="W18" i="92"/>
  <c r="W23" i="92"/>
  <c r="W15" i="92"/>
  <c r="W10" i="92"/>
  <c r="W11" i="92"/>
  <c r="W13" i="92"/>
  <c r="W16" i="92"/>
  <c r="C22" i="115"/>
  <c r="D22" i="115" s="1"/>
  <c r="V8" i="103"/>
  <c r="W5" i="103"/>
  <c r="W12" i="103"/>
  <c r="W11" i="102"/>
  <c r="W5" i="102"/>
  <c r="AJ23" i="56"/>
  <c r="AK23" i="56" s="1"/>
  <c r="U7" i="57"/>
  <c r="V7" i="57" s="1"/>
  <c r="AJ17" i="56"/>
  <c r="AK17" i="56" s="1"/>
  <c r="AJ11" i="55"/>
  <c r="AK11" i="55" s="1"/>
  <c r="AJ18" i="55"/>
  <c r="AK18" i="55" s="1"/>
  <c r="C17" i="57"/>
  <c r="D17" i="57" s="1"/>
  <c r="O5" i="57"/>
  <c r="P5" i="57" s="1"/>
  <c r="AJ21" i="53"/>
  <c r="AK21" i="53" s="1"/>
  <c r="U9" i="57"/>
  <c r="V9" i="57" s="1"/>
  <c r="F8" i="57"/>
  <c r="G8" i="57" s="1"/>
  <c r="AJ6" i="53"/>
  <c r="AK6" i="53" s="1"/>
  <c r="AA14" i="81"/>
  <c r="AB14" i="81" s="1"/>
  <c r="W24" i="81"/>
  <c r="W14" i="81"/>
  <c r="W19" i="81"/>
  <c r="W15" i="81"/>
  <c r="W8" i="81"/>
  <c r="Z8" i="70"/>
  <c r="C10" i="70"/>
  <c r="D10" i="70" s="1"/>
  <c r="Z16" i="70"/>
  <c r="R6" i="57"/>
  <c r="S6" i="57" s="1"/>
  <c r="R19" i="57"/>
  <c r="S19" i="57" s="1"/>
  <c r="Z5" i="70"/>
  <c r="Z17" i="70"/>
  <c r="Z14" i="70"/>
  <c r="Z9" i="70"/>
  <c r="Z10" i="70"/>
  <c r="AL10" i="80"/>
  <c r="AL24" i="79"/>
  <c r="P14" i="81"/>
  <c r="AA15" i="81"/>
  <c r="AB15" i="81" s="1"/>
  <c r="T24" i="81"/>
  <c r="T8" i="81"/>
  <c r="T16" i="87"/>
  <c r="T10" i="87"/>
  <c r="T7" i="87"/>
  <c r="T18" i="92"/>
  <c r="T5" i="92"/>
  <c r="T13" i="92"/>
  <c r="T12" i="103"/>
  <c r="T5" i="103"/>
  <c r="S9" i="103"/>
  <c r="T8" i="103"/>
  <c r="T9" i="102"/>
  <c r="T11" i="102"/>
  <c r="T15" i="102"/>
  <c r="T5" i="102"/>
  <c r="L12" i="57"/>
  <c r="M12" i="57" s="1"/>
  <c r="AJ24" i="56"/>
  <c r="AK24" i="56" s="1"/>
  <c r="U23" i="57"/>
  <c r="V23" i="57" s="1"/>
  <c r="U20" i="57"/>
  <c r="V20" i="57" s="1"/>
  <c r="C22" i="57"/>
  <c r="D22" i="57" s="1"/>
  <c r="O12" i="57"/>
  <c r="P12" i="57" s="1"/>
  <c r="O8" i="57"/>
  <c r="P8" i="57" s="1"/>
  <c r="R12" i="57"/>
  <c r="S12" i="57" s="1"/>
  <c r="I17" i="57"/>
  <c r="J17" i="57" s="1"/>
  <c r="Q14" i="81"/>
  <c r="AL22" i="79"/>
  <c r="AL6" i="78"/>
  <c r="Q8" i="81"/>
  <c r="Q24" i="81"/>
  <c r="Q11" i="81"/>
  <c r="Q13" i="87"/>
  <c r="Q14" i="87"/>
  <c r="Q8" i="87"/>
  <c r="Q10" i="87"/>
  <c r="Q16" i="87"/>
  <c r="AL14" i="83"/>
  <c r="AL12" i="82"/>
  <c r="D8" i="87"/>
  <c r="P6" i="87"/>
  <c r="Q7" i="87"/>
  <c r="Q5" i="92"/>
  <c r="Q18" i="92"/>
  <c r="P9" i="103"/>
  <c r="Q5" i="103"/>
  <c r="AL7" i="97"/>
  <c r="Q11" i="102"/>
  <c r="Q5" i="102"/>
  <c r="Q15" i="102"/>
  <c r="Q9" i="102"/>
  <c r="Q18" i="102"/>
  <c r="W15" i="102"/>
  <c r="L8" i="70"/>
  <c r="M8" i="70" s="1"/>
  <c r="U17" i="70"/>
  <c r="V17" i="70" s="1"/>
  <c r="I20" i="57"/>
  <c r="J20" i="57" s="1"/>
  <c r="I15" i="57"/>
  <c r="J15" i="57" s="1"/>
  <c r="U18" i="57"/>
  <c r="V18" i="57" s="1"/>
  <c r="C5" i="57"/>
  <c r="D5" i="57" s="1"/>
  <c r="L5" i="57"/>
  <c r="AJ23" i="55"/>
  <c r="AK23" i="55" s="1"/>
  <c r="D15" i="57"/>
  <c r="I23" i="57"/>
  <c r="J23" i="57" s="1"/>
  <c r="R23" i="57"/>
  <c r="R5" i="57"/>
  <c r="X19" i="57"/>
  <c r="U19" i="57"/>
  <c r="V19" i="57" s="1"/>
  <c r="C10" i="57"/>
  <c r="D10" i="57" s="1"/>
  <c r="O18" i="57"/>
  <c r="C8" i="57"/>
  <c r="C23" i="57"/>
  <c r="D23" i="57" s="1"/>
  <c r="R8" i="57"/>
  <c r="S8" i="57" s="1"/>
  <c r="U8" i="57"/>
  <c r="V8" i="57" s="1"/>
  <c r="O10" i="57"/>
  <c r="L10" i="57"/>
  <c r="L22" i="57"/>
  <c r="M22" i="57" s="1"/>
  <c r="L23" i="57"/>
  <c r="M23" i="57" s="1"/>
  <c r="I7" i="57"/>
  <c r="I18" i="57"/>
  <c r="J18" i="57" s="1"/>
  <c r="AJ11" i="54"/>
  <c r="AK11" i="54" s="1"/>
  <c r="D12" i="57"/>
  <c r="P20" i="57"/>
  <c r="R22" i="57"/>
  <c r="S22" i="57" s="1"/>
  <c r="R18" i="57"/>
  <c r="S18" i="57" s="1"/>
  <c r="R10" i="57"/>
  <c r="S10" i="57" s="1"/>
  <c r="O23" i="57"/>
  <c r="P23" i="57" s="1"/>
  <c r="D9" i="57"/>
  <c r="L8" i="57"/>
  <c r="I12" i="57"/>
  <c r="J12" i="57" s="1"/>
  <c r="AJ5" i="53"/>
  <c r="AK5" i="53" s="1"/>
  <c r="AJ8" i="53"/>
  <c r="AK8" i="53" s="1"/>
  <c r="AJ13" i="53"/>
  <c r="AK13" i="53" s="1"/>
  <c r="I10" i="57"/>
  <c r="J10" i="57" s="1"/>
  <c r="I8" i="57"/>
  <c r="J8" i="57" s="1"/>
  <c r="AL10" i="75"/>
  <c r="C10" i="114"/>
  <c r="D10" i="114" s="1"/>
  <c r="AL25" i="79"/>
  <c r="N14" i="81"/>
  <c r="AL23" i="78"/>
  <c r="AL8" i="78"/>
  <c r="C24" i="115"/>
  <c r="D24" i="115" s="1"/>
  <c r="N8" i="81"/>
  <c r="AL6" i="77"/>
  <c r="N19" i="81"/>
  <c r="N24" i="81"/>
  <c r="AA19" i="81"/>
  <c r="AB19" i="81" s="1"/>
  <c r="K23" i="81"/>
  <c r="K8" i="81"/>
  <c r="K19" i="81"/>
  <c r="K11" i="81"/>
  <c r="AL8" i="85"/>
  <c r="N11" i="87"/>
  <c r="AL12" i="84"/>
  <c r="K10" i="87"/>
  <c r="N8" i="87"/>
  <c r="N15" i="87"/>
  <c r="M6" i="87"/>
  <c r="N10" i="87"/>
  <c r="AL17" i="83"/>
  <c r="N13" i="87"/>
  <c r="K8" i="87"/>
  <c r="K7" i="87"/>
  <c r="N7" i="87"/>
  <c r="K14" i="87"/>
  <c r="K11" i="87"/>
  <c r="N5" i="92"/>
  <c r="AL9" i="91"/>
  <c r="C20" i="115"/>
  <c r="D20" i="115" s="1"/>
  <c r="M6" i="92"/>
  <c r="AL17" i="90"/>
  <c r="N18" i="92"/>
  <c r="K18" i="92"/>
  <c r="K17" i="92"/>
  <c r="C9" i="115"/>
  <c r="D9" i="115" s="1"/>
  <c r="K5" i="92"/>
  <c r="C12" i="115"/>
  <c r="D12" i="115" s="1"/>
  <c r="C16" i="115"/>
  <c r="D16" i="115" s="1"/>
  <c r="C6" i="115"/>
  <c r="AL10" i="88"/>
  <c r="N6" i="92"/>
  <c r="N11" i="92"/>
  <c r="K9" i="92"/>
  <c r="AL11" i="88"/>
  <c r="K13" i="92"/>
  <c r="K11" i="92"/>
  <c r="K23" i="92"/>
  <c r="W12" i="92"/>
  <c r="N12" i="103"/>
  <c r="AL5" i="100"/>
  <c r="W8" i="103"/>
  <c r="AL6" i="97"/>
  <c r="AL9" i="96"/>
  <c r="AL12" i="96"/>
  <c r="N18" i="102"/>
  <c r="AA9" i="102"/>
  <c r="AB9" i="102" s="1"/>
  <c r="AA11" i="102"/>
  <c r="AB11" i="102" s="1"/>
  <c r="C8" i="115"/>
  <c r="D8" i="115" s="1"/>
  <c r="N9" i="102"/>
  <c r="AA14" i="102"/>
  <c r="AB14" i="102" s="1"/>
  <c r="N11" i="102"/>
  <c r="N6" i="102"/>
  <c r="V5" i="102"/>
  <c r="K6" i="102"/>
  <c r="K11" i="102"/>
  <c r="I5" i="57"/>
  <c r="AJ22" i="56"/>
  <c r="AK22" i="56" s="1"/>
  <c r="V22" i="57"/>
  <c r="U10" i="57"/>
  <c r="V10" i="57" s="1"/>
  <c r="AJ5" i="56"/>
  <c r="AK5" i="56" s="1"/>
  <c r="C16" i="57"/>
  <c r="D16" i="57" s="1"/>
  <c r="L18" i="57"/>
  <c r="AJ20" i="56"/>
  <c r="AK20" i="56" s="1"/>
  <c r="C20" i="57"/>
  <c r="D20" i="57" s="1"/>
  <c r="T9" i="103"/>
  <c r="AL11" i="95"/>
  <c r="AL14" i="94"/>
  <c r="AL12" i="94"/>
  <c r="K15" i="102"/>
  <c r="AL17" i="94"/>
  <c r="AL10" i="94"/>
  <c r="AL8" i="94"/>
  <c r="AL12" i="85"/>
  <c r="H9" i="87"/>
  <c r="AL13" i="84"/>
  <c r="H10" i="87"/>
  <c r="AL8" i="84"/>
  <c r="H15" i="87"/>
  <c r="H18" i="87"/>
  <c r="G6" i="87"/>
  <c r="H7" i="87"/>
  <c r="AL6" i="82"/>
  <c r="H11" i="87"/>
  <c r="AA11" i="87"/>
  <c r="AB11" i="87" s="1"/>
  <c r="H12" i="87"/>
  <c r="AL17" i="91"/>
  <c r="AL13" i="90"/>
  <c r="W14" i="92"/>
  <c r="H5" i="92"/>
  <c r="H11" i="92"/>
  <c r="W7" i="92"/>
  <c r="H13" i="92"/>
  <c r="H17" i="92"/>
  <c r="W19" i="92"/>
  <c r="W20" i="92"/>
  <c r="D23" i="81"/>
  <c r="AL9" i="79"/>
  <c r="AL11" i="78"/>
  <c r="AL7" i="78"/>
  <c r="H19" i="81"/>
  <c r="AL28" i="77"/>
  <c r="AL14" i="77"/>
  <c r="H14" i="81"/>
  <c r="AL9" i="77"/>
  <c r="H24" i="81"/>
  <c r="AL17" i="77"/>
  <c r="G10" i="81"/>
  <c r="H15" i="81"/>
  <c r="J8" i="81"/>
  <c r="AJ14" i="51"/>
  <c r="AK14" i="51" s="1"/>
  <c r="AJ17" i="50"/>
  <c r="AK17" i="50" s="1"/>
  <c r="O8" i="70"/>
  <c r="P8" i="70" s="1"/>
  <c r="AJ12" i="55"/>
  <c r="AK12" i="55" s="1"/>
  <c r="AJ18" i="53"/>
  <c r="AK18" i="53" s="1"/>
  <c r="P7" i="57"/>
  <c r="AA11" i="92"/>
  <c r="AB11" i="92" s="1"/>
  <c r="I9" i="70"/>
  <c r="J9" i="70" s="1"/>
  <c r="R8" i="70"/>
  <c r="S8" i="70" s="1"/>
  <c r="AJ18" i="56"/>
  <c r="AK18" i="56" s="1"/>
  <c r="AL19" i="80"/>
  <c r="Q6" i="81"/>
  <c r="AA8" i="81"/>
  <c r="AB8" i="81" s="1"/>
  <c r="AA6" i="81"/>
  <c r="AB6" i="81" s="1"/>
  <c r="AL14" i="85"/>
  <c r="H19" i="92"/>
  <c r="AA15" i="102"/>
  <c r="AB15" i="102" s="1"/>
  <c r="Y16" i="70"/>
  <c r="Y17" i="70"/>
  <c r="I10" i="70"/>
  <c r="K18" i="70" s="1"/>
  <c r="C9" i="70"/>
  <c r="D9" i="70" s="1"/>
  <c r="U8" i="70"/>
  <c r="V8" i="70" s="1"/>
  <c r="C5" i="70"/>
  <c r="D5" i="70" s="1"/>
  <c r="Z11" i="70"/>
  <c r="C8" i="70"/>
  <c r="D8" i="70" s="1"/>
  <c r="I11" i="70"/>
  <c r="J11" i="70" s="1"/>
  <c r="Y9" i="70"/>
  <c r="L11" i="70"/>
  <c r="M11" i="70" s="1"/>
  <c r="L16" i="70"/>
  <c r="M16" i="70" s="1"/>
  <c r="U5" i="70"/>
  <c r="V5" i="70" s="1"/>
  <c r="C17" i="70"/>
  <c r="D17" i="70" s="1"/>
  <c r="L17" i="70"/>
  <c r="M17" i="70" s="1"/>
  <c r="R9" i="70"/>
  <c r="S9" i="70" s="1"/>
  <c r="Y19" i="70"/>
  <c r="C16" i="70"/>
  <c r="D16" i="70" s="1"/>
  <c r="Y14" i="70"/>
  <c r="V5" i="57"/>
  <c r="Y14" i="57"/>
  <c r="D11" i="57"/>
  <c r="AL9" i="74"/>
  <c r="D19" i="81"/>
  <c r="AL6" i="80"/>
  <c r="E15" i="81"/>
  <c r="AL7" i="79"/>
  <c r="E19" i="81"/>
  <c r="AL11" i="79"/>
  <c r="AA5" i="81"/>
  <c r="AB5" i="81" s="1"/>
  <c r="AL29" i="78"/>
  <c r="AL31" i="78"/>
  <c r="E8" i="81"/>
  <c r="E23" i="81"/>
  <c r="AL7" i="77"/>
  <c r="AL11" i="77"/>
  <c r="E20" i="81"/>
  <c r="AL18" i="85"/>
  <c r="AL16" i="84"/>
  <c r="AL11" i="84"/>
  <c r="AL7" i="84"/>
  <c r="E9" i="87"/>
  <c r="AL19" i="84"/>
  <c r="AL8" i="83"/>
  <c r="AL9" i="83"/>
  <c r="AL5" i="83"/>
  <c r="E10" i="87"/>
  <c r="E8" i="87"/>
  <c r="E19" i="87"/>
  <c r="AL7" i="82"/>
  <c r="E15" i="87"/>
  <c r="E11" i="87"/>
  <c r="W22" i="92"/>
  <c r="E16" i="87"/>
  <c r="AA9" i="92"/>
  <c r="AB9" i="92" s="1"/>
  <c r="W9" i="92"/>
  <c r="E13" i="92"/>
  <c r="T23" i="92"/>
  <c r="V10" i="92"/>
  <c r="AA22" i="92"/>
  <c r="AB22" i="92" s="1"/>
  <c r="P22" i="92"/>
  <c r="V16" i="92"/>
  <c r="AL17" i="88"/>
  <c r="AA23" i="92"/>
  <c r="AB23" i="92" s="1"/>
  <c r="Q8" i="103"/>
  <c r="AA8" i="103"/>
  <c r="AB8" i="103" s="1"/>
  <c r="AL19" i="100"/>
  <c r="W9" i="103"/>
  <c r="E12" i="103"/>
  <c r="AL5" i="97"/>
  <c r="S5" i="102"/>
  <c r="E14" i="102"/>
  <c r="AL18" i="94"/>
  <c r="M18" i="102"/>
  <c r="M20" i="102"/>
  <c r="N20" i="102"/>
  <c r="Q20" i="102"/>
  <c r="P20" i="102"/>
  <c r="AA20" i="102"/>
  <c r="AB20" i="102" s="1"/>
  <c r="K20" i="102"/>
  <c r="J20" i="102"/>
  <c r="V20" i="102"/>
  <c r="W20" i="102"/>
  <c r="E7" i="102"/>
  <c r="D17" i="102"/>
  <c r="E20" i="102"/>
  <c r="AA18" i="102"/>
  <c r="AB18" i="102" s="1"/>
  <c r="E18" i="102"/>
  <c r="R10" i="70"/>
  <c r="S10" i="70" s="1"/>
  <c r="O9" i="70"/>
  <c r="P9" i="70" s="1"/>
  <c r="L5" i="70"/>
  <c r="M5" i="70" s="1"/>
  <c r="L9" i="70"/>
  <c r="M9" i="70" s="1"/>
  <c r="I17" i="70"/>
  <c r="J17" i="70" s="1"/>
  <c r="U16" i="70"/>
  <c r="V16" i="70" s="1"/>
  <c r="R11" i="70"/>
  <c r="S11" i="70" s="1"/>
  <c r="O10" i="70"/>
  <c r="P10" i="70" s="1"/>
  <c r="O17" i="70"/>
  <c r="P17" i="70" s="1"/>
  <c r="I8" i="70"/>
  <c r="I16" i="70"/>
  <c r="J16" i="70" s="1"/>
  <c r="I5" i="70"/>
  <c r="J5" i="70" s="1"/>
  <c r="P7" i="70"/>
  <c r="U11" i="70"/>
  <c r="V11" i="70" s="1"/>
  <c r="U14" i="70"/>
  <c r="V14" i="70" s="1"/>
  <c r="L14" i="70"/>
  <c r="M14" i="70" s="1"/>
  <c r="I14" i="70"/>
  <c r="J14" i="70" s="1"/>
  <c r="I19" i="70"/>
  <c r="K19" i="70" s="1"/>
  <c r="C14" i="70"/>
  <c r="D14" i="70" s="1"/>
  <c r="Y17" i="57"/>
  <c r="AJ11" i="53"/>
  <c r="AK11" i="53" s="1"/>
  <c r="V16" i="57"/>
  <c r="Q17" i="76"/>
  <c r="W14" i="76"/>
  <c r="H17" i="76"/>
  <c r="N17" i="76"/>
  <c r="K17" i="76"/>
  <c r="T14" i="76"/>
  <c r="AA23" i="76"/>
  <c r="AB23" i="76" s="1"/>
  <c r="K14" i="76"/>
  <c r="H5" i="76"/>
  <c r="W12" i="76"/>
  <c r="AA19" i="76"/>
  <c r="AB19" i="76" s="1"/>
  <c r="K15" i="76"/>
  <c r="W10" i="76"/>
  <c r="T19" i="76"/>
  <c r="T5" i="76"/>
  <c r="T13" i="76"/>
  <c r="T7" i="76"/>
  <c r="T23" i="76"/>
  <c r="T12" i="76"/>
  <c r="T9" i="76"/>
  <c r="T10" i="76"/>
  <c r="T6" i="76"/>
  <c r="T8" i="76"/>
  <c r="T17" i="76"/>
  <c r="N15" i="76"/>
  <c r="AL9" i="80"/>
  <c r="AL11" i="80"/>
  <c r="AL7" i="80"/>
  <c r="AA18" i="81"/>
  <c r="AB18" i="81" s="1"/>
  <c r="AL18" i="79"/>
  <c r="H8" i="81"/>
  <c r="N18" i="81"/>
  <c r="Q12" i="81"/>
  <c r="J11" i="81"/>
  <c r="AA11" i="81"/>
  <c r="AB11" i="81" s="1"/>
  <c r="E6" i="81"/>
  <c r="Q19" i="81"/>
  <c r="H6" i="81"/>
  <c r="S10" i="81"/>
  <c r="T15" i="81"/>
  <c r="W6" i="81"/>
  <c r="M13" i="81"/>
  <c r="N15" i="81"/>
  <c r="N6" i="81"/>
  <c r="T19" i="81"/>
  <c r="J13" i="81"/>
  <c r="K15" i="81"/>
  <c r="Q15" i="81"/>
  <c r="T6" i="81"/>
  <c r="AA26" i="81"/>
  <c r="AB26" i="81" s="1"/>
  <c r="E26" i="81"/>
  <c r="W11" i="81"/>
  <c r="G13" i="81"/>
  <c r="H18" i="81"/>
  <c r="H11" i="81"/>
  <c r="N11" i="81"/>
  <c r="W18" i="81"/>
  <c r="AL26" i="77"/>
  <c r="AL11" i="85"/>
  <c r="AL17" i="85"/>
  <c r="AL15" i="85"/>
  <c r="AL6" i="85"/>
  <c r="G14" i="87"/>
  <c r="H8" i="87"/>
  <c r="T8" i="87"/>
  <c r="H5" i="87"/>
  <c r="H6" i="87"/>
  <c r="AA5" i="87"/>
  <c r="AB5" i="87" s="1"/>
  <c r="H14" i="87"/>
  <c r="H19" i="87"/>
  <c r="AA14" i="87"/>
  <c r="AB14" i="87" s="1"/>
  <c r="T5" i="87"/>
  <c r="T19" i="87"/>
  <c r="W14" i="87"/>
  <c r="N5" i="87"/>
  <c r="N12" i="87"/>
  <c r="W17" i="92"/>
  <c r="W19" i="87"/>
  <c r="N9" i="87"/>
  <c r="N6" i="87"/>
  <c r="N19" i="87"/>
  <c r="N18" i="87"/>
  <c r="N14" i="87"/>
  <c r="AA17" i="92"/>
  <c r="AB17" i="92" s="1"/>
  <c r="AL16" i="91"/>
  <c r="S11" i="92"/>
  <c r="T11" i="92"/>
  <c r="N13" i="92"/>
  <c r="T10" i="92"/>
  <c r="E17" i="92"/>
  <c r="N8" i="92"/>
  <c r="N17" i="92"/>
  <c r="AA8" i="92"/>
  <c r="AB8" i="92" s="1"/>
  <c r="S9" i="92"/>
  <c r="M7" i="92"/>
  <c r="Q9" i="103"/>
  <c r="N8" i="103"/>
  <c r="K9" i="103"/>
  <c r="M9" i="103"/>
  <c r="E9" i="103"/>
  <c r="AA9" i="103"/>
  <c r="AB9" i="103" s="1"/>
  <c r="AC19" i="103" s="1"/>
  <c r="E8" i="103"/>
  <c r="AL10" i="97"/>
  <c r="AL8" i="96"/>
  <c r="N10" i="102"/>
  <c r="AL13" i="96"/>
  <c r="AA10" i="102"/>
  <c r="AB10" i="102" s="1"/>
  <c r="AL19" i="95"/>
  <c r="AL8" i="95"/>
  <c r="AL5" i="94"/>
  <c r="AL9" i="94"/>
  <c r="T7" i="102"/>
  <c r="T16" i="102"/>
  <c r="T17" i="102"/>
  <c r="T13" i="102"/>
  <c r="W7" i="102"/>
  <c r="AA13" i="102"/>
  <c r="AB13" i="102" s="1"/>
  <c r="T18" i="102"/>
  <c r="U9" i="70"/>
  <c r="T10" i="102"/>
  <c r="AL12" i="75"/>
  <c r="W9" i="102"/>
  <c r="W16" i="102"/>
  <c r="W17" i="102"/>
  <c r="W10" i="102"/>
  <c r="W13" i="102"/>
  <c r="V16" i="102"/>
  <c r="W14" i="102"/>
  <c r="W18" i="102"/>
  <c r="AL12" i="100"/>
  <c r="AL6" i="100"/>
  <c r="T8" i="92"/>
  <c r="AL5" i="91"/>
  <c r="AA16" i="92"/>
  <c r="AB16" i="92" s="1"/>
  <c r="AL12" i="91"/>
  <c r="AL14" i="91"/>
  <c r="T12" i="92"/>
  <c r="AA19" i="92"/>
  <c r="AB19" i="92" s="1"/>
  <c r="T15" i="92"/>
  <c r="T22" i="92"/>
  <c r="T14" i="92"/>
  <c r="T9" i="92"/>
  <c r="T7" i="92"/>
  <c r="T20" i="92"/>
  <c r="T19" i="92"/>
  <c r="T16" i="92"/>
  <c r="T17" i="92"/>
  <c r="AL24" i="89"/>
  <c r="AL14" i="88"/>
  <c r="AL23" i="88"/>
  <c r="AL6" i="88"/>
  <c r="AL19" i="85"/>
  <c r="W5" i="87"/>
  <c r="AA9" i="87"/>
  <c r="AB9" i="87" s="1"/>
  <c r="V9" i="87"/>
  <c r="W12" i="87"/>
  <c r="S6" i="87"/>
  <c r="T12" i="87"/>
  <c r="W6" i="87"/>
  <c r="T9" i="87"/>
  <c r="T15" i="87"/>
  <c r="AL10" i="85"/>
  <c r="AL7" i="85"/>
  <c r="W9" i="87"/>
  <c r="AL9" i="85"/>
  <c r="T18" i="87"/>
  <c r="T14" i="87"/>
  <c r="T6" i="87"/>
  <c r="W18" i="87"/>
  <c r="AL15" i="91"/>
  <c r="AL5" i="85"/>
  <c r="AL8" i="75"/>
  <c r="AL14" i="75"/>
  <c r="AL6" i="75"/>
  <c r="AL16" i="75"/>
  <c r="AL20" i="75"/>
  <c r="W5" i="76"/>
  <c r="AL7" i="74"/>
  <c r="AL5" i="74"/>
  <c r="AA7" i="76"/>
  <c r="AB7" i="76" s="1"/>
  <c r="AL8" i="74"/>
  <c r="W21" i="76"/>
  <c r="W13" i="76"/>
  <c r="W23" i="76"/>
  <c r="W17" i="76"/>
  <c r="W19" i="76"/>
  <c r="AL18" i="73"/>
  <c r="W7" i="76"/>
  <c r="W6" i="76"/>
  <c r="W8" i="76"/>
  <c r="AA15" i="76"/>
  <c r="AB15" i="76" s="1"/>
  <c r="W9" i="76"/>
  <c r="W15" i="76"/>
  <c r="AL26" i="72"/>
  <c r="AL24" i="72"/>
  <c r="AL18" i="74"/>
  <c r="AL11" i="74"/>
  <c r="N7" i="76"/>
  <c r="D17" i="76"/>
  <c r="AA17" i="76"/>
  <c r="AB17" i="76" s="1"/>
  <c r="E23" i="76"/>
  <c r="D21" i="76"/>
  <c r="E21" i="76"/>
  <c r="AL10" i="71"/>
  <c r="AL8" i="71"/>
  <c r="AL14" i="71"/>
  <c r="AL17" i="71"/>
  <c r="AL5" i="71"/>
  <c r="AL15" i="71"/>
  <c r="T11" i="81"/>
  <c r="AA28" i="81"/>
  <c r="AB28" i="81" s="1"/>
  <c r="W7" i="81"/>
  <c r="W26" i="81"/>
  <c r="W28" i="81"/>
  <c r="W10" i="81"/>
  <c r="W12" i="81"/>
  <c r="T7" i="81"/>
  <c r="W5" i="81"/>
  <c r="W25" i="81"/>
  <c r="W13" i="81"/>
  <c r="W20" i="81"/>
  <c r="T18" i="81"/>
  <c r="T25" i="81"/>
  <c r="T5" i="81"/>
  <c r="T28" i="81"/>
  <c r="T26" i="81"/>
  <c r="T13" i="81"/>
  <c r="T12" i="81"/>
  <c r="T10" i="81"/>
  <c r="AL22" i="77"/>
  <c r="Q6" i="70"/>
  <c r="O16" i="70"/>
  <c r="P16" i="70" s="1"/>
  <c r="E19" i="70"/>
  <c r="T19" i="70"/>
  <c r="V7" i="70"/>
  <c r="W19" i="70"/>
  <c r="W6" i="70"/>
  <c r="C11" i="70"/>
  <c r="O5" i="70"/>
  <c r="P5" i="70" s="1"/>
  <c r="R17" i="70"/>
  <c r="S17" i="70" s="1"/>
  <c r="Q19" i="70"/>
  <c r="R5" i="70"/>
  <c r="R14" i="70"/>
  <c r="S6" i="70"/>
  <c r="T7" i="70"/>
  <c r="AJ14" i="49"/>
  <c r="AK14" i="49" s="1"/>
  <c r="O11" i="70"/>
  <c r="F5" i="70"/>
  <c r="V10" i="70"/>
  <c r="AJ20" i="53"/>
  <c r="AK20" i="53" s="1"/>
  <c r="Y16" i="57"/>
  <c r="H19" i="57"/>
  <c r="P9" i="57"/>
  <c r="S9" i="57"/>
  <c r="T20" i="81"/>
  <c r="S20" i="81"/>
  <c r="K23" i="76"/>
  <c r="N23" i="76"/>
  <c r="G10" i="76"/>
  <c r="H23" i="76"/>
  <c r="AL13" i="75"/>
  <c r="AL17" i="74"/>
  <c r="AL19" i="74"/>
  <c r="AL13" i="74"/>
  <c r="AL6" i="79"/>
  <c r="AL19" i="78"/>
  <c r="AA10" i="92"/>
  <c r="AB10" i="92" s="1"/>
  <c r="AL14" i="100"/>
  <c r="AL7" i="100"/>
  <c r="AL19" i="94"/>
  <c r="AL13" i="94"/>
  <c r="AL11" i="94"/>
  <c r="AL6" i="94"/>
  <c r="AL15" i="94"/>
  <c r="AL21" i="94"/>
  <c r="AL16" i="94"/>
  <c r="AL7" i="94"/>
  <c r="AL8" i="97"/>
  <c r="AL11" i="97"/>
  <c r="K14" i="102"/>
  <c r="K9" i="102"/>
  <c r="AL12" i="97"/>
  <c r="AL9" i="97"/>
  <c r="AL7" i="96"/>
  <c r="AL11" i="96"/>
  <c r="AL14" i="96"/>
  <c r="E16" i="102"/>
  <c r="AL5" i="96"/>
  <c r="AL10" i="96"/>
  <c r="AL6" i="96"/>
  <c r="E15" i="102"/>
  <c r="E5" i="102"/>
  <c r="K10" i="102"/>
  <c r="K18" i="102"/>
  <c r="AL17" i="95"/>
  <c r="AL9" i="95"/>
  <c r="AL16" i="95"/>
  <c r="N17" i="102"/>
  <c r="AL14" i="95"/>
  <c r="AL10" i="95"/>
  <c r="E13" i="102"/>
  <c r="AL13" i="95"/>
  <c r="AL6" i="95"/>
  <c r="Q17" i="102"/>
  <c r="AL15" i="95"/>
  <c r="AL5" i="95"/>
  <c r="AL7" i="95"/>
  <c r="E12" i="102"/>
  <c r="AA7" i="102"/>
  <c r="AB7" i="102" s="1"/>
  <c r="Q10" i="102"/>
  <c r="N7" i="102"/>
  <c r="E17" i="102"/>
  <c r="AA16" i="102"/>
  <c r="AB16" i="102" s="1"/>
  <c r="AA17" i="102"/>
  <c r="AB17" i="102" s="1"/>
  <c r="Q14" i="102"/>
  <c r="N15" i="102"/>
  <c r="E10" i="102"/>
  <c r="M5" i="102"/>
  <c r="N5" i="102"/>
  <c r="AA5" i="102"/>
  <c r="AB5" i="102" s="1"/>
  <c r="AA12" i="102"/>
  <c r="AB12" i="102" s="1"/>
  <c r="D12" i="102"/>
  <c r="K5" i="102"/>
  <c r="K7" i="102"/>
  <c r="J17" i="102"/>
  <c r="K13" i="102"/>
  <c r="K17" i="102"/>
  <c r="P16" i="102"/>
  <c r="Q16" i="102"/>
  <c r="Q7" i="102"/>
  <c r="M16" i="102"/>
  <c r="N16" i="102"/>
  <c r="N14" i="102"/>
  <c r="Q13" i="102"/>
  <c r="N13" i="102"/>
  <c r="AL13" i="91"/>
  <c r="AL19" i="91"/>
  <c r="AL7" i="91"/>
  <c r="AL8" i="91"/>
  <c r="AL18" i="91"/>
  <c r="AL20" i="91"/>
  <c r="H22" i="92"/>
  <c r="H12" i="92"/>
  <c r="AL7" i="73"/>
  <c r="AL7" i="71"/>
  <c r="AL6" i="71"/>
  <c r="AL20" i="71"/>
  <c r="AL13" i="71"/>
  <c r="AL12" i="71"/>
  <c r="AL10" i="79"/>
  <c r="AL14" i="79"/>
  <c r="AL30" i="79"/>
  <c r="AL16" i="79"/>
  <c r="AL13" i="79"/>
  <c r="AL27" i="79"/>
  <c r="AL5" i="79"/>
  <c r="AL29" i="79"/>
  <c r="AL19" i="79"/>
  <c r="Q13" i="92"/>
  <c r="Q20" i="92"/>
  <c r="Q9" i="92"/>
  <c r="Q12" i="92"/>
  <c r="Q15" i="92"/>
  <c r="Q11" i="92"/>
  <c r="Q17" i="92"/>
  <c r="Q16" i="92"/>
  <c r="Q23" i="92"/>
  <c r="Q14" i="92"/>
  <c r="Q10" i="92"/>
  <c r="Q22" i="92"/>
  <c r="K15" i="87"/>
  <c r="K9" i="87"/>
  <c r="AA6" i="87"/>
  <c r="AB6" i="87" s="1"/>
  <c r="K5" i="87"/>
  <c r="K12" i="87"/>
  <c r="K18" i="87"/>
  <c r="K6" i="87"/>
  <c r="J6" i="87"/>
  <c r="N15" i="92"/>
  <c r="N12" i="92"/>
  <c r="N10" i="92"/>
  <c r="N7" i="92"/>
  <c r="N19" i="92"/>
  <c r="N14" i="92"/>
  <c r="N16" i="92"/>
  <c r="N20" i="92"/>
  <c r="M14" i="92"/>
  <c r="N23" i="92"/>
  <c r="N9" i="92"/>
  <c r="H7" i="92"/>
  <c r="H23" i="92"/>
  <c r="H16" i="92"/>
  <c r="H20" i="92"/>
  <c r="H9" i="92"/>
  <c r="H10" i="92"/>
  <c r="H15" i="92"/>
  <c r="H14" i="92"/>
  <c r="H8" i="92"/>
  <c r="K19" i="92"/>
  <c r="K12" i="92"/>
  <c r="K20" i="92"/>
  <c r="K22" i="92"/>
  <c r="K15" i="92"/>
  <c r="K14" i="92"/>
  <c r="D5" i="92"/>
  <c r="K10" i="92"/>
  <c r="K16" i="92"/>
  <c r="K7" i="92"/>
  <c r="AL15" i="90"/>
  <c r="AL10" i="90"/>
  <c r="AL11" i="90"/>
  <c r="AL5" i="90"/>
  <c r="AL20" i="90"/>
  <c r="AA12" i="92"/>
  <c r="AB12" i="92" s="1"/>
  <c r="AL21" i="90"/>
  <c r="AA14" i="92"/>
  <c r="AB14" i="92" s="1"/>
  <c r="AL12" i="90"/>
  <c r="AL7" i="90"/>
  <c r="AL14" i="90"/>
  <c r="AL19" i="90"/>
  <c r="AL18" i="90"/>
  <c r="AL9" i="90"/>
  <c r="AL16" i="90"/>
  <c r="E23" i="92"/>
  <c r="E8" i="92"/>
  <c r="E16" i="92"/>
  <c r="E12" i="92"/>
  <c r="E22" i="92"/>
  <c r="AL10" i="89"/>
  <c r="AL5" i="89"/>
  <c r="AL18" i="89"/>
  <c r="AL16" i="89"/>
  <c r="AL14" i="89"/>
  <c r="AL19" i="89"/>
  <c r="AL20" i="89"/>
  <c r="AL6" i="89"/>
  <c r="AL8" i="89"/>
  <c r="AL22" i="89"/>
  <c r="AL21" i="89"/>
  <c r="AL11" i="89"/>
  <c r="AL15" i="89"/>
  <c r="AL7" i="89"/>
  <c r="AL12" i="89"/>
  <c r="AL13" i="89"/>
  <c r="E10" i="92"/>
  <c r="AA7" i="92"/>
  <c r="AB7" i="92" s="1"/>
  <c r="D7" i="92"/>
  <c r="D20" i="92"/>
  <c r="AA20" i="92"/>
  <c r="AB20" i="92" s="1"/>
  <c r="E5" i="92"/>
  <c r="E11" i="92"/>
  <c r="E20" i="92"/>
  <c r="E14" i="92"/>
  <c r="E9" i="92"/>
  <c r="E19" i="92"/>
  <c r="AA15" i="92"/>
  <c r="AB15" i="92" s="1"/>
  <c r="D15" i="92"/>
  <c r="E15" i="92"/>
  <c r="E7" i="92"/>
  <c r="AL19" i="88"/>
  <c r="AL21" i="88"/>
  <c r="AL8" i="88"/>
  <c r="AL7" i="88"/>
  <c r="AL13" i="88"/>
  <c r="AL16" i="88"/>
  <c r="AL12" i="88"/>
  <c r="AL15" i="88"/>
  <c r="AL9" i="88"/>
  <c r="AL5" i="88"/>
  <c r="AL22" i="88"/>
  <c r="G20" i="81"/>
  <c r="H20" i="81"/>
  <c r="AA20" i="81"/>
  <c r="AB20" i="81" s="1"/>
  <c r="AA12" i="87"/>
  <c r="AB12" i="87" s="1"/>
  <c r="Q19" i="87"/>
  <c r="Q6" i="87"/>
  <c r="Q18" i="87"/>
  <c r="Q5" i="87"/>
  <c r="Q12" i="87"/>
  <c r="Q9" i="87"/>
  <c r="AL15" i="84"/>
  <c r="AL9" i="84"/>
  <c r="AL5" i="84"/>
  <c r="AL6" i="84"/>
  <c r="AL13" i="83"/>
  <c r="AL11" i="83"/>
  <c r="AL7" i="83"/>
  <c r="AL15" i="83"/>
  <c r="AL6" i="83"/>
  <c r="AL12" i="83"/>
  <c r="AL10" i="83"/>
  <c r="E5" i="87"/>
  <c r="E14" i="87"/>
  <c r="E12" i="87"/>
  <c r="AA18" i="87"/>
  <c r="AB18" i="87" s="1"/>
  <c r="E18" i="87"/>
  <c r="D18" i="87"/>
  <c r="E6" i="87"/>
  <c r="AL8" i="82"/>
  <c r="AL11" i="82"/>
  <c r="AL5" i="82"/>
  <c r="AL14" i="82"/>
  <c r="AL10" i="82"/>
  <c r="AL15" i="82"/>
  <c r="AL9" i="82"/>
  <c r="N28" i="81"/>
  <c r="Q28" i="81"/>
  <c r="K14" i="81"/>
  <c r="Q18" i="81"/>
  <c r="AA25" i="81"/>
  <c r="AB25" i="81" s="1"/>
  <c r="P25" i="81"/>
  <c r="P10" i="81"/>
  <c r="Q13" i="81"/>
  <c r="Q10" i="81"/>
  <c r="Q26" i="81"/>
  <c r="Q5" i="81"/>
  <c r="Q7" i="81"/>
  <c r="Q20" i="81"/>
  <c r="Q25" i="81"/>
  <c r="N13" i="81"/>
  <c r="N20" i="81"/>
  <c r="N7" i="81"/>
  <c r="N25" i="81"/>
  <c r="N12" i="81"/>
  <c r="N10" i="81"/>
  <c r="N26" i="81"/>
  <c r="N5" i="81"/>
  <c r="M10" i="81"/>
  <c r="AA10" i="81"/>
  <c r="AB10" i="81" s="1"/>
  <c r="AA7" i="81"/>
  <c r="AB7" i="81" s="1"/>
  <c r="K10" i="81"/>
  <c r="J7" i="81"/>
  <c r="K6" i="81"/>
  <c r="K26" i="81"/>
  <c r="K13" i="81"/>
  <c r="K12" i="81"/>
  <c r="K5" i="81"/>
  <c r="K28" i="81"/>
  <c r="K25" i="81"/>
  <c r="K7" i="81"/>
  <c r="K18" i="81"/>
  <c r="K20" i="81"/>
  <c r="H12" i="81"/>
  <c r="H25" i="81"/>
  <c r="H5" i="81"/>
  <c r="H10" i="81"/>
  <c r="H7" i="81"/>
  <c r="AA12" i="81"/>
  <c r="AB12" i="81" s="1"/>
  <c r="H13" i="81"/>
  <c r="H28" i="81"/>
  <c r="AL12" i="78"/>
  <c r="AL18" i="78"/>
  <c r="AL30" i="78"/>
  <c r="AL5" i="78"/>
  <c r="E28" i="81"/>
  <c r="E12" i="81"/>
  <c r="AL28" i="78"/>
  <c r="AL17" i="78"/>
  <c r="AL14" i="78"/>
  <c r="AL26" i="78"/>
  <c r="AL16" i="78"/>
  <c r="E25" i="81"/>
  <c r="E11" i="81"/>
  <c r="E10" i="81"/>
  <c r="AA13" i="81"/>
  <c r="AB13" i="81" s="1"/>
  <c r="E5" i="81"/>
  <c r="E13" i="81"/>
  <c r="E7" i="81"/>
  <c r="E18" i="81"/>
  <c r="D13" i="81"/>
  <c r="AL20" i="77"/>
  <c r="AL25" i="77"/>
  <c r="AL16" i="77"/>
  <c r="AL30" i="77"/>
  <c r="AL13" i="77"/>
  <c r="AL24" i="77"/>
  <c r="AL10" i="77"/>
  <c r="AL15" i="77"/>
  <c r="AL5" i="77"/>
  <c r="AL9" i="75"/>
  <c r="Q12" i="76"/>
  <c r="N5" i="76"/>
  <c r="K13" i="76"/>
  <c r="K5" i="76"/>
  <c r="AA5" i="76"/>
  <c r="AB5" i="76" s="1"/>
  <c r="G19" i="76"/>
  <c r="N10" i="76"/>
  <c r="AA13" i="76"/>
  <c r="AB13" i="76" s="1"/>
  <c r="Q5" i="76"/>
  <c r="P10" i="76"/>
  <c r="Q19" i="76"/>
  <c r="Q9" i="76"/>
  <c r="AL16" i="73"/>
  <c r="AA10" i="76"/>
  <c r="AB10" i="76" s="1"/>
  <c r="N19" i="76"/>
  <c r="N8" i="76"/>
  <c r="N6" i="76"/>
  <c r="N14" i="76"/>
  <c r="N9" i="76"/>
  <c r="M12" i="76"/>
  <c r="AA12" i="76"/>
  <c r="AB12" i="76" s="1"/>
  <c r="N12" i="76"/>
  <c r="N13" i="76"/>
  <c r="AL6" i="73"/>
  <c r="AL19" i="73"/>
  <c r="J9" i="76"/>
  <c r="K19" i="76"/>
  <c r="K8" i="76"/>
  <c r="AA9" i="76"/>
  <c r="AB9" i="76" s="1"/>
  <c r="E19" i="76"/>
  <c r="K10" i="76"/>
  <c r="K9" i="76"/>
  <c r="K6" i="76"/>
  <c r="K12" i="76"/>
  <c r="K7" i="76"/>
  <c r="AL14" i="73"/>
  <c r="AL17" i="73"/>
  <c r="AL20" i="73"/>
  <c r="AL10" i="73"/>
  <c r="AL9" i="73"/>
  <c r="AL5" i="73"/>
  <c r="E9" i="76"/>
  <c r="E12" i="76"/>
  <c r="Q6" i="76"/>
  <c r="Q7" i="76"/>
  <c r="Q13" i="76"/>
  <c r="Q10" i="76"/>
  <c r="Q14" i="76"/>
  <c r="Q8" i="76"/>
  <c r="P14" i="76"/>
  <c r="AA14" i="76"/>
  <c r="AB14" i="76" s="1"/>
  <c r="AL12" i="72"/>
  <c r="AL11" i="72"/>
  <c r="H7" i="76"/>
  <c r="H19" i="76"/>
  <c r="AL5" i="72"/>
  <c r="H14" i="76"/>
  <c r="H13" i="76"/>
  <c r="AL22" i="72"/>
  <c r="AL15" i="72"/>
  <c r="G6" i="76"/>
  <c r="H10" i="76"/>
  <c r="H9" i="76"/>
  <c r="H8" i="76"/>
  <c r="AA6" i="76"/>
  <c r="AB6" i="76" s="1"/>
  <c r="H6" i="76"/>
  <c r="H12" i="76"/>
  <c r="AL20" i="72"/>
  <c r="AL14" i="72"/>
  <c r="AL21" i="72"/>
  <c r="AL25" i="72"/>
  <c r="E6" i="76"/>
  <c r="E14" i="76"/>
  <c r="AL23" i="72"/>
  <c r="E10" i="76"/>
  <c r="E8" i="76"/>
  <c r="E15" i="76"/>
  <c r="E7" i="76"/>
  <c r="AA8" i="76"/>
  <c r="AB8" i="76" s="1"/>
  <c r="E5" i="76"/>
  <c r="D8" i="76"/>
  <c r="E17" i="76"/>
  <c r="E13" i="76"/>
  <c r="AL18" i="71"/>
  <c r="AL16" i="71"/>
  <c r="AJ23" i="53"/>
  <c r="AK23" i="53" s="1"/>
  <c r="AJ20" i="50"/>
  <c r="AK20" i="50" s="1"/>
  <c r="AJ12" i="51"/>
  <c r="AK12" i="51" s="1"/>
  <c r="AJ19" i="53"/>
  <c r="AK19" i="53" s="1"/>
  <c r="AJ14" i="53"/>
  <c r="AK14" i="53" s="1"/>
  <c r="AJ7" i="52"/>
  <c r="AK7" i="52" s="1"/>
  <c r="AJ13" i="56"/>
  <c r="AK13" i="56" s="1"/>
  <c r="AJ13" i="49"/>
  <c r="AK13" i="49" s="1"/>
  <c r="AJ11" i="49"/>
  <c r="AK11" i="49" s="1"/>
  <c r="AJ9" i="52"/>
  <c r="AK9" i="52" s="1"/>
  <c r="AJ22" i="53"/>
  <c r="AK22" i="53" s="1"/>
  <c r="AJ22" i="55"/>
  <c r="AK22" i="55" s="1"/>
  <c r="AJ7" i="51"/>
  <c r="AK7" i="51" s="1"/>
  <c r="AJ7" i="56"/>
  <c r="AK7" i="56" s="1"/>
  <c r="AJ12" i="56"/>
  <c r="AK12" i="56" s="1"/>
  <c r="AJ19" i="56"/>
  <c r="AK19" i="56" s="1"/>
  <c r="AJ16" i="56"/>
  <c r="AK16" i="56" s="1"/>
  <c r="AJ9" i="56"/>
  <c r="AK9" i="56" s="1"/>
  <c r="AJ15" i="56"/>
  <c r="AK15" i="56" s="1"/>
  <c r="AJ8" i="56"/>
  <c r="AK8" i="56" s="1"/>
  <c r="AJ6" i="56"/>
  <c r="AK6" i="56" s="1"/>
  <c r="AJ8" i="55"/>
  <c r="AK8" i="55" s="1"/>
  <c r="AJ15" i="55"/>
  <c r="AK15" i="55" s="1"/>
  <c r="AJ10" i="55"/>
  <c r="AK10" i="55" s="1"/>
  <c r="AJ17" i="55"/>
  <c r="AK17" i="55" s="1"/>
  <c r="AJ16" i="55"/>
  <c r="AK16" i="55" s="1"/>
  <c r="AJ20" i="55"/>
  <c r="AK20" i="55" s="1"/>
  <c r="AJ5" i="55"/>
  <c r="AK5" i="55" s="1"/>
  <c r="AJ5" i="54"/>
  <c r="AK5" i="54" s="1"/>
  <c r="AJ23" i="54"/>
  <c r="AK23" i="54" s="1"/>
  <c r="AJ17" i="54"/>
  <c r="AK17" i="54" s="1"/>
  <c r="AJ17" i="53"/>
  <c r="AK17" i="53" s="1"/>
  <c r="AJ6" i="49"/>
  <c r="AK6" i="49" s="1"/>
  <c r="AJ21" i="49"/>
  <c r="AK21" i="49" s="1"/>
  <c r="AJ17" i="52"/>
  <c r="AK17" i="52" s="1"/>
  <c r="AJ6" i="52"/>
  <c r="AK6" i="52" s="1"/>
  <c r="AJ10" i="52"/>
  <c r="AK10" i="52" s="1"/>
  <c r="AJ5" i="52"/>
  <c r="AK5" i="52" s="1"/>
  <c r="AJ5" i="51"/>
  <c r="AK5" i="51" s="1"/>
  <c r="AJ17" i="51"/>
  <c r="AK17" i="51" s="1"/>
  <c r="AJ15" i="51"/>
  <c r="AK15" i="51" s="1"/>
  <c r="AJ6" i="50"/>
  <c r="AK6" i="50" s="1"/>
  <c r="AJ13" i="50"/>
  <c r="AK13" i="50" s="1"/>
  <c r="AJ10" i="50"/>
  <c r="AK10" i="50" s="1"/>
  <c r="AJ5" i="50"/>
  <c r="AK5" i="50" s="1"/>
  <c r="AJ8" i="50"/>
  <c r="AK8" i="50" s="1"/>
  <c r="AJ19" i="50"/>
  <c r="AK19" i="50" s="1"/>
  <c r="AL24" i="50"/>
  <c r="AL23" i="50"/>
  <c r="AJ23" i="49"/>
  <c r="AK23" i="49" s="1"/>
  <c r="AJ16" i="49"/>
  <c r="AK16" i="49" s="1"/>
  <c r="AJ24" i="49"/>
  <c r="AK24" i="49" s="1"/>
  <c r="AJ7" i="49"/>
  <c r="AK7" i="49" s="1"/>
  <c r="AJ10" i="49"/>
  <c r="AK10" i="49" s="1"/>
  <c r="AJ19" i="49"/>
  <c r="AK19" i="49" s="1"/>
  <c r="AJ18" i="49"/>
  <c r="AK18" i="49" s="1"/>
  <c r="AJ15" i="49"/>
  <c r="AK15" i="49" s="1"/>
  <c r="AJ5" i="49"/>
  <c r="AK5" i="49" s="1"/>
  <c r="AJ9" i="49"/>
  <c r="AK9" i="49" s="1"/>
  <c r="AJ12" i="49"/>
  <c r="AK12" i="49" s="1"/>
  <c r="AJ8" i="49"/>
  <c r="AK8" i="49" s="1"/>
  <c r="AJ20" i="49"/>
  <c r="AK20" i="49" s="1"/>
  <c r="AJ22" i="49"/>
  <c r="AK22" i="49" s="1"/>
  <c r="AJ17" i="49"/>
  <c r="AK17" i="49" s="1"/>
  <c r="E6" i="70" l="1"/>
  <c r="AL20" i="52"/>
  <c r="AL19" i="52"/>
  <c r="AL14" i="52"/>
  <c r="AA12" i="70"/>
  <c r="AB12" i="70" s="1"/>
  <c r="AL15" i="52"/>
  <c r="AA6" i="70"/>
  <c r="AB6" i="70" s="1"/>
  <c r="AA22" i="70"/>
  <c r="AB22" i="70" s="1"/>
  <c r="AL16" i="51"/>
  <c r="AL19" i="51"/>
  <c r="AL18" i="51"/>
  <c r="AL20" i="51"/>
  <c r="AL11" i="51"/>
  <c r="N19" i="70"/>
  <c r="AA21" i="70"/>
  <c r="AB21" i="70" s="1"/>
  <c r="AL18" i="50"/>
  <c r="N13" i="70"/>
  <c r="N23" i="70"/>
  <c r="AL15" i="50"/>
  <c r="AL14" i="50"/>
  <c r="AA15" i="70"/>
  <c r="AB15" i="70" s="1"/>
  <c r="E7" i="70"/>
  <c r="J15" i="70"/>
  <c r="K15" i="70"/>
  <c r="AL21" i="50"/>
  <c r="AL16" i="50"/>
  <c r="AL22" i="50"/>
  <c r="K22" i="70"/>
  <c r="J6" i="70"/>
  <c r="AL9" i="50"/>
  <c r="K12" i="70"/>
  <c r="AL11" i="50"/>
  <c r="N6" i="70"/>
  <c r="N21" i="70"/>
  <c r="N15" i="70"/>
  <c r="N20" i="70"/>
  <c r="N18" i="70"/>
  <c r="N22" i="70"/>
  <c r="N12" i="70"/>
  <c r="M10" i="70"/>
  <c r="N24" i="70"/>
  <c r="K13" i="70"/>
  <c r="K21" i="70"/>
  <c r="J10" i="70"/>
  <c r="K20" i="70"/>
  <c r="AA7" i="70"/>
  <c r="AB7" i="70" s="1"/>
  <c r="AA24" i="57"/>
  <c r="AB24" i="57" s="1"/>
  <c r="AL14" i="55"/>
  <c r="S21" i="57"/>
  <c r="D21" i="57"/>
  <c r="AA21" i="57"/>
  <c r="AB21" i="57" s="1"/>
  <c r="AL9" i="53"/>
  <c r="AL16" i="53"/>
  <c r="D13" i="57"/>
  <c r="N13" i="57"/>
  <c r="K13" i="57"/>
  <c r="E6" i="57"/>
  <c r="V13" i="57"/>
  <c r="J13" i="57"/>
  <c r="P13" i="57"/>
  <c r="AC21" i="76"/>
  <c r="AC11" i="76"/>
  <c r="AC18" i="76"/>
  <c r="AC16" i="76"/>
  <c r="AC22" i="76"/>
  <c r="AC21" i="81"/>
  <c r="AC27" i="81"/>
  <c r="AC16" i="81"/>
  <c r="AC21" i="92"/>
  <c r="G19" i="70"/>
  <c r="H19" i="70"/>
  <c r="P13" i="70"/>
  <c r="Q13" i="70"/>
  <c r="W13" i="70"/>
  <c r="V13" i="70"/>
  <c r="AA13" i="70"/>
  <c r="AB13" i="70" s="1"/>
  <c r="AA14" i="57"/>
  <c r="AB14" i="57" s="1"/>
  <c r="H7" i="70"/>
  <c r="H13" i="70"/>
  <c r="H6" i="70"/>
  <c r="AL8" i="52"/>
  <c r="AL8" i="51"/>
  <c r="H9" i="57"/>
  <c r="E14" i="57"/>
  <c r="P14" i="57"/>
  <c r="AC9" i="81"/>
  <c r="AC17" i="81"/>
  <c r="AC13" i="103"/>
  <c r="AC18" i="103"/>
  <c r="AC11" i="103"/>
  <c r="AC16" i="103"/>
  <c r="AC10" i="103"/>
  <c r="AC6" i="103"/>
  <c r="AC17" i="103"/>
  <c r="AC23" i="103"/>
  <c r="AC7" i="103"/>
  <c r="AL13" i="52"/>
  <c r="AL6" i="51"/>
  <c r="AL10" i="51"/>
  <c r="AL7" i="50"/>
  <c r="AL14" i="56"/>
  <c r="H13" i="57"/>
  <c r="H14" i="57"/>
  <c r="H11" i="57"/>
  <c r="AA7" i="57"/>
  <c r="AB7" i="57" s="1"/>
  <c r="C13" i="115"/>
  <c r="D13" i="115" s="1"/>
  <c r="W15" i="57"/>
  <c r="C19" i="115"/>
  <c r="D19" i="115" s="1"/>
  <c r="AA6" i="57"/>
  <c r="AB6" i="57" s="1"/>
  <c r="W6" i="57"/>
  <c r="W14" i="57"/>
  <c r="W17" i="57"/>
  <c r="W11" i="57"/>
  <c r="W7" i="57"/>
  <c r="T15" i="57"/>
  <c r="AL17" i="56"/>
  <c r="S5" i="57"/>
  <c r="T14" i="57"/>
  <c r="T7" i="57"/>
  <c r="T11" i="57"/>
  <c r="AL15" i="53"/>
  <c r="T17" i="57"/>
  <c r="T6" i="57"/>
  <c r="C5" i="114"/>
  <c r="D5" i="114" s="1"/>
  <c r="C11" i="114"/>
  <c r="D11" i="114" s="1"/>
  <c r="Q15" i="57"/>
  <c r="AL23" i="56"/>
  <c r="C15" i="115"/>
  <c r="D15" i="115" s="1"/>
  <c r="AL6" i="55"/>
  <c r="P10" i="57"/>
  <c r="Q21" i="57"/>
  <c r="Q6" i="57"/>
  <c r="Q14" i="57"/>
  <c r="Q16" i="57"/>
  <c r="Q11" i="57"/>
  <c r="Q7" i="57"/>
  <c r="D6" i="115"/>
  <c r="C6" i="114"/>
  <c r="D6" i="114" s="1"/>
  <c r="C7" i="114"/>
  <c r="AL11" i="56"/>
  <c r="AL21" i="56"/>
  <c r="AA15" i="57"/>
  <c r="AB15" i="57" s="1"/>
  <c r="M5" i="57"/>
  <c r="N24" i="57"/>
  <c r="M10" i="57"/>
  <c r="N14" i="57"/>
  <c r="N19" i="57"/>
  <c r="AL7" i="55"/>
  <c r="K24" i="57"/>
  <c r="N6" i="57"/>
  <c r="J7" i="57"/>
  <c r="N15" i="57"/>
  <c r="K6" i="57"/>
  <c r="K16" i="57"/>
  <c r="K14" i="57"/>
  <c r="N9" i="57"/>
  <c r="K15" i="57"/>
  <c r="K21" i="57"/>
  <c r="C18" i="115"/>
  <c r="D18" i="115" s="1"/>
  <c r="N12" i="57"/>
  <c r="N11" i="57"/>
  <c r="N7" i="57"/>
  <c r="N17" i="57"/>
  <c r="N23" i="57"/>
  <c r="M8" i="57"/>
  <c r="N21" i="57"/>
  <c r="K17" i="57"/>
  <c r="K7" i="57"/>
  <c r="AL5" i="53"/>
  <c r="K11" i="57"/>
  <c r="AL21" i="53"/>
  <c r="J5" i="57"/>
  <c r="K20" i="57"/>
  <c r="AL8" i="53"/>
  <c r="AC13" i="87"/>
  <c r="AC18" i="92"/>
  <c r="AC6" i="92"/>
  <c r="AC6" i="102"/>
  <c r="AC5" i="103"/>
  <c r="AC8" i="103"/>
  <c r="AC19" i="102"/>
  <c r="AC11" i="102"/>
  <c r="AC8" i="102"/>
  <c r="AC7" i="87"/>
  <c r="AC24" i="81"/>
  <c r="W8" i="70"/>
  <c r="AL24" i="56"/>
  <c r="H17" i="57"/>
  <c r="H15" i="57"/>
  <c r="AL10" i="56"/>
  <c r="AL19" i="55"/>
  <c r="AL13" i="55"/>
  <c r="H6" i="57"/>
  <c r="H21" i="57"/>
  <c r="AL10" i="53"/>
  <c r="H20" i="57"/>
  <c r="AL6" i="53"/>
  <c r="G10" i="57"/>
  <c r="H7" i="57"/>
  <c r="AL11" i="52"/>
  <c r="E8" i="70"/>
  <c r="K16" i="70"/>
  <c r="D7" i="57"/>
  <c r="W20" i="57"/>
  <c r="AL5" i="56"/>
  <c r="AA16" i="57"/>
  <c r="AB16" i="57" s="1"/>
  <c r="AL11" i="55"/>
  <c r="E7" i="57"/>
  <c r="AA11" i="57"/>
  <c r="AB11" i="57" s="1"/>
  <c r="E11" i="57"/>
  <c r="D8" i="57"/>
  <c r="E16" i="57"/>
  <c r="AL7" i="53"/>
  <c r="AC23" i="81"/>
  <c r="AC8" i="81"/>
  <c r="AC16" i="87"/>
  <c r="AC12" i="103"/>
  <c r="AC20" i="102"/>
  <c r="AA10" i="70"/>
  <c r="AB10" i="70" s="1"/>
  <c r="K8" i="70"/>
  <c r="J8" i="70"/>
  <c r="AA8" i="70"/>
  <c r="AB8" i="70" s="1"/>
  <c r="J19" i="70"/>
  <c r="K10" i="70"/>
  <c r="W10" i="70"/>
  <c r="N17" i="70"/>
  <c r="N11" i="70"/>
  <c r="N8" i="70"/>
  <c r="N16" i="70"/>
  <c r="N9" i="70"/>
  <c r="N5" i="70"/>
  <c r="N10" i="70"/>
  <c r="N7" i="70"/>
  <c r="N14" i="70"/>
  <c r="T10" i="70"/>
  <c r="K5" i="70"/>
  <c r="K9" i="70"/>
  <c r="K6" i="70"/>
  <c r="K17" i="70"/>
  <c r="AA19" i="70"/>
  <c r="AB19" i="70" s="1"/>
  <c r="K7" i="70"/>
  <c r="K11" i="70"/>
  <c r="K14" i="70"/>
  <c r="W14" i="70"/>
  <c r="V9" i="70"/>
  <c r="W17" i="70"/>
  <c r="W5" i="70"/>
  <c r="AA9" i="70"/>
  <c r="AB9" i="70" s="1"/>
  <c r="AA16" i="70"/>
  <c r="AB16" i="70" s="1"/>
  <c r="W9" i="70"/>
  <c r="W16" i="70"/>
  <c r="W11" i="70"/>
  <c r="H10" i="70"/>
  <c r="H14" i="70"/>
  <c r="E14" i="70"/>
  <c r="H23" i="57"/>
  <c r="H22" i="57"/>
  <c r="K12" i="57"/>
  <c r="H12" i="57"/>
  <c r="H8" i="57"/>
  <c r="N22" i="57"/>
  <c r="M18" i="57"/>
  <c r="N18" i="57"/>
  <c r="H18" i="57"/>
  <c r="H10" i="57"/>
  <c r="H5" i="57"/>
  <c r="H16" i="57"/>
  <c r="T16" i="57"/>
  <c r="N16" i="57"/>
  <c r="N20" i="57"/>
  <c r="Q23" i="57"/>
  <c r="W16" i="57"/>
  <c r="N10" i="57"/>
  <c r="AA17" i="57"/>
  <c r="AB17" i="57" s="1"/>
  <c r="N8" i="57"/>
  <c r="N5" i="57"/>
  <c r="W18" i="57"/>
  <c r="W12" i="57"/>
  <c r="K5" i="57"/>
  <c r="E20" i="57"/>
  <c r="T20" i="57"/>
  <c r="Q5" i="57"/>
  <c r="W9" i="57"/>
  <c r="W10" i="57"/>
  <c r="W22" i="57"/>
  <c r="W5" i="57"/>
  <c r="W8" i="57"/>
  <c r="W19" i="57"/>
  <c r="W23" i="57"/>
  <c r="Q12" i="57"/>
  <c r="Q9" i="57"/>
  <c r="AC19" i="81"/>
  <c r="AC15" i="81"/>
  <c r="AC11" i="87"/>
  <c r="AC8" i="87"/>
  <c r="AC9" i="103"/>
  <c r="E16" i="70"/>
  <c r="E11" i="70"/>
  <c r="E10" i="70"/>
  <c r="E17" i="70"/>
  <c r="AA17" i="70"/>
  <c r="AB17" i="70" s="1"/>
  <c r="T5" i="70"/>
  <c r="S14" i="70"/>
  <c r="D11" i="70"/>
  <c r="E9" i="70"/>
  <c r="E5" i="70"/>
  <c r="Q9" i="70"/>
  <c r="T11" i="70"/>
  <c r="T17" i="70"/>
  <c r="S5" i="70"/>
  <c r="Q11" i="70"/>
  <c r="T16" i="70"/>
  <c r="T8" i="70"/>
  <c r="T9" i="70"/>
  <c r="AA11" i="70"/>
  <c r="AB11" i="70" s="1"/>
  <c r="Q14" i="70"/>
  <c r="AA14" i="70"/>
  <c r="AB14" i="70" s="1"/>
  <c r="T14" i="70"/>
  <c r="H11" i="70"/>
  <c r="H9" i="70"/>
  <c r="Q10" i="70"/>
  <c r="Q8" i="70"/>
  <c r="Q5" i="70"/>
  <c r="Q16" i="70"/>
  <c r="AA5" i="70"/>
  <c r="AB5" i="70" s="1"/>
  <c r="Q17" i="70"/>
  <c r="P11" i="70"/>
  <c r="H17" i="70"/>
  <c r="H8" i="70"/>
  <c r="H5" i="70"/>
  <c r="G5" i="70"/>
  <c r="H16" i="70"/>
  <c r="E10" i="57"/>
  <c r="E5" i="57"/>
  <c r="E19" i="57"/>
  <c r="E12" i="57"/>
  <c r="E17" i="57"/>
  <c r="E9" i="57"/>
  <c r="E8" i="57"/>
  <c r="E23" i="57"/>
  <c r="E22" i="57"/>
  <c r="E18" i="57"/>
  <c r="T9" i="57"/>
  <c r="T18" i="57"/>
  <c r="T13" i="57"/>
  <c r="T22" i="57"/>
  <c r="T23" i="57"/>
  <c r="S23" i="57"/>
  <c r="T5" i="57"/>
  <c r="AL20" i="56"/>
  <c r="T10" i="57"/>
  <c r="T12" i="57"/>
  <c r="T19" i="57"/>
  <c r="T8" i="57"/>
  <c r="K9" i="57"/>
  <c r="Q20" i="57"/>
  <c r="Q10" i="57"/>
  <c r="Q17" i="57"/>
  <c r="P18" i="57"/>
  <c r="Q22" i="57"/>
  <c r="Q8" i="57"/>
  <c r="Q18" i="57"/>
  <c r="Q19" i="57"/>
  <c r="AL9" i="55"/>
  <c r="AL18" i="55"/>
  <c r="K8" i="57"/>
  <c r="K19" i="57"/>
  <c r="K18" i="57"/>
  <c r="K10" i="57"/>
  <c r="K23" i="57"/>
  <c r="K22" i="57"/>
  <c r="AL12" i="53"/>
  <c r="AC23" i="76"/>
  <c r="AC9" i="102"/>
  <c r="AC16" i="102"/>
  <c r="AC12" i="102"/>
  <c r="AC15" i="102"/>
  <c r="AC18" i="102"/>
  <c r="AC14" i="102"/>
  <c r="AC13" i="102"/>
  <c r="AC7" i="102"/>
  <c r="AC10" i="102"/>
  <c r="AC5" i="102"/>
  <c r="AC17" i="102"/>
  <c r="AC9" i="87"/>
  <c r="AC13" i="92"/>
  <c r="AC22" i="92"/>
  <c r="AC8" i="92"/>
  <c r="AC5" i="92"/>
  <c r="AC7" i="92"/>
  <c r="AC17" i="92"/>
  <c r="AC9" i="92"/>
  <c r="AC12" i="92"/>
  <c r="AC23" i="92"/>
  <c r="AC19" i="92"/>
  <c r="AC16" i="92"/>
  <c r="AC20" i="92"/>
  <c r="AC11" i="92"/>
  <c r="AC15" i="92"/>
  <c r="AC10" i="92"/>
  <c r="AC14" i="92"/>
  <c r="AC15" i="87"/>
  <c r="AC19" i="87"/>
  <c r="AC6" i="87"/>
  <c r="AC14" i="87"/>
  <c r="AC5" i="87"/>
  <c r="AC18" i="87"/>
  <c r="AC10" i="87"/>
  <c r="AC12" i="87"/>
  <c r="AC14" i="81"/>
  <c r="AC6" i="81"/>
  <c r="AC12" i="81"/>
  <c r="AC10" i="81"/>
  <c r="AC11" i="81"/>
  <c r="AC28" i="81"/>
  <c r="AC5" i="81"/>
  <c r="AC20" i="81"/>
  <c r="AC25" i="81"/>
  <c r="AC26" i="81"/>
  <c r="AC13" i="81"/>
  <c r="AC7" i="81"/>
  <c r="AC18" i="81"/>
  <c r="AC5" i="76"/>
  <c r="AC17" i="76"/>
  <c r="AC10" i="76"/>
  <c r="AC13" i="76"/>
  <c r="AC19" i="76"/>
  <c r="AC12" i="76"/>
  <c r="AC7" i="76"/>
  <c r="AC14" i="76"/>
  <c r="AC6" i="76"/>
  <c r="AC8" i="76"/>
  <c r="AC9" i="76"/>
  <c r="AC15" i="76"/>
  <c r="AL20" i="53"/>
  <c r="AL22" i="53"/>
  <c r="AL17" i="53"/>
  <c r="AL11" i="53"/>
  <c r="AL19" i="53"/>
  <c r="AL23" i="53"/>
  <c r="AL18" i="53"/>
  <c r="AL14" i="53"/>
  <c r="AL13" i="53"/>
  <c r="AL22" i="56"/>
  <c r="AL9" i="56"/>
  <c r="AL12" i="56"/>
  <c r="AL19" i="56"/>
  <c r="AL7" i="56"/>
  <c r="AL18" i="56"/>
  <c r="AL8" i="56"/>
  <c r="AL16" i="56"/>
  <c r="AL13" i="56"/>
  <c r="AL15" i="56"/>
  <c r="AL6" i="56"/>
  <c r="AL21" i="55"/>
  <c r="AL23" i="55"/>
  <c r="AL12" i="55"/>
  <c r="AL16" i="55"/>
  <c r="AL22" i="55"/>
  <c r="AL15" i="55"/>
  <c r="AL5" i="55"/>
  <c r="AL10" i="55"/>
  <c r="AL20" i="55"/>
  <c r="AL17" i="55"/>
  <c r="AL8" i="55"/>
  <c r="AL9" i="52"/>
  <c r="AL5" i="52"/>
  <c r="AL7" i="52"/>
  <c r="AL17" i="52"/>
  <c r="AL10" i="52"/>
  <c r="AL6" i="52"/>
  <c r="AL9" i="51"/>
  <c r="AL7" i="51"/>
  <c r="AL17" i="51"/>
  <c r="AL5" i="51"/>
  <c r="AL12" i="51"/>
  <c r="AL14" i="51"/>
  <c r="AL15" i="51"/>
  <c r="AL17" i="50"/>
  <c r="AL20" i="50"/>
  <c r="AL6" i="50"/>
  <c r="AL10" i="50"/>
  <c r="AL13" i="50"/>
  <c r="AL12" i="50"/>
  <c r="AL5" i="50"/>
  <c r="AL19" i="50"/>
  <c r="AL8" i="50"/>
  <c r="AL20" i="49"/>
  <c r="AL17" i="49"/>
  <c r="AL5" i="49"/>
  <c r="AL23" i="49"/>
  <c r="AL8" i="49"/>
  <c r="AL15" i="49"/>
  <c r="AL7" i="49"/>
  <c r="AL18" i="49"/>
  <c r="AL24" i="49"/>
  <c r="AL22" i="49"/>
  <c r="AL19" i="49"/>
  <c r="AL16" i="49"/>
  <c r="AL10" i="49"/>
  <c r="AL6" i="49"/>
  <c r="AL11" i="49"/>
  <c r="AL12" i="49"/>
  <c r="AL9" i="49"/>
  <c r="AL21" i="49"/>
  <c r="AL14" i="49"/>
  <c r="AL13" i="49"/>
  <c r="AC23" i="70" l="1"/>
  <c r="AC15" i="70"/>
  <c r="AC18" i="70"/>
  <c r="AC22" i="70"/>
  <c r="AC12" i="70"/>
  <c r="AC24" i="70"/>
  <c r="AC21" i="70"/>
  <c r="AC20" i="70"/>
  <c r="AC13" i="70"/>
  <c r="D7" i="114"/>
  <c r="AC19" i="70"/>
  <c r="AC14" i="70"/>
  <c r="AC5" i="70"/>
  <c r="AC17" i="70"/>
  <c r="AC9" i="70"/>
  <c r="AC10" i="70"/>
  <c r="AC11" i="70"/>
  <c r="AC7" i="70"/>
  <c r="AC8" i="70"/>
  <c r="AC6" i="70"/>
  <c r="AC16" i="70"/>
  <c r="X5" i="57"/>
  <c r="X10" i="57"/>
  <c r="X22" i="57"/>
  <c r="X18" i="57"/>
  <c r="X20" i="57"/>
  <c r="X12" i="57"/>
  <c r="X23" i="57"/>
  <c r="X9" i="57"/>
  <c r="E11" i="114" l="1"/>
  <c r="E12" i="114"/>
  <c r="E6" i="114"/>
  <c r="E5" i="114"/>
  <c r="E9" i="114"/>
  <c r="E8" i="114"/>
  <c r="E7" i="114"/>
  <c r="E10" i="114"/>
  <c r="AJ10" i="54"/>
  <c r="AK10" i="54" s="1"/>
  <c r="X8" i="57"/>
  <c r="AA8" i="57" s="1"/>
  <c r="AB8" i="57" s="1"/>
  <c r="AJ12" i="54"/>
  <c r="AK12" i="54" s="1"/>
  <c r="AA18" i="57"/>
  <c r="AB18" i="57" s="1"/>
  <c r="Y9" i="57"/>
  <c r="AA9" i="57"/>
  <c r="AB9" i="57" s="1"/>
  <c r="AJ21" i="54"/>
  <c r="AK21" i="54" s="1"/>
  <c r="C7" i="115" s="1"/>
  <c r="D7" i="115" s="1"/>
  <c r="Y10" i="57"/>
  <c r="AA10" i="57"/>
  <c r="AB10" i="57" s="1"/>
  <c r="AJ22" i="54"/>
  <c r="AK22" i="54" s="1"/>
  <c r="AJ15" i="54"/>
  <c r="AK15" i="54" s="1"/>
  <c r="AJ14" i="54"/>
  <c r="AK14" i="54" s="1"/>
  <c r="AJ7" i="54"/>
  <c r="AK7" i="54" s="1"/>
  <c r="AJ8" i="54"/>
  <c r="AK8" i="54" s="1"/>
  <c r="AJ18" i="54"/>
  <c r="AK18" i="54" s="1"/>
  <c r="C5" i="115" s="1"/>
  <c r="AJ9" i="54"/>
  <c r="AK9" i="54" s="1"/>
  <c r="AL13" i="54" l="1"/>
  <c r="AL6" i="54"/>
  <c r="AL7" i="54"/>
  <c r="AL23" i="54"/>
  <c r="C17" i="115"/>
  <c r="D17" i="115" s="1"/>
  <c r="C11" i="115"/>
  <c r="D11" i="115" s="1"/>
  <c r="Z15" i="57"/>
  <c r="Z14" i="57"/>
  <c r="AL21" i="54"/>
  <c r="Z7" i="57"/>
  <c r="Z11" i="57"/>
  <c r="Z6" i="57"/>
  <c r="D5" i="115"/>
  <c r="AL11" i="54"/>
  <c r="AL19" i="54"/>
  <c r="AL20" i="54"/>
  <c r="AL5" i="54"/>
  <c r="AL17" i="54"/>
  <c r="Y13" i="57"/>
  <c r="Z16" i="57"/>
  <c r="Y18" i="57"/>
  <c r="Y8" i="57"/>
  <c r="AA20" i="57"/>
  <c r="AB20" i="57" s="1"/>
  <c r="Y20" i="57"/>
  <c r="Z20" i="57"/>
  <c r="Z13" i="57"/>
  <c r="Z9" i="57"/>
  <c r="AA13" i="57"/>
  <c r="AB13" i="57" s="1"/>
  <c r="Z10" i="57"/>
  <c r="AL18" i="54"/>
  <c r="Y22" i="57"/>
  <c r="Z22" i="57"/>
  <c r="AA22" i="57"/>
  <c r="AB22" i="57" s="1"/>
  <c r="Y5" i="57"/>
  <c r="Z5" i="57"/>
  <c r="AA5" i="57"/>
  <c r="AB5" i="57" s="1"/>
  <c r="Y19" i="57"/>
  <c r="AA19" i="57"/>
  <c r="AB19" i="57" s="1"/>
  <c r="Z19" i="57"/>
  <c r="AL22" i="54"/>
  <c r="AL9" i="54"/>
  <c r="AL8" i="54"/>
  <c r="AL10" i="54"/>
  <c r="Z18" i="57"/>
  <c r="AL15" i="54"/>
  <c r="Z17" i="57"/>
  <c r="AA12" i="57"/>
  <c r="AB12" i="57" s="1"/>
  <c r="Y12" i="57"/>
  <c r="Z12" i="57"/>
  <c r="AL12" i="54"/>
  <c r="AL14" i="54"/>
  <c r="Z8" i="57"/>
  <c r="Z23" i="57"/>
  <c r="AA23" i="57"/>
  <c r="AB23" i="57" s="1"/>
  <c r="Y23" i="57"/>
  <c r="E19" i="115" l="1"/>
  <c r="E13" i="115"/>
  <c r="E20" i="115"/>
  <c r="E24" i="115"/>
  <c r="E8" i="115"/>
  <c r="E16" i="115"/>
  <c r="E14" i="115"/>
  <c r="E7" i="115"/>
  <c r="E11" i="115"/>
  <c r="E21" i="115"/>
  <c r="E12" i="115"/>
  <c r="E22" i="115"/>
  <c r="E5" i="115"/>
  <c r="E9" i="115"/>
  <c r="E18" i="115"/>
  <c r="E17" i="115"/>
  <c r="E10" i="115"/>
  <c r="E15" i="115"/>
  <c r="AC24" i="57"/>
  <c r="AC14" i="57"/>
  <c r="E6" i="115"/>
  <c r="AC15" i="57"/>
  <c r="AC6" i="57"/>
  <c r="AC21" i="57"/>
  <c r="AC7" i="57"/>
  <c r="AC11" i="57"/>
  <c r="AC16" i="57"/>
  <c r="AC10" i="57"/>
  <c r="AC12" i="57"/>
  <c r="AC17" i="57"/>
  <c r="AC5" i="57"/>
  <c r="AC22" i="57"/>
  <c r="AC8" i="57"/>
  <c r="AC19" i="57"/>
  <c r="AC20" i="57"/>
  <c r="AC23" i="57"/>
  <c r="AC13" i="57"/>
  <c r="AC9" i="57"/>
  <c r="AC18" i="57"/>
</calcChain>
</file>

<file path=xl/sharedStrings.xml><?xml version="1.0" encoding="utf-8"?>
<sst xmlns="http://schemas.openxmlformats.org/spreadsheetml/2006/main" count="4104" uniqueCount="327">
  <si>
    <t>Time/Score</t>
  </si>
  <si>
    <t>Place</t>
  </si>
  <si>
    <t>Points</t>
  </si>
  <si>
    <t>Finals Average</t>
  </si>
  <si>
    <t>Total</t>
  </si>
  <si>
    <t>8/25/2018-Finals</t>
  </si>
  <si>
    <t>8/26/2018-Finals</t>
  </si>
  <si>
    <t>Column2</t>
  </si>
  <si>
    <t>Place4</t>
  </si>
  <si>
    <t>Points5</t>
  </si>
  <si>
    <t>Time/Score6</t>
  </si>
  <si>
    <t>Time/Score10</t>
  </si>
  <si>
    <t>Place16</t>
  </si>
  <si>
    <t>Points17</t>
  </si>
  <si>
    <t>Time/Score18</t>
  </si>
  <si>
    <t>Time/Score22</t>
  </si>
  <si>
    <t>Points25</t>
  </si>
  <si>
    <t>Time/Score3</t>
  </si>
  <si>
    <t>Time/Score4</t>
  </si>
  <si>
    <t>Time/Score7</t>
  </si>
  <si>
    <t>Place7</t>
  </si>
  <si>
    <t>Points8</t>
  </si>
  <si>
    <t>Time/Score9</t>
  </si>
  <si>
    <t>Place10</t>
  </si>
  <si>
    <t>Points11</t>
  </si>
  <si>
    <t>Time/Score12</t>
  </si>
  <si>
    <t>Time/Score13</t>
  </si>
  <si>
    <t>Place13</t>
  </si>
  <si>
    <t>Points14</t>
  </si>
  <si>
    <t>Time/Score15</t>
  </si>
  <si>
    <t>Time/Score16</t>
  </si>
  <si>
    <t>Time/Score19</t>
  </si>
  <si>
    <t>Place19</t>
  </si>
  <si>
    <t>Points20</t>
  </si>
  <si>
    <t>Time/Score21</t>
  </si>
  <si>
    <t>Place22</t>
  </si>
  <si>
    <t>Points23</t>
  </si>
  <si>
    <t>Place26</t>
  </si>
  <si>
    <t>Name</t>
  </si>
  <si>
    <t>Non-Member</t>
  </si>
  <si>
    <t>Points24</t>
  </si>
  <si>
    <t>Mini Mite Girls-Barrel Racing</t>
  </si>
  <si>
    <t>Points4</t>
  </si>
  <si>
    <t>Place5</t>
  </si>
  <si>
    <t>Points43</t>
  </si>
  <si>
    <t>Place54</t>
  </si>
  <si>
    <t>Place55</t>
  </si>
  <si>
    <t>Place56</t>
  </si>
  <si>
    <t>Place57</t>
  </si>
  <si>
    <t>Points44</t>
  </si>
  <si>
    <t>Place58</t>
  </si>
  <si>
    <t>Points45</t>
  </si>
  <si>
    <t>Place59</t>
  </si>
  <si>
    <t>Points46</t>
  </si>
  <si>
    <t>Points47</t>
  </si>
  <si>
    <t>Points48</t>
  </si>
  <si>
    <t>Points482</t>
  </si>
  <si>
    <t>Place593</t>
  </si>
  <si>
    <t>Mini Mite Girls-Dummy Roping</t>
  </si>
  <si>
    <t>Mini Mite Girls-Figure 8</t>
  </si>
  <si>
    <t>Mini Mite Girls-Goat Flanking</t>
  </si>
  <si>
    <t>Mini Mite Boys-Flag Race</t>
  </si>
  <si>
    <t>Mini Mite Boys-Figure 8</t>
  </si>
  <si>
    <t>Mini Mite Boys-Goat Flanking</t>
  </si>
  <si>
    <t>Mini Mite Boys-Dummy Roping</t>
  </si>
  <si>
    <t>Mini Mite Girls-All-Around</t>
  </si>
  <si>
    <t>Mini Mite Boys-All-Around</t>
  </si>
  <si>
    <t>Painter, Blayze</t>
  </si>
  <si>
    <t>Mackenzie, Stetson</t>
  </si>
  <si>
    <t>Mason, Rozin</t>
  </si>
  <si>
    <t>Seal, Bryson</t>
  </si>
  <si>
    <t>Jepsen, Willy</t>
  </si>
  <si>
    <t>Macedo, Myles</t>
  </si>
  <si>
    <t>Rhoades, Lucas</t>
  </si>
  <si>
    <t>Forrey, Dean</t>
  </si>
  <si>
    <t>Column1</t>
  </si>
  <si>
    <t>Points432</t>
  </si>
  <si>
    <t>Points442</t>
  </si>
  <si>
    <t>Points452</t>
  </si>
  <si>
    <t>Points462</t>
  </si>
  <si>
    <t>Points472</t>
  </si>
  <si>
    <t>Points49</t>
  </si>
  <si>
    <t>Points483</t>
  </si>
  <si>
    <t>Warrick, Josie Jet</t>
  </si>
  <si>
    <t>Metcalf, Bryer</t>
  </si>
  <si>
    <t>Mackenzie, Carlee</t>
  </si>
  <si>
    <t>Seal, Presley</t>
  </si>
  <si>
    <t>Mulrony, Collins</t>
  </si>
  <si>
    <t>Bengoa, Camilla</t>
  </si>
  <si>
    <t>Maestrejuan, Deni</t>
  </si>
  <si>
    <t>Joslin, Abilene</t>
  </si>
  <si>
    <t>Painter, Avery</t>
  </si>
  <si>
    <t>Weldon, Macey</t>
  </si>
  <si>
    <t>Moffis, Betty</t>
  </si>
  <si>
    <t>Youtsey, Jayne</t>
  </si>
  <si>
    <t>Babcock, Macardy</t>
  </si>
  <si>
    <t>Pee Wee Girls-Barrel Racing</t>
  </si>
  <si>
    <t>Pee Wee Girls-Pole Bending</t>
  </si>
  <si>
    <t>Pee Wee Girls-Goat Tying</t>
  </si>
  <si>
    <t>Pee Wee Girls-All-Around</t>
  </si>
  <si>
    <t>Pee Wee Boys-All-Around</t>
  </si>
  <si>
    <t>Pee Wee Boys-Calf Riding</t>
  </si>
  <si>
    <t>Pee Wee Boys-Goat Tying</t>
  </si>
  <si>
    <t>Pee Wee Boys-Flag Race</t>
  </si>
  <si>
    <t>Pee Wee Boys-Steer Daubing</t>
  </si>
  <si>
    <t>Pee Wee Boys-Breakaway Roping</t>
  </si>
  <si>
    <t>Pee Wee Girls-Breakaway</t>
  </si>
  <si>
    <t>Junior Boys-Steer Riding</t>
  </si>
  <si>
    <t>Junior Boys-Goat Tying</t>
  </si>
  <si>
    <t>Junior Boys-Breakaway Roping</t>
  </si>
  <si>
    <t>Junior Boys-All-Around</t>
  </si>
  <si>
    <t>Junior Girls-All-Around</t>
  </si>
  <si>
    <t>Junior Girls-Barrel Racing</t>
  </si>
  <si>
    <t>Junior Girls-Pole Bending</t>
  </si>
  <si>
    <t>Junior Girls-Goat Tying</t>
  </si>
  <si>
    <t>Junior Girls-Breakaway</t>
  </si>
  <si>
    <t>Junior-Team Roping-Header</t>
  </si>
  <si>
    <t>Junior-Team Roping-Heeler</t>
  </si>
  <si>
    <t>Senior Girls-Barrel Racing</t>
  </si>
  <si>
    <t>Senior Girls-Pole Bending</t>
  </si>
  <si>
    <t>Senior Girls-Goat Tying</t>
  </si>
  <si>
    <t>Senior Girls-Breakaway</t>
  </si>
  <si>
    <t>Senior-Team Roping-Header</t>
  </si>
  <si>
    <t>Senior-Team Roping-Heeler</t>
  </si>
  <si>
    <t>Senior Boys-Calf Roping</t>
  </si>
  <si>
    <t>Senior Boys-Steer Wrestling</t>
  </si>
  <si>
    <t>Senior Girls-All-Around</t>
  </si>
  <si>
    <t>Senior Boys-All-Around</t>
  </si>
  <si>
    <t>Mulrony, Mannie</t>
  </si>
  <si>
    <t>Powell, Kreece</t>
  </si>
  <si>
    <t>Metcalf, Hunter</t>
  </si>
  <si>
    <t>Burdick, Trevor</t>
  </si>
  <si>
    <t>McFarlane, Trey</t>
  </si>
  <si>
    <t>McDaniel, Mason</t>
  </si>
  <si>
    <t>McFarlane, Trell</t>
  </si>
  <si>
    <t>Byrd, Colt</t>
  </si>
  <si>
    <t>McDaniel, Logan</t>
  </si>
  <si>
    <t>Manning, Molly</t>
  </si>
  <si>
    <t>Manning, Addison</t>
  </si>
  <si>
    <t>Seiders, Clara</t>
  </si>
  <si>
    <t>Maestrejuan, Jalee</t>
  </si>
  <si>
    <t>Moyle, Hannah</t>
  </si>
  <si>
    <t>Rose, Mackenzie</t>
  </si>
  <si>
    <t>Warrick, Tylee</t>
  </si>
  <si>
    <t>Rhoades, Trevor</t>
  </si>
  <si>
    <t>Spies, Austin</t>
  </si>
  <si>
    <t>Moffis, Quintin</t>
  </si>
  <si>
    <t>Rose-Carter, Bre'</t>
  </si>
  <si>
    <t>McFarlane, Sloan</t>
  </si>
  <si>
    <t>Telford, Sierra</t>
  </si>
  <si>
    <t>Rutan, Shailee</t>
  </si>
  <si>
    <t>Babcock, Morgyn</t>
  </si>
  <si>
    <t>Spies, Morgan</t>
  </si>
  <si>
    <t>Skovgard, Wyatt</t>
  </si>
  <si>
    <t>Senior-Team Roping</t>
  </si>
  <si>
    <t>Junior-Team Roping</t>
  </si>
  <si>
    <t>McFarlane, Trell/McFarlane, Trey</t>
  </si>
  <si>
    <t>McFarlane, Sloan/McFarlane, Trey</t>
  </si>
  <si>
    <t>Burdick, Trevor/Moffis, Quintin</t>
  </si>
  <si>
    <t>Rookie Boy</t>
  </si>
  <si>
    <t>Rookie Girl</t>
  </si>
  <si>
    <t>8/24/2019-Finals</t>
  </si>
  <si>
    <t>8/25/2019-Finals</t>
  </si>
  <si>
    <t>Parker, Brook</t>
  </si>
  <si>
    <t>Latham, Katie</t>
  </si>
  <si>
    <t>Senior Boys-Chute Dogging</t>
  </si>
  <si>
    <t>McCurry, Anneliese</t>
  </si>
  <si>
    <t>Crockett, Cassidy</t>
  </si>
  <si>
    <t>Nicoletti, Morgan</t>
  </si>
  <si>
    <t>Crockett, McKenzie</t>
  </si>
  <si>
    <t>Telford, Sierra/Rutan, Shailee</t>
  </si>
  <si>
    <t>Junior Boys-Calf Tying</t>
  </si>
  <si>
    <t>Smith, Kenzie</t>
  </si>
  <si>
    <t>Stunja, Aliyah</t>
  </si>
  <si>
    <t>Post, Kinlee</t>
  </si>
  <si>
    <t>Crockett, Colt</t>
  </si>
  <si>
    <t>Gebauer, Brogan</t>
  </si>
  <si>
    <t>Grubbs, Grady</t>
  </si>
  <si>
    <t>Smith, Karlee</t>
  </si>
  <si>
    <t>Marts, Shaney</t>
  </si>
  <si>
    <t>Scrivner, Emma Jo</t>
  </si>
  <si>
    <t>Powell, Lettie</t>
  </si>
  <si>
    <t>Coley, Bristol</t>
  </si>
  <si>
    <t>Noble, Ryelin</t>
  </si>
  <si>
    <t>Noble, Rhenlee</t>
  </si>
  <si>
    <t>Rhoades, Hallie</t>
  </si>
  <si>
    <t>Robinson, Krew</t>
  </si>
  <si>
    <t>Crockett, Case</t>
  </si>
  <si>
    <t>Scrivner, Denton</t>
  </si>
  <si>
    <t>Points484</t>
  </si>
  <si>
    <t>Turnout</t>
  </si>
  <si>
    <t>Not yet eliglible--only placed in one event</t>
  </si>
  <si>
    <t>Swan, Bradee Blu</t>
  </si>
  <si>
    <t>McLeod-Lee, Markie</t>
  </si>
  <si>
    <t>Stewart, Savannah</t>
  </si>
  <si>
    <t>Swan, Porter</t>
  </si>
  <si>
    <t>Warrick, Harley</t>
  </si>
  <si>
    <t>Palmer, Andrew</t>
  </si>
  <si>
    <t>Brannon, Luke/Skovgard, Wyatt</t>
  </si>
  <si>
    <t>McGinn, Dawson</t>
  </si>
  <si>
    <t>Brackett, Chantry</t>
  </si>
  <si>
    <t>Mackenzie, Stetson/Powell, Kreece</t>
  </si>
  <si>
    <t>Burdick, Trevor/Rutan, Shailee</t>
  </si>
  <si>
    <t>8/22/2020-Finals</t>
  </si>
  <si>
    <t>8/23/2020-Finals</t>
  </si>
  <si>
    <t>Dresie, Madison</t>
  </si>
  <si>
    <t>Watson, Stella</t>
  </si>
  <si>
    <t>Ximenez, Zuri</t>
  </si>
  <si>
    <t>Deal, Rylee</t>
  </si>
  <si>
    <t>Hulse, Emma</t>
  </si>
  <si>
    <t>Marker, Allie</t>
  </si>
  <si>
    <t>Conser, Courtney</t>
  </si>
  <si>
    <t>Greenwood, Alyssa</t>
  </si>
  <si>
    <t>Wilkins, Kallyn</t>
  </si>
  <si>
    <t xml:space="preserve"> </t>
  </si>
  <si>
    <t>McGinn, Dawson/Brannon, Luke</t>
  </si>
  <si>
    <t>Skovgard, Wyatt/Jones, Tipton</t>
  </si>
  <si>
    <t>Rose, Donovaun/Spies, Morgan</t>
  </si>
  <si>
    <t>McGinn, Dawson/Spies, Morgan</t>
  </si>
  <si>
    <t>Jones, Tipton/Crockett, Cassidy</t>
  </si>
  <si>
    <t>Rose, Tommy Jack</t>
  </si>
  <si>
    <t>Jones, Tipton</t>
  </si>
  <si>
    <t>Saunders, Sam</t>
  </si>
  <si>
    <t>Siegner, Cody</t>
  </si>
  <si>
    <t>Rose, Donovaun</t>
  </si>
  <si>
    <t>Deal, Parker</t>
  </si>
  <si>
    <t>Brannon, Luke</t>
  </si>
  <si>
    <t>Eskew, Cody</t>
  </si>
  <si>
    <t>Robinson, Bailey</t>
  </si>
  <si>
    <t>Garthwaite, Gracie</t>
  </si>
  <si>
    <t>Robinson, Shanna</t>
  </si>
  <si>
    <t>Woodland, Hazie</t>
  </si>
  <si>
    <t>Booker, Andreah</t>
  </si>
  <si>
    <t>Mackenzie, Stetson/Jepsen, Willy</t>
  </si>
  <si>
    <t>Green, Paysen/Deal, Parker</t>
  </si>
  <si>
    <t>Telford, Sierra/Spies, Austin</t>
  </si>
  <si>
    <t>McFarlane, Sloan/Saunders, Sam</t>
  </si>
  <si>
    <t>Deal, Parker/Jepsen, Willy</t>
  </si>
  <si>
    <t>McFarlane, Trell/Powell, Kreece</t>
  </si>
  <si>
    <t>Rose, Mackenzie/Spies, Austin</t>
  </si>
  <si>
    <t>Rose, Tommy Jack/Siegner, Cody</t>
  </si>
  <si>
    <t>McDaniel, Mason/Saunders, Sam</t>
  </si>
  <si>
    <t>Rose, Mackenzie/Rose-Carter, Bre'</t>
  </si>
  <si>
    <t>Siegner, Cody/Rose, Tommy Jack</t>
  </si>
  <si>
    <t>McDaniel, Mason/Moffis, Quintin</t>
  </si>
  <si>
    <t>Rhoades, Trevor/Rose-Carter, Bre'</t>
  </si>
  <si>
    <t>Green, Paysen/Rhoades, Trevor</t>
  </si>
  <si>
    <t>Green, Paysen</t>
  </si>
  <si>
    <t>Wilkins, Kade</t>
  </si>
  <si>
    <t>Ximenez, Jace</t>
  </si>
  <si>
    <t>Smith-Giovanini, Brinlee</t>
  </si>
  <si>
    <t>Gregg, Emma</t>
  </si>
  <si>
    <t>Kimball, Kodee</t>
  </si>
  <si>
    <t>Earnest, Cashlynn</t>
  </si>
  <si>
    <t>Smith-Giovanini, Callie</t>
  </si>
  <si>
    <t>Whistler, Arianna</t>
  </si>
  <si>
    <t>Earnest, Traycen</t>
  </si>
  <si>
    <t>McConnell, Ella</t>
  </si>
  <si>
    <t>Mackenzie, Mesa</t>
  </si>
  <si>
    <t>Kimball, Josie</t>
  </si>
  <si>
    <t>McGinn, Riggin</t>
  </si>
  <si>
    <t>Crocket, Case</t>
  </si>
  <si>
    <t>Gregg, Levi</t>
  </si>
  <si>
    <t>Gebauer, Ryland</t>
  </si>
  <si>
    <t>Nicoletti, Sawyer</t>
  </si>
  <si>
    <t>Bruce, Houston</t>
  </si>
  <si>
    <t>Bruce, Pace</t>
  </si>
  <si>
    <t>Green, Kingslee</t>
  </si>
  <si>
    <t>Edwards, Remi Jo</t>
  </si>
  <si>
    <t>McGinn, Hazel</t>
  </si>
  <si>
    <t>Logan, Ella</t>
  </si>
  <si>
    <t xml:space="preserve">Davis, Cam </t>
  </si>
  <si>
    <t>Davis, Cam</t>
  </si>
  <si>
    <t>Mackenzie, Kelton</t>
  </si>
  <si>
    <t>Earnest, Cohen</t>
  </si>
  <si>
    <t>Gregg, Henry</t>
  </si>
  <si>
    <t>Bruce, Jaxon</t>
  </si>
  <si>
    <t>Sprague, Smokey</t>
  </si>
  <si>
    <t>Readmond, Ryle</t>
  </si>
  <si>
    <t>Telford, Shawny</t>
  </si>
  <si>
    <t>Brown, Brenna</t>
  </si>
  <si>
    <t>Ketterling, Sydney</t>
  </si>
  <si>
    <t>Manning, Isabella</t>
  </si>
  <si>
    <t>Telford, Shawny/Crockett, Cassidy</t>
  </si>
  <si>
    <t>Clark, Nate/Boise, Carter</t>
  </si>
  <si>
    <t>McGinn, Dawson/Skovgard, Wyatt</t>
  </si>
  <si>
    <t>Brackett, Zane/Crockett, Cassidy</t>
  </si>
  <si>
    <t>Brown, Brenna/Rose, Donovaun</t>
  </si>
  <si>
    <t>Boise, Carter/Clark, Nate</t>
  </si>
  <si>
    <t>Rose, Donovaun/Brown, Brenna</t>
  </si>
  <si>
    <t>Brackett, Zane/Jones, Tipton</t>
  </si>
  <si>
    <t>Brannon, Luke/Spies, Morgan</t>
  </si>
  <si>
    <t>Brackett, Zane/Skovgard, Wyatt</t>
  </si>
  <si>
    <t>McGinn, Dawson/Crockett, Cassidy</t>
  </si>
  <si>
    <t>Brackett, Zane/Spies, Morgan</t>
  </si>
  <si>
    <t>Boise, Carter</t>
  </si>
  <si>
    <t>Brackett, Zane</t>
  </si>
  <si>
    <t>Clark, Nate</t>
  </si>
  <si>
    <t>Telford, Shawny/Jones, Tipton</t>
  </si>
  <si>
    <t>Brannon, Luke/Jones, Tipton</t>
  </si>
  <si>
    <t>Manning, Ava</t>
  </si>
  <si>
    <t>Painter, Lexis</t>
  </si>
  <si>
    <t>Grubbs, Grady/Brackett, Chantry</t>
  </si>
  <si>
    <t>Jennings, Luke/Gregg, Levi</t>
  </si>
  <si>
    <t>Grubbs, Grady/Rhoades, Trevor</t>
  </si>
  <si>
    <t>Gebauer, Brogan/Brackett, Chantry</t>
  </si>
  <si>
    <t>Moyle, Hannah/Jepsen, Willy</t>
  </si>
  <si>
    <t>Rhoades, Trevor/Gregg, Levi</t>
  </si>
  <si>
    <t>Grubbs, Grady/Spies, Austin</t>
  </si>
  <si>
    <t>Rhoades, Trevor/Brackett, Chantry</t>
  </si>
  <si>
    <t>Rose, Mackenzie/Gregg, Levi</t>
  </si>
  <si>
    <t>Gebauer, Brogan/Trevor Rhoades</t>
  </si>
  <si>
    <t>Millard, Waverly</t>
  </si>
  <si>
    <t>Duerr, Kiptyn</t>
  </si>
  <si>
    <t>Black, Mateo</t>
  </si>
  <si>
    <t>Carson, Colby</t>
  </si>
  <si>
    <t>Jennings, Luke</t>
  </si>
  <si>
    <t>Black, Josie</t>
  </si>
  <si>
    <t>Carson, Cadee</t>
  </si>
  <si>
    <t>Wright, Ace</t>
  </si>
  <si>
    <t>Black, Cylas</t>
  </si>
  <si>
    <t>Wright, Blaze</t>
  </si>
  <si>
    <t>Carson, Reese</t>
  </si>
  <si>
    <t>Jennings, Eli</t>
  </si>
  <si>
    <t>Miller, Cash</t>
  </si>
  <si>
    <t>X</t>
  </si>
  <si>
    <t>These will be updated in the near future.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</si>
</sst>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0.00\ \ \ \ \ \ \ \ \ \ \ \ \ \ \ \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trike/>
      <sz val="14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4" fontId="1" fillId="3" borderId="10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Alignment="1">
      <alignment horizontal="right"/>
    </xf>
    <xf numFmtId="165" fontId="4" fillId="3" borderId="12" xfId="1" applyNumberFormat="1" applyFont="1" applyFill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165" fontId="4" fillId="4" borderId="0" xfId="1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4" fillId="4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1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2" borderId="14" xfId="0" applyFont="1" applyFill="1" applyBorder="1" applyProtection="1"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165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66" fontId="4" fillId="4" borderId="5" xfId="0" applyNumberFormat="1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5" xfId="0" applyNumberFormat="1" applyFont="1" applyFill="1" applyBorder="1" applyAlignment="1" applyProtection="1">
      <alignment horizontal="center"/>
      <protection hidden="1"/>
    </xf>
    <xf numFmtId="4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2" borderId="12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5" fontId="4" fillId="3" borderId="12" xfId="1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5" xfId="0" applyNumberFormat="1" applyFont="1" applyFill="1" applyBorder="1" applyAlignment="1" applyProtection="1">
      <alignment horizontal="right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5" xfId="0" applyNumberFormat="1" applyFont="1" applyFill="1" applyBorder="1" applyAlignment="1" applyProtection="1">
      <alignment horizontal="center"/>
      <protection hidden="1"/>
    </xf>
    <xf numFmtId="4" fontId="4" fillId="3" borderId="0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2" fillId="0" borderId="3" xfId="0" applyNumberFormat="1" applyFont="1" applyBorder="1" applyAlignment="1" applyProtection="1">
      <alignment horizontal="right"/>
      <protection hidden="1"/>
    </xf>
    <xf numFmtId="166" fontId="2" fillId="0" borderId="2" xfId="0" applyNumberFormat="1" applyFont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2" fillId="0" borderId="12" xfId="1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6" fontId="2" fillId="0" borderId="5" xfId="0" applyNumberFormat="1" applyFont="1" applyBorder="1" applyAlignment="1" applyProtection="1">
      <alignment horizontal="right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" fillId="0" borderId="14" xfId="1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 applyProtection="1">
      <alignment horizontal="right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Protection="1">
      <protection hidden="1"/>
    </xf>
    <xf numFmtId="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4" fontId="1" fillId="3" borderId="15" xfId="0" applyNumberFormat="1" applyFont="1" applyFill="1" applyBorder="1" applyAlignment="1" applyProtection="1">
      <alignment horizontal="center"/>
      <protection hidden="1"/>
    </xf>
    <xf numFmtId="4" fontId="4" fillId="4" borderId="17" xfId="0" applyNumberFormat="1" applyFont="1" applyFill="1" applyBorder="1" applyAlignment="1" applyProtection="1">
      <alignment horizontal="center"/>
      <protection hidden="1"/>
    </xf>
    <xf numFmtId="4" fontId="4" fillId="3" borderId="17" xfId="0" applyNumberFormat="1" applyFont="1" applyFill="1" applyBorder="1" applyAlignment="1" applyProtection="1">
      <alignment horizontal="center"/>
      <protection hidden="1"/>
    </xf>
    <xf numFmtId="167" fontId="2" fillId="0" borderId="18" xfId="0" applyNumberFormat="1" applyFont="1" applyBorder="1" applyAlignment="1" applyProtection="1">
      <alignment horizontal="right"/>
      <protection hidden="1"/>
    </xf>
    <xf numFmtId="167" fontId="2" fillId="0" borderId="17" xfId="0" applyNumberFormat="1" applyFont="1" applyBorder="1" applyAlignment="1" applyProtection="1">
      <alignment horizontal="right"/>
      <protection hidden="1"/>
    </xf>
    <xf numFmtId="165" fontId="2" fillId="0" borderId="12" xfId="1" applyNumberFormat="1" applyFont="1" applyFill="1" applyBorder="1" applyAlignment="1" applyProtection="1">
      <alignment horizontal="right"/>
      <protection hidden="1"/>
    </xf>
    <xf numFmtId="165" fontId="2" fillId="0" borderId="13" xfId="1" applyNumberFormat="1" applyFont="1" applyFill="1" applyBorder="1" applyAlignment="1" applyProtection="1">
      <alignment horizontal="right"/>
      <protection hidden="1"/>
    </xf>
    <xf numFmtId="165" fontId="2" fillId="5" borderId="12" xfId="1" applyNumberFormat="1" applyFont="1" applyFill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6" borderId="17" xfId="0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Protection="1"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Protection="1"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5" fontId="2" fillId="0" borderId="12" xfId="1" applyNumberFormat="1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65" fontId="2" fillId="0" borderId="14" xfId="1" applyNumberFormat="1" applyFont="1" applyFill="1" applyBorder="1" applyAlignment="1" applyProtection="1">
      <alignment horizontal="right"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4" fontId="9" fillId="3" borderId="9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Protection="1">
      <protection hidden="1"/>
    </xf>
    <xf numFmtId="0" fontId="2" fillId="0" borderId="16" xfId="0" applyFont="1" applyFill="1" applyBorder="1" applyProtection="1">
      <protection hidden="1"/>
    </xf>
    <xf numFmtId="165" fontId="2" fillId="5" borderId="13" xfId="1" applyNumberFormat="1" applyFont="1" applyFill="1" applyBorder="1" applyAlignment="1" applyProtection="1">
      <alignment horizontal="right"/>
      <protection hidden="1"/>
    </xf>
    <xf numFmtId="166" fontId="2" fillId="0" borderId="3" xfId="0" applyNumberFormat="1" applyFont="1" applyFill="1" applyBorder="1" applyAlignment="1" applyProtection="1">
      <alignment horizontal="right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4" fontId="1" fillId="3" borderId="1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4" fontId="9" fillId="3" borderId="10" xfId="0" applyNumberFormat="1" applyFont="1" applyFill="1" applyBorder="1" applyAlignment="1" applyProtection="1">
      <alignment horizontal="center"/>
      <protection hidden="1"/>
    </xf>
    <xf numFmtId="14" fontId="9" fillId="3" borderId="11" xfId="0" applyNumberFormat="1" applyFont="1" applyFill="1" applyBorder="1" applyAlignment="1" applyProtection="1">
      <alignment horizontal="center"/>
      <protection hidden="1"/>
    </xf>
    <xf numFmtId="14" fontId="9" fillId="3" borderId="9" xfId="0" applyNumberFormat="1" applyFont="1" applyFill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18" xfId="0" applyFont="1" applyFill="1" applyBorder="1" applyProtection="1">
      <protection hidden="1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1838"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outline="0">
        <left style="medium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0000000}" name="Table622027323337214147" displayName="Table622027323337214147" ref="B4:AL24" totalsRowShown="0" headerRowDxfId="1837" dataDxfId="1836" tableBorderDxfId="1835">
  <autoFilter ref="B4:AL24" xr:uid="{00000000-0009-0000-0100-00002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000-000001000000}" name="Name" dataDxfId="1834"/>
    <tableColumn id="37" xr3:uid="{00000000-0010-0000-0000-000025000000}" name="Non-Member" dataDxfId="1833"/>
    <tableColumn id="2" xr3:uid="{00000000-0010-0000-0000-000002000000}" name="Time/Score" dataDxfId="1832" dataCellStyle="Comma"/>
    <tableColumn id="3" xr3:uid="{00000000-0010-0000-0000-000003000000}" name="Column2" dataDxfId="1831">
      <calculatedColumnFormula>IF(D5=0," ",_xlfn.RANK.AVG(D5,D$5:D$24,1)-COUNTIF(D$5:D$24,0))</calculatedColumnFormula>
    </tableColumn>
    <tableColumn id="4" xr3:uid="{00000000-0010-0000-0000-000004000000}" name="Place" dataDxfId="1830">
      <calculatedColumnFormula>IF(D5=0," ",IF((RANK(D5,D$5:D$24,1)-COUNTIF(D$5:D$24,0)&gt;6)," ",RANK(D5,D$5:D$24,1)-COUNTIF(D$5:D$24,0)))</calculatedColumnFormula>
    </tableColumn>
    <tableColumn id="5" xr3:uid="{00000000-0010-0000-0000-000005000000}" name="Points" dataDxfId="1829">
      <calculatedColumnFormula>IF(Table622027323337214147[[#This Row],[Non-Member]]="X"," ",IF(F5=" "," ",IFERROR(VLOOKUP(E5,Points!$A$2:$B$14,2,FALSE)," ")))</calculatedColumnFormula>
    </tableColumn>
    <tableColumn id="6" xr3:uid="{00000000-0010-0000-0000-000006000000}" name="Time/Score3" dataDxfId="1828" dataCellStyle="Comma"/>
    <tableColumn id="7" xr3:uid="{00000000-0010-0000-0000-000007000000}" name="Time/Score4" dataDxfId="1827">
      <calculatedColumnFormula>IF(H5=0," ",_xlfn.RANK.AVG(H5,H$5:H$24,1)-COUNTIF(H$5:H$24,0))</calculatedColumnFormula>
    </tableColumn>
    <tableColumn id="8" xr3:uid="{00000000-0010-0000-0000-000008000000}" name="Place4" dataDxfId="1826">
      <calculatedColumnFormula>IF(H5=0," ",IF((RANK(H5,H$5:H$24,1)-COUNTIF(H$5:H$24,0)&gt;6)," ",RANK(H5,H$5:H$24,1)-COUNTIF(H$5:H$24,0)))</calculatedColumnFormula>
    </tableColumn>
    <tableColumn id="9" xr3:uid="{00000000-0010-0000-0000-000009000000}" name="Points5" dataDxfId="1825">
      <calculatedColumnFormula>IF(Table622027323337214147[[#This Row],[Non-Member]]="X"," ",IF(J5=" "," ",IFERROR(VLOOKUP(I5,Points!$A$2:$B$14,2,FALSE)," ")))</calculatedColumnFormula>
    </tableColumn>
    <tableColumn id="10" xr3:uid="{00000000-0010-0000-0000-00000A000000}" name="Time/Score6" dataDxfId="1824" dataCellStyle="Comma"/>
    <tableColumn id="11" xr3:uid="{00000000-0010-0000-0000-00000B000000}" name="Time/Score7" dataDxfId="1823">
      <calculatedColumnFormula>IF(L5=0," ",_xlfn.RANK.AVG(L5,L$5:L$24,1)-COUNTIF(L$5:L$24,0))</calculatedColumnFormula>
    </tableColumn>
    <tableColumn id="12" xr3:uid="{00000000-0010-0000-0000-00000C000000}" name="Place7" dataDxfId="1822">
      <calculatedColumnFormula>IF(L5=0," ",IF((RANK(L5,L$5:L$24,1)-COUNTIF(L$5:L$24,0)&gt;6)," ",RANK(L5,L$5:L$24,1)-COUNTIF(L$5:L$24,0)))</calculatedColumnFormula>
    </tableColumn>
    <tableColumn id="13" xr3:uid="{00000000-0010-0000-0000-00000D000000}" name="Points8" dataDxfId="1821">
      <calculatedColumnFormula>IF(Table622027323337214147[[#This Row],[Non-Member]]="X"," ",IF(N5=" "," ",IFERROR(VLOOKUP(M5,Points!$A$2:$B$14,2,FALSE)," ")))</calculatedColumnFormula>
    </tableColumn>
    <tableColumn id="14" xr3:uid="{00000000-0010-0000-0000-00000E000000}" name="Time/Score9" dataDxfId="1820" dataCellStyle="Comma"/>
    <tableColumn id="15" xr3:uid="{00000000-0010-0000-0000-00000F000000}" name="Time/Score10" dataDxfId="1819">
      <calculatedColumnFormula>IF(P5=0," ",_xlfn.RANK.AVG(P5,P$5:P$24,1)-COUNTIF(P$5:P$24,0))</calculatedColumnFormula>
    </tableColumn>
    <tableColumn id="16" xr3:uid="{00000000-0010-0000-0000-000010000000}" name="Place10" dataDxfId="1818">
      <calculatedColumnFormula>IF(P5=0," ",IF((RANK(P5,P$5:P$24,1)-COUNTIF(P$5:P$24,0)&gt;6)," ",RANK(P5,P$5:P$24,1)-COUNTIF(P$5:P$24,0)))</calculatedColumnFormula>
    </tableColumn>
    <tableColumn id="17" xr3:uid="{00000000-0010-0000-0000-000011000000}" name="Points11" dataDxfId="1817">
      <calculatedColumnFormula>IF(Table622027323337214147[[#This Row],[Non-Member]]="X"," ",IF(R5=" "," ",IFERROR(VLOOKUP(Q5,Points!$A$2:$B$14,2,FALSE)," ")))</calculatedColumnFormula>
    </tableColumn>
    <tableColumn id="18" xr3:uid="{00000000-0010-0000-0000-000012000000}" name="Time/Score12" dataDxfId="1816" dataCellStyle="Comma"/>
    <tableColumn id="19" xr3:uid="{00000000-0010-0000-0000-000013000000}" name="Time/Score13" dataDxfId="1815">
      <calculatedColumnFormula>IF(T5=0," ",_xlfn.RANK.AVG(T5,T$5:T$24,1)-COUNTIF(T$5:T$24,0))</calculatedColumnFormula>
    </tableColumn>
    <tableColumn id="20" xr3:uid="{00000000-0010-0000-0000-000014000000}" name="Place13" dataDxfId="1814">
      <calculatedColumnFormula>IF(T5=0," ",IF((RANK(T5,T$5:T$24,1)-COUNTIF(T$5:T$24,0)&gt;6)," ",RANK(T5,T$5:T$24,1)-COUNTIF(T$5:T$24,0)))</calculatedColumnFormula>
    </tableColumn>
    <tableColumn id="21" xr3:uid="{00000000-0010-0000-0000-000015000000}" name="Points14" dataDxfId="1813">
      <calculatedColumnFormula>IF(Table622027323337214147[[#This Row],[Non-Member]]="X"," ",IF(V5=" "," ",IFERROR(VLOOKUP(U5,Points!$A$2:$B$14,2,FALSE)," ")))</calculatedColumnFormula>
    </tableColumn>
    <tableColumn id="22" xr3:uid="{00000000-0010-0000-0000-000016000000}" name="Time/Score15" dataDxfId="1812" dataCellStyle="Comma"/>
    <tableColumn id="23" xr3:uid="{00000000-0010-0000-0000-000017000000}" name="Time/Score16" dataDxfId="1811">
      <calculatedColumnFormula>IF(X5=0," ",_xlfn.RANK.AVG(X5,X$5:X$24,1)-COUNTIF(X$5:X$24,0))</calculatedColumnFormula>
    </tableColumn>
    <tableColumn id="24" xr3:uid="{00000000-0010-0000-0000-000018000000}" name="Place16" dataDxfId="1810">
      <calculatedColumnFormula>IF(X5=0," ",IF((RANK(X5,X$5:X$24,1)-COUNTIF(X$5:X$24,0)&gt;6)," ",RANK(X5,X$5:X$24,1)-COUNTIF(X$5:X$24,0)))</calculatedColumnFormula>
    </tableColumn>
    <tableColumn id="25" xr3:uid="{00000000-0010-0000-0000-000019000000}" name="Points17" dataDxfId="1809">
      <calculatedColumnFormula>IF(Table622027323337214147[[#This Row],[Non-Member]]="X"," ",IF(Z5=" "," ",IFERROR(VLOOKUP(Y5,Points!$A$2:$B$14,2,FALSE)," ")))</calculatedColumnFormula>
    </tableColumn>
    <tableColumn id="26" xr3:uid="{00000000-0010-0000-0000-00001A000000}" name="Time/Score18" dataDxfId="1808" dataCellStyle="Comma"/>
    <tableColumn id="27" xr3:uid="{00000000-0010-0000-0000-00001B000000}" name="Time/Score19" dataDxfId="1807">
      <calculatedColumnFormula>IF(AB5=0," ",_xlfn.RANK.AVG(AB5,AB$5:AB$24,1)-COUNTIF(AB$5:AB$24,0))</calculatedColumnFormula>
    </tableColumn>
    <tableColumn id="28" xr3:uid="{00000000-0010-0000-0000-00001C000000}" name="Place19" dataDxfId="1806">
      <calculatedColumnFormula>IF(AB5=0," ",IF((RANK(AB5,AB$5:AB$24,1)-COUNTIF(AB$5:AB$24,0)&gt;6)," ",RANK(AB5,AB$5:AB$24,1)-COUNTIF(AB$5:AB$24,0)))</calculatedColumnFormula>
    </tableColumn>
    <tableColumn id="29" xr3:uid="{00000000-0010-0000-0000-00001D000000}" name="Points20" dataDxfId="1805">
      <calculatedColumnFormula>IF(Table622027323337214147[[#This Row],[Non-Member]]="X"," ",IF(AD5=" "," ",IFERROR(VLOOKUP(AC5,Points!$A$2:$B$14,2,FALSE)," ")))</calculatedColumnFormula>
    </tableColumn>
    <tableColumn id="30" xr3:uid="{00000000-0010-0000-0000-00001E000000}" name="Time/Score21" dataDxfId="1804" dataCellStyle="Comma">
      <calculatedColumnFormula>IF(OR(X5=0,AB5=0)," ",X5+AB5)</calculatedColumnFormula>
    </tableColumn>
    <tableColumn id="31" xr3:uid="{00000000-0010-0000-0000-00001F000000}" name="Time/Score22" dataDxfId="1803">
      <calculatedColumnFormula>IF(OR(AF5=0,AF5=" ")," ",_xlfn.RANK.AVG(AF5,AF$5:AF$24,1)-COUNTIF(AF$5:AF$24,0))</calculatedColumnFormula>
    </tableColumn>
    <tableColumn id="32" xr3:uid="{00000000-0010-0000-0000-000020000000}" name="Place22" dataDxfId="1802">
      <calculatedColumnFormula>IF(OR(AF5=0,AF5=" ")," ",IF((RANK(AF5,AF$5:AF$24,1)-COUNTIF(AF$5:AF$24,0)&gt;6)," ",RANK(AF5,AF$5:AF$24,1)-COUNTIF(AF$5:AF$24,0)))</calculatedColumnFormula>
    </tableColumn>
    <tableColumn id="33" xr3:uid="{00000000-0010-0000-0000-000021000000}" name="Points23" dataDxfId="1801">
      <calculatedColumnFormula>IF(Table622027323337214147[[#This Row],[Non-Member]]="X"," ",IF(AH5=" "," ",IFERROR(VLOOKUP(AG5,Points!$A$2:$B$14,2,FALSE)," ")))</calculatedColumnFormula>
    </tableColumn>
    <tableColumn id="34" xr3:uid="{00000000-0010-0000-0000-000022000000}" name="Points24" dataDxfId="1800">
      <calculatedColumnFormula>IF(Table622027323337214147[[#This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000-000023000000}" name="Points25" dataDxfId="1799" dataCellStyle="Comma">
      <calculatedColumnFormula>IF(AJ5=0," ",AJ5)</calculatedColumnFormula>
    </tableColumn>
    <tableColumn id="36" xr3:uid="{00000000-0010-0000-0000-000024000000}" name="Place26" dataDxfId="179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622027323334171819305147" displayName="Table622027323334171819305147" ref="B4:N24" totalsRowShown="0" headerRowDxfId="1514" dataDxfId="1513" tableBorderDxfId="1512">
  <autoFilter ref="B4:N24" xr:uid="{00000000-0009-0000-0100-000006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900-000001000000}" name="Name" dataDxfId="1511"/>
    <tableColumn id="37" xr3:uid="{00000000-0010-0000-0900-000025000000}" name="Non-Member" dataDxfId="1510"/>
    <tableColumn id="5" xr3:uid="{00000000-0010-0000-0900-000005000000}" name="Points" dataDxfId="1509"/>
    <tableColumn id="9" xr3:uid="{00000000-0010-0000-0900-000009000000}" name="Points5" dataDxfId="1508"/>
    <tableColumn id="13" xr3:uid="{00000000-0010-0000-0900-00000D000000}" name="Points8" dataDxfId="1507"/>
    <tableColumn id="17" xr3:uid="{00000000-0010-0000-0900-000011000000}" name="Points11" dataDxfId="1506"/>
    <tableColumn id="21" xr3:uid="{00000000-0010-0000-0900-000015000000}" name="Points14" dataDxfId="1505"/>
    <tableColumn id="25" xr3:uid="{00000000-0010-0000-0900-000019000000}" name="Points17" dataDxfId="1504"/>
    <tableColumn id="29" xr3:uid="{00000000-0010-0000-0900-00001D000000}" name="Points20" dataDxfId="1503"/>
    <tableColumn id="33" xr3:uid="{00000000-0010-0000-0900-000021000000}" name="Points23" dataDxfId="1502"/>
    <tableColumn id="34" xr3:uid="{00000000-0010-0000-0900-000022000000}" name="Points24" dataDxfId="1501">
      <calculatedColumnFormula>IF(Table622027323334171819305147[[#This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900-000023000000}" name="Points25" dataDxfId="1500" dataCellStyle="Comma">
      <calculatedColumnFormula>IF(L5=0," ",L5)</calculatedColumnFormula>
    </tableColumn>
    <tableColumn id="36" xr3:uid="{00000000-0010-0000-0900-000024000000}" name="Place26" dataDxfId="149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A000000}" name="Table6220273233162753" displayName="Table6220273233162753" ref="B4:AL24" totalsRowShown="0" headerRowDxfId="1498" dataDxfId="1497" tableBorderDxfId="1496">
  <autoFilter ref="B4:AL24" xr:uid="{00000000-0009-0000-0100-00003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A00-000001000000}" name="Name" dataDxfId="1495"/>
    <tableColumn id="37" xr3:uid="{00000000-0010-0000-0A00-000025000000}" name="Non-Member" dataDxfId="1494"/>
    <tableColumn id="2" xr3:uid="{00000000-0010-0000-0A00-000002000000}" name="Time/Score" dataDxfId="1493" dataCellStyle="Comma"/>
    <tableColumn id="3" xr3:uid="{00000000-0010-0000-0A00-000003000000}" name="Column2" dataDxfId="1492">
      <calculatedColumnFormula>IF(D5=0," ",_xlfn.RANK.AVG(D5,D$5:D$24,1)-COUNTIF(D$5:D$24,0))</calculatedColumnFormula>
    </tableColumn>
    <tableColumn id="4" xr3:uid="{00000000-0010-0000-0A00-000004000000}" name="Place" dataDxfId="1491">
      <calculatedColumnFormula>IF(D5=0," ",IF((RANK(D5,D$5:D$24,1)-COUNTIF(D$5:D$24,0)&gt;6)," ",RANK(D5,D$5:D$24,1)-COUNTIF(D$5:D$24,0)))</calculatedColumnFormula>
    </tableColumn>
    <tableColumn id="5" xr3:uid="{00000000-0010-0000-0A00-000005000000}" name="Points" dataDxfId="1490">
      <calculatedColumnFormula>IF(Table6220273233162753[[#This Row],[Non-Member]]="X"," ",IF(F5=" "," ",IFERROR(VLOOKUP(E5,Points!$A$2:$B$14,2,FALSE)," ")))</calculatedColumnFormula>
    </tableColumn>
    <tableColumn id="6" xr3:uid="{00000000-0010-0000-0A00-000006000000}" name="Time/Score3" dataDxfId="1489" dataCellStyle="Comma"/>
    <tableColumn id="7" xr3:uid="{00000000-0010-0000-0A00-000007000000}" name="Time/Score4" dataDxfId="1488">
      <calculatedColumnFormula>IF(H5=0," ",_xlfn.RANK.AVG(H5,H$5:H$24,1)-COUNTIF(H$5:H$24,0))</calculatedColumnFormula>
    </tableColumn>
    <tableColumn id="8" xr3:uid="{00000000-0010-0000-0A00-000008000000}" name="Place4" dataDxfId="1487">
      <calculatedColumnFormula>IF(H5=0," ",IF((RANK(H5,H$5:H$24,1)-COUNTIF(H$5:H$24,0)&gt;6)," ",RANK(H5,H$5:H$24,1)-COUNTIF(H$5:H$24,0)))</calculatedColumnFormula>
    </tableColumn>
    <tableColumn id="9" xr3:uid="{00000000-0010-0000-0A00-000009000000}" name="Points5" dataDxfId="1486">
      <calculatedColumnFormula>IF(Table6220273233162753[[#This Row],[Non-Member]]="X"," ",IF(J5=" "," ",IFERROR(VLOOKUP(I5,Points!$A$2:$B$14,2,FALSE)," ")))</calculatedColumnFormula>
    </tableColumn>
    <tableColumn id="10" xr3:uid="{00000000-0010-0000-0A00-00000A000000}" name="Time/Score6" dataDxfId="1485" dataCellStyle="Comma"/>
    <tableColumn id="11" xr3:uid="{00000000-0010-0000-0A00-00000B000000}" name="Time/Score7" dataDxfId="1484">
      <calculatedColumnFormula>IF(L5=0," ",_xlfn.RANK.AVG(L5,L$5:L$24,1)-COUNTIF(L$5:L$24,0))</calculatedColumnFormula>
    </tableColumn>
    <tableColumn id="12" xr3:uid="{00000000-0010-0000-0A00-00000C000000}" name="Place7" dataDxfId="1483">
      <calculatedColumnFormula>IF(L5=0," ",IF((RANK(L5,L$5:L$24,1)-COUNTIF(L$5:L$24,0)&gt;6)," ",RANK(L5,L$5:L$24,1)-COUNTIF(L$5:L$24,0)))</calculatedColumnFormula>
    </tableColumn>
    <tableColumn id="13" xr3:uid="{00000000-0010-0000-0A00-00000D000000}" name="Points8" dataDxfId="1482">
      <calculatedColumnFormula>IF(Table6220273233162753[[#This Row],[Non-Member]]="X"," ",IF(N5=" "," ",IFERROR(VLOOKUP(M5,Points!$A$2:$B$14,2,FALSE)," ")))</calculatedColumnFormula>
    </tableColumn>
    <tableColumn id="14" xr3:uid="{00000000-0010-0000-0A00-00000E000000}" name="Time/Score9" dataDxfId="1481" dataCellStyle="Comma"/>
    <tableColumn id="15" xr3:uid="{00000000-0010-0000-0A00-00000F000000}" name="Time/Score10" dataDxfId="1480">
      <calculatedColumnFormula>IF(P5=0," ",_xlfn.RANK.AVG(P5,P$5:P$24,1)-COUNTIF(P$5:P$24,0))</calculatedColumnFormula>
    </tableColumn>
    <tableColumn id="16" xr3:uid="{00000000-0010-0000-0A00-000010000000}" name="Place10" dataDxfId="1479">
      <calculatedColumnFormula>IF(P5=0," ",IF((RANK(P5,P$5:P$24,1)-COUNTIF(P$5:P$24,0)&gt;6)," ",RANK(P5,P$5:P$24,1)-COUNTIF(P$5:P$24,0)))</calculatedColumnFormula>
    </tableColumn>
    <tableColumn id="17" xr3:uid="{00000000-0010-0000-0A00-000011000000}" name="Points11" dataDxfId="1478">
      <calculatedColumnFormula>IF(Table6220273233162753[[#This Row],[Non-Member]]="X"," ",IF(R5=" "," ",IFERROR(VLOOKUP(Q5,Points!$A$2:$B$14,2,FALSE)," ")))</calculatedColumnFormula>
    </tableColumn>
    <tableColumn id="18" xr3:uid="{00000000-0010-0000-0A00-000012000000}" name="Time/Score12" dataDxfId="1477" dataCellStyle="Comma"/>
    <tableColumn id="19" xr3:uid="{00000000-0010-0000-0A00-000013000000}" name="Time/Score13" dataDxfId="1476">
      <calculatedColumnFormula>IF(T5=0," ",_xlfn.RANK.AVG(T5,T$5:T$24,1)-COUNTIF(T$5:T$24,0))</calculatedColumnFormula>
    </tableColumn>
    <tableColumn id="20" xr3:uid="{00000000-0010-0000-0A00-000014000000}" name="Place13" dataDxfId="1475">
      <calculatedColumnFormula>IF(T5=0," ",IF((RANK(T5,T$5:T$24,1)-COUNTIF(T$5:T$24,0)&gt;6)," ",RANK(T5,T$5:T$24,1)-COUNTIF(T$5:T$24,0)))</calculatedColumnFormula>
    </tableColumn>
    <tableColumn id="21" xr3:uid="{00000000-0010-0000-0A00-000015000000}" name="Points14" dataDxfId="1474">
      <calculatedColumnFormula>IF(Table6220273233162753[[#This Row],[Non-Member]]="X"," ",IF(V5=" "," ",IFERROR(VLOOKUP(U5,Points!$A$2:$B$14,2,FALSE)," ")))</calculatedColumnFormula>
    </tableColumn>
    <tableColumn id="22" xr3:uid="{00000000-0010-0000-0A00-000016000000}" name="Time/Score15" dataDxfId="1473" dataCellStyle="Comma"/>
    <tableColumn id="23" xr3:uid="{00000000-0010-0000-0A00-000017000000}" name="Time/Score16" dataDxfId="1472">
      <calculatedColumnFormula>IF(X5=0," ",_xlfn.RANK.AVG(X5,X$5:X$24,1)-COUNTIF(X$5:X$24,0))</calculatedColumnFormula>
    </tableColumn>
    <tableColumn id="24" xr3:uid="{00000000-0010-0000-0A00-000018000000}" name="Place16" dataDxfId="1471">
      <calculatedColumnFormula>IF(X5=0," ",IF((RANK(X5,X$5:X$24,1)-COUNTIF(X$5:X$24,0)&gt;6)," ",RANK(X5,X$5:X$24,1)-COUNTIF(X$5:X$24,0)))</calculatedColumnFormula>
    </tableColumn>
    <tableColumn id="25" xr3:uid="{00000000-0010-0000-0A00-000019000000}" name="Points17" dataDxfId="1470">
      <calculatedColumnFormula>IF(Table6220273233162753[[#This Row],[Non-Member]]="X"," ",IF(Z5=" "," ",IFERROR(VLOOKUP(Y5,Points!$A$2:$B$14,2,FALSE)," ")))</calculatedColumnFormula>
    </tableColumn>
    <tableColumn id="26" xr3:uid="{00000000-0010-0000-0A00-00001A000000}" name="Time/Score18" dataDxfId="1469" dataCellStyle="Comma"/>
    <tableColumn id="27" xr3:uid="{00000000-0010-0000-0A00-00001B000000}" name="Time/Score19" dataDxfId="1468">
      <calculatedColumnFormula>IF(AB5=0," ",_xlfn.RANK.AVG(AB5,AB$5:AB$24,1)-COUNTIF(AB$5:AB$24,0))</calculatedColumnFormula>
    </tableColumn>
    <tableColumn id="28" xr3:uid="{00000000-0010-0000-0A00-00001C000000}" name="Place19" dataDxfId="1467">
      <calculatedColumnFormula>IF(AB5=0," ",IF((RANK(AB5,AB$5:AB$24,1)-COUNTIF(AB$5:AB$24,0)&gt;6)," ",RANK(AB5,AB$5:AB$24,1)-COUNTIF(AB$5:AB$24,0)))</calculatedColumnFormula>
    </tableColumn>
    <tableColumn id="29" xr3:uid="{00000000-0010-0000-0A00-00001D000000}" name="Points20" dataDxfId="1466">
      <calculatedColumnFormula>IF(Table6220273233162753[[#This Row],[Non-Member]]="X"," ",IF(AD5=" "," ",IFERROR(VLOOKUP(AC5,Points!$A$2:$B$14,2,FALSE)," ")))</calculatedColumnFormula>
    </tableColumn>
    <tableColumn id="30" xr3:uid="{00000000-0010-0000-0A00-00001E000000}" name="Time/Score21" dataDxfId="1465" dataCellStyle="Comma">
      <calculatedColumnFormula>IF(OR(X5=0,AB5=0)," ",X5+AB5)</calculatedColumnFormula>
    </tableColumn>
    <tableColumn id="31" xr3:uid="{00000000-0010-0000-0A00-00001F000000}" name="Time/Score22" dataDxfId="1464">
      <calculatedColumnFormula>IF(OR(AF5=0,AF5=" ")," ",_xlfn.RANK.AVG(AF5,AF$5:AF$24,1)-COUNTIF(AF$5:AF$24,0))</calculatedColumnFormula>
    </tableColumn>
    <tableColumn id="32" xr3:uid="{00000000-0010-0000-0A00-000020000000}" name="Place22" dataDxfId="1463">
      <calculatedColumnFormula>IF(OR(AF5=0,AF5=" ")," ",IF((RANK(AF5,AF$5:AF$24,1)-COUNTIF(AF$5:AF$24,0)&gt;6)," ",RANK(AF5,AF$5:AF$24,1)-COUNTIF(AF$5:AF$24,0)))</calculatedColumnFormula>
    </tableColumn>
    <tableColumn id="33" xr3:uid="{00000000-0010-0000-0A00-000021000000}" name="Points23" dataDxfId="1462">
      <calculatedColumnFormula>IF(Table6220273233162753[[#This Row],[Non-Member]]="X"," ",IF(AH5=" "," ",IFERROR(VLOOKUP(AG5,Points!$A$2:$B$14,2,FALSE)," ")))</calculatedColumnFormula>
    </tableColumn>
    <tableColumn id="34" xr3:uid="{00000000-0010-0000-0A00-000022000000}" name="Points24" dataDxfId="1461">
      <calculatedColumnFormula>IF(Table6220273233162753[[#This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A00-000023000000}" name="Points25" dataDxfId="1460" dataCellStyle="Comma">
      <calculatedColumnFormula>IF(AJ5=0," ",AJ5)</calculatedColumnFormula>
    </tableColumn>
    <tableColumn id="36" xr3:uid="{00000000-0010-0000-0A00-000024000000}" name="Place26" dataDxfId="145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B000000}" name="Table622027323334172854" displayName="Table622027323334172854" ref="B4:AL24" totalsRowShown="0" headerRowDxfId="1458" dataDxfId="1457" tableBorderDxfId="1456">
  <autoFilter ref="B4:AL24" xr:uid="{00000000-0009-0000-0100-00003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B00-000001000000}" name="Name" dataDxfId="1455"/>
    <tableColumn id="37" xr3:uid="{00000000-0010-0000-0B00-000025000000}" name="Non-Member" dataDxfId="1454"/>
    <tableColumn id="2" xr3:uid="{00000000-0010-0000-0B00-000002000000}" name="Time/Score" dataDxfId="1453" dataCellStyle="Comma"/>
    <tableColumn id="3" xr3:uid="{00000000-0010-0000-0B00-000003000000}" name="Column2" dataDxfId="1452">
      <calculatedColumnFormula>IF(D5=0," ",_xlfn.RANK.AVG(D5,D$5:D$24,1)-COUNTIF(D$5:D$24,0))</calculatedColumnFormula>
    </tableColumn>
    <tableColumn id="4" xr3:uid="{00000000-0010-0000-0B00-000004000000}" name="Place" dataDxfId="1451">
      <calculatedColumnFormula>IF(D5=0," ",IF((RANK(D5,D$5:D$24,1)-COUNTIF(D$5:D$24,0)&gt;6)," ",RANK(D5,D$5:D$24,1)-COUNTIF(D$5:D$24,0)))</calculatedColumnFormula>
    </tableColumn>
    <tableColumn id="5" xr3:uid="{00000000-0010-0000-0B00-000005000000}" name="Points" dataDxfId="1450">
      <calculatedColumnFormula>IF(Table622027323334172854[[#This Row],[Non-Member]]="X"," ",IF(F5=" "," ",IFERROR(VLOOKUP(E5,Points!$A$2:$B$14,2,FALSE)," ")))</calculatedColumnFormula>
    </tableColumn>
    <tableColumn id="6" xr3:uid="{00000000-0010-0000-0B00-000006000000}" name="Time/Score3" dataDxfId="1449" dataCellStyle="Comma"/>
    <tableColumn id="7" xr3:uid="{00000000-0010-0000-0B00-000007000000}" name="Time/Score4" dataDxfId="1448">
      <calculatedColumnFormula>IF(H5=0," ",_xlfn.RANK.AVG(H5,H$5:H$24,1)-COUNTIF(H$5:H$24,0))</calculatedColumnFormula>
    </tableColumn>
    <tableColumn id="8" xr3:uid="{00000000-0010-0000-0B00-000008000000}" name="Place4" dataDxfId="1447">
      <calculatedColumnFormula>IF(H5=0," ",IF((RANK(H5,H$5:H$24,1)-COUNTIF(H$5:H$24,0)&gt;6)," ",RANK(H5,H$5:H$24,1)-COUNTIF(H$5:H$24,0)))</calculatedColumnFormula>
    </tableColumn>
    <tableColumn id="9" xr3:uid="{00000000-0010-0000-0B00-000009000000}" name="Points5" dataDxfId="1446">
      <calculatedColumnFormula>IF(Table622027323334172854[[#This Row],[Non-Member]]="X"," ",IF(J5=" "," ",IFERROR(VLOOKUP(I5,Points!$A$2:$B$14,2,FALSE)," ")))</calculatedColumnFormula>
    </tableColumn>
    <tableColumn id="10" xr3:uid="{00000000-0010-0000-0B00-00000A000000}" name="Time/Score6" dataDxfId="1445" dataCellStyle="Comma"/>
    <tableColumn id="11" xr3:uid="{00000000-0010-0000-0B00-00000B000000}" name="Time/Score7" dataDxfId="1444">
      <calculatedColumnFormula>IF(L5=0," ",_xlfn.RANK.AVG(L5,L$5:L$24,1)-COUNTIF(L$5:L$24,0))</calculatedColumnFormula>
    </tableColumn>
    <tableColumn id="12" xr3:uid="{00000000-0010-0000-0B00-00000C000000}" name="Place7" dataDxfId="1443">
      <calculatedColumnFormula>IF(L5=0," ",IF((RANK(L5,L$5:L$24,1)-COUNTIF(L$5:L$24,0)&gt;6)," ",RANK(L5,L$5:L$24,1)-COUNTIF(L$5:L$24,0)))</calculatedColumnFormula>
    </tableColumn>
    <tableColumn id="13" xr3:uid="{00000000-0010-0000-0B00-00000D000000}" name="Points8" dataDxfId="1442">
      <calculatedColumnFormula>IF(Table622027323334172854[[#This Row],[Non-Member]]="X"," ",IF(N5=" "," ",IFERROR(VLOOKUP(M5,Points!$A$2:$B$14,2,FALSE)," ")))</calculatedColumnFormula>
    </tableColumn>
    <tableColumn id="14" xr3:uid="{00000000-0010-0000-0B00-00000E000000}" name="Time/Score9" dataDxfId="1441" dataCellStyle="Comma"/>
    <tableColumn id="15" xr3:uid="{00000000-0010-0000-0B00-00000F000000}" name="Time/Score10" dataDxfId="1440">
      <calculatedColumnFormula>IF(P5=0," ",_xlfn.RANK.AVG(P5,P$5:P$24,1)-COUNTIF(P$5:P$24,0))</calculatedColumnFormula>
    </tableColumn>
    <tableColumn id="16" xr3:uid="{00000000-0010-0000-0B00-000010000000}" name="Place10" dataDxfId="1439">
      <calculatedColumnFormula>IF(P5=0," ",IF((RANK(P5,P$5:P$24,1)-COUNTIF(P$5:P$24,0)&gt;6)," ",RANK(P5,P$5:P$24,1)-COUNTIF(P$5:P$24,0)))</calculatedColumnFormula>
    </tableColumn>
    <tableColumn id="17" xr3:uid="{00000000-0010-0000-0B00-000011000000}" name="Points11" dataDxfId="1438">
      <calculatedColumnFormula>IF(Table622027323334172854[[#This Row],[Non-Member]]="X"," ",IF(R5=" "," ",IFERROR(VLOOKUP(Q5,Points!$A$2:$B$14,2,FALSE)," ")))</calculatedColumnFormula>
    </tableColumn>
    <tableColumn id="18" xr3:uid="{00000000-0010-0000-0B00-000012000000}" name="Time/Score12" dataDxfId="1437" dataCellStyle="Comma"/>
    <tableColumn id="19" xr3:uid="{00000000-0010-0000-0B00-000013000000}" name="Time/Score13" dataDxfId="1436">
      <calculatedColumnFormula>IF(T5=0," ",_xlfn.RANK.AVG(T5,T$5:T$24,1)-COUNTIF(T$5:T$24,0))</calculatedColumnFormula>
    </tableColumn>
    <tableColumn id="20" xr3:uid="{00000000-0010-0000-0B00-000014000000}" name="Place13" dataDxfId="1435">
      <calculatedColumnFormula>IF(T5=0," ",IF((RANK(T5,T$5:T$24,1)-COUNTIF(T$5:T$24,0)&gt;6)," ",RANK(T5,T$5:T$24,1)-COUNTIF(T$5:T$24,0)))</calculatedColumnFormula>
    </tableColumn>
    <tableColumn id="21" xr3:uid="{00000000-0010-0000-0B00-000015000000}" name="Points14" dataDxfId="1434">
      <calculatedColumnFormula>IF(Table622027323334172854[[#This Row],[Non-Member]]="X"," ",IF(V5=" "," ",IFERROR(VLOOKUP(U5,Points!$A$2:$B$14,2,FALSE)," ")))</calculatedColumnFormula>
    </tableColumn>
    <tableColumn id="22" xr3:uid="{00000000-0010-0000-0B00-000016000000}" name="Time/Score15" dataDxfId="1433" dataCellStyle="Comma"/>
    <tableColumn id="23" xr3:uid="{00000000-0010-0000-0B00-000017000000}" name="Time/Score16" dataDxfId="1432">
      <calculatedColumnFormula>IF(X5=0," ",_xlfn.RANK.AVG(X5,X$5:X$24,1)-COUNTIF(X$5:X$24,0))</calculatedColumnFormula>
    </tableColumn>
    <tableColumn id="24" xr3:uid="{00000000-0010-0000-0B00-000018000000}" name="Place16" dataDxfId="1431">
      <calculatedColumnFormula>IF(X5=0," ",IF((RANK(X5,X$5:X$24,1)-COUNTIF(X$5:X$24,0)&gt;6)," ",RANK(X5,X$5:X$24,1)-COUNTIF(X$5:X$24,0)))</calculatedColumnFormula>
    </tableColumn>
    <tableColumn id="25" xr3:uid="{00000000-0010-0000-0B00-000019000000}" name="Points17" dataDxfId="1430">
      <calculatedColumnFormula>IF(Table622027323334172854[[#This Row],[Non-Member]]="X"," ",IF(Z5=" "," ",IFERROR(VLOOKUP(Y5,Points!$A$2:$B$14,2,FALSE)," ")))</calculatedColumnFormula>
    </tableColumn>
    <tableColumn id="26" xr3:uid="{00000000-0010-0000-0B00-00001A000000}" name="Time/Score18" dataDxfId="1429" dataCellStyle="Comma"/>
    <tableColumn id="27" xr3:uid="{00000000-0010-0000-0B00-00001B000000}" name="Time/Score19" dataDxfId="1428">
      <calculatedColumnFormula>IF(AB5=0," ",_xlfn.RANK.AVG(AB5,AB$5:AB$24,1)-COUNTIF(AB$5:AB$24,0))</calculatedColumnFormula>
    </tableColumn>
    <tableColumn id="28" xr3:uid="{00000000-0010-0000-0B00-00001C000000}" name="Place19" dataDxfId="1427">
      <calculatedColumnFormula>IF(AB5=0," ",IF((RANK(AB5,AB$5:AB$24,1)-COUNTIF(AB$5:AB$24,0)&gt;6)," ",RANK(AB5,AB$5:AB$24,1)-COUNTIF(AB$5:AB$24,0)))</calculatedColumnFormula>
    </tableColumn>
    <tableColumn id="29" xr3:uid="{00000000-0010-0000-0B00-00001D000000}" name="Points20" dataDxfId="1426">
      <calculatedColumnFormula>IF(Table622027323334172854[[#This Row],[Non-Member]]="X"," ",IF(AD5=" "," ",IFERROR(VLOOKUP(AC5,Points!$A$2:$B$14,2,FALSE)," ")))</calculatedColumnFormula>
    </tableColumn>
    <tableColumn id="30" xr3:uid="{00000000-0010-0000-0B00-00001E000000}" name="Time/Score21" dataDxfId="1425" dataCellStyle="Comma">
      <calculatedColumnFormula>IF(OR(X5=0,AB5=0)," ",X5+AB5)</calculatedColumnFormula>
    </tableColumn>
    <tableColumn id="31" xr3:uid="{00000000-0010-0000-0B00-00001F000000}" name="Time/Score22" dataDxfId="1424">
      <calculatedColumnFormula>IF(OR(AF5=0,AF5=" ")," ",_xlfn.RANK.AVG(AF5,AF$5:AF$24,1)-COUNTIF(AF$5:AF$24,0))</calculatedColumnFormula>
    </tableColumn>
    <tableColumn id="32" xr3:uid="{00000000-0010-0000-0B00-000020000000}" name="Place22" dataDxfId="1423">
      <calculatedColumnFormula>IF(OR(AF5=0,AF5=" ")," ",IF((RANK(AF5,AF$5:AF$24,1)-COUNTIF(AF$5:AF$24,0)&gt;6)," ",RANK(AF5,AF$5:AF$24,1)-COUNTIF(AF$5:AF$24,0)))</calculatedColumnFormula>
    </tableColumn>
    <tableColumn id="33" xr3:uid="{00000000-0010-0000-0B00-000021000000}" name="Points23" dataDxfId="1422">
      <calculatedColumnFormula>IF(Table622027323334172854[[#This Row],[Non-Member]]="X"," ",IF(AH5=" "," ",IFERROR(VLOOKUP(AG5,Points!$A$2:$B$14,2,FALSE)," ")))</calculatedColumnFormula>
    </tableColumn>
    <tableColumn id="34" xr3:uid="{00000000-0010-0000-0B00-000022000000}" name="Points24" dataDxfId="1421">
      <calculatedColumnFormula>IF(Table622027323334172854[[#This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B00-000023000000}" name="Points25" dataDxfId="1420" dataCellStyle="Comma">
      <calculatedColumnFormula>IF(AJ5=0," ",AJ5)</calculatedColumnFormula>
    </tableColumn>
    <tableColumn id="36" xr3:uid="{00000000-0010-0000-0B00-000024000000}" name="Place26" dataDxfId="141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Table6220273233341728543" displayName="Table6220273233341728543" ref="B4:AL24" totalsRowShown="0" headerRowDxfId="1418" dataDxfId="1417" tableBorderDxfId="1416">
  <autoFilter ref="B4:AL24" xr:uid="{00000000-0009-0000-0100-00000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C00-000001000000}" name="Name" dataDxfId="1415"/>
    <tableColumn id="37" xr3:uid="{00000000-0010-0000-0C00-000025000000}" name="Non-Member" dataDxfId="1414"/>
    <tableColumn id="2" xr3:uid="{00000000-0010-0000-0C00-000002000000}" name="Time/Score" dataDxfId="1413" dataCellStyle="Comma"/>
    <tableColumn id="3" xr3:uid="{00000000-0010-0000-0C00-000003000000}" name="Column2" dataDxfId="1412">
      <calculatedColumnFormula>IF(D5=0," ",_xlfn.RANK.AVG(D5,D$5:D$24,1)-COUNTIF(D$5:D$24,0))</calculatedColumnFormula>
    </tableColumn>
    <tableColumn id="4" xr3:uid="{00000000-0010-0000-0C00-000004000000}" name="Place" dataDxfId="1411">
      <calculatedColumnFormula>IF(D5=0," ",IF((RANK(D5,D$5:D$24,1)-COUNTIF(D$5:D$24,0)&gt;6)," ",RANK(D5,D$5:D$24,1)-COUNTIF(D$5:D$24,0)))</calculatedColumnFormula>
    </tableColumn>
    <tableColumn id="5" xr3:uid="{00000000-0010-0000-0C00-000005000000}" name="Points" dataDxfId="1410">
      <calculatedColumnFormula>IF(Table6220273233341728543[[#This Row],[Non-Member]]="X"," ",IF(F5=" "," ",IFERROR(VLOOKUP(E5,Points!$A$2:$B$14,2,FALSE)," ")))</calculatedColumnFormula>
    </tableColumn>
    <tableColumn id="6" xr3:uid="{00000000-0010-0000-0C00-000006000000}" name="Time/Score3" dataDxfId="1409" dataCellStyle="Comma"/>
    <tableColumn id="7" xr3:uid="{00000000-0010-0000-0C00-000007000000}" name="Time/Score4" dataDxfId="1408">
      <calculatedColumnFormula>IF(H5=0," ",_xlfn.RANK.AVG(H5,H$5:H$24,1)-COUNTIF(H$5:H$24,0))</calculatedColumnFormula>
    </tableColumn>
    <tableColumn id="8" xr3:uid="{00000000-0010-0000-0C00-000008000000}" name="Place4" dataDxfId="1407">
      <calculatedColumnFormula>IF(H5=0," ",IF((RANK(H5,H$5:H$24,1)-COUNTIF(H$5:H$24,0)&gt;6)," ",RANK(H5,H$5:H$24,1)-COUNTIF(H$5:H$24,0)))</calculatedColumnFormula>
    </tableColumn>
    <tableColumn id="9" xr3:uid="{00000000-0010-0000-0C00-000009000000}" name="Points5" dataDxfId="1406">
      <calculatedColumnFormula>IF(Table6220273233341728543[[#This Row],[Non-Member]]="X"," ",IF(J5=" "," ",IFERROR(VLOOKUP(I5,Points!$A$2:$B$14,2,FALSE)," ")))</calculatedColumnFormula>
    </tableColumn>
    <tableColumn id="10" xr3:uid="{00000000-0010-0000-0C00-00000A000000}" name="Time/Score6" dataDxfId="1405" dataCellStyle="Comma"/>
    <tableColumn id="11" xr3:uid="{00000000-0010-0000-0C00-00000B000000}" name="Time/Score7" dataDxfId="1404">
      <calculatedColumnFormula>IF(L5=0," ",_xlfn.RANK.AVG(L5,L$5:L$24,1)-COUNTIF(L$5:L$24,0))</calculatedColumnFormula>
    </tableColumn>
    <tableColumn id="12" xr3:uid="{00000000-0010-0000-0C00-00000C000000}" name="Place7" dataDxfId="1403">
      <calculatedColumnFormula>IF(L5=0," ",IF((RANK(L5,L$5:L$24,1)-COUNTIF(L$5:L$24,0)&gt;6)," ",RANK(L5,L$5:L$24,1)-COUNTIF(L$5:L$24,0)))</calculatedColumnFormula>
    </tableColumn>
    <tableColumn id="13" xr3:uid="{00000000-0010-0000-0C00-00000D000000}" name="Points8" dataDxfId="1402">
      <calculatedColumnFormula>IF(Table6220273233341728543[[#This Row],[Non-Member]]="X"," ",IF(N5=" "," ",IFERROR(VLOOKUP(M5,Points!$A$2:$B$14,2,FALSE)," ")))</calculatedColumnFormula>
    </tableColumn>
    <tableColumn id="14" xr3:uid="{00000000-0010-0000-0C00-00000E000000}" name="Time/Score9" dataDxfId="1401" dataCellStyle="Comma"/>
    <tableColumn id="15" xr3:uid="{00000000-0010-0000-0C00-00000F000000}" name="Time/Score10" dataDxfId="1400">
      <calculatedColumnFormula>IF(P5=0," ",_xlfn.RANK.AVG(P5,P$5:P$24,1)-COUNTIF(P$5:P$24,0))</calculatedColumnFormula>
    </tableColumn>
    <tableColumn id="16" xr3:uid="{00000000-0010-0000-0C00-000010000000}" name="Place10" dataDxfId="1399">
      <calculatedColumnFormula>IF(P5=0," ",IF((RANK(P5,P$5:P$24,1)-COUNTIF(P$5:P$24,0)&gt;6)," ",RANK(P5,P$5:P$24,1)-COUNTIF(P$5:P$24,0)))</calculatedColumnFormula>
    </tableColumn>
    <tableColumn id="17" xr3:uid="{00000000-0010-0000-0C00-000011000000}" name="Points11" dataDxfId="1398">
      <calculatedColumnFormula>IF(Table6220273233341728543[[#This Row],[Non-Member]]="X"," ",IF(R5=" "," ",IFERROR(VLOOKUP(Q5,Points!$A$2:$B$14,2,FALSE)," ")))</calculatedColumnFormula>
    </tableColumn>
    <tableColumn id="18" xr3:uid="{00000000-0010-0000-0C00-000012000000}" name="Time/Score12" dataDxfId="1397" dataCellStyle="Comma"/>
    <tableColumn id="19" xr3:uid="{00000000-0010-0000-0C00-000013000000}" name="Time/Score13" dataDxfId="1396">
      <calculatedColumnFormula>IF(T5=0," ",_xlfn.RANK.AVG(T5,T$5:T$24,1)-COUNTIF(T$5:T$24,0))</calculatedColumnFormula>
    </tableColumn>
    <tableColumn id="20" xr3:uid="{00000000-0010-0000-0C00-000014000000}" name="Place13" dataDxfId="1395">
      <calculatedColumnFormula>IF(T5=0," ",IF((RANK(T5,T$5:T$24,1)-COUNTIF(T$5:T$24,0)&gt;6)," ",RANK(T5,T$5:T$24,1)-COUNTIF(T$5:T$24,0)))</calculatedColumnFormula>
    </tableColumn>
    <tableColumn id="21" xr3:uid="{00000000-0010-0000-0C00-000015000000}" name="Points14" dataDxfId="1394">
      <calculatedColumnFormula>IF(Table6220273233341728543[[#This Row],[Non-Member]]="X"," ",IF(V5=" "," ",IFERROR(VLOOKUP(U5,Points!$A$2:$B$14,2,FALSE)," ")))</calculatedColumnFormula>
    </tableColumn>
    <tableColumn id="22" xr3:uid="{00000000-0010-0000-0C00-000016000000}" name="Time/Score15" dataDxfId="1393" dataCellStyle="Comma"/>
    <tableColumn id="23" xr3:uid="{00000000-0010-0000-0C00-000017000000}" name="Time/Score16" dataDxfId="1392">
      <calculatedColumnFormula>IF(X5=0," ",_xlfn.RANK.AVG(X5,X$5:X$24,1)-COUNTIF(X$5:X$24,0))</calculatedColumnFormula>
    </tableColumn>
    <tableColumn id="24" xr3:uid="{00000000-0010-0000-0C00-000018000000}" name="Place16" dataDxfId="1391">
      <calculatedColumnFormula>IF(X5=0," ",IF((RANK(X5,X$5:X$24,1)-COUNTIF(X$5:X$24,0)&gt;6)," ",RANK(X5,X$5:X$24,1)-COUNTIF(X$5:X$24,0)))</calculatedColumnFormula>
    </tableColumn>
    <tableColumn id="25" xr3:uid="{00000000-0010-0000-0C00-000019000000}" name="Points17" dataDxfId="1390">
      <calculatedColumnFormula>IF(Table6220273233341728543[[#This Row],[Non-Member]]="X"," ",IF(Z5=" "," ",IFERROR(VLOOKUP(Y5,Points!$A$2:$B$14,2,FALSE)," ")))</calculatedColumnFormula>
    </tableColumn>
    <tableColumn id="26" xr3:uid="{00000000-0010-0000-0C00-00001A000000}" name="Time/Score18" dataDxfId="1389" dataCellStyle="Comma"/>
    <tableColumn id="27" xr3:uid="{00000000-0010-0000-0C00-00001B000000}" name="Time/Score19" dataDxfId="1388">
      <calculatedColumnFormula>IF(AB5=0," ",_xlfn.RANK.AVG(AB5,AB$5:AB$24,1)-COUNTIF(AB$5:AB$24,0))</calculatedColumnFormula>
    </tableColumn>
    <tableColumn id="28" xr3:uid="{00000000-0010-0000-0C00-00001C000000}" name="Place19" dataDxfId="1387">
      <calculatedColumnFormula>IF(AB5=0," ",IF((RANK(AB5,AB$5:AB$24,1)-COUNTIF(AB$5:AB$24,0)&gt;6)," ",RANK(AB5,AB$5:AB$24,1)-COUNTIF(AB$5:AB$24,0)))</calculatedColumnFormula>
    </tableColumn>
    <tableColumn id="29" xr3:uid="{00000000-0010-0000-0C00-00001D000000}" name="Points20" dataDxfId="1386">
      <calculatedColumnFormula>IF(Table6220273233341728543[[#This Row],[Non-Member]]="X"," ",IF(AD5=" "," ",IFERROR(VLOOKUP(AC5,Points!$A$2:$B$14,2,FALSE)," ")))</calculatedColumnFormula>
    </tableColumn>
    <tableColumn id="30" xr3:uid="{00000000-0010-0000-0C00-00001E000000}" name="Time/Score21" dataDxfId="1385" dataCellStyle="Comma">
      <calculatedColumnFormula>IF(OR(X5=0,AB5=0)," ",X5+AB5)</calculatedColumnFormula>
    </tableColumn>
    <tableColumn id="31" xr3:uid="{00000000-0010-0000-0C00-00001F000000}" name="Time/Score22" dataDxfId="1384">
      <calculatedColumnFormula>IF(OR(AF5=0,AF5=" ")," ",_xlfn.RANK.AVG(AF5,AF$5:AF$24,1)-COUNTIF(AF$5:AF$24,0))</calculatedColumnFormula>
    </tableColumn>
    <tableColumn id="32" xr3:uid="{00000000-0010-0000-0C00-000020000000}" name="Place22" dataDxfId="1383">
      <calculatedColumnFormula>IF(OR(AF5=0,AF5=" ")," ",IF((RANK(AF5,AF$5:AF$24,1)-COUNTIF(AF$5:AF$24,0)&gt;6)," ",RANK(AF5,AF$5:AF$24,1)-COUNTIF(AF$5:AF$24,0)))</calculatedColumnFormula>
    </tableColumn>
    <tableColumn id="33" xr3:uid="{00000000-0010-0000-0C00-000021000000}" name="Points23" dataDxfId="1382">
      <calculatedColumnFormula>IF(Table6220273233341728543[[#This Row],[Non-Member]]="X"," ",IF(AH5=" "," ",IFERROR(VLOOKUP(AG5,Points!$A$2:$B$14,2,FALSE)," ")))</calculatedColumnFormula>
    </tableColumn>
    <tableColumn id="34" xr3:uid="{00000000-0010-0000-0C00-000022000000}" name="Points24" dataDxfId="1381">
      <calculatedColumnFormula>IF(Table6220273233341728543[[#This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C00-000023000000}" name="Points25" dataDxfId="1380" dataCellStyle="Comma">
      <calculatedColumnFormula>IF(AJ5=0," ",AJ5)</calculatedColumnFormula>
    </tableColumn>
    <tableColumn id="36" xr3:uid="{00000000-0010-0000-0C00-000024000000}" name="Place26" dataDxfId="137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D000000}" name="Table6345689101123344440203156" displayName="Table6345689101123344440203156" ref="B4:AC24" totalsRowShown="0" headerRowDxfId="1378" dataDxfId="1377" tableBorderDxfId="1376">
  <autoFilter ref="B4:AC24" xr:uid="{00000000-0009-0000-0100-00003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D00-000001000000}" name="Name" dataDxfId="1375"/>
    <tableColumn id="39" xr3:uid="{00000000-0010-0000-0D00-000027000000}" name="Points" dataDxfId="1374">
      <calculatedColumnFormula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calculatedColumnFormula>
    </tableColumn>
    <tableColumn id="4" xr3:uid="{00000000-0010-0000-0D00-000004000000}" name="Column1" dataDxfId="1373">
      <calculatedColumnFormula>IF(C5&gt;0,C5," ")</calculatedColumnFormula>
    </tableColumn>
    <tableColumn id="5" xr3:uid="{00000000-0010-0000-0D00-000005000000}" name="Place" dataDxfId="1372">
      <calculatedColumnFormula>IF(C5=0," ",RANK(C5,C$5:C$24,0))</calculatedColumnFormula>
    </tableColumn>
    <tableColumn id="43" xr3:uid="{00000000-0010-0000-0D00-00002B000000}" name="Points4" dataDxfId="1371">
      <calculatedColumnFormula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calculatedColumnFormula>
    </tableColumn>
    <tableColumn id="6" xr3:uid="{00000000-0010-0000-0D00-000006000000}" name="Points5" dataDxfId="1370">
      <calculatedColumnFormula>IF(F5&gt;0,F5," ")</calculatedColumnFormula>
    </tableColumn>
    <tableColumn id="44" xr3:uid="{00000000-0010-0000-0D00-00002C000000}" name="Place5" dataDxfId="1369">
      <calculatedColumnFormula>IF(F5=0," ",RANK(F5,F$5:F$24,0))</calculatedColumnFormula>
    </tableColumn>
    <tableColumn id="46" xr3:uid="{00000000-0010-0000-0D00-00002E000000}" name="Points43" dataDxfId="1368">
      <calculatedColumnFormula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calculatedColumnFormula>
    </tableColumn>
    <tableColumn id="7" xr3:uid="{00000000-0010-0000-0D00-000007000000}" name="Points432" dataDxfId="1367">
      <calculatedColumnFormula>IF(I5&gt;0,I5," ")</calculatedColumnFormula>
    </tableColumn>
    <tableColumn id="47" xr3:uid="{00000000-0010-0000-0D00-00002F000000}" name="Place54" dataDxfId="1366">
      <calculatedColumnFormula>IF(I5=0," ",RANK(I5,I$5:I$24,0))</calculatedColumnFormula>
    </tableColumn>
    <tableColumn id="49" xr3:uid="{00000000-0010-0000-0D00-000031000000}" name="Points44" dataDxfId="1365">
      <calculatedColumnFormula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calculatedColumnFormula>
    </tableColumn>
    <tableColumn id="8" xr3:uid="{00000000-0010-0000-0D00-000008000000}" name="Points442" dataDxfId="1364">
      <calculatedColumnFormula>IF(L5&gt;0,L5," ")</calculatedColumnFormula>
    </tableColumn>
    <tableColumn id="50" xr3:uid="{00000000-0010-0000-0D00-000032000000}" name="Place55" dataDxfId="1363">
      <calculatedColumnFormula>IF(L5=0," ",RANK(L5,L$5:L$24,0))</calculatedColumnFormula>
    </tableColumn>
    <tableColumn id="52" xr3:uid="{00000000-0010-0000-0D00-000034000000}" name="Points45" dataDxfId="1362">
      <calculatedColumnFormula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calculatedColumnFormula>
    </tableColumn>
    <tableColumn id="9" xr3:uid="{00000000-0010-0000-0D00-000009000000}" name="Points452" dataDxfId="1361">
      <calculatedColumnFormula>IF(O5&gt;0,O5," ")</calculatedColumnFormula>
    </tableColumn>
    <tableColumn id="53" xr3:uid="{00000000-0010-0000-0D00-000035000000}" name="Place56" dataDxfId="1360">
      <calculatedColumnFormula>IF(O5=0," ",RANK(O5,O$5:O$24,0))</calculatedColumnFormula>
    </tableColumn>
    <tableColumn id="55" xr3:uid="{00000000-0010-0000-0D00-000037000000}" name="Points46" dataDxfId="1359">
      <calculatedColumnFormula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calculatedColumnFormula>
    </tableColumn>
    <tableColumn id="10" xr3:uid="{00000000-0010-0000-0D00-00000A000000}" name="Points462" dataDxfId="1358">
      <calculatedColumnFormula>IF(R5&gt;0,R5," ")</calculatedColumnFormula>
    </tableColumn>
    <tableColumn id="56" xr3:uid="{00000000-0010-0000-0D00-000038000000}" name="Place57" dataDxfId="1357">
      <calculatedColumnFormula>IF(R5=0," ",RANK(R5,R$5:R$24,0))</calculatedColumnFormula>
    </tableColumn>
    <tableColumn id="58" xr3:uid="{00000000-0010-0000-0D00-00003A000000}" name="Points47" dataDxfId="1356">
      <calculatedColumnFormula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calculatedColumnFormula>
    </tableColumn>
    <tableColumn id="11" xr3:uid="{00000000-0010-0000-0D00-00000B000000}" name="Points472" dataDxfId="1355">
      <calculatedColumnFormula>IF(U5&gt;0,U5," ")</calculatedColumnFormula>
    </tableColumn>
    <tableColumn id="59" xr3:uid="{00000000-0010-0000-0D00-00003B000000}" name="Place58" dataDxfId="1354">
      <calculatedColumnFormula>IF(U5=0," ",RANK(U5,U$5:U$24,0))</calculatedColumnFormula>
    </tableColumn>
    <tableColumn id="61" xr3:uid="{00000000-0010-0000-0D00-00003D000000}" name="Points48" dataDxfId="1353">
      <calculatedColumnFormula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calculatedColumnFormula>
    </tableColumn>
    <tableColumn id="12" xr3:uid="{00000000-0010-0000-0D00-00000C000000}" name="Points49" dataDxfId="1352">
      <calculatedColumnFormula>IF(X5&gt;0,X5," ")</calculatedColumnFormula>
    </tableColumn>
    <tableColumn id="62" xr3:uid="{00000000-0010-0000-0D00-00003E000000}" name="Place59" dataDxfId="1351">
      <calculatedColumnFormula>IF(X5=0," ",RANK(X5,X$5:X$24,0))</calculatedColumnFormula>
    </tableColumn>
    <tableColumn id="2" xr3:uid="{00000000-0010-0000-0D00-000002000000}" name="Points482" dataDxfId="1350">
      <calculatedColumnFormula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calculatedColumnFormula>
    </tableColumn>
    <tableColumn id="13" xr3:uid="{00000000-0010-0000-0D00-00000D000000}" name="Points483" dataDxfId="1349">
      <calculatedColumnFormula>IF(AA5&gt;0,AA5," ")</calculatedColumnFormula>
    </tableColumn>
    <tableColumn id="3" xr3:uid="{00000000-0010-0000-0D00-000003000000}" name="Place593" dataDxfId="134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able6220273233372141" displayName="Table6220273233372141" ref="B4:AL24" totalsRowShown="0" headerRowDxfId="1347" dataDxfId="1346" tableBorderDxfId="1345">
  <autoFilter ref="B4:AL24" xr:uid="{00000000-0009-0000-0100-000028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E00-000001000000}" name="Name" dataDxfId="1344"/>
    <tableColumn id="37" xr3:uid="{00000000-0010-0000-0E00-000025000000}" name="Non-Member" dataDxfId="1343"/>
    <tableColumn id="2" xr3:uid="{00000000-0010-0000-0E00-000002000000}" name="Time/Score" dataDxfId="1342" dataCellStyle="Comma"/>
    <tableColumn id="3" xr3:uid="{00000000-0010-0000-0E00-000003000000}" name="Column2" dataDxfId="1341">
      <calculatedColumnFormula>IF(D5=0," ",_xlfn.RANK.AVG(D5,D$5:D$24,1)-COUNTIF(D$5:D$24,0))</calculatedColumnFormula>
    </tableColumn>
    <tableColumn id="4" xr3:uid="{00000000-0010-0000-0E00-000004000000}" name="Place" dataDxfId="1340">
      <calculatedColumnFormula>IF(D5=0," ",IF((RANK(D5,D$5:D$24,1)-COUNTIF(D$5:D$24,0)&gt;6)," ",RANK(D5,D$5:D$24,1)-COUNTIF(D$5:D$24,0)))</calculatedColumnFormula>
    </tableColumn>
    <tableColumn id="5" xr3:uid="{00000000-0010-0000-0E00-000005000000}" name="Points" dataDxfId="1339">
      <calculatedColumnFormula>IF(Table6220273233372141[[#This Row],[Non-Member]]="X"," ",IF(F5=" "," ",IFERROR(VLOOKUP(E5,Points!$A$2:$B$14,2,FALSE)," ")))</calculatedColumnFormula>
    </tableColumn>
    <tableColumn id="6" xr3:uid="{00000000-0010-0000-0E00-000006000000}" name="Time/Score3" dataDxfId="1338" dataCellStyle="Comma"/>
    <tableColumn id="7" xr3:uid="{00000000-0010-0000-0E00-000007000000}" name="Time/Score4" dataDxfId="1337">
      <calculatedColumnFormula>IF(H5=0," ",_xlfn.RANK.AVG(H5,H$5:H$24,1)-COUNTIF(H$5:H$24,0))</calculatedColumnFormula>
    </tableColumn>
    <tableColumn id="8" xr3:uid="{00000000-0010-0000-0E00-000008000000}" name="Place4" dataDxfId="1336">
      <calculatedColumnFormula>IF(H5=0," ",IF((RANK(H5,H$5:H$24,1)-COUNTIF(H$5:H$24,0)&gt;6)," ",RANK(H5,H$5:H$24,1)-COUNTIF(H$5:H$24,0)))</calculatedColumnFormula>
    </tableColumn>
    <tableColumn id="9" xr3:uid="{00000000-0010-0000-0E00-000009000000}" name="Points5" dataDxfId="1335">
      <calculatedColumnFormula>IF(Table6220273233372141[[#This Row],[Non-Member]]="X"," ",IF(J5=" "," ",IFERROR(VLOOKUP(I5,Points!$A$2:$B$14,2,FALSE)," ")))</calculatedColumnFormula>
    </tableColumn>
    <tableColumn id="10" xr3:uid="{00000000-0010-0000-0E00-00000A000000}" name="Time/Score6" dataDxfId="1334" dataCellStyle="Comma"/>
    <tableColumn id="11" xr3:uid="{00000000-0010-0000-0E00-00000B000000}" name="Time/Score7" dataDxfId="1333">
      <calculatedColumnFormula>IF(L5=0," ",_xlfn.RANK.AVG(L5,L$5:L$24,1)-COUNTIF(L$5:L$24,0))</calculatedColumnFormula>
    </tableColumn>
    <tableColumn id="12" xr3:uid="{00000000-0010-0000-0E00-00000C000000}" name="Place7" dataDxfId="1332">
      <calculatedColumnFormula>IF(L5=0," ",IF((RANK(L5,L$5:L$24,1)-COUNTIF(L$5:L$24,0)&gt;6)," ",RANK(L5,L$5:L$24,1)-COUNTIF(L$5:L$24,0)))</calculatedColumnFormula>
    </tableColumn>
    <tableColumn id="13" xr3:uid="{00000000-0010-0000-0E00-00000D000000}" name="Points8" dataDxfId="1331">
      <calculatedColumnFormula>IF(Table6220273233372141[[#This Row],[Non-Member]]="X"," ",IF(N5=" "," ",IFERROR(VLOOKUP(M5,Points!$A$2:$B$14,2,FALSE)," ")))</calculatedColumnFormula>
    </tableColumn>
    <tableColumn id="14" xr3:uid="{00000000-0010-0000-0E00-00000E000000}" name="Time/Score9" dataDxfId="1330" dataCellStyle="Comma"/>
    <tableColumn id="15" xr3:uid="{00000000-0010-0000-0E00-00000F000000}" name="Time/Score10" dataDxfId="1329">
      <calculatedColumnFormula>IF(P5=0," ",_xlfn.RANK.AVG(P5,P$5:P$24,1)-COUNTIF(P$5:P$24,0))</calculatedColumnFormula>
    </tableColumn>
    <tableColumn id="16" xr3:uid="{00000000-0010-0000-0E00-000010000000}" name="Place10" dataDxfId="1328">
      <calculatedColumnFormula>IF(P5=0," ",IF((RANK(P5,P$5:P$24,1)-COUNTIF(P$5:P$24,0)&gt;6)," ",RANK(P5,P$5:P$24,1)-COUNTIF(P$5:P$24,0)))</calculatedColumnFormula>
    </tableColumn>
    <tableColumn id="17" xr3:uid="{00000000-0010-0000-0E00-000011000000}" name="Points11" dataDxfId="1327">
      <calculatedColumnFormula>IF(Table6220273233372141[[#This Row],[Non-Member]]="X"," ",IF(R5=" "," ",IFERROR(VLOOKUP(Q5,Points!$A$2:$B$14,2,FALSE)," ")))</calculatedColumnFormula>
    </tableColumn>
    <tableColumn id="18" xr3:uid="{00000000-0010-0000-0E00-000012000000}" name="Time/Score12" dataDxfId="1326" dataCellStyle="Comma"/>
    <tableColumn id="19" xr3:uid="{00000000-0010-0000-0E00-000013000000}" name="Time/Score13" dataDxfId="1325">
      <calculatedColumnFormula>IF(T5=0," ",_xlfn.RANK.AVG(T5,T$5:T$24,1)-COUNTIF(T$5:T$24,0))</calculatedColumnFormula>
    </tableColumn>
    <tableColumn id="20" xr3:uid="{00000000-0010-0000-0E00-000014000000}" name="Place13" dataDxfId="1324">
      <calculatedColumnFormula>IF(T5=0," ",IF((RANK(T5,T$5:T$24,1)-COUNTIF(T$5:T$24,0)&gt;6)," ",RANK(T5,T$5:T$24,1)-COUNTIF(T$5:T$24,0)))</calculatedColumnFormula>
    </tableColumn>
    <tableColumn id="21" xr3:uid="{00000000-0010-0000-0E00-000015000000}" name="Points14" dataDxfId="1323">
      <calculatedColumnFormula>IF(Table6220273233372141[[#This Row],[Non-Member]]="X"," ",IF(V5=" "," ",IFERROR(VLOOKUP(U5,Points!$A$2:$B$14,2,FALSE)," ")))</calculatedColumnFormula>
    </tableColumn>
    <tableColumn id="22" xr3:uid="{00000000-0010-0000-0E00-000016000000}" name="Time/Score15" dataDxfId="1322" dataCellStyle="Comma"/>
    <tableColumn id="23" xr3:uid="{00000000-0010-0000-0E00-000017000000}" name="Time/Score16" dataDxfId="1321">
      <calculatedColumnFormula>IF(X5=0," ",_xlfn.RANK.AVG(X5,X$5:X$24,1)-COUNTIF(X$5:X$24,0))</calculatedColumnFormula>
    </tableColumn>
    <tableColumn id="24" xr3:uid="{00000000-0010-0000-0E00-000018000000}" name="Place16" dataDxfId="1320">
      <calculatedColumnFormula>IF(X5=0," ",IF((RANK(X5,X$5:X$24,1)-COUNTIF(X$5:X$24,0)&gt;6)," ",RANK(X5,X$5:X$24,1)-COUNTIF(X$5:X$24,0)))</calculatedColumnFormula>
    </tableColumn>
    <tableColumn id="25" xr3:uid="{00000000-0010-0000-0E00-000019000000}" name="Points17" dataDxfId="1319">
      <calculatedColumnFormula>IF(Table6220273233372141[[#This Row],[Non-Member]]="X"," ",IF(Z5=" "," ",IFERROR(VLOOKUP(Y5,Points!$A$2:$B$14,2,FALSE)," ")))</calculatedColumnFormula>
    </tableColumn>
    <tableColumn id="26" xr3:uid="{00000000-0010-0000-0E00-00001A000000}" name="Time/Score18" dataDxfId="1318" dataCellStyle="Comma"/>
    <tableColumn id="27" xr3:uid="{00000000-0010-0000-0E00-00001B000000}" name="Time/Score19" dataDxfId="1317">
      <calculatedColumnFormula>IF(AB5=0," ",_xlfn.RANK.AVG(AB5,AB$5:AB$24,1)-COUNTIF(AB$5:AB$24,0))</calculatedColumnFormula>
    </tableColumn>
    <tableColumn id="28" xr3:uid="{00000000-0010-0000-0E00-00001C000000}" name="Place19" dataDxfId="1316">
      <calculatedColumnFormula>IF(AB5=0," ",IF((RANK(AB5,AB$5:AB$24,1)-COUNTIF(AB$5:AB$24,0)&gt;6)," ",RANK(AB5,AB$5:AB$24,1)-COUNTIF(AB$5:AB$24,0)))</calculatedColumnFormula>
    </tableColumn>
    <tableColumn id="29" xr3:uid="{00000000-0010-0000-0E00-00001D000000}" name="Points20" dataDxfId="1315">
      <calculatedColumnFormula>IF(Table6220273233372141[[#This Row],[Non-Member]]="X"," ",IF(AD5=" "," ",IFERROR(VLOOKUP(AC5,Points!$A$2:$B$14,2,FALSE)," ")))</calculatedColumnFormula>
    </tableColumn>
    <tableColumn id="30" xr3:uid="{00000000-0010-0000-0E00-00001E000000}" name="Time/Score21" dataDxfId="1314" dataCellStyle="Comma">
      <calculatedColumnFormula>IF(OR(X5=0,AB5=0)," ",X5+AB5)</calculatedColumnFormula>
    </tableColumn>
    <tableColumn id="31" xr3:uid="{00000000-0010-0000-0E00-00001F000000}" name="Time/Score22" dataDxfId="1313">
      <calculatedColumnFormula>IF(OR(AF5=0,AF5=" ")," ",_xlfn.RANK.AVG(AF5,AF$5:AF$24,1)-COUNTIF(AF$5:AF$24,0))</calculatedColumnFormula>
    </tableColumn>
    <tableColumn id="32" xr3:uid="{00000000-0010-0000-0E00-000020000000}" name="Place22" dataDxfId="1312">
      <calculatedColumnFormula>IF(OR(AF5=0,AF5=" ")," ",IF((RANK(AF5,AF$5:AF$24,1)-COUNTIF(AF$5:AF$24,0)&gt;6)," ",RANK(AF5,AF$5:AF$24,1)-COUNTIF(AF$5:AF$24,0)))</calculatedColumnFormula>
    </tableColumn>
    <tableColumn id="33" xr3:uid="{00000000-0010-0000-0E00-000021000000}" name="Points23" dataDxfId="1311">
      <calculatedColumnFormula>IF(Table6220273233372141[[#This Row],[Non-Member]]="X"," ",IF(AH5=" "," ",IFERROR(VLOOKUP(AG5,Points!$A$2:$B$14,2,FALSE)," ")))</calculatedColumnFormula>
    </tableColumn>
    <tableColumn id="34" xr3:uid="{00000000-0010-0000-0E00-000022000000}" name="Points24" dataDxfId="1310">
      <calculatedColumnFormula>IF(Table6220273233372141[[#This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E00-000023000000}" name="Points25" dataDxfId="1309" dataCellStyle="Comma">
      <calculatedColumnFormula>IF(AJ5=0," ",AJ5)</calculatedColumnFormula>
    </tableColumn>
    <tableColumn id="36" xr3:uid="{00000000-0010-0000-0E00-000024000000}" name="Place26" dataDxfId="130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F000000}" name="Table622027323337382242" displayName="Table622027323337382242" ref="B4:AL24" totalsRowShown="0" headerRowDxfId="1307" dataDxfId="1306" tableBorderDxfId="1305">
  <autoFilter ref="B4:AL24" xr:uid="{00000000-0009-0000-0100-00002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F00-000001000000}" name="Name" dataDxfId="1304"/>
    <tableColumn id="37" xr3:uid="{00000000-0010-0000-0F00-000025000000}" name="Non-Member" dataDxfId="1303"/>
    <tableColumn id="2" xr3:uid="{00000000-0010-0000-0F00-000002000000}" name="Time/Score" dataDxfId="1302" dataCellStyle="Comma"/>
    <tableColumn id="3" xr3:uid="{00000000-0010-0000-0F00-000003000000}" name="Column2" dataDxfId="1301">
      <calculatedColumnFormula>IF(D5=0," ",_xlfn.RANK.AVG(D5,D$5:D$24,1)-COUNTIF(D$5:D$24,0))</calculatedColumnFormula>
    </tableColumn>
    <tableColumn id="4" xr3:uid="{00000000-0010-0000-0F00-000004000000}" name="Place" dataDxfId="1300">
      <calculatedColumnFormula>IF(D5=0," ",IF((RANK(D5,D$5:D$24,1)-COUNTIF(D$5:D$24,0)&gt;6)," ",RANK(D5,D$5:D$24,1)-COUNTIF(D$5:D$24,0)))</calculatedColumnFormula>
    </tableColumn>
    <tableColumn id="5" xr3:uid="{00000000-0010-0000-0F00-000005000000}" name="Points" dataDxfId="1299">
      <calculatedColumnFormula>IF(Table622027323337382242[[#This Row],[Non-Member]]="X"," ",IF(F5=" "," ",IFERROR(VLOOKUP(E5,Points!$A$2:$B$14,2,FALSE)," ")))</calculatedColumnFormula>
    </tableColumn>
    <tableColumn id="6" xr3:uid="{00000000-0010-0000-0F00-000006000000}" name="Time/Score3" dataDxfId="1298" dataCellStyle="Comma"/>
    <tableColumn id="7" xr3:uid="{00000000-0010-0000-0F00-000007000000}" name="Time/Score4" dataDxfId="1297">
      <calculatedColumnFormula>IF(H5=0," ",_xlfn.RANK.AVG(H5,H$5:H$24,1)-COUNTIF(H$5:H$24,0))</calculatedColumnFormula>
    </tableColumn>
    <tableColumn id="8" xr3:uid="{00000000-0010-0000-0F00-000008000000}" name="Place4" dataDxfId="1296">
      <calculatedColumnFormula>IF(H5=0," ",IF((RANK(H5,H$5:H$24,1)-COUNTIF(H$5:H$24,0)&gt;6)," ",RANK(H5,H$5:H$24,1)-COUNTIF(H$5:H$24,0)))</calculatedColumnFormula>
    </tableColumn>
    <tableColumn id="9" xr3:uid="{00000000-0010-0000-0F00-000009000000}" name="Points5" dataDxfId="1295">
      <calculatedColumnFormula>IF(Table622027323337382242[[#This Row],[Non-Member]]="X"," ",IF(J5=" "," ",IFERROR(VLOOKUP(I5,Points!$A$2:$B$14,2,FALSE)," ")))</calculatedColumnFormula>
    </tableColumn>
    <tableColumn id="10" xr3:uid="{00000000-0010-0000-0F00-00000A000000}" name="Time/Score6" dataDxfId="1294" dataCellStyle="Comma"/>
    <tableColumn id="11" xr3:uid="{00000000-0010-0000-0F00-00000B000000}" name="Time/Score7" dataDxfId="1293">
      <calculatedColumnFormula>IF(L5=0," ",_xlfn.RANK.AVG(L5,L$5:L$24,1)-COUNTIF(L$5:L$24,0))</calculatedColumnFormula>
    </tableColumn>
    <tableColumn id="12" xr3:uid="{00000000-0010-0000-0F00-00000C000000}" name="Place7" dataDxfId="1292">
      <calculatedColumnFormula>IF(L5=0," ",IF((RANK(L5,L$5:L$24,1)-COUNTIF(L$5:L$24,0)&gt;6)," ",RANK(L5,L$5:L$24,1)-COUNTIF(L$5:L$24,0)))</calculatedColumnFormula>
    </tableColumn>
    <tableColumn id="13" xr3:uid="{00000000-0010-0000-0F00-00000D000000}" name="Points8" dataDxfId="1291">
      <calculatedColumnFormula>IF(Table622027323337382242[[#This Row],[Non-Member]]="X"," ",IF(N5=" "," ",IFERROR(VLOOKUP(M5,Points!$A$2:$B$14,2,FALSE)," ")))</calculatedColumnFormula>
    </tableColumn>
    <tableColumn id="14" xr3:uid="{00000000-0010-0000-0F00-00000E000000}" name="Time/Score9" dataDxfId="1290" dataCellStyle="Comma"/>
    <tableColumn id="15" xr3:uid="{00000000-0010-0000-0F00-00000F000000}" name="Time/Score10" dataDxfId="1289">
      <calculatedColumnFormula>IF(P5=0," ",_xlfn.RANK.AVG(P5,P$5:P$24,1)-COUNTIF(P$5:P$24,0))</calculatedColumnFormula>
    </tableColumn>
    <tableColumn id="16" xr3:uid="{00000000-0010-0000-0F00-000010000000}" name="Place10" dataDxfId="1288">
      <calculatedColumnFormula>IF(P5=0," ",IF((RANK(P5,P$5:P$24,1)-COUNTIF(P$5:P$24,0)&gt;6)," ",RANK(P5,P$5:P$24,1)-COUNTIF(P$5:P$24,0)))</calculatedColumnFormula>
    </tableColumn>
    <tableColumn id="17" xr3:uid="{00000000-0010-0000-0F00-000011000000}" name="Points11" dataDxfId="1287">
      <calculatedColumnFormula>IF(Table622027323337382242[[#This Row],[Non-Member]]="X"," ",IF(R5=" "," ",IFERROR(VLOOKUP(Q5,Points!$A$2:$B$14,2,FALSE)," ")))</calculatedColumnFormula>
    </tableColumn>
    <tableColumn id="18" xr3:uid="{00000000-0010-0000-0F00-000012000000}" name="Time/Score12" dataDxfId="1286" dataCellStyle="Comma"/>
    <tableColumn id="19" xr3:uid="{00000000-0010-0000-0F00-000013000000}" name="Time/Score13" dataDxfId="1285">
      <calculatedColumnFormula>IF(T5=0," ",_xlfn.RANK.AVG(T5,T$5:T$24,1)-COUNTIF(T$5:T$24,0))</calculatedColumnFormula>
    </tableColumn>
    <tableColumn id="20" xr3:uid="{00000000-0010-0000-0F00-000014000000}" name="Place13" dataDxfId="1284">
      <calculatedColumnFormula>IF(T5=0," ",IF((RANK(T5,T$5:T$24,1)-COUNTIF(T$5:T$24,0)&gt;6)," ",RANK(T5,T$5:T$24,1)-COUNTIF(T$5:T$24,0)))</calculatedColumnFormula>
    </tableColumn>
    <tableColumn id="21" xr3:uid="{00000000-0010-0000-0F00-000015000000}" name="Points14" dataDxfId="1283">
      <calculatedColumnFormula>IF(Table622027323337382242[[#This Row],[Non-Member]]="X"," ",IF(V5=" "," ",IFERROR(VLOOKUP(U5,Points!$A$2:$B$14,2,FALSE)," ")))</calculatedColumnFormula>
    </tableColumn>
    <tableColumn id="22" xr3:uid="{00000000-0010-0000-0F00-000016000000}" name="Time/Score15" dataDxfId="1282" dataCellStyle="Comma"/>
    <tableColumn id="23" xr3:uid="{00000000-0010-0000-0F00-000017000000}" name="Time/Score16" dataDxfId="1281">
      <calculatedColumnFormula>IF(X5=0," ",_xlfn.RANK.AVG(X5,X$5:X$24,1)-COUNTIF(X$5:X$24,0))</calculatedColumnFormula>
    </tableColumn>
    <tableColumn id="24" xr3:uid="{00000000-0010-0000-0F00-000018000000}" name="Place16" dataDxfId="1280">
      <calculatedColumnFormula>IF(X5=0," ",IF((RANK(X5,X$5:X$24,1)-COUNTIF(X$5:X$24,0)&gt;6)," ",RANK(X5,X$5:X$24,1)-COUNTIF(X$5:X$24,0)))</calculatedColumnFormula>
    </tableColumn>
    <tableColumn id="25" xr3:uid="{00000000-0010-0000-0F00-000019000000}" name="Points17" dataDxfId="1279">
      <calculatedColumnFormula>IF(Table622027323337382242[[#This Row],[Non-Member]]="X"," ",IF(Z5=" "," ",IFERROR(VLOOKUP(Y5,Points!$A$2:$B$14,2,FALSE)," ")))</calculatedColumnFormula>
    </tableColumn>
    <tableColumn id="26" xr3:uid="{00000000-0010-0000-0F00-00001A000000}" name="Time/Score18" dataDxfId="1278" dataCellStyle="Comma"/>
    <tableColumn id="27" xr3:uid="{00000000-0010-0000-0F00-00001B000000}" name="Time/Score19" dataDxfId="1277">
      <calculatedColumnFormula>IF(AB5=0," ",_xlfn.RANK.AVG(AB5,AB$5:AB$24,1)-COUNTIF(AB$5:AB$24,0))</calculatedColumnFormula>
    </tableColumn>
    <tableColumn id="28" xr3:uid="{00000000-0010-0000-0F00-00001C000000}" name="Place19" dataDxfId="1276">
      <calculatedColumnFormula>IF(AB5=0," ",IF((RANK(AB5,AB$5:AB$24,1)-COUNTIF(AB$5:AB$24,0)&gt;6)," ",RANK(AB5,AB$5:AB$24,1)-COUNTIF(AB$5:AB$24,0)))</calculatedColumnFormula>
    </tableColumn>
    <tableColumn id="29" xr3:uid="{00000000-0010-0000-0F00-00001D000000}" name="Points20" dataDxfId="1275">
      <calculatedColumnFormula>IF(Table622027323337382242[[#This Row],[Non-Member]]="X"," ",IF(AD5=" "," ",IFERROR(VLOOKUP(AC5,Points!$A$2:$B$14,2,FALSE)," ")))</calculatedColumnFormula>
    </tableColumn>
    <tableColumn id="30" xr3:uid="{00000000-0010-0000-0F00-00001E000000}" name="Time/Score21" dataDxfId="1274" dataCellStyle="Comma">
      <calculatedColumnFormula>IF(OR(X5=0,AB5=0)," ",X5+AB5)</calculatedColumnFormula>
    </tableColumn>
    <tableColumn id="31" xr3:uid="{00000000-0010-0000-0F00-00001F000000}" name="Time/Score22" dataDxfId="1273">
      <calculatedColumnFormula>IF(OR(AF5=0,AF5=" ")," ",_xlfn.RANK.AVG(AF5,AF$5:AF$24,1)-COUNTIF(AF$5:AF$24,0))</calculatedColumnFormula>
    </tableColumn>
    <tableColumn id="32" xr3:uid="{00000000-0010-0000-0F00-000020000000}" name="Place22" dataDxfId="1272">
      <calculatedColumnFormula>IF(OR(AF5=0,AF5=" ")," ",IF((RANK(AF5,AF$5:AF$24,1)-COUNTIF(AF$5:AF$24,0)&gt;6)," ",RANK(AF5,AF$5:AF$24,1)-COUNTIF(AF$5:AF$24,0)))</calculatedColumnFormula>
    </tableColumn>
    <tableColumn id="33" xr3:uid="{00000000-0010-0000-0F00-000021000000}" name="Points23" dataDxfId="1271">
      <calculatedColumnFormula>IF(Table622027323337382242[[#This Row],[Non-Member]]="X"," ",IF(AH5=" "," ",IFERROR(VLOOKUP(AG5,Points!$A$2:$B$14,2,FALSE)," ")))</calculatedColumnFormula>
    </tableColumn>
    <tableColumn id="34" xr3:uid="{00000000-0010-0000-0F00-000022000000}" name="Points24" dataDxfId="1270">
      <calculatedColumnFormula>IF(Table622027323337382242[[#This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F00-000023000000}" name="Points25" dataDxfId="1269" dataCellStyle="Comma">
      <calculatedColumnFormula>IF(AJ5=0," ",AJ5)</calculatedColumnFormula>
    </tableColumn>
    <tableColumn id="36" xr3:uid="{00000000-0010-0000-0F00-000024000000}" name="Place26" dataDxfId="126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0000000}" name="Table62202732333738392343" displayName="Table62202732333738392343" ref="B4:AL24" totalsRowShown="0" headerRowDxfId="1267" dataDxfId="1266" tableBorderDxfId="1265">
  <autoFilter ref="B4:AL24" xr:uid="{00000000-0009-0000-0100-00002A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000-000001000000}" name="Name" dataDxfId="1264"/>
    <tableColumn id="37" xr3:uid="{00000000-0010-0000-1000-000025000000}" name="Non-Member" dataDxfId="1263"/>
    <tableColumn id="2" xr3:uid="{00000000-0010-0000-1000-000002000000}" name="Time/Score" dataDxfId="1262" dataCellStyle="Comma"/>
    <tableColumn id="3" xr3:uid="{00000000-0010-0000-1000-000003000000}" name="Column2" dataDxfId="1261">
      <calculatedColumnFormula>IF(D5=0," ",_xlfn.RANK.AVG(D5,D$5:D$24,1)-COUNTIF(D$5:D$24,0))</calculatedColumnFormula>
    </tableColumn>
    <tableColumn id="4" xr3:uid="{00000000-0010-0000-1000-000004000000}" name="Place" dataDxfId="1260">
      <calculatedColumnFormula>IF(D5=0," ",IF((RANK(D5,D$5:D$24,1)-COUNTIF(D$5:D$24,0)&gt;6)," ",RANK(D5,D$5:D$24,1)-COUNTIF(D$5:D$24,0)))</calculatedColumnFormula>
    </tableColumn>
    <tableColumn id="5" xr3:uid="{00000000-0010-0000-1000-000005000000}" name="Points" dataDxfId="1259">
      <calculatedColumnFormula>IF(Table62202732333738392343[[#This Row],[Non-Member]]="X"," ",IF(F5=" "," ",IFERROR(VLOOKUP(E5,Points!$A$2:$B$14,2,FALSE)," ")))</calculatedColumnFormula>
    </tableColumn>
    <tableColumn id="6" xr3:uid="{00000000-0010-0000-1000-000006000000}" name="Time/Score3" dataDxfId="1258" dataCellStyle="Comma"/>
    <tableColumn id="7" xr3:uid="{00000000-0010-0000-1000-000007000000}" name="Time/Score4" dataDxfId="1257">
      <calculatedColumnFormula>IF(H5=0," ",_xlfn.RANK.AVG(H5,H$5:H$24,1)-COUNTIF(H$5:H$24,0))</calculatedColumnFormula>
    </tableColumn>
    <tableColumn id="8" xr3:uid="{00000000-0010-0000-1000-000008000000}" name="Place4" dataDxfId="1256">
      <calculatedColumnFormula>IF(H5=0," ",IF((RANK(H5,H$5:H$24,1)-COUNTIF(H$5:H$24,0)&gt;6)," ",RANK(H5,H$5:H$24,1)-COUNTIF(H$5:H$24,0)))</calculatedColumnFormula>
    </tableColumn>
    <tableColumn id="9" xr3:uid="{00000000-0010-0000-1000-000009000000}" name="Points5" dataDxfId="1255">
      <calculatedColumnFormula>IF(Table62202732333738392343[[#This Row],[Non-Member]]="X"," ",IF(J5=" "," ",IFERROR(VLOOKUP(I5,Points!$A$2:$B$14,2,FALSE)," ")))</calculatedColumnFormula>
    </tableColumn>
    <tableColumn id="10" xr3:uid="{00000000-0010-0000-1000-00000A000000}" name="Time/Score6" dataDxfId="1254" dataCellStyle="Comma"/>
    <tableColumn id="11" xr3:uid="{00000000-0010-0000-1000-00000B000000}" name="Time/Score7" dataDxfId="1253">
      <calculatedColumnFormula>IF(L5=0," ",_xlfn.RANK.AVG(L5,L$5:L$24,1)-COUNTIF(L$5:L$24,0))</calculatedColumnFormula>
    </tableColumn>
    <tableColumn id="12" xr3:uid="{00000000-0010-0000-1000-00000C000000}" name="Place7" dataDxfId="1252">
      <calculatedColumnFormula>IF(L5=0," ",IF((RANK(L5,L$5:L$24,1)-COUNTIF(L$5:L$24,0)&gt;6)," ",RANK(L5,L$5:L$24,1)-COUNTIF(L$5:L$24,0)))</calculatedColumnFormula>
    </tableColumn>
    <tableColumn id="13" xr3:uid="{00000000-0010-0000-1000-00000D000000}" name="Points8" dataDxfId="1251">
      <calculatedColumnFormula>IF(Table62202732333738392343[[#This Row],[Non-Member]]="X"," ",IF(N5=" "," ",IFERROR(VLOOKUP(M5,Points!$A$2:$B$14,2,FALSE)," ")))</calculatedColumnFormula>
    </tableColumn>
    <tableColumn id="14" xr3:uid="{00000000-0010-0000-1000-00000E000000}" name="Time/Score9" dataDxfId="1250" dataCellStyle="Comma"/>
    <tableColumn id="15" xr3:uid="{00000000-0010-0000-1000-00000F000000}" name="Time/Score10" dataDxfId="1249">
      <calculatedColumnFormula>IF(P5=0," ",_xlfn.RANK.AVG(P5,P$5:P$24,1)-COUNTIF(P$5:P$24,0))</calculatedColumnFormula>
    </tableColumn>
    <tableColumn id="16" xr3:uid="{00000000-0010-0000-1000-000010000000}" name="Place10" dataDxfId="1248">
      <calculatedColumnFormula>IF(P5=0," ",IF((RANK(P5,P$5:P$24,1)-COUNTIF(P$5:P$24,0)&gt;6)," ",RANK(P5,P$5:P$24,1)-COUNTIF(P$5:P$24,0)))</calculatedColumnFormula>
    </tableColumn>
    <tableColumn id="17" xr3:uid="{00000000-0010-0000-1000-000011000000}" name="Points11" dataDxfId="1247">
      <calculatedColumnFormula>IF(Table62202732333738392343[[#This Row],[Non-Member]]="X"," ",IF(R5=" "," ",IFERROR(VLOOKUP(Q5,Points!$A$2:$B$14,2,FALSE)," ")))</calculatedColumnFormula>
    </tableColumn>
    <tableColumn id="18" xr3:uid="{00000000-0010-0000-1000-000012000000}" name="Time/Score12" dataDxfId="1246" dataCellStyle="Comma"/>
    <tableColumn id="19" xr3:uid="{00000000-0010-0000-1000-000013000000}" name="Time/Score13" dataDxfId="1245">
      <calculatedColumnFormula>IF(T5=0," ",_xlfn.RANK.AVG(T5,T$5:T$24,1)-COUNTIF(T$5:T$24,0))</calculatedColumnFormula>
    </tableColumn>
    <tableColumn id="20" xr3:uid="{00000000-0010-0000-1000-000014000000}" name="Place13" dataDxfId="1244">
      <calculatedColumnFormula>IF(T5=0," ",IF((RANK(T5,T$5:T$24,1)-COUNTIF(T$5:T$24,0)&gt;6)," ",RANK(T5,T$5:T$24,1)-COUNTIF(T$5:T$24,0)))</calculatedColumnFormula>
    </tableColumn>
    <tableColumn id="21" xr3:uid="{00000000-0010-0000-1000-000015000000}" name="Points14" dataDxfId="1243">
      <calculatedColumnFormula>IF(Table62202732333738392343[[#This Row],[Non-Member]]="X"," ",IF(V5=" "," ",IFERROR(VLOOKUP(U5,Points!$A$2:$B$14,2,FALSE)," ")))</calculatedColumnFormula>
    </tableColumn>
    <tableColumn id="22" xr3:uid="{00000000-0010-0000-1000-000016000000}" name="Time/Score15" dataDxfId="1242" dataCellStyle="Comma"/>
    <tableColumn id="23" xr3:uid="{00000000-0010-0000-1000-000017000000}" name="Time/Score16" dataDxfId="1241">
      <calculatedColumnFormula>IF(X5=0," ",_xlfn.RANK.AVG(X5,X$5:X$24,1)-COUNTIF(X$5:X$24,0))</calculatedColumnFormula>
    </tableColumn>
    <tableColumn id="24" xr3:uid="{00000000-0010-0000-1000-000018000000}" name="Place16" dataDxfId="1240">
      <calculatedColumnFormula>IF(X5=0," ",IF((RANK(X5,X$5:X$24,1)-COUNTIF(X$5:X$24,0)&gt;6)," ",RANK(X5,X$5:X$24,1)-COUNTIF(X$5:X$24,0)))</calculatedColumnFormula>
    </tableColumn>
    <tableColumn id="25" xr3:uid="{00000000-0010-0000-1000-000019000000}" name="Points17" dataDxfId="1239">
      <calculatedColumnFormula>IF(Table62202732333738392343[[#This Row],[Non-Member]]="X"," ",IF(Z5=" "," ",IFERROR(VLOOKUP(Y5,Points!$A$2:$B$14,2,FALSE)," ")))</calculatedColumnFormula>
    </tableColumn>
    <tableColumn id="26" xr3:uid="{00000000-0010-0000-1000-00001A000000}" name="Time/Score18" dataDxfId="1238" dataCellStyle="Comma"/>
    <tableColumn id="27" xr3:uid="{00000000-0010-0000-1000-00001B000000}" name="Time/Score19" dataDxfId="1237">
      <calculatedColumnFormula>IF(AB5=0," ",_xlfn.RANK.AVG(AB5,AB$5:AB$24,1)-COUNTIF(AB$5:AB$24,0))</calculatedColumnFormula>
    </tableColumn>
    <tableColumn id="28" xr3:uid="{00000000-0010-0000-1000-00001C000000}" name="Place19" dataDxfId="1236">
      <calculatedColumnFormula>IF(AB5=0," ",IF((RANK(AB5,AB$5:AB$24,1)-COUNTIF(AB$5:AB$24,0)&gt;6)," ",RANK(AB5,AB$5:AB$24,1)-COUNTIF(AB$5:AB$24,0)))</calculatedColumnFormula>
    </tableColumn>
    <tableColumn id="29" xr3:uid="{00000000-0010-0000-1000-00001D000000}" name="Points20" dataDxfId="1235">
      <calculatedColumnFormula>IF(Table62202732333738392343[[#This Row],[Non-Member]]="X"," ",IF(AD5=" "," ",IFERROR(VLOOKUP(AC5,Points!$A$2:$B$14,2,FALSE)," ")))</calculatedColumnFormula>
    </tableColumn>
    <tableColumn id="30" xr3:uid="{00000000-0010-0000-1000-00001E000000}" name="Time/Score21" dataDxfId="1234" dataCellStyle="Comma">
      <calculatedColumnFormula>IF(OR(X5=0,AB5=0)," ",X5+AB5)</calculatedColumnFormula>
    </tableColumn>
    <tableColumn id="31" xr3:uid="{00000000-0010-0000-1000-00001F000000}" name="Time/Score22" dataDxfId="1233">
      <calculatedColumnFormula>IF(OR(AF5=0,AF5=" ")," ",_xlfn.RANK.AVG(AF5,AF$5:AF$24,1)-COUNTIF(AF$5:AF$24,0))</calculatedColumnFormula>
    </tableColumn>
    <tableColumn id="32" xr3:uid="{00000000-0010-0000-1000-000020000000}" name="Place22" dataDxfId="1232">
      <calculatedColumnFormula>IF(OR(AF5=0,AF5=" ")," ",IF((RANK(AF5,AF$5:AF$24,1)-COUNTIF(AF$5:AF$24,0)&gt;6)," ",RANK(AF5,AF$5:AF$24,1)-COUNTIF(AF$5:AF$24,0)))</calculatedColumnFormula>
    </tableColumn>
    <tableColumn id="33" xr3:uid="{00000000-0010-0000-1000-000021000000}" name="Points23" dataDxfId="1231">
      <calculatedColumnFormula>IF(Table62202732333738392343[[#This Row],[Non-Member]]="X"," ",IF(AH5=" "," ",IFERROR(VLOOKUP(AG5,Points!$A$2:$B$14,2,FALSE)," ")))</calculatedColumnFormula>
    </tableColumn>
    <tableColumn id="34" xr3:uid="{00000000-0010-0000-1000-000022000000}" name="Points24" dataDxfId="1230">
      <calculatedColumnFormula>IF(Table62202732333738392343[[#This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000-000023000000}" name="Points25" dataDxfId="1229" dataCellStyle="Comma">
      <calculatedColumnFormula>IF(AJ5=0," ",AJ5)</calculatedColumnFormula>
    </tableColumn>
    <tableColumn id="36" xr3:uid="{00000000-0010-0000-1000-000024000000}" name="Place26" dataDxfId="122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1000000}" name="Table6220273233373839232444" displayName="Table6220273233373839232444" ref="B4:AL24" totalsRowShown="0" headerRowDxfId="1227" dataDxfId="1226" tableBorderDxfId="1225">
  <autoFilter ref="B4:AL24" xr:uid="{00000000-0009-0000-0100-00002B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100-000001000000}" name="Name" dataDxfId="1224"/>
    <tableColumn id="37" xr3:uid="{00000000-0010-0000-1100-000025000000}" name="Non-Member" dataDxfId="1223"/>
    <tableColumn id="2" xr3:uid="{00000000-0010-0000-1100-000002000000}" name="Column1" dataDxfId="1222" dataCellStyle="Comma"/>
    <tableColumn id="3" xr3:uid="{00000000-0010-0000-1100-000003000000}" name="Column2" dataDxfId="1221">
      <calculatedColumnFormula>IF(D5=0," ",_xlfn.RANK.AVG(D5,D$5:D$24,1)-COUNTIF(D$5:D$24,0))</calculatedColumnFormula>
    </tableColumn>
    <tableColumn id="4" xr3:uid="{00000000-0010-0000-1100-000004000000}" name="Place" dataDxfId="1220">
      <calculatedColumnFormula>IF(D5=0," ",IF((RANK(D5,D$5:D$24,1)-COUNTIF(D$5:D$24,0)&gt;6)," ",RANK(D5,D$5:D$24,1)-COUNTIF(D$5:D$24,0)))</calculatedColumnFormula>
    </tableColumn>
    <tableColumn id="5" xr3:uid="{00000000-0010-0000-1100-000005000000}" name="Points" dataDxfId="1219">
      <calculatedColumnFormula>IF(Table6220273233373839232444[[#This Row],[Non-Member]]="X"," ",IF(F5=" "," ",IFERROR(VLOOKUP(E5,Points!$A$2:$B$14,2,FALSE)," ")))</calculatedColumnFormula>
    </tableColumn>
    <tableColumn id="6" xr3:uid="{00000000-0010-0000-1100-000006000000}" name="Time/Score3" dataDxfId="1218" dataCellStyle="Comma"/>
    <tableColumn id="7" xr3:uid="{00000000-0010-0000-1100-000007000000}" name="Time/Score4" dataDxfId="1217">
      <calculatedColumnFormula>IF(H5=0," ",_xlfn.RANK.AVG(H5,H$5:H$24,1)-COUNTIF(H$5:H$24,0))</calculatedColumnFormula>
    </tableColumn>
    <tableColumn id="8" xr3:uid="{00000000-0010-0000-1100-000008000000}" name="Place4" dataDxfId="1216">
      <calculatedColumnFormula>IF(H5=0," ",IF((RANK(H5,H$5:H$24,1)-COUNTIF(H$5:H$24,0)&gt;6)," ",RANK(H5,H$5:H$24,1)-COUNTIF(H$5:H$24,0)))</calculatedColumnFormula>
    </tableColumn>
    <tableColumn id="9" xr3:uid="{00000000-0010-0000-1100-000009000000}" name="Points5" dataDxfId="1215">
      <calculatedColumnFormula>IF(Table6220273233373839232444[[#This Row],[Non-Member]]="X"," ",IF(J5=" "," ",IFERROR(VLOOKUP(I5,Points!$A$2:$B$14,2,FALSE)," ")))</calculatedColumnFormula>
    </tableColumn>
    <tableColumn id="10" xr3:uid="{00000000-0010-0000-1100-00000A000000}" name="Time/Score6" dataDxfId="1214" dataCellStyle="Comma"/>
    <tableColumn id="11" xr3:uid="{00000000-0010-0000-1100-00000B000000}" name="Time/Score7" dataDxfId="1213">
      <calculatedColumnFormula>IF(L5=0," ",_xlfn.RANK.AVG(L5,L$5:L$24,1)-COUNTIF(L$5:L$24,0))</calculatedColumnFormula>
    </tableColumn>
    <tableColumn id="12" xr3:uid="{00000000-0010-0000-1100-00000C000000}" name="Place7" dataDxfId="1212">
      <calculatedColumnFormula>IF(L5=0," ",IF((RANK(L5,L$5:L$24,1)-COUNTIF(L$5:L$24,0)&gt;6)," ",RANK(L5,L$5:L$24,1)-COUNTIF(L$5:L$24,0)))</calculatedColumnFormula>
    </tableColumn>
    <tableColumn id="13" xr3:uid="{00000000-0010-0000-1100-00000D000000}" name="Points8" dataDxfId="1211">
      <calculatedColumnFormula>IF(Table6220273233373839232444[[#This Row],[Non-Member]]="X"," ",IF(N5=" "," ",IFERROR(VLOOKUP(M5,Points!$A$2:$B$14,2,FALSE)," ")))</calculatedColumnFormula>
    </tableColumn>
    <tableColumn id="14" xr3:uid="{00000000-0010-0000-1100-00000E000000}" name="Time/Score9" dataDxfId="1210" dataCellStyle="Comma"/>
    <tableColumn id="15" xr3:uid="{00000000-0010-0000-1100-00000F000000}" name="Time/Score10" dataDxfId="1209">
      <calculatedColumnFormula>IF(P5=0," ",_xlfn.RANK.AVG(P5,P$5:P$24,1)-COUNTIF(P$5:P$24,0))</calculatedColumnFormula>
    </tableColumn>
    <tableColumn id="16" xr3:uid="{00000000-0010-0000-1100-000010000000}" name="Place10" dataDxfId="1208">
      <calculatedColumnFormula>IF(P5=0," ",IF((RANK(P5,P$5:P$24,1)-COUNTIF(P$5:P$24,0)&gt;6)," ",RANK(P5,P$5:P$24,1)-COUNTIF(P$5:P$24,0)))</calculatedColumnFormula>
    </tableColumn>
    <tableColumn id="17" xr3:uid="{00000000-0010-0000-1100-000011000000}" name="Points11" dataDxfId="1207">
      <calculatedColumnFormula>IF(Table6220273233373839232444[[#This Row],[Non-Member]]="X"," ",IF(R5=" "," ",IFERROR(VLOOKUP(Q5,Points!$A$2:$B$14,2,FALSE)," ")))</calculatedColumnFormula>
    </tableColumn>
    <tableColumn id="18" xr3:uid="{00000000-0010-0000-1100-000012000000}" name="Time/Score12" dataDxfId="1206" dataCellStyle="Comma"/>
    <tableColumn id="19" xr3:uid="{00000000-0010-0000-1100-000013000000}" name="Time/Score13" dataDxfId="1205">
      <calculatedColumnFormula>IF(T5=0," ",_xlfn.RANK.AVG(T5,T$5:T$24,1)-COUNTIF(T$5:T$24,0))</calculatedColumnFormula>
    </tableColumn>
    <tableColumn id="20" xr3:uid="{00000000-0010-0000-1100-000014000000}" name="Place13" dataDxfId="1204">
      <calculatedColumnFormula>IF(T5=0," ",IF((RANK(T5,T$5:T$24,1)-COUNTIF(T$5:T$24,0)&gt;6)," ",RANK(T5,T$5:T$24,1)-COUNTIF(T$5:T$24,0)))</calculatedColumnFormula>
    </tableColumn>
    <tableColumn id="21" xr3:uid="{00000000-0010-0000-1100-000015000000}" name="Points14" dataDxfId="1203">
      <calculatedColumnFormula>IF(Table6220273233373839232444[[#This Row],[Non-Member]]="X"," ",IF(V5=" "," ",IFERROR(VLOOKUP(U5,Points!$A$2:$B$14,2,FALSE)," ")))</calculatedColumnFormula>
    </tableColumn>
    <tableColumn id="22" xr3:uid="{00000000-0010-0000-1100-000016000000}" name="Time/Score15" dataDxfId="1202" dataCellStyle="Comma"/>
    <tableColumn id="23" xr3:uid="{00000000-0010-0000-1100-000017000000}" name="Time/Score16" dataDxfId="1201">
      <calculatedColumnFormula>IF(X5=0," ",_xlfn.RANK.AVG(X5,X$5:X$24,1)-COUNTIF(X$5:X$24,0))</calculatedColumnFormula>
    </tableColumn>
    <tableColumn id="24" xr3:uid="{00000000-0010-0000-1100-000018000000}" name="Place16" dataDxfId="1200">
      <calculatedColumnFormula>IF(X5=0," ",IF((RANK(X5,X$5:X$24,1)-COUNTIF(X$5:X$24,0)&gt;6)," ",RANK(X5,X$5:X$24,1)-COUNTIF(X$5:X$24,0)))</calculatedColumnFormula>
    </tableColumn>
    <tableColumn id="25" xr3:uid="{00000000-0010-0000-1100-000019000000}" name="Points17" dataDxfId="1199">
      <calculatedColumnFormula>IF(Table6220273233373839232444[[#This Row],[Non-Member]]="X"," ",IF(Z5=" "," ",IFERROR(VLOOKUP(Y5,Points!$A$2:$B$14,2,FALSE)," ")))</calculatedColumnFormula>
    </tableColumn>
    <tableColumn id="26" xr3:uid="{00000000-0010-0000-1100-00001A000000}" name="Time/Score18" dataDxfId="1198" dataCellStyle="Comma"/>
    <tableColumn id="27" xr3:uid="{00000000-0010-0000-1100-00001B000000}" name="Time/Score19" dataDxfId="1197">
      <calculatedColumnFormula>IF(AB5=0," ",_xlfn.RANK.AVG(AB5,AB$5:AB$24,1)-COUNTIF(AB$5:AB$24,0))</calculatedColumnFormula>
    </tableColumn>
    <tableColumn id="28" xr3:uid="{00000000-0010-0000-1100-00001C000000}" name="Place19" dataDxfId="1196">
      <calculatedColumnFormula>IF(AB5=0," ",IF((RANK(AB5,AB$5:AB$24,1)-COUNTIF(AB$5:AB$24,0)&gt;6)," ",RANK(AB5,AB$5:AB$24,1)-COUNTIF(AB$5:AB$24,0)))</calculatedColumnFormula>
    </tableColumn>
    <tableColumn id="29" xr3:uid="{00000000-0010-0000-1100-00001D000000}" name="Points20" dataDxfId="1195">
      <calculatedColumnFormula>IF(Table6220273233373839232444[[#This Row],[Non-Member]]="X"," ",IF(AD5=" "," ",IFERROR(VLOOKUP(AC5,Points!$A$2:$B$14,2,FALSE)," ")))</calculatedColumnFormula>
    </tableColumn>
    <tableColumn id="30" xr3:uid="{00000000-0010-0000-1100-00001E000000}" name="Time/Score21" dataDxfId="1194" dataCellStyle="Comma">
      <calculatedColumnFormula>IF(OR(X5=0,AB5=0)," ",X5+AB5)</calculatedColumnFormula>
    </tableColumn>
    <tableColumn id="31" xr3:uid="{00000000-0010-0000-1100-00001F000000}" name="Time/Score22" dataDxfId="1193">
      <calculatedColumnFormula>IF(OR(AF5=0,AF5=" ")," ",_xlfn.RANK.AVG(AF5,AF$5:AF$24,1)-COUNTIF(AF$5:AF$24,0))</calculatedColumnFormula>
    </tableColumn>
    <tableColumn id="32" xr3:uid="{00000000-0010-0000-1100-000020000000}" name="Place22" dataDxfId="1192">
      <calculatedColumnFormula>IF(OR(AF5=0,AF5=" ")," ",IF((RANK(AF5,AF$5:AF$24,1)-COUNTIF(AF$5:AF$24,0)&gt;6)," ",RANK(AF5,AF$5:AF$24,1)-COUNTIF(AF$5:AF$24,0)))</calculatedColumnFormula>
    </tableColumn>
    <tableColumn id="33" xr3:uid="{00000000-0010-0000-1100-000021000000}" name="Points23" dataDxfId="1191">
      <calculatedColumnFormula>IF(Table6220273233373839232444[[#This Row],[Non-Member]]="X"," ",IF(AH5=" "," ",IFERROR(VLOOKUP(AG5,Points!$A$2:$B$14,2,FALSE)," ")))</calculatedColumnFormula>
    </tableColumn>
    <tableColumn id="34" xr3:uid="{00000000-0010-0000-1100-000022000000}" name="Points24" dataDxfId="1190">
      <calculatedColumnFormula>IF(Table6220273233373839232444[[#This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100-000023000000}" name="Points25" dataDxfId="1189" dataCellStyle="Comma">
      <calculatedColumnFormula>IF(AJ5=0," ",AJ5)</calculatedColumnFormula>
    </tableColumn>
    <tableColumn id="36" xr3:uid="{00000000-0010-0000-1100-000024000000}" name="Place26" dataDxfId="118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2000000}" name="Table63456891011233444402545" displayName="Table63456891011233444402545" ref="B4:AC24" totalsRowShown="0" headerRowDxfId="1187" dataDxfId="1186" tableBorderDxfId="1185">
  <sortState xmlns:xlrd2="http://schemas.microsoft.com/office/spreadsheetml/2017/richdata2" ref="B5:AC24">
    <sortCondition ref="AC5:AC24"/>
    <sortCondition ref="B5:B24"/>
  </sortState>
  <tableColumns count="28">
    <tableColumn id="1" xr3:uid="{00000000-0010-0000-1200-000001000000}" name="Name" dataDxfId="1184"/>
    <tableColumn id="39" xr3:uid="{00000000-0010-0000-1200-000027000000}" name="Points" dataDxfId="1183">
      <calculatedColumnFormula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calculatedColumnFormula>
    </tableColumn>
    <tableColumn id="4" xr3:uid="{00000000-0010-0000-1200-000004000000}" name="Column1" dataDxfId="1182">
      <calculatedColumnFormula>IF(C5&gt;0,C5," ")</calculatedColumnFormula>
    </tableColumn>
    <tableColumn id="5" xr3:uid="{00000000-0010-0000-1200-000005000000}" name="Place" dataDxfId="1181">
      <calculatedColumnFormula>IF(C5=0," ",RANK(C5,C$5:C$24,0))</calculatedColumnFormula>
    </tableColumn>
    <tableColumn id="43" xr3:uid="{00000000-0010-0000-1200-00002B000000}" name="Points4" dataDxfId="1180">
      <calculatedColumnFormula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calculatedColumnFormula>
    </tableColumn>
    <tableColumn id="6" xr3:uid="{00000000-0010-0000-1200-000006000000}" name="Points5" dataDxfId="1179">
      <calculatedColumnFormula>IF(F5&gt;0,F5," ")</calculatedColumnFormula>
    </tableColumn>
    <tableColumn id="44" xr3:uid="{00000000-0010-0000-1200-00002C000000}" name="Place5" dataDxfId="1178">
      <calculatedColumnFormula>IF(F5=0," ",RANK(F5,F$5:F$24,0))</calculatedColumnFormula>
    </tableColumn>
    <tableColumn id="46" xr3:uid="{00000000-0010-0000-1200-00002E000000}" name="Points43" dataDxfId="117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calculatedColumnFormula>
    </tableColumn>
    <tableColumn id="7" xr3:uid="{00000000-0010-0000-1200-000007000000}" name="Points432" dataDxfId="1176">
      <calculatedColumnFormula>IF(I5&gt;0,I5," ")</calculatedColumnFormula>
    </tableColumn>
    <tableColumn id="47" xr3:uid="{00000000-0010-0000-1200-00002F000000}" name="Place54" dataDxfId="1175">
      <calculatedColumnFormula>IF(I5=0," ",RANK(I5,I$5:I$24,0))</calculatedColumnFormula>
    </tableColumn>
    <tableColumn id="49" xr3:uid="{00000000-0010-0000-1200-000031000000}" name="Points44" dataDxfId="117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calculatedColumnFormula>
    </tableColumn>
    <tableColumn id="8" xr3:uid="{00000000-0010-0000-1200-000008000000}" name="Points442" dataDxfId="1173">
      <calculatedColumnFormula>IF(L5&gt;0,L5," ")</calculatedColumnFormula>
    </tableColumn>
    <tableColumn id="50" xr3:uid="{00000000-0010-0000-1200-000032000000}" name="Place55" dataDxfId="1172">
      <calculatedColumnFormula>IF(L5=0," ",RANK(L5,L$5:L$24,0))</calculatedColumnFormula>
    </tableColumn>
    <tableColumn id="52" xr3:uid="{00000000-0010-0000-1200-000034000000}" name="Points45" dataDxfId="117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calculatedColumnFormula>
    </tableColumn>
    <tableColumn id="9" xr3:uid="{00000000-0010-0000-1200-000009000000}" name="Points452" dataDxfId="1170">
      <calculatedColumnFormula>IF(O5&gt;0,O5," ")</calculatedColumnFormula>
    </tableColumn>
    <tableColumn id="53" xr3:uid="{00000000-0010-0000-1200-000035000000}" name="Place56" dataDxfId="1169">
      <calculatedColumnFormula>IF(O5=0," ",RANK(O5,O$5:O$24,0))</calculatedColumnFormula>
    </tableColumn>
    <tableColumn id="55" xr3:uid="{00000000-0010-0000-1200-000037000000}" name="Points46" dataDxfId="116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calculatedColumnFormula>
    </tableColumn>
    <tableColumn id="10" xr3:uid="{00000000-0010-0000-1200-00000A000000}" name="Points462" dataDxfId="1167">
      <calculatedColumnFormula>IF(R5&gt;0,R5," ")</calculatedColumnFormula>
    </tableColumn>
    <tableColumn id="56" xr3:uid="{00000000-0010-0000-1200-000038000000}" name="Place57" dataDxfId="1166">
      <calculatedColumnFormula>IF(R5=0," ",RANK(R5,R$5:R$24,0))</calculatedColumnFormula>
    </tableColumn>
    <tableColumn id="58" xr3:uid="{00000000-0010-0000-1200-00003A000000}" name="Points47" dataDxfId="116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calculatedColumnFormula>
    </tableColumn>
    <tableColumn id="11" xr3:uid="{00000000-0010-0000-1200-00000B000000}" name="Points472" dataDxfId="1164">
      <calculatedColumnFormula>IF(U5&gt;0,U5," ")</calculatedColumnFormula>
    </tableColumn>
    <tableColumn id="59" xr3:uid="{00000000-0010-0000-1200-00003B000000}" name="Place58" dataDxfId="1163">
      <calculatedColumnFormula>IF(U5=0," ",RANK(U5,U$5:U$24,0))</calculatedColumnFormula>
    </tableColumn>
    <tableColumn id="61" xr3:uid="{00000000-0010-0000-1200-00003D000000}" name="Points48" dataDxfId="116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calculatedColumnFormula>
    </tableColumn>
    <tableColumn id="12" xr3:uid="{00000000-0010-0000-1200-00000C000000}" name="Points49" dataDxfId="1161">
      <calculatedColumnFormula>IF(X5&gt;0,X5," ")</calculatedColumnFormula>
    </tableColumn>
    <tableColumn id="62" xr3:uid="{00000000-0010-0000-1200-00003E000000}" name="Place59" dataDxfId="1160">
      <calculatedColumnFormula>IF(X5=0," ",RANK(X5,X$5:X$24,0))</calculatedColumnFormula>
    </tableColumn>
    <tableColumn id="2" xr3:uid="{00000000-0010-0000-1200-000002000000}" name="Points482" dataDxfId="1159">
      <calculatedColumnFormula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calculatedColumnFormula>
    </tableColumn>
    <tableColumn id="13" xr3:uid="{00000000-0010-0000-1200-00000D000000}" name="Points483" dataDxfId="1158">
      <calculatedColumnFormula>IF(AA5&gt;0,AA5," ")</calculatedColumnFormula>
    </tableColumn>
    <tableColumn id="3" xr3:uid="{00000000-0010-0000-1200-000003000000}" name="Place593" dataDxfId="115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1000000}" name="Table62202732333738224248" displayName="Table62202732333738224248" ref="B4:AL24" totalsRowShown="0" headerRowDxfId="1797" dataDxfId="1796" tableBorderDxfId="1795">
  <autoFilter ref="B4:AL24" xr:uid="{00000000-0009-0000-0100-00002F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100-000001000000}" name="Name" dataDxfId="1794"/>
    <tableColumn id="37" xr3:uid="{00000000-0010-0000-0100-000025000000}" name="Non-Member" dataDxfId="1793"/>
    <tableColumn id="2" xr3:uid="{00000000-0010-0000-0100-000002000000}" name="Time/Score" dataDxfId="1792" dataCellStyle="Comma"/>
    <tableColumn id="3" xr3:uid="{00000000-0010-0000-0100-000003000000}" name="Column2" dataDxfId="1791">
      <calculatedColumnFormula>IF(D5=0," ",_xlfn.RANK.AVG(D5,D$5:D$24,1)-COUNTIF(D$5:D$24,0))</calculatedColumnFormula>
    </tableColumn>
    <tableColumn id="4" xr3:uid="{00000000-0010-0000-0100-000004000000}" name="Place" dataDxfId="1790">
      <calculatedColumnFormula>IF(D5=0," ",IF((RANK(D5,D$5:D$24,1)-COUNTIF(D$5:D$24,0)&gt;6)," ",RANK(D5,D$5:D$24,1)-COUNTIF(D$5:D$24,0)))</calculatedColumnFormula>
    </tableColumn>
    <tableColumn id="5" xr3:uid="{00000000-0010-0000-0100-000005000000}" name="Points" dataDxfId="1789">
      <calculatedColumnFormula>IF(Table62202732333738224248[[#This Row],[Non-Member]]="X"," ",IF(F5=" "," ",IFERROR(VLOOKUP(E5,Points!$A$2:$B$14,2,FALSE)," ")))</calculatedColumnFormula>
    </tableColumn>
    <tableColumn id="6" xr3:uid="{00000000-0010-0000-0100-000006000000}" name="Time/Score3" dataDxfId="1788" dataCellStyle="Comma"/>
    <tableColumn id="7" xr3:uid="{00000000-0010-0000-0100-000007000000}" name="Time/Score4" dataDxfId="1787">
      <calculatedColumnFormula>IF(H5=0," ",_xlfn.RANK.AVG(H5,H$5:H$24,1)-COUNTIF(H$5:H$24,0))</calculatedColumnFormula>
    </tableColumn>
    <tableColumn id="8" xr3:uid="{00000000-0010-0000-0100-000008000000}" name="Place4" dataDxfId="1786">
      <calculatedColumnFormula>IF(H5=0," ",IF((RANK(H5,H$5:H$24,1)-COUNTIF(H$5:H$24,0)&gt;6)," ",RANK(H5,H$5:H$24,1)-COUNTIF(H$5:H$24,0)))</calculatedColumnFormula>
    </tableColumn>
    <tableColumn id="9" xr3:uid="{00000000-0010-0000-0100-000009000000}" name="Points5" dataDxfId="1785">
      <calculatedColumnFormula>IF(Table62202732333738224248[[#This Row],[Non-Member]]="X"," ",IF(J5=" "," ",IFERROR(VLOOKUP(I5,Points!$A$2:$B$14,2,FALSE)," ")))</calculatedColumnFormula>
    </tableColumn>
    <tableColumn id="10" xr3:uid="{00000000-0010-0000-0100-00000A000000}" name="Time/Score6" dataDxfId="1784" dataCellStyle="Comma"/>
    <tableColumn id="11" xr3:uid="{00000000-0010-0000-0100-00000B000000}" name="Time/Score7" dataDxfId="1783">
      <calculatedColumnFormula>IF(L5=0," ",_xlfn.RANK.AVG(L5,L$5:L$24,1)-COUNTIF(L$5:L$24,0))</calculatedColumnFormula>
    </tableColumn>
    <tableColumn id="12" xr3:uid="{00000000-0010-0000-0100-00000C000000}" name="Place7" dataDxfId="1782">
      <calculatedColumnFormula>IF(L5=0," ",IF((RANK(L5,L$5:L$24,1)-COUNTIF(L$5:L$24,0)&gt;6)," ",RANK(L5,L$5:L$24,1)-COUNTIF(L$5:L$24,0)))</calculatedColumnFormula>
    </tableColumn>
    <tableColumn id="13" xr3:uid="{00000000-0010-0000-0100-00000D000000}" name="Points8" dataDxfId="1781">
      <calculatedColumnFormula>IF(Table62202732333738224248[[#This Row],[Non-Member]]="X"," ",IF(N5=" "," ",IFERROR(VLOOKUP(M5,Points!$A$2:$B$14,2,FALSE)," ")))</calculatedColumnFormula>
    </tableColumn>
    <tableColumn id="14" xr3:uid="{00000000-0010-0000-0100-00000E000000}" name="Time/Score9" dataDxfId="1780" dataCellStyle="Comma"/>
    <tableColumn id="15" xr3:uid="{00000000-0010-0000-0100-00000F000000}" name="Time/Score10" dataDxfId="1779">
      <calculatedColumnFormula>IF(P5=0," ",_xlfn.RANK.AVG(P5,P$5:P$24,1)-COUNTIF(P$5:P$24,0))</calculatedColumnFormula>
    </tableColumn>
    <tableColumn id="16" xr3:uid="{00000000-0010-0000-0100-000010000000}" name="Place10" dataDxfId="1778">
      <calculatedColumnFormula>IF(P5=0," ",IF((RANK(P5,P$5:P$24,1)-COUNTIF(P$5:P$24,0)&gt;6)," ",RANK(P5,P$5:P$24,1)-COUNTIF(P$5:P$24,0)))</calculatedColumnFormula>
    </tableColumn>
    <tableColumn id="17" xr3:uid="{00000000-0010-0000-0100-000011000000}" name="Points11" dataDxfId="1777">
      <calculatedColumnFormula>IF(Table62202732333738224248[[#This Row],[Non-Member]]="X"," ",IF(R5=" "," ",IFERROR(VLOOKUP(Q5,Points!$A$2:$B$14,2,FALSE)," ")))</calculatedColumnFormula>
    </tableColumn>
    <tableColumn id="18" xr3:uid="{00000000-0010-0000-0100-000012000000}" name="Time/Score12" dataDxfId="1776" dataCellStyle="Comma"/>
    <tableColumn id="19" xr3:uid="{00000000-0010-0000-0100-000013000000}" name="Time/Score13" dataDxfId="1775">
      <calculatedColumnFormula>IF(T5=0," ",_xlfn.RANK.AVG(T5,T$5:T$24,1)-COUNTIF(T$5:T$24,0))</calculatedColumnFormula>
    </tableColumn>
    <tableColumn id="20" xr3:uid="{00000000-0010-0000-0100-000014000000}" name="Place13" dataDxfId="1774">
      <calculatedColumnFormula>IF(T5=0," ",IF((RANK(T5,T$5:T$24,1)-COUNTIF(T$5:T$24,0)&gt;6)," ",RANK(T5,T$5:T$24,1)-COUNTIF(T$5:T$24,0)))</calculatedColumnFormula>
    </tableColumn>
    <tableColumn id="21" xr3:uid="{00000000-0010-0000-0100-000015000000}" name="Points14" dataDxfId="1773">
      <calculatedColumnFormula>IF(Table62202732333738224248[[#This Row],[Non-Member]]="X"," ",IF(V5=" "," ",IFERROR(VLOOKUP(U5,Points!$A$2:$B$14,2,FALSE)," ")))</calculatedColumnFormula>
    </tableColumn>
    <tableColumn id="22" xr3:uid="{00000000-0010-0000-0100-000016000000}" name="Time/Score15" dataDxfId="1772" dataCellStyle="Comma"/>
    <tableColumn id="23" xr3:uid="{00000000-0010-0000-0100-000017000000}" name="Time/Score16" dataDxfId="1771">
      <calculatedColumnFormula>IF(X5=0," ",_xlfn.RANK.AVG(X5,X$5:X$24,1)-COUNTIF(X$5:X$24,0))</calculatedColumnFormula>
    </tableColumn>
    <tableColumn id="24" xr3:uid="{00000000-0010-0000-0100-000018000000}" name="Place16" dataDxfId="1770">
      <calculatedColumnFormula>IF(X5=0," ",IF((RANK(X5,X$5:X$24,1)-COUNTIF(X$5:X$24,0)&gt;6)," ",RANK(X5,X$5:X$24,1)-COUNTIF(X$5:X$24,0)))</calculatedColumnFormula>
    </tableColumn>
    <tableColumn id="25" xr3:uid="{00000000-0010-0000-0100-000019000000}" name="Points17" dataDxfId="1769">
      <calculatedColumnFormula>IF(Table62202732333738224248[[#This Row],[Non-Member]]="X"," ",IF(Z5=" "," ",IFERROR(VLOOKUP(Y5,Points!$A$2:$B$14,2,FALSE)," ")))</calculatedColumnFormula>
    </tableColumn>
    <tableColumn id="26" xr3:uid="{00000000-0010-0000-0100-00001A000000}" name="Time/Score18" dataDxfId="1768" dataCellStyle="Comma"/>
    <tableColumn id="27" xr3:uid="{00000000-0010-0000-0100-00001B000000}" name="Time/Score19" dataDxfId="1767">
      <calculatedColumnFormula>IF(AB5=0," ",_xlfn.RANK.AVG(AB5,AB$5:AB$24,1)-COUNTIF(AB$5:AB$24,0))</calculatedColumnFormula>
    </tableColumn>
    <tableColumn id="28" xr3:uid="{00000000-0010-0000-0100-00001C000000}" name="Place19" dataDxfId="1766">
      <calculatedColumnFormula>IF(AB5=0," ",IF((RANK(AB5,AB$5:AB$24,1)-COUNTIF(AB$5:AB$24,0)&gt;6)," ",RANK(AB5,AB$5:AB$24,1)-COUNTIF(AB$5:AB$24,0)))</calculatedColumnFormula>
    </tableColumn>
    <tableColumn id="29" xr3:uid="{00000000-0010-0000-0100-00001D000000}" name="Points20" dataDxfId="1765">
      <calculatedColumnFormula>IF(Table62202732333738224248[[#This Row],[Non-Member]]="X"," ",IF(AD5=" "," ",IFERROR(VLOOKUP(AC5,Points!$A$2:$B$14,2,FALSE)," ")))</calculatedColumnFormula>
    </tableColumn>
    <tableColumn id="30" xr3:uid="{00000000-0010-0000-0100-00001E000000}" name="Time/Score21" dataDxfId="1764" dataCellStyle="Comma">
      <calculatedColumnFormula>IF(OR(X5=0,AB5=0)," ",X5+AB5)</calculatedColumnFormula>
    </tableColumn>
    <tableColumn id="31" xr3:uid="{00000000-0010-0000-0100-00001F000000}" name="Time/Score22" dataDxfId="1763">
      <calculatedColumnFormula>IF(OR(AF5=0,AF5=" ")," ",_xlfn.RANK.AVG(AF5,AF$5:AF$24,1)-COUNTIF(AF$5:AF$24,0))</calculatedColumnFormula>
    </tableColumn>
    <tableColumn id="32" xr3:uid="{00000000-0010-0000-0100-000020000000}" name="Place22" dataDxfId="1762">
      <calculatedColumnFormula>IF(OR(AF5=0,AF5=" ")," ",IF((RANK(AF5,AF$5:AF$24,1)-COUNTIF(AF$5:AF$24,0)&gt;6)," ",RANK(AF5,AF$5:AF$24,1)-COUNTIF(AF$5:AF$24,0)))</calculatedColumnFormula>
    </tableColumn>
    <tableColumn id="33" xr3:uid="{00000000-0010-0000-0100-000021000000}" name="Points23" dataDxfId="1761">
      <calculatedColumnFormula>IF(Table62202732333738224248[[#This Row],[Non-Member]]="X"," ",IF(AH5=" "," ",IFERROR(VLOOKUP(AG5,Points!$A$2:$B$14,2,FALSE)," ")))</calculatedColumnFormula>
    </tableColumn>
    <tableColumn id="34" xr3:uid="{00000000-0010-0000-0100-000022000000}" name="Points24" dataDxfId="1760">
      <calculatedColumnFormula>IF(Table62202732333738224248[[#This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100-000023000000}" name="Points25" dataDxfId="1759" dataCellStyle="Comma">
      <calculatedColumnFormula>IF(AJ5=0," ",AJ5)</calculatedColumnFormula>
    </tableColumn>
    <tableColumn id="36" xr3:uid="{00000000-0010-0000-0100-000024000000}" name="Place26" dataDxfId="17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3000000}" name="Table6220273233341718193051210" displayName="Table6220273233341718193051210" ref="B4:AH34" totalsRowShown="0" headerRowDxfId="1156" dataDxfId="1155" tableBorderDxfId="1154">
  <autoFilter ref="B4:AH34" xr:uid="{00000000-0009-0000-0100-000009000000}"/>
  <sortState xmlns:xlrd2="http://schemas.microsoft.com/office/spreadsheetml/2017/richdata2" ref="B5:AH34">
    <sortCondition ref="I5:I34"/>
    <sortCondition ref="B5:B34"/>
  </sortState>
  <tableColumns count="33">
    <tableColumn id="1" xr3:uid="{00000000-0010-0000-1300-000001000000}" name="Name" dataDxfId="1153"/>
    <tableColumn id="2" xr3:uid="{00000000-0010-0000-1300-000002000000}" name="Time/Score" dataDxfId="1152" dataCellStyle="Comma"/>
    <tableColumn id="3" xr3:uid="{00000000-0010-0000-1300-000003000000}" name="Column2" dataDxfId="1151">
      <calculatedColumnFormula>IF(C5=0," ",_xlfn.RANK.AVG(C5,C$5:C$34,1)-COUNTIF(C$5:C$34,0))</calculatedColumnFormula>
    </tableColumn>
    <tableColumn id="4" xr3:uid="{00000000-0010-0000-1300-000004000000}" name="Place" dataDxfId="1150">
      <calculatedColumnFormula>IF(C5=0," ",IF((RANK(C5,C$5:C$34,1)-COUNTIF(C$5:C$34,0)&gt;6)," ",RANK(C5,C$5:C$34,1)-COUNTIF(C$5:C$34,0)))</calculatedColumnFormula>
    </tableColumn>
    <tableColumn id="5" xr3:uid="{00000000-0010-0000-1300-000005000000}" name="Points" dataDxfId="1149">
      <calculatedColumnFormula>IF(E5=" "," ",IFERROR(VLOOKUP(D5,Points!$A$2:$B$14,2,FALSE)," "))</calculatedColumnFormula>
    </tableColumn>
    <tableColumn id="6" xr3:uid="{00000000-0010-0000-1300-000006000000}" name="Time/Score3" dataDxfId="1148" dataCellStyle="Comma"/>
    <tableColumn id="7" xr3:uid="{00000000-0010-0000-1300-000007000000}" name="Time/Score4" dataDxfId="1147">
      <calculatedColumnFormula>IF(G5=0," ",_xlfn.RANK.AVG(G5,G$5:G$34,1)-COUNTIF(G$5:G$34,0))</calculatedColumnFormula>
    </tableColumn>
    <tableColumn id="8" xr3:uid="{00000000-0010-0000-1300-000008000000}" name="Place4" dataDxfId="1146">
      <calculatedColumnFormula>IF(G5=0," ",IF((RANK(G5,G$5:G$34,1)-COUNTIF(G$5:G$34,0)&gt;6)," ",RANK(G5,G$5:G$34,1)-COUNTIF(G$5:G$34,0)))</calculatedColumnFormula>
    </tableColumn>
    <tableColumn id="9" xr3:uid="{00000000-0010-0000-1300-000009000000}" name="Points5" dataDxfId="1145">
      <calculatedColumnFormula>IF(I5=" "," ",IFERROR(VLOOKUP(H5,Points!$A$2:$B$14,2,FALSE)," "))</calculatedColumnFormula>
    </tableColumn>
    <tableColumn id="10" xr3:uid="{00000000-0010-0000-1300-00000A000000}" name="Time/Score6" dataDxfId="1144" dataCellStyle="Comma"/>
    <tableColumn id="11" xr3:uid="{00000000-0010-0000-1300-00000B000000}" name="Time/Score7" dataDxfId="1143">
      <calculatedColumnFormula>IF(K5=0," ",_xlfn.RANK.AVG(K5,K$5:K$34,1)-COUNTIF(K$5:K$34,0))</calculatedColumnFormula>
    </tableColumn>
    <tableColumn id="12" xr3:uid="{00000000-0010-0000-1300-00000C000000}" name="Place7" dataDxfId="1142">
      <calculatedColumnFormula>IF(K5=0," ",IF((RANK(K5,K$5:K$34,1)-COUNTIF(K$5:K$34,0)&gt;6)," ",RANK(K5,K$5:K$34,1)-COUNTIF(K$5:K$34,0)))</calculatedColumnFormula>
    </tableColumn>
    <tableColumn id="13" xr3:uid="{00000000-0010-0000-1300-00000D000000}" name="Points8" dataDxfId="1141">
      <calculatedColumnFormula>IF(M5=" "," ",IFERROR(VLOOKUP(L5,Points!$A$2:$B$14,2,FALSE)," "))</calculatedColumnFormula>
    </tableColumn>
    <tableColumn id="14" xr3:uid="{00000000-0010-0000-1300-00000E000000}" name="Time/Score9" dataDxfId="1140" dataCellStyle="Comma"/>
    <tableColumn id="15" xr3:uid="{00000000-0010-0000-1300-00000F000000}" name="Time/Score10" dataDxfId="1139">
      <calculatedColumnFormula>IF(O5=0," ",_xlfn.RANK.AVG(O5,O$5:O$34,1)-COUNTIF(O$5:O$34,0))</calculatedColumnFormula>
    </tableColumn>
    <tableColumn id="16" xr3:uid="{00000000-0010-0000-1300-000010000000}" name="Place10" dataDxfId="1138">
      <calculatedColumnFormula>IF(O5=0," ",IF((RANK(O5,O$5:O$34,1)-COUNTIF(O$5:O$34,0)&gt;6)," ",RANK(O5,O$5:O$34,1)-COUNTIF(O$5:O$34,0)))</calculatedColumnFormula>
    </tableColumn>
    <tableColumn id="17" xr3:uid="{00000000-0010-0000-1300-000011000000}" name="Points11" dataDxfId="1137">
      <calculatedColumnFormula>IF(Q5=" "," ",IFERROR(VLOOKUP(P5,Points!$A$2:$B$14,2,FALSE)," "))</calculatedColumnFormula>
    </tableColumn>
    <tableColumn id="18" xr3:uid="{00000000-0010-0000-1300-000012000000}" name="Time/Score12" dataDxfId="1136" dataCellStyle="Comma"/>
    <tableColumn id="19" xr3:uid="{00000000-0010-0000-1300-000013000000}" name="Time/Score13" dataDxfId="1135">
      <calculatedColumnFormula>IF(S5=0," ",_xlfn.RANK.AVG(S5,S$5:S$34,1)-COUNTIF(S$5:S$34,0))</calculatedColumnFormula>
    </tableColumn>
    <tableColumn id="20" xr3:uid="{00000000-0010-0000-1300-000014000000}" name="Place13" dataDxfId="1134">
      <calculatedColumnFormula>IF(S5=0," ",IF((RANK(S5,S$5:S$34,1)-COUNTIF(S$5:S$34,0)&gt;6)," ",RANK(S5,S$5:S$34,1)-COUNTIF(S$5:S$34,0)))</calculatedColumnFormula>
    </tableColumn>
    <tableColumn id="21" xr3:uid="{00000000-0010-0000-1300-000015000000}" name="Points14" dataDxfId="1133">
      <calculatedColumnFormula>IF(U5=" "," ",IFERROR(VLOOKUP(T5,Points!$A$2:$B$14,2,FALSE)," "))</calculatedColumnFormula>
    </tableColumn>
    <tableColumn id="22" xr3:uid="{00000000-0010-0000-1300-000016000000}" name="Time/Score15" dataDxfId="1132" dataCellStyle="Comma"/>
    <tableColumn id="23" xr3:uid="{00000000-0010-0000-1300-000017000000}" name="Time/Score16" dataDxfId="1131">
      <calculatedColumnFormula>IF(W5=0," ",_xlfn.RANK.AVG(W5,W$5:W$34,1)-COUNTIF(W$5:W$34,0))</calculatedColumnFormula>
    </tableColumn>
    <tableColumn id="24" xr3:uid="{00000000-0010-0000-1300-000018000000}" name="Place16" dataDxfId="1130">
      <calculatedColumnFormula>IF(W5=0," ",IF((RANK(W5,W$5:W$34,1)-COUNTIF(W$5:W$34,0)&gt;6)," ",RANK(W5,W$5:W$34,1)-COUNTIF(W$5:W$34,0)))</calculatedColumnFormula>
    </tableColumn>
    <tableColumn id="25" xr3:uid="{00000000-0010-0000-1300-000019000000}" name="Points17" dataDxfId="1129">
      <calculatedColumnFormula>IF(Y5=" "," ",IFERROR(VLOOKUP(X5,Points!$A$2:$B$14,2,FALSE)," "))</calculatedColumnFormula>
    </tableColumn>
    <tableColumn id="26" xr3:uid="{00000000-0010-0000-1300-00001A000000}" name="Time/Score18" dataDxfId="1128" dataCellStyle="Comma"/>
    <tableColumn id="27" xr3:uid="{00000000-0010-0000-1300-00001B000000}" name="Time/Score19" dataDxfId="1127">
      <calculatedColumnFormula>IF(AA5=0," ",_xlfn.RANK.AVG(AA5,AA$5:AA$34,1)-COUNTIF(AA$5:AA$34,0))</calculatedColumnFormula>
    </tableColumn>
    <tableColumn id="28" xr3:uid="{00000000-0010-0000-1300-00001C000000}" name="Place19" dataDxfId="1126">
      <calculatedColumnFormula>IF(AA5=0," ",IF((RANK(AA5,AA$5:AA$34,1)-COUNTIF(AA$5:AA$34,0)&gt;6)," ",RANK(AA5,AA$5:AA$34,1)-COUNTIF(AA$5:AA$34,0)))</calculatedColumnFormula>
    </tableColumn>
    <tableColumn id="29" xr3:uid="{00000000-0010-0000-1300-00001D000000}" name="Points20" dataDxfId="1125">
      <calculatedColumnFormula>IF(AC5=" "," ",IFERROR(VLOOKUP(AB5,Points!$A$2:$B$14,2,FALSE)," "))</calculatedColumnFormula>
    </tableColumn>
    <tableColumn id="30" xr3:uid="{00000000-0010-0000-1300-00001E000000}" name="Time/Score21" dataDxfId="1124" dataCellStyle="Comma">
      <calculatedColumnFormula>IF(OR(W5=0,AA5=0)," ",W5+AA5)</calculatedColumnFormula>
    </tableColumn>
    <tableColumn id="31" xr3:uid="{00000000-0010-0000-1300-00001F000000}" name="Time/Score22" dataDxfId="1123">
      <calculatedColumnFormula>IF(OR(AE5=0,AE5=" ")," ",_xlfn.RANK.AVG(AE5,AE$5:AE$34,1)-COUNTIF(AE$5:AE$34,0))</calculatedColumnFormula>
    </tableColumn>
    <tableColumn id="32" xr3:uid="{00000000-0010-0000-1300-000020000000}" name="Place22" dataDxfId="1122">
      <calculatedColumnFormula>IF(OR(AE5=0,AE5=" ")," ",IF((RANK(AE5,AE$5:AE$34,1)-COUNTIF(AE$5:AE$34,0)&gt;6)," ",RANK(AE5,AE$5:AE$34,1)-COUNTIF(AE$5:AE$34,0)))</calculatedColumnFormula>
    </tableColumn>
    <tableColumn id="33" xr3:uid="{00000000-0010-0000-1300-000021000000}" name="Points23" dataDxfId="112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4000000}" name="Table622027323334171819305148" displayName="Table622027323334171819305148" ref="B4:N24" totalsRowShown="0" headerRowDxfId="1120" dataDxfId="1119" tableBorderDxfId="1118">
  <autoFilter ref="B4:N24" xr:uid="{00000000-0009-0000-0100-000007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400-000001000000}" name="Name" dataDxfId="1117"/>
    <tableColumn id="37" xr3:uid="{00000000-0010-0000-1400-000025000000}" name="Non-Member" dataDxfId="1116"/>
    <tableColumn id="5" xr3:uid="{00000000-0010-0000-1400-000005000000}" name="Points" dataDxfId="1115"/>
    <tableColumn id="9" xr3:uid="{00000000-0010-0000-1400-000009000000}" name="Points5" dataDxfId="1114"/>
    <tableColumn id="13" xr3:uid="{00000000-0010-0000-1400-00000D000000}" name="Points8" dataDxfId="1113"/>
    <tableColumn id="17" xr3:uid="{00000000-0010-0000-1400-000011000000}" name="Points11" dataDxfId="1112"/>
    <tableColumn id="21" xr3:uid="{00000000-0010-0000-1400-000015000000}" name="Points14" dataDxfId="1111"/>
    <tableColumn id="25" xr3:uid="{00000000-0010-0000-1400-000019000000}" name="Points17" dataDxfId="1110"/>
    <tableColumn id="29" xr3:uid="{00000000-0010-0000-1400-00001D000000}" name="Points20" dataDxfId="1109"/>
    <tableColumn id="33" xr3:uid="{00000000-0010-0000-1400-000021000000}" name="Points23" dataDxfId="1108"/>
    <tableColumn id="34" xr3:uid="{00000000-0010-0000-1400-000022000000}" name="Points24" dataDxfId="1107">
      <calculatedColumnFormula>IF(Table622027323334171819305148[[#This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400-000023000000}" name="Points25" dataDxfId="1106" dataCellStyle="Comma">
      <calculatedColumnFormula>IF(L5=0," ",L5)</calculatedColumnFormula>
    </tableColumn>
    <tableColumn id="36" xr3:uid="{00000000-0010-0000-1400-000024000000}" name="Place26" dataDxfId="110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5000000}" name="Table62202732333417181930" displayName="Table62202732333417181930" ref="B4:AL24" totalsRowShown="0" headerRowDxfId="1104" dataDxfId="1103" tableBorderDxfId="1102">
  <autoFilter ref="B4:AL24" xr:uid="{00000000-0009-0000-0100-00001D000000}"/>
  <sortState xmlns:xlrd2="http://schemas.microsoft.com/office/spreadsheetml/2017/richdata2" ref="B5:AL24">
    <sortCondition ref="AL4:AL24"/>
  </sortState>
  <tableColumns count="37">
    <tableColumn id="1" xr3:uid="{00000000-0010-0000-1500-000001000000}" name="Name" dataDxfId="1101"/>
    <tableColumn id="37" xr3:uid="{00000000-0010-0000-1500-000025000000}" name="Non-Member" dataDxfId="1100"/>
    <tableColumn id="2" xr3:uid="{00000000-0010-0000-1500-000002000000}" name="Time/Score" dataDxfId="1099" dataCellStyle="Comma"/>
    <tableColumn id="3" xr3:uid="{00000000-0010-0000-1500-000003000000}" name="Column2" dataDxfId="1098">
      <calculatedColumnFormula>IF(D5=0," ",_xlfn.RANK.AVG(D5,D$5:D$24,1)-COUNTIF(D$5:D$24,0))</calculatedColumnFormula>
    </tableColumn>
    <tableColumn id="4" xr3:uid="{00000000-0010-0000-1500-000004000000}" name="Place" dataDxfId="1097">
      <calculatedColumnFormula>IF(D5=0," ",IF((RANK(D5,D$5:D$24,1)-COUNTIF(D$5:D$24,0)&gt;6)," ",RANK(D5,D$5:D$24,1)-COUNTIF(D$5:D$24,0)))</calculatedColumnFormula>
    </tableColumn>
    <tableColumn id="5" xr3:uid="{00000000-0010-0000-1500-000005000000}" name="Points" dataDxfId="1096">
      <calculatedColumnFormula>IF(Table62202732333417181930[[#This Row],[Non-Member]]="X"," ",IF(F5=" "," ",IFERROR(VLOOKUP(E5,Points!$A$2:$B$14,2,FALSE)," ")))</calculatedColumnFormula>
    </tableColumn>
    <tableColumn id="6" xr3:uid="{00000000-0010-0000-1500-000006000000}" name="Time/Score3" dataDxfId="1095" dataCellStyle="Comma"/>
    <tableColumn id="7" xr3:uid="{00000000-0010-0000-1500-000007000000}" name="Time/Score4" dataDxfId="1094">
      <calculatedColumnFormula>IF(H5=0," ",_xlfn.RANK.AVG(H5,H$5:H$24,1)-COUNTIF(H$5:H$24,0))</calculatedColumnFormula>
    </tableColumn>
    <tableColumn id="8" xr3:uid="{00000000-0010-0000-1500-000008000000}" name="Place4" dataDxfId="1093">
      <calculatedColumnFormula>IF(H5=0," ",IF((RANK(H5,H$5:H$24,1)-COUNTIF(H$5:H$24,0)&gt;6)," ",RANK(H5,H$5:H$24,1)-COUNTIF(H$5:H$24,0)))</calculatedColumnFormula>
    </tableColumn>
    <tableColumn id="9" xr3:uid="{00000000-0010-0000-1500-000009000000}" name="Points5" dataDxfId="1092">
      <calculatedColumnFormula>IF(Table62202732333417181930[[#This Row],[Non-Member]]="X"," ",IF(J5=" "," ",IFERROR(VLOOKUP(I5,Points!$A$2:$B$14,2,FALSE)," ")))</calculatedColumnFormula>
    </tableColumn>
    <tableColumn id="10" xr3:uid="{00000000-0010-0000-1500-00000A000000}" name="Time/Score6" dataDxfId="1091" dataCellStyle="Comma"/>
    <tableColumn id="11" xr3:uid="{00000000-0010-0000-1500-00000B000000}" name="Time/Score7" dataDxfId="1090">
      <calculatedColumnFormula>IF(L5=0," ",_xlfn.RANK.AVG(L5,L$5:L$24,1)-COUNTIF(L$5:L$24,0))</calculatedColumnFormula>
    </tableColumn>
    <tableColumn id="12" xr3:uid="{00000000-0010-0000-1500-00000C000000}" name="Place7" dataDxfId="1089">
      <calculatedColumnFormula>IF(L5=0," ",IF((RANK(L5,L$5:L$24,1)-COUNTIF(L$5:L$24,0)&gt;6)," ",RANK(L5,L$5:L$24,1)-COUNTIF(L$5:L$24,0)))</calculatedColumnFormula>
    </tableColumn>
    <tableColumn id="13" xr3:uid="{00000000-0010-0000-1500-00000D000000}" name="Points8" dataDxfId="1088">
      <calculatedColumnFormula>IF(Table62202732333417181930[[#This Row],[Non-Member]]="X"," ",IF(N5=" "," ",IFERROR(VLOOKUP(M5,Points!$A$2:$B$14,2,FALSE)," ")))</calculatedColumnFormula>
    </tableColumn>
    <tableColumn id="14" xr3:uid="{00000000-0010-0000-1500-00000E000000}" name="Time/Score9" dataDxfId="1087" dataCellStyle="Comma"/>
    <tableColumn id="15" xr3:uid="{00000000-0010-0000-1500-00000F000000}" name="Time/Score10" dataDxfId="1086">
      <calculatedColumnFormula>IF(P5=0," ",_xlfn.RANK.AVG(P5,P$5:P$24,1)-COUNTIF(P$5:P$24,0))</calculatedColumnFormula>
    </tableColumn>
    <tableColumn id="16" xr3:uid="{00000000-0010-0000-1500-000010000000}" name="Place10" dataDxfId="1085">
      <calculatedColumnFormula>IF(P5=0," ",IF((RANK(P5,P$5:P$24,1)-COUNTIF(P$5:P$24,0)&gt;6)," ",RANK(P5,P$5:P$24,1)-COUNTIF(P$5:P$24,0)))</calculatedColumnFormula>
    </tableColumn>
    <tableColumn id="17" xr3:uid="{00000000-0010-0000-1500-000011000000}" name="Points11" dataDxfId="1084">
      <calculatedColumnFormula>IF(Table62202732333417181930[[#This Row],[Non-Member]]="X"," ",IF(R5=" "," ",IFERROR(VLOOKUP(Q5,Points!$A$2:$B$14,2,FALSE)," ")))</calculatedColumnFormula>
    </tableColumn>
    <tableColumn id="18" xr3:uid="{00000000-0010-0000-1500-000012000000}" name="Time/Score12" dataDxfId="1083" dataCellStyle="Comma"/>
    <tableColumn id="19" xr3:uid="{00000000-0010-0000-1500-000013000000}" name="Time/Score13" dataDxfId="1082">
      <calculatedColumnFormula>IF(T5=0," ",_xlfn.RANK.AVG(T5,T$5:T$24,1)-COUNTIF(T$5:T$24,0))</calculatedColumnFormula>
    </tableColumn>
    <tableColumn id="20" xr3:uid="{00000000-0010-0000-1500-000014000000}" name="Place13" dataDxfId="1081">
      <calculatedColumnFormula>IF(T5=0," ",IF((RANK(T5,T$5:T$24,1)-COUNTIF(T$5:T$24,0)&gt;6)," ",RANK(T5,T$5:T$24,1)-COUNTIF(T$5:T$24,0)))</calculatedColumnFormula>
    </tableColumn>
    <tableColumn id="21" xr3:uid="{00000000-0010-0000-1500-000015000000}" name="Points14" dataDxfId="1080">
      <calculatedColumnFormula>IF(Table62202732333417181930[[#This Row],[Non-Member]]="X"," ",IF(V5=" "," ",IFERROR(VLOOKUP(U5,Points!$A$2:$B$14,2,FALSE)," ")))</calculatedColumnFormula>
    </tableColumn>
    <tableColumn id="22" xr3:uid="{00000000-0010-0000-1500-000016000000}" name="Time/Score15" dataDxfId="1079" dataCellStyle="Comma"/>
    <tableColumn id="23" xr3:uid="{00000000-0010-0000-1500-000017000000}" name="Time/Score16" dataDxfId="1078">
      <calculatedColumnFormula>IF(X5=0," ",_xlfn.RANK.AVG(X5,X$5:X$24,1)-COUNTIF(X$5:X$24,0))</calculatedColumnFormula>
    </tableColumn>
    <tableColumn id="24" xr3:uid="{00000000-0010-0000-1500-000018000000}" name="Place16" dataDxfId="1077">
      <calculatedColumnFormula>IF(X5=0," ",IF((RANK(X5,X$5:X$24,1)-COUNTIF(X$5:X$24,0)&gt;6)," ",RANK(X5,X$5:X$24,1)-COUNTIF(X$5:X$24,0)))</calculatedColumnFormula>
    </tableColumn>
    <tableColumn id="25" xr3:uid="{00000000-0010-0000-1500-000019000000}" name="Points17" dataDxfId="1076">
      <calculatedColumnFormula>IF(Table62202732333417181930[[#This Row],[Non-Member]]="X"," ",IF(Z5=" "," ",IFERROR(VLOOKUP(Y5,Points!$A$2:$B$14,2,FALSE)," ")))</calculatedColumnFormula>
    </tableColumn>
    <tableColumn id="26" xr3:uid="{00000000-0010-0000-1500-00001A000000}" name="Time/Score18" dataDxfId="1075" dataCellStyle="Comma"/>
    <tableColumn id="27" xr3:uid="{00000000-0010-0000-1500-00001B000000}" name="Time/Score19" dataDxfId="1074">
      <calculatedColumnFormula>IF(AB5=0," ",_xlfn.RANK.AVG(AB5,AB$5:AB$24,1)-COUNTIF(AB$5:AB$24,0))</calculatedColumnFormula>
    </tableColumn>
    <tableColumn id="28" xr3:uid="{00000000-0010-0000-1500-00001C000000}" name="Place19" dataDxfId="1073">
      <calculatedColumnFormula>IF(AB5=0," ",IF((RANK(AB5,AB$5:AB$24,1)-COUNTIF(AB$5:AB$24,0)&gt;6)," ",RANK(AB5,AB$5:AB$24,1)-COUNTIF(AB$5:AB$24,0)))</calculatedColumnFormula>
    </tableColumn>
    <tableColumn id="29" xr3:uid="{00000000-0010-0000-1500-00001D000000}" name="Points20" dataDxfId="1072">
      <calculatedColumnFormula>IF(Table62202732333417181930[[#This Row],[Non-Member]]="X"," ",IF(AD5=" "," ",IFERROR(VLOOKUP(AC5,Points!$A$2:$B$14,2,FALSE)," ")))</calculatedColumnFormula>
    </tableColumn>
    <tableColumn id="30" xr3:uid="{00000000-0010-0000-1500-00001E000000}" name="Time/Score21" dataDxfId="1071" dataCellStyle="Comma"/>
    <tableColumn id="31" xr3:uid="{00000000-0010-0000-1500-00001F000000}" name="Time/Score22" dataDxfId="1070">
      <calculatedColumnFormula>IF(AF5=0," ",_xlfn.RANK.AVG(AF5,AF$5:AF$24,1)-COUNTIF(AF$5:AF$24,0))</calculatedColumnFormula>
    </tableColumn>
    <tableColumn id="32" xr3:uid="{00000000-0010-0000-1500-000020000000}" name="Place22" dataDxfId="1069">
      <calculatedColumnFormula>IF(AF5=0," ",IF((RANK(AF5,AF$5:AF$24,1)-COUNTIF(AF$5:AF$24,0)&gt;6)," ",RANK(AF5,AF$5:AF$24,1)-COUNTIF(AF$5:AF$24,0)))</calculatedColumnFormula>
    </tableColumn>
    <tableColumn id="33" xr3:uid="{00000000-0010-0000-1500-000021000000}" name="Points23" dataDxfId="1068">
      <calculatedColumnFormula>IF(Table62202732333417181930[[#This Row],[Non-Member]]="X"," ",IF(AH5=" "," ",IFERROR(VLOOKUP(AG5,Points!$A$2:$B$14,2,FALSE)," ")))</calculatedColumnFormula>
    </tableColumn>
    <tableColumn id="34" xr3:uid="{00000000-0010-0000-1500-000022000000}" name="Points24" dataDxfId="1067">
      <calculatedColumnFormula>IF(Table62202732333417181930[[#This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500-000023000000}" name="Points25" dataDxfId="1066" dataCellStyle="Comma">
      <calculatedColumnFormula>IF(AJ5=0," ",AJ5)</calculatedColumnFormula>
    </tableColumn>
    <tableColumn id="36" xr3:uid="{00000000-0010-0000-1500-000024000000}" name="Place26" dataDxfId="10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6000000}" name="Table6220273233341718193051479" displayName="Table6220273233341718193051479" ref="B4:N24" totalsRowShown="0" headerRowDxfId="1064" dataDxfId="1063" tableBorderDxfId="1062">
  <autoFilter ref="B4:N24" xr:uid="{00000000-0009-0000-0100-000008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600-000001000000}" name="Name" dataDxfId="1061"/>
    <tableColumn id="37" xr3:uid="{00000000-0010-0000-1600-000025000000}" name="Non-Member" dataDxfId="1060"/>
    <tableColumn id="5" xr3:uid="{00000000-0010-0000-1600-000005000000}" name="Points" dataDxfId="1059"/>
    <tableColumn id="9" xr3:uid="{00000000-0010-0000-1600-000009000000}" name="Points5" dataDxfId="1058"/>
    <tableColumn id="13" xr3:uid="{00000000-0010-0000-1600-00000D000000}" name="Points8" dataDxfId="1057"/>
    <tableColumn id="17" xr3:uid="{00000000-0010-0000-1600-000011000000}" name="Points11" dataDxfId="1056"/>
    <tableColumn id="21" xr3:uid="{00000000-0010-0000-1600-000015000000}" name="Points14" dataDxfId="1055"/>
    <tableColumn id="25" xr3:uid="{00000000-0010-0000-1600-000019000000}" name="Points17" dataDxfId="1054"/>
    <tableColumn id="29" xr3:uid="{00000000-0010-0000-1600-00001D000000}" name="Points20" dataDxfId="1053"/>
    <tableColumn id="33" xr3:uid="{00000000-0010-0000-1600-000021000000}" name="Points23" dataDxfId="1052"/>
    <tableColumn id="34" xr3:uid="{00000000-0010-0000-1600-000022000000}" name="Points24" dataDxfId="1051">
      <calculatedColumnFormula>IF(Table6220273233341718193051479[[#This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600-000023000000}" name="Points25" dataDxfId="1050" dataCellStyle="Comma">
      <calculatedColumnFormula>IF(L5=0," ",L5)</calculatedColumnFormula>
    </tableColumn>
    <tableColumn id="36" xr3:uid="{00000000-0010-0000-1600-000024000000}" name="Place26" dataDxfId="104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7000000}" name="Table6220273233341718193046" displayName="Table6220273233341718193046" ref="B4:AL24" totalsRowShown="0" headerRowDxfId="1048" dataDxfId="1047" tableBorderDxfId="1046">
  <autoFilter ref="B4:AL24" xr:uid="{00000000-0009-0000-0100-00002D000000}"/>
  <sortState xmlns:xlrd2="http://schemas.microsoft.com/office/spreadsheetml/2017/richdata2" ref="B5:AL24">
    <sortCondition ref="AL4:AL24"/>
  </sortState>
  <tableColumns count="37">
    <tableColumn id="1" xr3:uid="{00000000-0010-0000-1700-000001000000}" name="Name" dataDxfId="1045"/>
    <tableColumn id="37" xr3:uid="{00000000-0010-0000-1700-000025000000}" name="Non-Member" dataDxfId="1044"/>
    <tableColumn id="2" xr3:uid="{00000000-0010-0000-1700-000002000000}" name="Time/Score" dataDxfId="1043" dataCellStyle="Comma"/>
    <tableColumn id="3" xr3:uid="{00000000-0010-0000-1700-000003000000}" name="Column2" dataDxfId="1042">
      <calculatedColumnFormula>IF(D5=0," ",_xlfn.RANK.AVG(D5,D$5:D$24,1)-COUNTIF(D$5:D$24,0))</calculatedColumnFormula>
    </tableColumn>
    <tableColumn id="4" xr3:uid="{00000000-0010-0000-1700-000004000000}" name="Place" dataDxfId="1041">
      <calculatedColumnFormula>IF(D5=0," ",IF((RANK(D5,D$5:D$24,1)-COUNTIF(D$5:D$24,0)&gt;6)," ",RANK(D5,D$5:D$24,1)-COUNTIF(D$5:D$24,0)))</calculatedColumnFormula>
    </tableColumn>
    <tableColumn id="5" xr3:uid="{00000000-0010-0000-1700-000005000000}" name="Points" dataDxfId="1040">
      <calculatedColumnFormula>IF(Table6220273233341718193046[[#This Row],[Non-Member]]="X"," ",IF(F5=" "," ",IFERROR(VLOOKUP(E5,Points!$A$2:$B$14,2,FALSE)," ")))</calculatedColumnFormula>
    </tableColumn>
    <tableColumn id="6" xr3:uid="{00000000-0010-0000-1700-000006000000}" name="Time/Score3" dataDxfId="1039" dataCellStyle="Comma"/>
    <tableColumn id="7" xr3:uid="{00000000-0010-0000-1700-000007000000}" name="Time/Score4" dataDxfId="1038">
      <calculatedColumnFormula>IF(H5=0," ",_xlfn.RANK.AVG(H5,H$5:H$24,1)-COUNTIF(H$5:H$24,0))</calculatedColumnFormula>
    </tableColumn>
    <tableColumn id="8" xr3:uid="{00000000-0010-0000-1700-000008000000}" name="Place4" dataDxfId="1037">
      <calculatedColumnFormula>IF(H5=0," ",IF((RANK(H5,H$5:H$24,1)-COUNTIF(H$5:H$24,0)&gt;6)," ",RANK(H5,H$5:H$24,1)-COUNTIF(H$5:H$24,0)))</calculatedColumnFormula>
    </tableColumn>
    <tableColumn id="9" xr3:uid="{00000000-0010-0000-1700-000009000000}" name="Points5" dataDxfId="1036">
      <calculatedColumnFormula>IF(Table6220273233341718193046[[#This Row],[Non-Member]]="X"," ",IF(J5=" "," ",IFERROR(VLOOKUP(I5,Points!$A$2:$B$14,2,FALSE)," ")))</calculatedColumnFormula>
    </tableColumn>
    <tableColumn id="10" xr3:uid="{00000000-0010-0000-1700-00000A000000}" name="Time/Score6" dataDxfId="1035" dataCellStyle="Comma"/>
    <tableColumn id="11" xr3:uid="{00000000-0010-0000-1700-00000B000000}" name="Time/Score7" dataDxfId="1034">
      <calculatedColumnFormula>IF(L5=0," ",_xlfn.RANK.AVG(L5,L$5:L$24,1)-COUNTIF(L$5:L$24,0))</calculatedColumnFormula>
    </tableColumn>
    <tableColumn id="12" xr3:uid="{00000000-0010-0000-1700-00000C000000}" name="Place7" dataDxfId="1033">
      <calculatedColumnFormula>IF(L5=0," ",IF((RANK(L5,L$5:L$24,1)-COUNTIF(L$5:L$24,0)&gt;6)," ",RANK(L5,L$5:L$24,1)-COUNTIF(L$5:L$24,0)))</calculatedColumnFormula>
    </tableColumn>
    <tableColumn id="13" xr3:uid="{00000000-0010-0000-1700-00000D000000}" name="Points8" dataDxfId="1032">
      <calculatedColumnFormula>IF(Table6220273233341718193046[[#This Row],[Non-Member]]="X"," ",IF(N5=" "," ",IFERROR(VLOOKUP(M5,Points!$A$2:$B$14,2,FALSE)," ")))</calculatedColumnFormula>
    </tableColumn>
    <tableColumn id="14" xr3:uid="{00000000-0010-0000-1700-00000E000000}" name="Time/Score9" dataDxfId="1031" dataCellStyle="Comma"/>
    <tableColumn id="15" xr3:uid="{00000000-0010-0000-1700-00000F000000}" name="Time/Score10" dataDxfId="1030">
      <calculatedColumnFormula>IF(P5=0," ",_xlfn.RANK.AVG(P5,P$5:P$24,1)-COUNTIF(P$5:P$24,0))</calculatedColumnFormula>
    </tableColumn>
    <tableColumn id="16" xr3:uid="{00000000-0010-0000-1700-000010000000}" name="Place10" dataDxfId="1029">
      <calculatedColumnFormula>IF(P5=0," ",IF((RANK(P5,P$5:P$24,1)-COUNTIF(P$5:P$24,0)&gt;6)," ",RANK(P5,P$5:P$24,1)-COUNTIF(P$5:P$24,0)))</calculatedColumnFormula>
    </tableColumn>
    <tableColumn id="17" xr3:uid="{00000000-0010-0000-1700-000011000000}" name="Points11" dataDxfId="1028">
      <calculatedColumnFormula>IF(Table6220273233341718193046[[#This Row],[Non-Member]]="X"," ",IF(R5=" "," ",IFERROR(VLOOKUP(Q5,Points!$A$2:$B$14,2,FALSE)," ")))</calculatedColumnFormula>
    </tableColumn>
    <tableColumn id="18" xr3:uid="{00000000-0010-0000-1700-000012000000}" name="Time/Score12" dataDxfId="1027" dataCellStyle="Comma"/>
    <tableColumn id="19" xr3:uid="{00000000-0010-0000-1700-000013000000}" name="Time/Score13" dataDxfId="1026">
      <calculatedColumnFormula>IF(T5=0," ",_xlfn.RANK.AVG(T5,T$5:T$24,1)-COUNTIF(T$5:T$24,0))</calculatedColumnFormula>
    </tableColumn>
    <tableColumn id="20" xr3:uid="{00000000-0010-0000-1700-000014000000}" name="Place13" dataDxfId="1025">
      <calculatedColumnFormula>IF(T5=0," ",IF((RANK(T5,T$5:T$24,1)-COUNTIF(T$5:T$24,0)&gt;6)," ",RANK(T5,T$5:T$24,1)-COUNTIF(T$5:T$24,0)))</calculatedColumnFormula>
    </tableColumn>
    <tableColumn id="21" xr3:uid="{00000000-0010-0000-1700-000015000000}" name="Points14" dataDxfId="1024">
      <calculatedColumnFormula>IF(Table6220273233341718193046[[#This Row],[Non-Member]]="X"," ",IF(V5=" "," ",IFERROR(VLOOKUP(U5,Points!$A$2:$B$14,2,FALSE)," ")))</calculatedColumnFormula>
    </tableColumn>
    <tableColumn id="22" xr3:uid="{00000000-0010-0000-1700-000016000000}" name="Time/Score15" dataDxfId="1023" dataCellStyle="Comma"/>
    <tableColumn id="23" xr3:uid="{00000000-0010-0000-1700-000017000000}" name="Time/Score16" dataDxfId="1022">
      <calculatedColumnFormula>IF(X5=0," ",_xlfn.RANK.AVG(X5,X$5:X$24,1)-COUNTIF(X$5:X$24,0))</calculatedColumnFormula>
    </tableColumn>
    <tableColumn id="24" xr3:uid="{00000000-0010-0000-1700-000018000000}" name="Place16" dataDxfId="1021">
      <calculatedColumnFormula>IF(X5=0," ",IF((RANK(X5,X$5:X$24,1)-COUNTIF(X$5:X$24,0)&gt;6)," ",RANK(X5,X$5:X$24,1)-COUNTIF(X$5:X$24,0)))</calculatedColumnFormula>
    </tableColumn>
    <tableColumn id="25" xr3:uid="{00000000-0010-0000-1700-000019000000}" name="Points17" dataDxfId="1020">
      <calculatedColumnFormula>IF(Table6220273233341718193046[[#This Row],[Non-Member]]="X"," ",IF(Z5=" "," ",IFERROR(VLOOKUP(Y5,Points!$A$2:$B$14,2,FALSE)," ")))</calculatedColumnFormula>
    </tableColumn>
    <tableColumn id="26" xr3:uid="{00000000-0010-0000-1700-00001A000000}" name="Time/Score18" dataDxfId="1019" dataCellStyle="Comma"/>
    <tableColumn id="27" xr3:uid="{00000000-0010-0000-1700-00001B000000}" name="Time/Score19" dataDxfId="1018">
      <calculatedColumnFormula>IF(AB5=0," ",_xlfn.RANK.AVG(AB5,AB$5:AB$24,1)-COUNTIF(AB$5:AB$24,0))</calculatedColumnFormula>
    </tableColumn>
    <tableColumn id="28" xr3:uid="{00000000-0010-0000-1700-00001C000000}" name="Place19" dataDxfId="1017">
      <calculatedColumnFormula>IF(AB5=0," ",IF((RANK(AB5,AB$5:AB$24,1)-COUNTIF(AB$5:AB$24,0)&gt;6)," ",RANK(AB5,AB$5:AB$24,1)-COUNTIF(AB$5:AB$24,0)))</calculatedColumnFormula>
    </tableColumn>
    <tableColumn id="29" xr3:uid="{00000000-0010-0000-1700-00001D000000}" name="Points20" dataDxfId="1016">
      <calculatedColumnFormula>IF(Table6220273233341718193046[[#This Row],[Non-Member]]="X"," ",IF(AD5=" "," ",IFERROR(VLOOKUP(AC5,Points!$A$2:$B$14,2,FALSE)," ")))</calculatedColumnFormula>
    </tableColumn>
    <tableColumn id="30" xr3:uid="{00000000-0010-0000-1700-00001E000000}" name="Time/Score21" dataDxfId="1015" dataCellStyle="Comma"/>
    <tableColumn id="31" xr3:uid="{00000000-0010-0000-1700-00001F000000}" name="Time/Score22" dataDxfId="1014">
      <calculatedColumnFormula>IF(AF5=0," ",_xlfn.RANK.AVG(AF5,AF$5:AF$24,1)-COUNTIF(AF$5:AF$24,0))</calculatedColumnFormula>
    </tableColumn>
    <tableColumn id="32" xr3:uid="{00000000-0010-0000-1700-000020000000}" name="Place22" dataDxfId="1013">
      <calculatedColumnFormula>IF(AF5=0," ",IF((RANK(AF5,AF$5:AF$24,1)-COUNTIF(AF$5:AF$24,0)&gt;6)," ",RANK(AF5,AF$5:AF$24,1)-COUNTIF(AF$5:AF$24,0)))</calculatedColumnFormula>
    </tableColumn>
    <tableColumn id="33" xr3:uid="{00000000-0010-0000-1700-000021000000}" name="Points23" dataDxfId="1012">
      <calculatedColumnFormula>IF(Table6220273233341718193046[[#This Row],[Non-Member]]="X"," ",IF(AH5=" "," ",IFERROR(VLOOKUP(AG5,Points!$A$2:$B$14,2,FALSE)," ")))</calculatedColumnFormula>
    </tableColumn>
    <tableColumn id="34" xr3:uid="{00000000-0010-0000-1700-000022000000}" name="Points24" dataDxfId="1011">
      <calculatedColumnFormula>IF(Table6220273233341718193046[[#This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700-000023000000}" name="Points25" dataDxfId="1010" dataCellStyle="Comma">
      <calculatedColumnFormula>IF(AJ5=0," ",AJ5)</calculatedColumnFormula>
    </tableColumn>
    <tableColumn id="36" xr3:uid="{00000000-0010-0000-1700-000024000000}" name="Place26" dataDxfId="100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622027321526" displayName="Table622027321526" ref="B4:AL24" totalsRowShown="0" headerRowDxfId="1008" dataDxfId="1007" tableBorderDxfId="1006">
  <autoFilter ref="B4:AL24" xr:uid="{00000000-0009-0000-0100-00001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800-000001000000}" name="Name" dataDxfId="1005"/>
    <tableColumn id="37" xr3:uid="{00000000-0010-0000-1800-000025000000}" name="Non-Member" dataDxfId="1004"/>
    <tableColumn id="2" xr3:uid="{00000000-0010-0000-1800-000002000000}" name="Time/Score" dataDxfId="1003"/>
    <tableColumn id="3" xr3:uid="{00000000-0010-0000-1800-000003000000}" name="Column2" dataDxfId="1002">
      <calculatedColumnFormula>IF(D5=0," ",_xlfn.RANK.AVG(D5,D$5:D$24,0))</calculatedColumnFormula>
    </tableColumn>
    <tableColumn id="4" xr3:uid="{00000000-0010-0000-1800-000004000000}" name="Place" dataDxfId="1001">
      <calculatedColumnFormula>IF(D5=0," ",IF((RANK(D5,D$5:D$24,0)&gt;6)," ",RANK(D5,D$5:D$24,0)))</calculatedColumnFormula>
    </tableColumn>
    <tableColumn id="5" xr3:uid="{00000000-0010-0000-1800-000005000000}" name="Points" dataDxfId="1000">
      <calculatedColumnFormula>IF(Table622027321526[[#This Row],[Non-Member]]="X"," ",IF(F5=" "," ",IFERROR(VLOOKUP(E5,Points!$A$2:$B$14,2,FALSE)," ")))</calculatedColumnFormula>
    </tableColumn>
    <tableColumn id="6" xr3:uid="{00000000-0010-0000-1800-000006000000}" name="Time/Score3" dataDxfId="999"/>
    <tableColumn id="7" xr3:uid="{00000000-0010-0000-1800-000007000000}" name="Time/Score4" dataDxfId="998">
      <calculatedColumnFormula>IF(H5=0," ",_xlfn.RANK.AVG(H5,H$5:H$24,0))</calculatedColumnFormula>
    </tableColumn>
    <tableColumn id="8" xr3:uid="{00000000-0010-0000-1800-000008000000}" name="Place4" dataDxfId="997">
      <calculatedColumnFormula>IF(H5=0," ",IF((RANK(H5,H$5:H$24,0)&gt;6)," ",RANK(H5,H$5:H$24,0)))</calculatedColumnFormula>
    </tableColumn>
    <tableColumn id="9" xr3:uid="{00000000-0010-0000-1800-000009000000}" name="Points5" dataDxfId="996">
      <calculatedColumnFormula>IF(Table622027321526[[#This Row],[Non-Member]]="X"," ",IF(J5=" "," ",IFERROR(VLOOKUP(I5,Points!$A$2:$B$14,2,FALSE)," ")))</calculatedColumnFormula>
    </tableColumn>
    <tableColumn id="10" xr3:uid="{00000000-0010-0000-1800-00000A000000}" name="Time/Score6" dataDxfId="995"/>
    <tableColumn id="11" xr3:uid="{00000000-0010-0000-1800-00000B000000}" name="Time/Score7" dataDxfId="994">
      <calculatedColumnFormula>IF(L5=0," ",_xlfn.RANK.AVG(L5,L$5:L$24,0))</calculatedColumnFormula>
    </tableColumn>
    <tableColumn id="12" xr3:uid="{00000000-0010-0000-1800-00000C000000}" name="Place7" dataDxfId="993">
      <calculatedColumnFormula>IF(L5=0," ",IF((RANK(L5,L$5:L$24,0)&gt;6)," ",RANK(L5,L$5:L$24,0)))</calculatedColumnFormula>
    </tableColumn>
    <tableColumn id="13" xr3:uid="{00000000-0010-0000-1800-00000D000000}" name="Points8" dataDxfId="992">
      <calculatedColumnFormula>IF(Table622027321526[[#This Row],[Non-Member]]="X"," ",IF(N5=" "," ",IFERROR(VLOOKUP(M5,Points!$A$2:$B$14,2,FALSE)," ")))</calculatedColumnFormula>
    </tableColumn>
    <tableColumn id="14" xr3:uid="{00000000-0010-0000-1800-00000E000000}" name="Time/Score9" dataDxfId="991"/>
    <tableColumn id="15" xr3:uid="{00000000-0010-0000-1800-00000F000000}" name="Time/Score10" dataDxfId="990">
      <calculatedColumnFormula>IF(P5=0," ",_xlfn.RANK.AVG(P5,P$5:P$24,0))</calculatedColumnFormula>
    </tableColumn>
    <tableColumn id="16" xr3:uid="{00000000-0010-0000-1800-000010000000}" name="Place10" dataDxfId="989">
      <calculatedColumnFormula>IF(P5=0," ",IF((RANK(P5,P$5:P$24,0)&gt;6)," ",RANK(P5,P$5:P$24,0)))</calculatedColumnFormula>
    </tableColumn>
    <tableColumn id="17" xr3:uid="{00000000-0010-0000-1800-000011000000}" name="Points11" dataDxfId="988">
      <calculatedColumnFormula>IF(Table622027321526[[#This Row],[Non-Member]]="X"," ",IF(R5=" "," ",IFERROR(VLOOKUP(Q5,Points!$A$2:$B$14,2,FALSE)," ")))</calculatedColumnFormula>
    </tableColumn>
    <tableColumn id="18" xr3:uid="{00000000-0010-0000-1800-000012000000}" name="Time/Score12" dataDxfId="987"/>
    <tableColumn id="19" xr3:uid="{00000000-0010-0000-1800-000013000000}" name="Time/Score13" dataDxfId="986">
      <calculatedColumnFormula>IF(T5=0," ",_xlfn.RANK.AVG(T5,T$5:T$24,0))</calculatedColumnFormula>
    </tableColumn>
    <tableColumn id="20" xr3:uid="{00000000-0010-0000-1800-000014000000}" name="Place13" dataDxfId="985">
      <calculatedColumnFormula>IF(T5=0," ",IF((RANK(T5,T$5:T$24,0)&gt;6)," ",RANK(T5,T$5:T$24,0)))</calculatedColumnFormula>
    </tableColumn>
    <tableColumn id="21" xr3:uid="{00000000-0010-0000-1800-000015000000}" name="Points14" dataDxfId="984">
      <calculatedColumnFormula>IF(Table622027321526[[#This Row],[Non-Member]]="X"," ",IF(V5=" "," ",IFERROR(VLOOKUP(U5,Points!$A$2:$B$14,2,FALSE)," ")))</calculatedColumnFormula>
    </tableColumn>
    <tableColumn id="22" xr3:uid="{00000000-0010-0000-1800-000016000000}" name="Time/Score15" dataDxfId="983"/>
    <tableColumn id="23" xr3:uid="{00000000-0010-0000-1800-000017000000}" name="Time/Score16" dataDxfId="982">
      <calculatedColumnFormula>IF(X5=0," ",_xlfn.RANK.AVG(X5,X$5:X$24,0))</calculatedColumnFormula>
    </tableColumn>
    <tableColumn id="24" xr3:uid="{00000000-0010-0000-1800-000018000000}" name="Place16" dataDxfId="981">
      <calculatedColumnFormula>IF(X5=0," ",IF((RANK(X5,X$5:X$24,0)&gt;6)," ",RANK(X5,X$5:X$24,0)))</calculatedColumnFormula>
    </tableColumn>
    <tableColumn id="25" xr3:uid="{00000000-0010-0000-1800-000019000000}" name="Points17" dataDxfId="980">
      <calculatedColumnFormula>IF(Table622027321526[[#This Row],[Non-Member]]="X"," ",IF(Z5=" "," ",IFERROR(VLOOKUP(Y5,Points!$A$2:$B$14,2,FALSE)," ")))</calculatedColumnFormula>
    </tableColumn>
    <tableColumn id="26" xr3:uid="{00000000-0010-0000-1800-00001A000000}" name="Time/Score18" dataDxfId="979"/>
    <tableColumn id="27" xr3:uid="{00000000-0010-0000-1800-00001B000000}" name="Time/Score19" dataDxfId="978">
      <calculatedColumnFormula>IF(AB5=0," ",_xlfn.RANK.AVG(AB5,AB$5:AB$24,0))</calculatedColumnFormula>
    </tableColumn>
    <tableColumn id="28" xr3:uid="{00000000-0010-0000-1800-00001C000000}" name="Place19" dataDxfId="977">
      <calculatedColumnFormula>IF(AB5=0," ",IF((RANK(AB5,AB$5:AB$24,0)&gt;6)," ",RANK(AB5,AB$5:AB$24,0)))</calculatedColumnFormula>
    </tableColumn>
    <tableColumn id="29" xr3:uid="{00000000-0010-0000-1800-00001D000000}" name="Points20" dataDxfId="976">
      <calculatedColumnFormula>IF(Table622027321526[[#This Row],[Non-Member]]="X"," ",IF(AD5=" "," ",IFERROR(VLOOKUP(AC5,Points!$A$2:$B$14,2,FALSE)," ")))</calculatedColumnFormula>
    </tableColumn>
    <tableColumn id="30" xr3:uid="{00000000-0010-0000-1800-00001E000000}" name="Time/Score21" dataDxfId="975">
      <calculatedColumnFormula>IF(X5+AB5=0," ",X5+AB5)</calculatedColumnFormula>
    </tableColumn>
    <tableColumn id="31" xr3:uid="{00000000-0010-0000-1800-00001F000000}" name="Time/Score22" dataDxfId="974">
      <calculatedColumnFormula>IF(AF5=0," ",_xlfn.RANK.AVG(AF5,IF(AF$5:AF$24&gt;0,AF$5:AF$24,0),0))</calculatedColumnFormula>
    </tableColumn>
    <tableColumn id="32" xr3:uid="{00000000-0010-0000-1800-000020000000}" name="Place22" dataDxfId="973">
      <calculatedColumnFormula>IFERROR(IF(RANK(AF5,AF$5:AF$24,0)&gt;6," ",(IF(AF5,RANK(AF5,AF$5:AF$24,0)," ")))," ")</calculatedColumnFormula>
    </tableColumn>
    <tableColumn id="33" xr3:uid="{00000000-0010-0000-1800-000021000000}" name="Points23" dataDxfId="972">
      <calculatedColumnFormula>IF(Table622027321526[[#This Row],[Non-Member]]="X"," ",IF(AH5=" "," ",IFERROR(VLOOKUP(AG5,Points!$A$2:$B$14,2,FALSE)," ")))</calculatedColumnFormula>
    </tableColumn>
    <tableColumn id="34" xr3:uid="{00000000-0010-0000-1800-000022000000}" name="Points24" dataDxfId="971">
      <calculatedColumnFormula>IF(Table622027321526[[#This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800-000023000000}" name="Points25" dataDxfId="970" dataCellStyle="Comma">
      <calculatedColumnFormula>IF(AJ5=0," ",AJ5)</calculatedColumnFormula>
    </tableColumn>
    <tableColumn id="36" xr3:uid="{00000000-0010-0000-1800-000024000000}" name="Place26" dataDxfId="96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62202732331627" displayName="Table62202732331627" ref="B4:AL24" totalsRowShown="0" headerRowDxfId="968" dataDxfId="967" tableBorderDxfId="966">
  <autoFilter ref="B4:AL24" xr:uid="{00000000-0009-0000-0100-00001A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900-000001000000}" name="Name" dataDxfId="965"/>
    <tableColumn id="37" xr3:uid="{00000000-0010-0000-1900-000025000000}" name="Non-Member" dataDxfId="964"/>
    <tableColumn id="2" xr3:uid="{00000000-0010-0000-1900-000002000000}" name="Time/Score" dataDxfId="963" dataCellStyle="Comma"/>
    <tableColumn id="3" xr3:uid="{00000000-0010-0000-1900-000003000000}" name="Column2" dataDxfId="962">
      <calculatedColumnFormula>IF(D5=0," ",_xlfn.RANK.AVG(D5,D$5:D$24,1)-COUNTIF(D$5:D$24,0))</calculatedColumnFormula>
    </tableColumn>
    <tableColumn id="4" xr3:uid="{00000000-0010-0000-1900-000004000000}" name="Place" dataDxfId="961">
      <calculatedColumnFormula>IF(D5=0," ",IF((RANK(D5,D$5:D$24,1)-COUNTIF(D$5:D$24,0)&gt;6)," ",RANK(D5,D$5:D$24,1)-COUNTIF(D$5:D$24,0)))</calculatedColumnFormula>
    </tableColumn>
    <tableColumn id="5" xr3:uid="{00000000-0010-0000-1900-000005000000}" name="Points" dataDxfId="960">
      <calculatedColumnFormula>IF(Table62202732331627[[#This Row],[Non-Member]]="X"," ",IF(F5=" "," ",IFERROR(VLOOKUP(E5,Points!$A$2:$B$14,2,FALSE)," ")))</calculatedColumnFormula>
    </tableColumn>
    <tableColumn id="6" xr3:uid="{00000000-0010-0000-1900-000006000000}" name="Time/Score3" dataDxfId="959" dataCellStyle="Comma"/>
    <tableColumn id="7" xr3:uid="{00000000-0010-0000-1900-000007000000}" name="Time/Score4" dataDxfId="958">
      <calculatedColumnFormula>IF(H5=0," ",_xlfn.RANK.AVG(H5,H$5:H$24,1)-COUNTIF(H$5:H$24,0))</calculatedColumnFormula>
    </tableColumn>
    <tableColumn id="8" xr3:uid="{00000000-0010-0000-1900-000008000000}" name="Place4" dataDxfId="957">
      <calculatedColumnFormula>IF(H5=0," ",IF((RANK(H5,H$5:H$24,1)-COUNTIF(H$5:H$24,0)&gt;6)," ",RANK(H5,H$5:H$24,1)-COUNTIF(H$5:H$24,0)))</calculatedColumnFormula>
    </tableColumn>
    <tableColumn id="9" xr3:uid="{00000000-0010-0000-1900-000009000000}" name="Points5" dataDxfId="956">
      <calculatedColumnFormula>IF(Table62202732331627[[#This Row],[Non-Member]]="X"," ",IF(J5=" "," ",IFERROR(VLOOKUP(I5,Points!$A$2:$B$14,2,FALSE)," ")))</calculatedColumnFormula>
    </tableColumn>
    <tableColumn id="10" xr3:uid="{00000000-0010-0000-1900-00000A000000}" name="Time/Score6" dataDxfId="955" dataCellStyle="Comma"/>
    <tableColumn id="11" xr3:uid="{00000000-0010-0000-1900-00000B000000}" name="Time/Score7" dataDxfId="954">
      <calculatedColumnFormula>IF(L5=0," ",_xlfn.RANK.AVG(L5,L$5:L$24,1)-COUNTIF(L$5:L$24,0))</calculatedColumnFormula>
    </tableColumn>
    <tableColumn id="12" xr3:uid="{00000000-0010-0000-1900-00000C000000}" name="Place7" dataDxfId="953">
      <calculatedColumnFormula>IF(L5=0," ",IF((RANK(L5,L$5:L$24,1)-COUNTIF(L$5:L$24,0)&gt;6)," ",RANK(L5,L$5:L$24,1)-COUNTIF(L$5:L$24,0)))</calculatedColumnFormula>
    </tableColumn>
    <tableColumn id="13" xr3:uid="{00000000-0010-0000-1900-00000D000000}" name="Points8" dataDxfId="952">
      <calculatedColumnFormula>IF(Table62202732331627[[#This Row],[Non-Member]]="X"," ",IF(N5=" "," ",IFERROR(VLOOKUP(M5,Points!$A$2:$B$14,2,FALSE)," ")))</calculatedColumnFormula>
    </tableColumn>
    <tableColumn id="14" xr3:uid="{00000000-0010-0000-1900-00000E000000}" name="Time/Score9" dataDxfId="951" dataCellStyle="Comma"/>
    <tableColumn id="15" xr3:uid="{00000000-0010-0000-1900-00000F000000}" name="Time/Score10" dataDxfId="950">
      <calculatedColumnFormula>IF(P5=0," ",_xlfn.RANK.AVG(P5,P$5:P$24,1)-COUNTIF(P$5:P$24,0))</calculatedColumnFormula>
    </tableColumn>
    <tableColumn id="16" xr3:uid="{00000000-0010-0000-1900-000010000000}" name="Place10" dataDxfId="949">
      <calculatedColumnFormula>IF(P5=0," ",IF((RANK(P5,P$5:P$24,1)-COUNTIF(P$5:P$24,0)&gt;6)," ",RANK(P5,P$5:P$24,1)-COUNTIF(P$5:P$24,0)))</calculatedColumnFormula>
    </tableColumn>
    <tableColumn id="17" xr3:uid="{00000000-0010-0000-1900-000011000000}" name="Points11" dataDxfId="948">
      <calculatedColumnFormula>IF(Table62202732331627[[#This Row],[Non-Member]]="X"," ",IF(R5=" "," ",IFERROR(VLOOKUP(Q5,Points!$A$2:$B$14,2,FALSE)," ")))</calculatedColumnFormula>
    </tableColumn>
    <tableColumn id="18" xr3:uid="{00000000-0010-0000-1900-000012000000}" name="Time/Score12" dataDxfId="947" dataCellStyle="Comma"/>
    <tableColumn id="19" xr3:uid="{00000000-0010-0000-1900-000013000000}" name="Time/Score13" dataDxfId="946">
      <calculatedColumnFormula>IF(T5=0," ",_xlfn.RANK.AVG(T5,T$5:T$24,1)-COUNTIF(T$5:T$24,0))</calculatedColumnFormula>
    </tableColumn>
    <tableColumn id="20" xr3:uid="{00000000-0010-0000-1900-000014000000}" name="Place13" dataDxfId="945">
      <calculatedColumnFormula>IF(T5=0," ",IF((RANK(T5,T$5:T$24,1)-COUNTIF(T$5:T$24,0)&gt;6)," ",RANK(T5,T$5:T$24,1)-COUNTIF(T$5:T$24,0)))</calculatedColumnFormula>
    </tableColumn>
    <tableColumn id="21" xr3:uid="{00000000-0010-0000-1900-000015000000}" name="Points14" dataDxfId="944">
      <calculatedColumnFormula>IF(Table62202732331627[[#This Row],[Non-Member]]="X"," ",IF(V5=" "," ",IFERROR(VLOOKUP(U5,Points!$A$2:$B$14,2,FALSE)," ")))</calculatedColumnFormula>
    </tableColumn>
    <tableColumn id="22" xr3:uid="{00000000-0010-0000-1900-000016000000}" name="Time/Score15" dataDxfId="943" dataCellStyle="Comma"/>
    <tableColumn id="23" xr3:uid="{00000000-0010-0000-1900-000017000000}" name="Time/Score16" dataDxfId="942">
      <calculatedColumnFormula>IF(X5=0," ",_xlfn.RANK.AVG(X5,X$5:X$24,1)-COUNTIF(X$5:X$24,0))</calculatedColumnFormula>
    </tableColumn>
    <tableColumn id="24" xr3:uid="{00000000-0010-0000-1900-000018000000}" name="Place16" dataDxfId="941">
      <calculatedColumnFormula>IF(X5=0," ",IF((RANK(X5,X$5:X$24,1)-COUNTIF(X$5:X$24,0)&gt;6)," ",RANK(X5,X$5:X$24,1)-COUNTIF(X$5:X$24,0)))</calculatedColumnFormula>
    </tableColumn>
    <tableColumn id="25" xr3:uid="{00000000-0010-0000-1900-000019000000}" name="Points17" dataDxfId="940">
      <calculatedColumnFormula>IF(Table62202732331627[[#This Row],[Non-Member]]="X"," ",IF(Z5=" "," ",IFERROR(VLOOKUP(Y5,Points!$A$2:$B$14,2,FALSE)," ")))</calculatedColumnFormula>
    </tableColumn>
    <tableColumn id="26" xr3:uid="{00000000-0010-0000-1900-00001A000000}" name="Time/Score18" dataDxfId="939" dataCellStyle="Comma"/>
    <tableColumn id="27" xr3:uid="{00000000-0010-0000-1900-00001B000000}" name="Time/Score19" dataDxfId="938">
      <calculatedColumnFormula>IF(AB5=0," ",_xlfn.RANK.AVG(AB5,AB$5:AB$24,1)-COUNTIF(AB$5:AB$24,0))</calculatedColumnFormula>
    </tableColumn>
    <tableColumn id="28" xr3:uid="{00000000-0010-0000-1900-00001C000000}" name="Place19" dataDxfId="937">
      <calculatedColumnFormula>IF(AB5=0," ",IF((RANK(AB5,AB$5:AB$24,1)-COUNTIF(AB$5:AB$24,0)&gt;6)," ",RANK(AB5,AB$5:AB$24,1)-COUNTIF(AB$5:AB$24,0)))</calculatedColumnFormula>
    </tableColumn>
    <tableColumn id="29" xr3:uid="{00000000-0010-0000-1900-00001D000000}" name="Points20" dataDxfId="936">
      <calculatedColumnFormula>IF(Table62202732331627[[#This Row],[Non-Member]]="X"," ",IF(AD5=" "," ",IFERROR(VLOOKUP(AC5,Points!$A$2:$B$14,2,FALSE)," ")))</calculatedColumnFormula>
    </tableColumn>
    <tableColumn id="30" xr3:uid="{00000000-0010-0000-1900-00001E000000}" name="Time/Score21" dataDxfId="935" dataCellStyle="Comma">
      <calculatedColumnFormula>IF(OR(X5=0,AB5=0)," ",X5+AB5)</calculatedColumnFormula>
    </tableColumn>
    <tableColumn id="31" xr3:uid="{00000000-0010-0000-1900-00001F000000}" name="Time/Score22" dataDxfId="934">
      <calculatedColumnFormula>IF(OR(AF5=0,AF5=" ")," ",_xlfn.RANK.AVG(AF5,AF$5:AF$24,1)-COUNTIF(AF$5:AF$24,0))</calculatedColumnFormula>
    </tableColumn>
    <tableColumn id="32" xr3:uid="{00000000-0010-0000-1900-000020000000}" name="Place22" dataDxfId="933">
      <calculatedColumnFormula>IF(OR(AF5=0,AF5=" ")," ",IF((RANK(AF5,AF$5:AF$24,1)-COUNTIF(AF$5:AF$24,0)&gt;6)," ",RANK(AF5,AF$5:AF$24,1)-COUNTIF(AF$5:AF$24,0)))</calculatedColumnFormula>
    </tableColumn>
    <tableColumn id="33" xr3:uid="{00000000-0010-0000-1900-000021000000}" name="Points23" dataDxfId="932">
      <calculatedColumnFormula>IF(Table62202732331627[[#This Row],[Non-Member]]="X"," ",IF(AH5=" "," ",IFERROR(VLOOKUP(AG5,Points!$A$2:$B$14,2,FALSE)," ")))</calculatedColumnFormula>
    </tableColumn>
    <tableColumn id="34" xr3:uid="{00000000-0010-0000-1900-000022000000}" name="Points24" dataDxfId="931">
      <calculatedColumnFormula>IF(Table62202732331627[[#This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900-000023000000}" name="Points25" dataDxfId="930" dataCellStyle="Comma">
      <calculatedColumnFormula>IF(AJ5=0," ",AJ5)</calculatedColumnFormula>
    </tableColumn>
    <tableColumn id="36" xr3:uid="{00000000-0010-0000-1900-000024000000}" name="Place26" dataDxfId="92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6220273233341728" displayName="Table6220273233341728" ref="B4:AL24" totalsRowShown="0" headerRowDxfId="928" dataDxfId="927" tableBorderDxfId="926">
  <autoFilter ref="B4:AL24" xr:uid="{00000000-0009-0000-0100-00001B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A00-000001000000}" name="Name" dataDxfId="925"/>
    <tableColumn id="37" xr3:uid="{00000000-0010-0000-1A00-000025000000}" name="Non-Member" dataDxfId="924"/>
    <tableColumn id="2" xr3:uid="{00000000-0010-0000-1A00-000002000000}" name="Time/Score" dataDxfId="923" dataCellStyle="Comma"/>
    <tableColumn id="3" xr3:uid="{00000000-0010-0000-1A00-000003000000}" name="Column2" dataDxfId="922">
      <calculatedColumnFormula>IF(D5=0," ",_xlfn.RANK.AVG(D5,D$5:D$24,1)-COUNTIF(D$5:D$24,0))</calculatedColumnFormula>
    </tableColumn>
    <tableColumn id="4" xr3:uid="{00000000-0010-0000-1A00-000004000000}" name="Place" dataDxfId="921">
      <calculatedColumnFormula>IF(D5=0," ",IF((RANK(D5,D$5:D$24,1)-COUNTIF(D$5:D$24,0)&gt;6)," ",RANK(D5,D$5:D$24,1)-COUNTIF(D$5:D$24,0)))</calculatedColumnFormula>
    </tableColumn>
    <tableColumn id="5" xr3:uid="{00000000-0010-0000-1A00-000005000000}" name="Points" dataDxfId="920">
      <calculatedColumnFormula>IF(Table6220273233341728[[#This Row],[Non-Member]]="X"," ",IF(F5=" "," ",IFERROR(VLOOKUP(E5,Points!$A$2:$B$14,2,FALSE)," ")))</calculatedColumnFormula>
    </tableColumn>
    <tableColumn id="6" xr3:uid="{00000000-0010-0000-1A00-000006000000}" name="Time/Score3" dataDxfId="919" dataCellStyle="Comma"/>
    <tableColumn id="7" xr3:uid="{00000000-0010-0000-1A00-000007000000}" name="Time/Score4" dataDxfId="918">
      <calculatedColumnFormula>IF(H5=0," ",_xlfn.RANK.AVG(H5,H$5:H$24,1)-COUNTIF(H$5:H$24,0))</calculatedColumnFormula>
    </tableColumn>
    <tableColumn id="8" xr3:uid="{00000000-0010-0000-1A00-000008000000}" name="Place4" dataDxfId="917">
      <calculatedColumnFormula>IF(H5=0," ",IF((RANK(H5,H$5:H$24,1)-COUNTIF(H$5:H$24,0)&gt;6)," ",RANK(H5,H$5:H$24,1)-COUNTIF(H$5:H$24,0)))</calculatedColumnFormula>
    </tableColumn>
    <tableColumn id="9" xr3:uid="{00000000-0010-0000-1A00-000009000000}" name="Points5" dataDxfId="916">
      <calculatedColumnFormula>IF(Table6220273233341728[[#This Row],[Non-Member]]="X"," ",IF(J5=" "," ",IFERROR(VLOOKUP(I5,Points!$A$2:$B$14,2,FALSE)," ")))</calculatedColumnFormula>
    </tableColumn>
    <tableColumn id="10" xr3:uid="{00000000-0010-0000-1A00-00000A000000}" name="Time/Score6" dataDxfId="915" dataCellStyle="Comma"/>
    <tableColumn id="11" xr3:uid="{00000000-0010-0000-1A00-00000B000000}" name="Time/Score7" dataDxfId="914">
      <calculatedColumnFormula>IF(L5=0," ",_xlfn.RANK.AVG(L5,L$5:L$24,1)-COUNTIF(L$5:L$24,0))</calculatedColumnFormula>
    </tableColumn>
    <tableColumn id="12" xr3:uid="{00000000-0010-0000-1A00-00000C000000}" name="Place7" dataDxfId="913">
      <calculatedColumnFormula>IF(L5=0," ",IF((RANK(L5,L$5:L$24,1)-COUNTIF(L$5:L$24,0)&gt;6)," ",RANK(L5,L$5:L$24,1)-COUNTIF(L$5:L$24,0)))</calculatedColumnFormula>
    </tableColumn>
    <tableColumn id="13" xr3:uid="{00000000-0010-0000-1A00-00000D000000}" name="Points8" dataDxfId="912">
      <calculatedColumnFormula>IF(Table6220273233341728[[#This Row],[Non-Member]]="X"," ",IF(N5=" "," ",IFERROR(VLOOKUP(M5,Points!$A$2:$B$14,2,FALSE)," ")))</calculatedColumnFormula>
    </tableColumn>
    <tableColumn id="14" xr3:uid="{00000000-0010-0000-1A00-00000E000000}" name="Time/Score9" dataDxfId="911" dataCellStyle="Comma"/>
    <tableColumn id="15" xr3:uid="{00000000-0010-0000-1A00-00000F000000}" name="Time/Score10" dataDxfId="910">
      <calculatedColumnFormula>IF(P5=0," ",_xlfn.RANK.AVG(P5,P$5:P$24,1)-COUNTIF(P$5:P$24,0))</calculatedColumnFormula>
    </tableColumn>
    <tableColumn id="16" xr3:uid="{00000000-0010-0000-1A00-000010000000}" name="Place10" dataDxfId="909">
      <calculatedColumnFormula>IF(P5=0," ",IF((RANK(P5,P$5:P$24,1)-COUNTIF(P$5:P$24,0)&gt;6)," ",RANK(P5,P$5:P$24,1)-COUNTIF(P$5:P$24,0)))</calculatedColumnFormula>
    </tableColumn>
    <tableColumn id="17" xr3:uid="{00000000-0010-0000-1A00-000011000000}" name="Points11" dataDxfId="908">
      <calculatedColumnFormula>IF(Table6220273233341728[[#This Row],[Non-Member]]="X"," ",IF(R5=" "," ",IFERROR(VLOOKUP(Q5,Points!$A$2:$B$14,2,FALSE)," ")))</calculatedColumnFormula>
    </tableColumn>
    <tableColumn id="18" xr3:uid="{00000000-0010-0000-1A00-000012000000}" name="Time/Score12" dataDxfId="907" dataCellStyle="Comma"/>
    <tableColumn id="19" xr3:uid="{00000000-0010-0000-1A00-000013000000}" name="Time/Score13" dataDxfId="906">
      <calculatedColumnFormula>IF(T5=0," ",_xlfn.RANK.AVG(T5,T$5:T$24,1)-COUNTIF(T$5:T$24,0))</calculatedColumnFormula>
    </tableColumn>
    <tableColumn id="20" xr3:uid="{00000000-0010-0000-1A00-000014000000}" name="Place13" dataDxfId="905">
      <calculatedColumnFormula>IF(T5=0," ",IF((RANK(T5,T$5:T$24,1)-COUNTIF(T$5:T$24,0)&gt;6)," ",RANK(T5,T$5:T$24,1)-COUNTIF(T$5:T$24,0)))</calculatedColumnFormula>
    </tableColumn>
    <tableColumn id="21" xr3:uid="{00000000-0010-0000-1A00-000015000000}" name="Points14" dataDxfId="904">
      <calculatedColumnFormula>IF(Table6220273233341728[[#This Row],[Non-Member]]="X"," ",IF(V5=" "," ",IFERROR(VLOOKUP(U5,Points!$A$2:$B$14,2,FALSE)," ")))</calculatedColumnFormula>
    </tableColumn>
    <tableColumn id="22" xr3:uid="{00000000-0010-0000-1A00-000016000000}" name="Time/Score15" dataDxfId="903" dataCellStyle="Comma"/>
    <tableColumn id="23" xr3:uid="{00000000-0010-0000-1A00-000017000000}" name="Time/Score16" dataDxfId="902">
      <calculatedColumnFormula>IF(X5=0," ",_xlfn.RANK.AVG(X5,X$5:X$24,1)-COUNTIF(X$5:X$24,0))</calculatedColumnFormula>
    </tableColumn>
    <tableColumn id="24" xr3:uid="{00000000-0010-0000-1A00-000018000000}" name="Place16" dataDxfId="901">
      <calculatedColumnFormula>IF(X5=0," ",IF((RANK(X5,X$5:X$24,1)-COUNTIF(X$5:X$24,0)&gt;6)," ",RANK(X5,X$5:X$24,1)-COUNTIF(X$5:X$24,0)))</calculatedColumnFormula>
    </tableColumn>
    <tableColumn id="25" xr3:uid="{00000000-0010-0000-1A00-000019000000}" name="Points17" dataDxfId="900">
      <calculatedColumnFormula>IF(Table6220273233341728[[#This Row],[Non-Member]]="X"," ",IF(Z5=" "," ",IFERROR(VLOOKUP(Y5,Points!$A$2:$B$14,2,FALSE)," ")))</calculatedColumnFormula>
    </tableColumn>
    <tableColumn id="26" xr3:uid="{00000000-0010-0000-1A00-00001A000000}" name="Time/Score18" dataDxfId="899" dataCellStyle="Comma"/>
    <tableColumn id="27" xr3:uid="{00000000-0010-0000-1A00-00001B000000}" name="Time/Score19" dataDxfId="898">
      <calculatedColumnFormula>IF(AB5=0," ",_xlfn.RANK.AVG(AB5,AB$5:AB$24,1)-COUNTIF(AB$5:AB$24,0))</calculatedColumnFormula>
    </tableColumn>
    <tableColumn id="28" xr3:uid="{00000000-0010-0000-1A00-00001C000000}" name="Place19" dataDxfId="897">
      <calculatedColumnFormula>IF(AB5=0," ",IF((RANK(AB5,AB$5:AB$24,1)-COUNTIF(AB$5:AB$24,0)&gt;6)," ",RANK(AB5,AB$5:AB$24,1)-COUNTIF(AB$5:AB$24,0)))</calculatedColumnFormula>
    </tableColumn>
    <tableColumn id="29" xr3:uid="{00000000-0010-0000-1A00-00001D000000}" name="Points20" dataDxfId="896">
      <calculatedColumnFormula>IF(Table6220273233341728[[#This Row],[Non-Member]]="X"," ",IF(AD5=" "," ",IFERROR(VLOOKUP(AC5,Points!$A$2:$B$14,2,FALSE)," ")))</calculatedColumnFormula>
    </tableColumn>
    <tableColumn id="30" xr3:uid="{00000000-0010-0000-1A00-00001E000000}" name="Time/Score21" dataDxfId="895" dataCellStyle="Comma">
      <calculatedColumnFormula>IF(OR(X5=0,AB5=0)," ",X5+AB5)</calculatedColumnFormula>
    </tableColumn>
    <tableColumn id="31" xr3:uid="{00000000-0010-0000-1A00-00001F000000}" name="Time/Score22" dataDxfId="894">
      <calculatedColumnFormula>IF(OR(AF5=0,AF5=" ")," ",_xlfn.RANK.AVG(AF5,AF$5:AF$24,1)-COUNTIF(AF$5:AF$24,0))</calculatedColumnFormula>
    </tableColumn>
    <tableColumn id="32" xr3:uid="{00000000-0010-0000-1A00-000020000000}" name="Place22" dataDxfId="893">
      <calculatedColumnFormula>IF(OR(AF5=0,AF5=" ")," ",IF((RANK(AF5,AF$5:AF$24,1)-COUNTIF(AF$5:AF$24,0)&gt;6)," ",RANK(AF5,AF$5:AF$24,1)-COUNTIF(AF$5:AF$24,0)))</calculatedColumnFormula>
    </tableColumn>
    <tableColumn id="33" xr3:uid="{00000000-0010-0000-1A00-000021000000}" name="Points23" dataDxfId="892">
      <calculatedColumnFormula>IF(Table6220273233341728[[#This Row],[Non-Member]]="X"," ",IF(AH5=" "," ",IFERROR(VLOOKUP(AG5,Points!$A$2:$B$14,2,FALSE)," ")))</calculatedColumnFormula>
    </tableColumn>
    <tableColumn id="34" xr3:uid="{00000000-0010-0000-1A00-000022000000}" name="Points24" dataDxfId="891">
      <calculatedColumnFormula>IF(Table6220273233341728[[#This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A00-000023000000}" name="Points25" dataDxfId="890" dataCellStyle="Comma">
      <calculatedColumnFormula>IF(AJ5=0," ",AJ5)</calculatedColumnFormula>
    </tableColumn>
    <tableColumn id="36" xr3:uid="{00000000-0010-0000-1A00-000024000000}" name="Place26" dataDxfId="88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622027323334171829" displayName="Table622027323334171829" ref="B4:AL24" totalsRowShown="0" headerRowDxfId="888" dataDxfId="887" tableBorderDxfId="886">
  <autoFilter ref="B4:AL24" xr:uid="{00000000-0009-0000-0100-00001C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B00-000001000000}" name="Name" dataDxfId="885"/>
    <tableColumn id="37" xr3:uid="{00000000-0010-0000-1B00-000025000000}" name="Non-Member" dataDxfId="884"/>
    <tableColumn id="2" xr3:uid="{00000000-0010-0000-1B00-000002000000}" name="Time/Score" dataDxfId="883" dataCellStyle="Comma"/>
    <tableColumn id="3" xr3:uid="{00000000-0010-0000-1B00-000003000000}" name="Column2" dataDxfId="882">
      <calculatedColumnFormula>IF(D5=0," ",_xlfn.RANK.AVG(D5,D$5:D$24,1)-COUNTIF(D$5:D$24,0))</calculatedColumnFormula>
    </tableColumn>
    <tableColumn id="4" xr3:uid="{00000000-0010-0000-1B00-000004000000}" name="Place" dataDxfId="881">
      <calculatedColumnFormula>IF(D5=0," ",IF((RANK(D5,D$5:D$24,1)-COUNTIF(D$5:D$24,0)&gt;6)," ",RANK(D5,D$5:D$24,1)-COUNTIF(D$5:D$24,0)))</calculatedColumnFormula>
    </tableColumn>
    <tableColumn id="5" xr3:uid="{00000000-0010-0000-1B00-000005000000}" name="Points" dataDxfId="880">
      <calculatedColumnFormula>IF(Table622027323334171829[[#This Row],[Non-Member]]="X"," ",IF(F5=" "," ",IFERROR(VLOOKUP(E5,Points!$A$2:$B$14,2,FALSE)," ")))</calculatedColumnFormula>
    </tableColumn>
    <tableColumn id="6" xr3:uid="{00000000-0010-0000-1B00-000006000000}" name="Time/Score3" dataDxfId="879" dataCellStyle="Comma"/>
    <tableColumn id="7" xr3:uid="{00000000-0010-0000-1B00-000007000000}" name="Time/Score4" dataDxfId="878">
      <calculatedColumnFormula>IF(H5=0," ",_xlfn.RANK.AVG(H5,H$5:H$24,1)-COUNTIF(H$5:H$24,0))</calculatedColumnFormula>
    </tableColumn>
    <tableColumn id="8" xr3:uid="{00000000-0010-0000-1B00-000008000000}" name="Place4" dataDxfId="877">
      <calculatedColumnFormula>IF(H5=0," ",IF((RANK(H5,H$5:H$24,1)-COUNTIF(H$5:H$24,0)&gt;6)," ",RANK(H5,H$5:H$24,1)-COUNTIF(H$5:H$24,0)))</calculatedColumnFormula>
    </tableColumn>
    <tableColumn id="9" xr3:uid="{00000000-0010-0000-1B00-000009000000}" name="Points5" dataDxfId="876">
      <calculatedColumnFormula>IF(Table622027323334171829[[#This Row],[Non-Member]]="X"," ",IF(J5=" "," ",IFERROR(VLOOKUP(I5,Points!$A$2:$B$14,2,FALSE)," ")))</calculatedColumnFormula>
    </tableColumn>
    <tableColumn id="10" xr3:uid="{00000000-0010-0000-1B00-00000A000000}" name="Time/Score6" dataDxfId="875" dataCellStyle="Comma"/>
    <tableColumn id="11" xr3:uid="{00000000-0010-0000-1B00-00000B000000}" name="Time/Score7" dataDxfId="874">
      <calculatedColumnFormula>IF(L5=0," ",_xlfn.RANK.AVG(L5,L$5:L$24,1)-COUNTIF(L$5:L$24,0))</calculatedColumnFormula>
    </tableColumn>
    <tableColumn id="12" xr3:uid="{00000000-0010-0000-1B00-00000C000000}" name="Place7" dataDxfId="873">
      <calculatedColumnFormula>IF(L5=0," ",IF((RANK(L5,L$5:L$24,1)-COUNTIF(L$5:L$24,0)&gt;6)," ",RANK(L5,L$5:L$24,1)-COUNTIF(L$5:L$24,0)))</calculatedColumnFormula>
    </tableColumn>
    <tableColumn id="13" xr3:uid="{00000000-0010-0000-1B00-00000D000000}" name="Points8" dataDxfId="872">
      <calculatedColumnFormula>IF(Table622027323334171829[[#This Row],[Non-Member]]="X"," ",IF(N5=" "," ",IFERROR(VLOOKUP(M5,Points!$A$2:$B$14,2,FALSE)," ")))</calculatedColumnFormula>
    </tableColumn>
    <tableColumn id="14" xr3:uid="{00000000-0010-0000-1B00-00000E000000}" name="Time/Score9" dataDxfId="871" dataCellStyle="Comma"/>
    <tableColumn id="15" xr3:uid="{00000000-0010-0000-1B00-00000F000000}" name="Time/Score10" dataDxfId="870">
      <calculatedColumnFormula>IF(P5=0," ",_xlfn.RANK.AVG(P5,P$5:P$24,1)-COUNTIF(P$5:P$24,0))</calculatedColumnFormula>
    </tableColumn>
    <tableColumn id="16" xr3:uid="{00000000-0010-0000-1B00-000010000000}" name="Place10" dataDxfId="869">
      <calculatedColumnFormula>IF(P5=0," ",IF((RANK(P5,P$5:P$24,1)-COUNTIF(P$5:P$24,0)&gt;6)," ",RANK(P5,P$5:P$24,1)-COUNTIF(P$5:P$24,0)))</calculatedColumnFormula>
    </tableColumn>
    <tableColumn id="17" xr3:uid="{00000000-0010-0000-1B00-000011000000}" name="Points11" dataDxfId="868">
      <calculatedColumnFormula>IF(Table622027323334171829[[#This Row],[Non-Member]]="X"," ",IF(R5=" "," ",IFERROR(VLOOKUP(Q5,Points!$A$2:$B$14,2,FALSE)," ")))</calculatedColumnFormula>
    </tableColumn>
    <tableColumn id="18" xr3:uid="{00000000-0010-0000-1B00-000012000000}" name="Time/Score12" dataDxfId="867" dataCellStyle="Comma"/>
    <tableColumn id="19" xr3:uid="{00000000-0010-0000-1B00-000013000000}" name="Time/Score13" dataDxfId="866">
      <calculatedColumnFormula>IF(T5=0," ",_xlfn.RANK.AVG(T5,T$5:T$24,1)-COUNTIF(T$5:T$24,0))</calculatedColumnFormula>
    </tableColumn>
    <tableColumn id="20" xr3:uid="{00000000-0010-0000-1B00-000014000000}" name="Place13" dataDxfId="865">
      <calculatedColumnFormula>IF(T5=0," ",IF((RANK(T5,T$5:T$24,1)-COUNTIF(T$5:T$24,0)&gt;6)," ",RANK(T5,T$5:T$24,1)-COUNTIF(T$5:T$24,0)))</calculatedColumnFormula>
    </tableColumn>
    <tableColumn id="21" xr3:uid="{00000000-0010-0000-1B00-000015000000}" name="Points14" dataDxfId="864">
      <calculatedColumnFormula>IF(Table622027323334171829[[#This Row],[Non-Member]]="X"," ",IF(V5=" "," ",IFERROR(VLOOKUP(U5,Points!$A$2:$B$14,2,FALSE)," ")))</calculatedColumnFormula>
    </tableColumn>
    <tableColumn id="22" xr3:uid="{00000000-0010-0000-1B00-000016000000}" name="Time/Score15" dataDxfId="863" dataCellStyle="Comma"/>
    <tableColumn id="23" xr3:uid="{00000000-0010-0000-1B00-000017000000}" name="Time/Score16" dataDxfId="862">
      <calculatedColumnFormula>IF(X5=0," ",_xlfn.RANK.AVG(X5,X$5:X$24,1)-COUNTIF(X$5:X$24,0))</calculatedColumnFormula>
    </tableColumn>
    <tableColumn id="24" xr3:uid="{00000000-0010-0000-1B00-000018000000}" name="Place16" dataDxfId="861">
      <calculatedColumnFormula>IF(X5=0," ",IF((RANK(X5,X$5:X$24,1)-COUNTIF(X$5:X$24,0)&gt;6)," ",RANK(X5,X$5:X$24,1)-COUNTIF(X$5:X$24,0)))</calculatedColumnFormula>
    </tableColumn>
    <tableColumn id="25" xr3:uid="{00000000-0010-0000-1B00-000019000000}" name="Points17" dataDxfId="860">
      <calculatedColumnFormula>IF(Table622027323334171829[[#This Row],[Non-Member]]="X"," ",IF(Z5=" "," ",IFERROR(VLOOKUP(Y5,Points!$A$2:$B$14,2,FALSE)," ")))</calculatedColumnFormula>
    </tableColumn>
    <tableColumn id="26" xr3:uid="{00000000-0010-0000-1B00-00001A000000}" name="Time/Score18" dataDxfId="859" dataCellStyle="Comma"/>
    <tableColumn id="27" xr3:uid="{00000000-0010-0000-1B00-00001B000000}" name="Time/Score19" dataDxfId="858">
      <calculatedColumnFormula>IF(AB5=0," ",_xlfn.RANK.AVG(AB5,AB$5:AB$24,1)-COUNTIF(AB$5:AB$24,0))</calculatedColumnFormula>
    </tableColumn>
    <tableColumn id="28" xr3:uid="{00000000-0010-0000-1B00-00001C000000}" name="Place19" dataDxfId="857">
      <calculatedColumnFormula>IF(AB5=0," ",IF((RANK(AB5,AB$5:AB$24,1)-COUNTIF(AB$5:AB$24,0)&gt;6)," ",RANK(AB5,AB$5:AB$24,1)-COUNTIF(AB$5:AB$24,0)))</calculatedColumnFormula>
    </tableColumn>
    <tableColumn id="29" xr3:uid="{00000000-0010-0000-1B00-00001D000000}" name="Points20" dataDxfId="856">
      <calculatedColumnFormula>IF(Table622027323334171829[[#This Row],[Non-Member]]="X"," ",IF(AD5=" "," ",IFERROR(VLOOKUP(AC5,Points!$A$2:$B$14,2,FALSE)," ")))</calculatedColumnFormula>
    </tableColumn>
    <tableColumn id="30" xr3:uid="{00000000-0010-0000-1B00-00001E000000}" name="Time/Score21" dataDxfId="855" dataCellStyle="Comma">
      <calculatedColumnFormula>IF(OR(X5=0,AB5=0)," ",X5+AB5)</calculatedColumnFormula>
    </tableColumn>
    <tableColumn id="31" xr3:uid="{00000000-0010-0000-1B00-00001F000000}" name="Time/Score22" dataDxfId="854">
      <calculatedColumnFormula>IF(OR(AF5=0,AF5=" ")," ",_xlfn.RANK.AVG(AF5,AF$5:AF$24,1)-COUNTIF(AF$5:AF$24,0))</calculatedColumnFormula>
    </tableColumn>
    <tableColumn id="32" xr3:uid="{00000000-0010-0000-1B00-000020000000}" name="Place22" dataDxfId="853">
      <calculatedColumnFormula>IF(OR(AF5=0,AF5=" ")," ",IF((RANK(AF5,AF$5:AF$24,1)-COUNTIF(AF$5:AF$24,0)&gt;6)," ",RANK(AF5,AF$5:AF$24,1)-COUNTIF(AF$5:AF$24,0)))</calculatedColumnFormula>
    </tableColumn>
    <tableColumn id="33" xr3:uid="{00000000-0010-0000-1B00-000021000000}" name="Points23" dataDxfId="852">
      <calculatedColumnFormula>IF(Table622027323334171829[[#This Row],[Non-Member]]="X"," ",IF(AH5=" "," ",IFERROR(VLOOKUP(AG5,Points!$A$2:$B$14,2,FALSE)," ")))</calculatedColumnFormula>
    </tableColumn>
    <tableColumn id="34" xr3:uid="{00000000-0010-0000-1B00-000022000000}" name="Points24" dataDxfId="851">
      <calculatedColumnFormula>IF(Table622027323334171829[[#This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B00-000023000000}" name="Points25" dataDxfId="850" dataCellStyle="Comma">
      <calculatedColumnFormula>IF(AJ5=0," ",AJ5)</calculatedColumnFormula>
    </tableColumn>
    <tableColumn id="36" xr3:uid="{00000000-0010-0000-1B00-000024000000}" name="Place26" dataDxfId="84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63456891011233444402031" displayName="Table63456891011233444402031" ref="B4:AC24" totalsRowShown="0" headerRowDxfId="848" dataDxfId="847" tableBorderDxfId="846">
  <autoFilter ref="B4:AC24" xr:uid="{00000000-0009-0000-0100-00001E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1C00-000001000000}" name="Name" dataDxfId="845"/>
    <tableColumn id="39" xr3:uid="{00000000-0010-0000-1C00-000027000000}" name="Points" dataDxfId="844">
      <calculatedColumnFormula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calculatedColumnFormula>
    </tableColumn>
    <tableColumn id="4" xr3:uid="{00000000-0010-0000-1C00-000004000000}" name="Column1" dataDxfId="843">
      <calculatedColumnFormula>IF(C5&gt;0,C5," ")</calculatedColumnFormula>
    </tableColumn>
    <tableColumn id="5" xr3:uid="{00000000-0010-0000-1C00-000005000000}" name="Place" dataDxfId="842">
      <calculatedColumnFormula>IF(C5=0," ",RANK(C5,C$5:C$24,0))</calculatedColumnFormula>
    </tableColumn>
    <tableColumn id="43" xr3:uid="{00000000-0010-0000-1C00-00002B000000}" name="Points4" dataDxfId="841">
      <calculatedColumnFormula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calculatedColumnFormula>
    </tableColumn>
    <tableColumn id="6" xr3:uid="{00000000-0010-0000-1C00-000006000000}" name="Points5" dataDxfId="840">
      <calculatedColumnFormula>IF(F5&gt;0,F5," ")</calculatedColumnFormula>
    </tableColumn>
    <tableColumn id="44" xr3:uid="{00000000-0010-0000-1C00-00002C000000}" name="Place5" dataDxfId="839">
      <calculatedColumnFormula>IF(F5=0," ",RANK(F5,F$5:F$24,0))</calculatedColumnFormula>
    </tableColumn>
    <tableColumn id="46" xr3:uid="{00000000-0010-0000-1C00-00002E000000}" name="Points43" dataDxfId="838">
      <calculatedColumnFormula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calculatedColumnFormula>
    </tableColumn>
    <tableColumn id="7" xr3:uid="{00000000-0010-0000-1C00-000007000000}" name="Points432" dataDxfId="837">
      <calculatedColumnFormula>IF(I5&gt;0,I5," ")</calculatedColumnFormula>
    </tableColumn>
    <tableColumn id="47" xr3:uid="{00000000-0010-0000-1C00-00002F000000}" name="Place54" dataDxfId="836">
      <calculatedColumnFormula>IF(I5=0," ",RANK(I5,I$5:I$24,0))</calculatedColumnFormula>
    </tableColumn>
    <tableColumn id="49" xr3:uid="{00000000-0010-0000-1C00-000031000000}" name="Points44" dataDxfId="835">
      <calculatedColumnFormula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calculatedColumnFormula>
    </tableColumn>
    <tableColumn id="8" xr3:uid="{00000000-0010-0000-1C00-000008000000}" name="Points442" dataDxfId="834">
      <calculatedColumnFormula>IF(L5&gt;0,L5," ")</calculatedColumnFormula>
    </tableColumn>
    <tableColumn id="50" xr3:uid="{00000000-0010-0000-1C00-000032000000}" name="Place55" dataDxfId="833">
      <calculatedColumnFormula>IF(L5=0," ",RANK(L5,L$5:L$24,0))</calculatedColumnFormula>
    </tableColumn>
    <tableColumn id="52" xr3:uid="{00000000-0010-0000-1C00-000034000000}" name="Points45" dataDxfId="832">
      <calculatedColumnFormula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calculatedColumnFormula>
    </tableColumn>
    <tableColumn id="9" xr3:uid="{00000000-0010-0000-1C00-000009000000}" name="Points452" dataDxfId="831">
      <calculatedColumnFormula>IF(O5&gt;0,O5," ")</calculatedColumnFormula>
    </tableColumn>
    <tableColumn id="53" xr3:uid="{00000000-0010-0000-1C00-000035000000}" name="Place56" dataDxfId="830">
      <calculatedColumnFormula>IF(O5=0," ",RANK(O5,O$5:O$24,0))</calculatedColumnFormula>
    </tableColumn>
    <tableColumn id="55" xr3:uid="{00000000-0010-0000-1C00-000037000000}" name="Points46" dataDxfId="829">
      <calculatedColumnFormula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calculatedColumnFormula>
    </tableColumn>
    <tableColumn id="10" xr3:uid="{00000000-0010-0000-1C00-00000A000000}" name="Points462" dataDxfId="828">
      <calculatedColumnFormula>IF(R5&gt;0,R5," ")</calculatedColumnFormula>
    </tableColumn>
    <tableColumn id="56" xr3:uid="{00000000-0010-0000-1C00-000038000000}" name="Place57" dataDxfId="827">
      <calculatedColumnFormula>IF(R5=0," ",RANK(R5,R$5:R$24,0))</calculatedColumnFormula>
    </tableColumn>
    <tableColumn id="58" xr3:uid="{00000000-0010-0000-1C00-00003A000000}" name="Points47" dataDxfId="826">
      <calculatedColumnFormula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calculatedColumnFormula>
    </tableColumn>
    <tableColumn id="11" xr3:uid="{00000000-0010-0000-1C00-00000B000000}" name="Points472" dataDxfId="825">
      <calculatedColumnFormula>IF(U5&gt;0,U5," ")</calculatedColumnFormula>
    </tableColumn>
    <tableColumn id="59" xr3:uid="{00000000-0010-0000-1C00-00003B000000}" name="Place58" dataDxfId="824">
      <calculatedColumnFormula>IF(U5=0," ",RANK(U5,U$5:U$24,0))</calculatedColumnFormula>
    </tableColumn>
    <tableColumn id="61" xr3:uid="{00000000-0010-0000-1C00-00003D000000}" name="Points48" dataDxfId="823">
      <calculatedColumnFormula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calculatedColumnFormula>
    </tableColumn>
    <tableColumn id="12" xr3:uid="{00000000-0010-0000-1C00-00000C000000}" name="Points49" dataDxfId="822">
      <calculatedColumnFormula>IF(X5&gt;0,X5," ")</calculatedColumnFormula>
    </tableColumn>
    <tableColumn id="62" xr3:uid="{00000000-0010-0000-1C00-00003E000000}" name="Place59" dataDxfId="821">
      <calculatedColumnFormula>IF(X5=0," ",RANK(X5,X$5:X$24,0))</calculatedColumnFormula>
    </tableColumn>
    <tableColumn id="2" xr3:uid="{00000000-0010-0000-1C00-000002000000}" name="Points482" dataDxfId="820">
      <calculatedColumnFormula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calculatedColumnFormula>
    </tableColumn>
    <tableColumn id="13" xr3:uid="{00000000-0010-0000-1C00-00000D000000}" name="Points483" dataDxfId="819">
      <calculatedColumnFormula>IF(AA5&gt;0,AA5," ")</calculatedColumnFormula>
    </tableColumn>
    <tableColumn id="3" xr3:uid="{00000000-0010-0000-1C00-000003000000}" name="Place593" dataDxfId="81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2000000}" name="Table6220273233373839234349" displayName="Table6220273233373839234349" ref="B4:AL24" totalsRowShown="0" headerRowDxfId="1757" dataDxfId="1756" tableBorderDxfId="1755">
  <autoFilter ref="B4:AL24" xr:uid="{00000000-0009-0000-0100-00003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200-000001000000}" name="Name" dataDxfId="1754"/>
    <tableColumn id="37" xr3:uid="{00000000-0010-0000-0200-000025000000}" name="Non-Member" dataDxfId="1753"/>
    <tableColumn id="2" xr3:uid="{00000000-0010-0000-0200-000002000000}" name="Time/Score" dataDxfId="1752" dataCellStyle="Comma"/>
    <tableColumn id="3" xr3:uid="{00000000-0010-0000-0200-000003000000}" name="Column2" dataDxfId="1751">
      <calculatedColumnFormula>IF(D5=0," ",_xlfn.RANK.AVG(D5,D$5:D$24,1)-COUNTIF(D$5:D$24,0))</calculatedColumnFormula>
    </tableColumn>
    <tableColumn id="4" xr3:uid="{00000000-0010-0000-0200-000004000000}" name="Place" dataDxfId="1750">
      <calculatedColumnFormula>IF(D5=0," ",IF((RANK(D5,D$5:D$24,1)-COUNTIF(D$5:D$24,0)&gt;6)," ",RANK(D5,D$5:D$24,1)-COUNTIF(D$5:D$24,0)))</calculatedColumnFormula>
    </tableColumn>
    <tableColumn id="5" xr3:uid="{00000000-0010-0000-0200-000005000000}" name="Points" dataDxfId="1749">
      <calculatedColumnFormula>IF(Table6220273233373839234349[[#This Row],[Non-Member]]="X"," ",IF(F5=" "," ",IFERROR(VLOOKUP(E5,Points!$A$2:$B$14,2,FALSE)," ")))</calculatedColumnFormula>
    </tableColumn>
    <tableColumn id="6" xr3:uid="{00000000-0010-0000-0200-000006000000}" name="Time/Score3" dataDxfId="1748" dataCellStyle="Comma"/>
    <tableColumn id="7" xr3:uid="{00000000-0010-0000-0200-000007000000}" name="Time/Score4" dataDxfId="1747">
      <calculatedColumnFormula>IF(H5=0," ",_xlfn.RANK.AVG(H5,H$5:H$24,1)-COUNTIF(H$5:H$24,0))</calculatedColumnFormula>
    </tableColumn>
    <tableColumn id="8" xr3:uid="{00000000-0010-0000-0200-000008000000}" name="Place4" dataDxfId="1746">
      <calculatedColumnFormula>IF(H5=0," ",IF((RANK(H5,H$5:H$24,1)-COUNTIF(H$5:H$24,0)&gt;6)," ",RANK(H5,H$5:H$24,1)-COUNTIF(H$5:H$24,0)))</calculatedColumnFormula>
    </tableColumn>
    <tableColumn id="9" xr3:uid="{00000000-0010-0000-0200-000009000000}" name="Points5" dataDxfId="1745">
      <calculatedColumnFormula>IF(Table6220273233373839234349[[#This Row],[Non-Member]]="X"," ",IF(J5=" "," ",IFERROR(VLOOKUP(I5,Points!$A$2:$B$14,2,FALSE)," ")))</calculatedColumnFormula>
    </tableColumn>
    <tableColumn id="10" xr3:uid="{00000000-0010-0000-0200-00000A000000}" name="Time/Score6" dataDxfId="1744" dataCellStyle="Comma"/>
    <tableColumn id="11" xr3:uid="{00000000-0010-0000-0200-00000B000000}" name="Time/Score7" dataDxfId="1743">
      <calculatedColumnFormula>IF(L5=0," ",_xlfn.RANK.AVG(L5,L$5:L$24,1)-COUNTIF(L$5:L$24,0))</calculatedColumnFormula>
    </tableColumn>
    <tableColumn id="12" xr3:uid="{00000000-0010-0000-0200-00000C000000}" name="Place7" dataDxfId="1742">
      <calculatedColumnFormula>IF(L5=0," ",IF((RANK(L5,L$5:L$24,1)-COUNTIF(L$5:L$24,0)&gt;6)," ",RANK(L5,L$5:L$24,1)-COUNTIF(L$5:L$24,0)))</calculatedColumnFormula>
    </tableColumn>
    <tableColumn id="13" xr3:uid="{00000000-0010-0000-0200-00000D000000}" name="Points8" dataDxfId="1741">
      <calculatedColumnFormula>IF(Table6220273233373839234349[[#This Row],[Non-Member]]="X"," ",IF(N5=" "," ",IFERROR(VLOOKUP(M5,Points!$A$2:$B$14,2,FALSE)," ")))</calculatedColumnFormula>
    </tableColumn>
    <tableColumn id="14" xr3:uid="{00000000-0010-0000-0200-00000E000000}" name="Time/Score9" dataDxfId="1740" dataCellStyle="Comma"/>
    <tableColumn id="15" xr3:uid="{00000000-0010-0000-0200-00000F000000}" name="Time/Score10" dataDxfId="1739">
      <calculatedColumnFormula>IF(P5=0," ",_xlfn.RANK.AVG(P5,P$5:P$24,1)-COUNTIF(P$5:P$24,0))</calculatedColumnFormula>
    </tableColumn>
    <tableColumn id="16" xr3:uid="{00000000-0010-0000-0200-000010000000}" name="Place10" dataDxfId="1738">
      <calculatedColumnFormula>IF(P5=0," ",IF((RANK(P5,P$5:P$24,1)-COUNTIF(P$5:P$24,0)&gt;6)," ",RANK(P5,P$5:P$24,1)-COUNTIF(P$5:P$24,0)))</calculatedColumnFormula>
    </tableColumn>
    <tableColumn id="17" xr3:uid="{00000000-0010-0000-0200-000011000000}" name="Points11" dataDxfId="1737">
      <calculatedColumnFormula>IF(Table6220273233373839234349[[#This Row],[Non-Member]]="X"," ",IF(R5=" "," ",IFERROR(VLOOKUP(Q5,Points!$A$2:$B$14,2,FALSE)," ")))</calculatedColumnFormula>
    </tableColumn>
    <tableColumn id="18" xr3:uid="{00000000-0010-0000-0200-000012000000}" name="Time/Score12" dataDxfId="1736" dataCellStyle="Comma"/>
    <tableColumn id="19" xr3:uid="{00000000-0010-0000-0200-000013000000}" name="Time/Score13" dataDxfId="1735">
      <calculatedColumnFormula>IF(T5=0," ",_xlfn.RANK.AVG(T5,T$5:T$24,1)-COUNTIF(T$5:T$24,0))</calculatedColumnFormula>
    </tableColumn>
    <tableColumn id="20" xr3:uid="{00000000-0010-0000-0200-000014000000}" name="Place13" dataDxfId="1734">
      <calculatedColumnFormula>IF(T5=0," ",IF((RANK(T5,T$5:T$24,1)-COUNTIF(T$5:T$24,0)&gt;6)," ",RANK(T5,T$5:T$24,1)-COUNTIF(T$5:T$24,0)))</calculatedColumnFormula>
    </tableColumn>
    <tableColumn id="21" xr3:uid="{00000000-0010-0000-0200-000015000000}" name="Points14" dataDxfId="1733">
      <calculatedColumnFormula>IF(Table6220273233373839234349[[#This Row],[Non-Member]]="X"," ",IF(V5=" "," ",IFERROR(VLOOKUP(U5,Points!$A$2:$B$14,2,FALSE)," ")))</calculatedColumnFormula>
    </tableColumn>
    <tableColumn id="22" xr3:uid="{00000000-0010-0000-0200-000016000000}" name="Time/Score15" dataDxfId="1732" dataCellStyle="Comma"/>
    <tableColumn id="23" xr3:uid="{00000000-0010-0000-0200-000017000000}" name="Time/Score16" dataDxfId="1731">
      <calculatedColumnFormula>IF(X5=0," ",_xlfn.RANK.AVG(X5,X$5:X$24,1)-COUNTIF(X$5:X$24,0))</calculatedColumnFormula>
    </tableColumn>
    <tableColumn id="24" xr3:uid="{00000000-0010-0000-0200-000018000000}" name="Place16" dataDxfId="1730">
      <calculatedColumnFormula>IF(X5=0," ",IF((RANK(X5,X$5:X$24,1)-COUNTIF(X$5:X$24,0)&gt;6)," ",RANK(X5,X$5:X$24,1)-COUNTIF(X$5:X$24,0)))</calculatedColumnFormula>
    </tableColumn>
    <tableColumn id="25" xr3:uid="{00000000-0010-0000-0200-000019000000}" name="Points17" dataDxfId="1729">
      <calculatedColumnFormula>IF(Table6220273233373839234349[[#This Row],[Non-Member]]="X"," ",IF(Z5=" "," ",IFERROR(VLOOKUP(Y5,Points!$A$2:$B$14,2,FALSE)," ")))</calculatedColumnFormula>
    </tableColumn>
    <tableColumn id="26" xr3:uid="{00000000-0010-0000-0200-00001A000000}" name="Time/Score18" dataDxfId="1728" dataCellStyle="Comma"/>
    <tableColumn id="27" xr3:uid="{00000000-0010-0000-0200-00001B000000}" name="Time/Score19" dataDxfId="1727">
      <calculatedColumnFormula>IF(AB5=0," ",_xlfn.RANK.AVG(AB5,AB$5:AB$24,1)-COUNTIF(AB$5:AB$24,0))</calculatedColumnFormula>
    </tableColumn>
    <tableColumn id="28" xr3:uid="{00000000-0010-0000-0200-00001C000000}" name="Place19" dataDxfId="1726">
      <calculatedColumnFormula>IF(AB5=0," ",IF((RANK(AB5,AB$5:AB$24,1)-COUNTIF(AB$5:AB$24,0)&gt;6)," ",RANK(AB5,AB$5:AB$24,1)-COUNTIF(AB$5:AB$24,0)))</calculatedColumnFormula>
    </tableColumn>
    <tableColumn id="29" xr3:uid="{00000000-0010-0000-0200-00001D000000}" name="Points20" dataDxfId="1725">
      <calculatedColumnFormula>IF(Table6220273233373839234349[[#This Row],[Non-Member]]="X"," ",IF(AD5=" "," ",IFERROR(VLOOKUP(AC5,Points!$A$2:$B$14,2,FALSE)," ")))</calculatedColumnFormula>
    </tableColumn>
    <tableColumn id="30" xr3:uid="{00000000-0010-0000-0200-00001E000000}" name="Time/Score21" dataDxfId="1724" dataCellStyle="Comma">
      <calculatedColumnFormula>IF(OR(X5=0,AB5=0)," ",X5+AB5)</calculatedColumnFormula>
    </tableColumn>
    <tableColumn id="31" xr3:uid="{00000000-0010-0000-0200-00001F000000}" name="Time/Score22" dataDxfId="1723">
      <calculatedColumnFormula>IF(OR(AF5=0,AF5=" ")," ",_xlfn.RANK.AVG(AF5,AF$5:AF$24,1)-COUNTIF(AF$5:AF$24,0))</calculatedColumnFormula>
    </tableColumn>
    <tableColumn id="32" xr3:uid="{00000000-0010-0000-0200-000020000000}" name="Place22" dataDxfId="1722">
      <calculatedColumnFormula>IF(OR(AF5=0,AF5=" ")," ",IF((RANK(AF5,AF$5:AF$24,1)-COUNTIF(AF$5:AF$24,0)&gt;6)," ",RANK(AF5,AF$5:AF$24,1)-COUNTIF(AF$5:AF$24,0)))</calculatedColumnFormula>
    </tableColumn>
    <tableColumn id="33" xr3:uid="{00000000-0010-0000-0200-000021000000}" name="Points23" dataDxfId="1721">
      <calculatedColumnFormula>IF(Table6220273233373839234349[[#This Row],[Non-Member]]="X"," ",IF(AH5=" "," ",IFERROR(VLOOKUP(AG5,Points!$A$2:$B$14,2,FALSE)," ")))</calculatedColumnFormula>
    </tableColumn>
    <tableColumn id="34" xr3:uid="{00000000-0010-0000-0200-000022000000}" name="Points24" dataDxfId="1720">
      <calculatedColumnFormula>IF(Table6220273233373839234349[[#This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200-000023000000}" name="Points25" dataDxfId="1719" dataCellStyle="Comma">
      <calculatedColumnFormula>IF(AJ5=0," ",AJ5)</calculatedColumnFormula>
    </tableColumn>
    <tableColumn id="36" xr3:uid="{00000000-0010-0000-0200-000024000000}" name="Place26" dataDxfId="171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D000000}" name="Table62202732333721" displayName="Table62202732333721" ref="B4:AL30" totalsRowShown="0" headerRowDxfId="817" dataDxfId="816" tableBorderDxfId="815">
  <autoFilter ref="B4:AL30" xr:uid="{00000000-0009-0000-0100-000014000000}"/>
  <sortState xmlns:xlrd2="http://schemas.microsoft.com/office/spreadsheetml/2017/richdata2" ref="B5:AL30">
    <sortCondition ref="AL5:AL30"/>
    <sortCondition ref="B5:B30"/>
  </sortState>
  <tableColumns count="37">
    <tableColumn id="1" xr3:uid="{00000000-0010-0000-1D00-000001000000}" name="Name" dataDxfId="814"/>
    <tableColumn id="37" xr3:uid="{00000000-0010-0000-1D00-000025000000}" name="Non-Member" dataDxfId="813"/>
    <tableColumn id="2" xr3:uid="{00000000-0010-0000-1D00-000002000000}" name="Time/Score" dataDxfId="812" dataCellStyle="Comma"/>
    <tableColumn id="3" xr3:uid="{00000000-0010-0000-1D00-000003000000}" name="Column2" dataDxfId="811">
      <calculatedColumnFormula>IF(D5=0," ",_xlfn.RANK.AVG(D5,D$5:D$30,1)-COUNTIF(D$5:D$30,0))</calculatedColumnFormula>
    </tableColumn>
    <tableColumn id="4" xr3:uid="{00000000-0010-0000-1D00-000004000000}" name="Place" dataDxfId="810">
      <calculatedColumnFormula>IF(D5=0," ",IF((RANK(D5,D$5:D$30,1)-COUNTIF(D$5:D$30,0)&gt;6)," ",RANK(D5,D$5:D$30,1)-COUNTIF(D$5:D$30,0)))</calculatedColumnFormula>
    </tableColumn>
    <tableColumn id="5" xr3:uid="{00000000-0010-0000-1D00-000005000000}" name="Points" dataDxfId="809">
      <calculatedColumnFormula>IF(Table62202732333721[[#This Row],[Non-Member]]="X"," ",IF(F5=" "," ",IFERROR(VLOOKUP(E5,Points!$A$2:$B$14,2,FALSE)," ")))</calculatedColumnFormula>
    </tableColumn>
    <tableColumn id="6" xr3:uid="{00000000-0010-0000-1D00-000006000000}" name="Time/Score3" dataDxfId="808" dataCellStyle="Comma"/>
    <tableColumn id="7" xr3:uid="{00000000-0010-0000-1D00-000007000000}" name="Time/Score4" dataDxfId="807">
      <calculatedColumnFormula>IF(H5=0," ",_xlfn.RANK.AVG(H5,H$5:H$30,1)-COUNTIF(H$5:H$30,0))</calculatedColumnFormula>
    </tableColumn>
    <tableColumn id="8" xr3:uid="{00000000-0010-0000-1D00-000008000000}" name="Place4" dataDxfId="806">
      <calculatedColumnFormula>IF(H5=0," ",IF((RANK(H5,H$5:H$30,1)-COUNTIF(H$5:H$30,0)&gt;6)," ",RANK(H5,H$5:H$30,1)-COUNTIF(H$5:H$30,0)))</calculatedColumnFormula>
    </tableColumn>
    <tableColumn id="9" xr3:uid="{00000000-0010-0000-1D00-000009000000}" name="Points5" dataDxfId="805">
      <calculatedColumnFormula>IF(Table62202732333721[[#This Row],[Non-Member]]="X"," ",IF(J5=" "," ",IFERROR(VLOOKUP(I5,Points!$A$2:$B$14,2,FALSE)," ")))</calculatedColumnFormula>
    </tableColumn>
    <tableColumn id="10" xr3:uid="{00000000-0010-0000-1D00-00000A000000}" name="Time/Score6" dataDxfId="804" dataCellStyle="Comma"/>
    <tableColumn id="11" xr3:uid="{00000000-0010-0000-1D00-00000B000000}" name="Time/Score7" dataDxfId="803">
      <calculatedColumnFormula>IF(L5=0," ",_xlfn.RANK.AVG(L5,L$5:L$30,1)-COUNTIF(L$5:L$30,0))</calculatedColumnFormula>
    </tableColumn>
    <tableColumn id="12" xr3:uid="{00000000-0010-0000-1D00-00000C000000}" name="Place7" dataDxfId="802">
      <calculatedColumnFormula>IF(L5=0," ",IF((RANK(L5,L$5:L$30,1)-COUNTIF(L$5:L$30,0)&gt;6)," ",RANK(L5,L$5:L$30,1)-COUNTIF(L$5:L$30,0)))</calculatedColumnFormula>
    </tableColumn>
    <tableColumn id="13" xr3:uid="{00000000-0010-0000-1D00-00000D000000}" name="Points8" dataDxfId="801">
      <calculatedColumnFormula>IF(Table62202732333721[[#This Row],[Non-Member]]="X"," ",IF(N5=" "," ",IFERROR(VLOOKUP(M5,Points!$A$2:$B$14,2,FALSE)," ")))</calculatedColumnFormula>
    </tableColumn>
    <tableColumn id="14" xr3:uid="{00000000-0010-0000-1D00-00000E000000}" name="Time/Score9" dataDxfId="800" dataCellStyle="Comma"/>
    <tableColumn id="15" xr3:uid="{00000000-0010-0000-1D00-00000F000000}" name="Time/Score10" dataDxfId="799">
      <calculatedColumnFormula>IF(P5=0," ",_xlfn.RANK.AVG(P5,P$5:P$30,1)-COUNTIF(P$5:P$30,0))</calculatedColumnFormula>
    </tableColumn>
    <tableColumn id="16" xr3:uid="{00000000-0010-0000-1D00-000010000000}" name="Place10" dataDxfId="798">
      <calculatedColumnFormula>IF(P5=0," ",IF((RANK(P5,P$5:P$30,1)-COUNTIF(P$5:P$30,0)&gt;6)," ",RANK(P5,P$5:P$30,1)-COUNTIF(P$5:P$30,0)))</calculatedColumnFormula>
    </tableColumn>
    <tableColumn id="17" xr3:uid="{00000000-0010-0000-1D00-000011000000}" name="Points11" dataDxfId="797">
      <calculatedColumnFormula>IF(Table62202732333721[[#This Row],[Non-Member]]="X"," ",IF(R5=" "," ",IFERROR(VLOOKUP(Q5,Points!$A$2:$B$14,2,FALSE)," ")))</calculatedColumnFormula>
    </tableColumn>
    <tableColumn id="18" xr3:uid="{00000000-0010-0000-1D00-000012000000}" name="Time/Score12" dataDxfId="796" dataCellStyle="Comma"/>
    <tableColumn id="19" xr3:uid="{00000000-0010-0000-1D00-000013000000}" name="Time/Score13" dataDxfId="795">
      <calculatedColumnFormula>IF(T5=0," ",_xlfn.RANK.AVG(T5,T$5:T$30,1)-COUNTIF(T$5:T$30,0))</calculatedColumnFormula>
    </tableColumn>
    <tableColumn id="20" xr3:uid="{00000000-0010-0000-1D00-000014000000}" name="Place13" dataDxfId="794">
      <calculatedColumnFormula>IF(T5=0," ",IF((RANK(T5,T$5:T$30,1)-COUNTIF(T$5:T$30,0)&gt;6)," ",RANK(T5,T$5:T$30,1)-COUNTIF(T$5:T$30,0)))</calculatedColumnFormula>
    </tableColumn>
    <tableColumn id="21" xr3:uid="{00000000-0010-0000-1D00-000015000000}" name="Points14" dataDxfId="793">
      <calculatedColumnFormula>IF(Table62202732333721[[#This Row],[Non-Member]]="X"," ",IF(V5=" "," ",IFERROR(VLOOKUP(U5,Points!$A$2:$B$14,2,FALSE)," ")))</calculatedColumnFormula>
    </tableColumn>
    <tableColumn id="22" xr3:uid="{00000000-0010-0000-1D00-000016000000}" name="Time/Score15" dataDxfId="792" dataCellStyle="Comma"/>
    <tableColumn id="23" xr3:uid="{00000000-0010-0000-1D00-000017000000}" name="Time/Score16" dataDxfId="791">
      <calculatedColumnFormula>IF(X5=0," ",_xlfn.RANK.AVG(X5,X$5:X$30,1)-COUNTIF(X$5:X$30,0))</calculatedColumnFormula>
    </tableColumn>
    <tableColumn id="24" xr3:uid="{00000000-0010-0000-1D00-000018000000}" name="Place16" dataDxfId="790">
      <calculatedColumnFormula>IF(X5=0," ",IF((RANK(X5,X$5:X$30,1)-COUNTIF(X$5:X$30,0)&gt;6)," ",RANK(X5,X$5:X$30,1)-COUNTIF(X$5:X$30,0)))</calculatedColumnFormula>
    </tableColumn>
    <tableColumn id="25" xr3:uid="{00000000-0010-0000-1D00-000019000000}" name="Points17" dataDxfId="789">
      <calculatedColumnFormula>IF(Table62202732333721[[#This Row],[Non-Member]]="X"," ",IF(Z5=" "," ",IFERROR(VLOOKUP(Y5,Points!$A$2:$B$14,2,FALSE)," ")))</calculatedColumnFormula>
    </tableColumn>
    <tableColumn id="26" xr3:uid="{00000000-0010-0000-1D00-00001A000000}" name="Time/Score18" dataDxfId="788" dataCellStyle="Comma"/>
    <tableColumn id="27" xr3:uid="{00000000-0010-0000-1D00-00001B000000}" name="Time/Score19" dataDxfId="787">
      <calculatedColumnFormula>IF(AB5=0," ",_xlfn.RANK.AVG(AB5,AB$5:AB$30,1)-COUNTIF(AB$5:AB$30,0))</calculatedColumnFormula>
    </tableColumn>
    <tableColumn id="28" xr3:uid="{00000000-0010-0000-1D00-00001C000000}" name="Place19" dataDxfId="786">
      <calculatedColumnFormula>IF(AB5=0," ",IF((RANK(AB5,AB$5:AB$30,1)-COUNTIF(AB$5:AB$30,0)&gt;6)," ",RANK(AB5,AB$5:AB$30,1)-COUNTIF(AB$5:AB$30,0)))</calculatedColumnFormula>
    </tableColumn>
    <tableColumn id="29" xr3:uid="{00000000-0010-0000-1D00-00001D000000}" name="Points20" dataDxfId="785">
      <calculatedColumnFormula>IF(Table62202732333721[[#This Row],[Non-Member]]="X"," ",IF(AD5=" "," ",IFERROR(VLOOKUP(AC5,Points!$A$2:$B$14,2,FALSE)," ")))</calculatedColumnFormula>
    </tableColumn>
    <tableColumn id="30" xr3:uid="{00000000-0010-0000-1D00-00001E000000}" name="Time/Score21" dataDxfId="784" dataCellStyle="Comma">
      <calculatedColumnFormula>IF(OR(X5=0,AB5=0)," ",X5+AB5)</calculatedColumnFormula>
    </tableColumn>
    <tableColumn id="31" xr3:uid="{00000000-0010-0000-1D00-00001F000000}" name="Time/Score22" dataDxfId="783">
      <calculatedColumnFormula>IF(OR(AF5=0,AF5=" ")," ",_xlfn.RANK.AVG(AF5,AF$5:AF$30,1)-COUNTIF(AF$5:AF$30,0))</calculatedColumnFormula>
    </tableColumn>
    <tableColumn id="32" xr3:uid="{00000000-0010-0000-1D00-000020000000}" name="Place22" dataDxfId="782">
      <calculatedColumnFormula>IF(OR(AF5=0,AF5=" ")," ",IF((RANK(AF5,AF$5:AF$30,1)-COUNTIF(AF$5:AF$30,0)&gt;6)," ",RANK(AF5,AF$5:AF$30,1)-COUNTIF(AF$5:AF$30,0)))</calculatedColumnFormula>
    </tableColumn>
    <tableColumn id="33" xr3:uid="{00000000-0010-0000-1D00-000021000000}" name="Points23" dataDxfId="781">
      <calculatedColumnFormula>IF(Table62202732333721[[#This Row],[Non-Member]]="X"," ",IF(AH5=" "," ",IFERROR(VLOOKUP(AG5,Points!$A$2:$B$14,2,FALSE)," ")))</calculatedColumnFormula>
    </tableColumn>
    <tableColumn id="34" xr3:uid="{00000000-0010-0000-1D00-000022000000}" name="Points24" dataDxfId="780">
      <calculatedColumnFormula>IF(Table62202732333721[[#This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D00-000023000000}" name="Points25" dataDxfId="779" dataCellStyle="Comma">
      <calculatedColumnFormula>IF(AJ5=0," ",AJ5)</calculatedColumnFormula>
    </tableColumn>
    <tableColumn id="36" xr3:uid="{00000000-0010-0000-1D00-000024000000}" name="Place26" dataDxfId="778">
      <calculatedColumnFormula>IF(AK5=" "," ",RANK(AK5,$AK$5:$AK$30))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E000000}" name="Table6220273233373822" displayName="Table6220273233373822" ref="B4:AL31" totalsRowShown="0" headerRowDxfId="777" dataDxfId="776" tableBorderDxfId="775">
  <autoFilter ref="B4:AL31" xr:uid="{00000000-0009-0000-0100-000015000000}"/>
  <sortState xmlns:xlrd2="http://schemas.microsoft.com/office/spreadsheetml/2017/richdata2" ref="B5:AL31">
    <sortCondition ref="AL5:AL31"/>
    <sortCondition ref="B5:B31"/>
  </sortState>
  <tableColumns count="37">
    <tableColumn id="1" xr3:uid="{00000000-0010-0000-1E00-000001000000}" name="Name" dataDxfId="774"/>
    <tableColumn id="37" xr3:uid="{00000000-0010-0000-1E00-000025000000}" name="Non-Member" dataDxfId="773"/>
    <tableColumn id="2" xr3:uid="{00000000-0010-0000-1E00-000002000000}" name="Time/Score" dataDxfId="772" dataCellStyle="Comma"/>
    <tableColumn id="3" xr3:uid="{00000000-0010-0000-1E00-000003000000}" name="Column2" dataDxfId="771">
      <calculatedColumnFormula>IF(D5=0," ",_xlfn.RANK.AVG(D5,D$5:D$31,1)-COUNTIF(D$5:D$31,0))</calculatedColumnFormula>
    </tableColumn>
    <tableColumn id="4" xr3:uid="{00000000-0010-0000-1E00-000004000000}" name="Place" dataDxfId="770">
      <calculatedColumnFormula>IF(D5=0," ",IF((RANK(D5,D$5:D$31,1)-COUNTIF(D$5:D$31,0)&gt;6)," ",RANK(D5,D$5:D$31,1)-COUNTIF(D$5:D$31,0)))</calculatedColumnFormula>
    </tableColumn>
    <tableColumn id="5" xr3:uid="{00000000-0010-0000-1E00-000005000000}" name="Points" dataDxfId="769">
      <calculatedColumnFormula>IF(Table6220273233373822[[#This Row],[Non-Member]]="X"," ",IF(F5=" "," ",IFERROR(VLOOKUP(E5,Points!$A$2:$B$14,2,FALSE)," ")))</calculatedColumnFormula>
    </tableColumn>
    <tableColumn id="6" xr3:uid="{00000000-0010-0000-1E00-000006000000}" name="Time/Score3" dataDxfId="768" dataCellStyle="Comma"/>
    <tableColumn id="7" xr3:uid="{00000000-0010-0000-1E00-000007000000}" name="Time/Score4" dataDxfId="767">
      <calculatedColumnFormula>IF(H5=0," ",_xlfn.RANK.AVG(H5,H$5:H$31,1)-COUNTIF(H$5:H$31,0))</calculatedColumnFormula>
    </tableColumn>
    <tableColumn id="8" xr3:uid="{00000000-0010-0000-1E00-000008000000}" name="Place4" dataDxfId="766">
      <calculatedColumnFormula>IF(H5=0," ",IF((RANK(H5,H$5:H$31,1)-COUNTIF(H$5:H$31,0)&gt;6)," ",RANK(H5,H$5:H$31,1)-COUNTIF(H$5:H$31,0)))</calculatedColumnFormula>
    </tableColumn>
    <tableColumn id="9" xr3:uid="{00000000-0010-0000-1E00-000009000000}" name="Points5" dataDxfId="765">
      <calculatedColumnFormula>IF(Table6220273233373822[[#This Row],[Non-Member]]="X"," ",IF(J5=" "," ",IFERROR(VLOOKUP(I5,Points!$A$2:$B$14,2,FALSE)," ")))</calculatedColumnFormula>
    </tableColumn>
    <tableColumn id="10" xr3:uid="{00000000-0010-0000-1E00-00000A000000}" name="Time/Score6" dataDxfId="764" dataCellStyle="Comma"/>
    <tableColumn id="11" xr3:uid="{00000000-0010-0000-1E00-00000B000000}" name="Time/Score7" dataDxfId="763">
      <calculatedColumnFormula>IF(L5=0," ",_xlfn.RANK.AVG(L5,L$5:L$31,1)-COUNTIF(L$5:L$31,0))</calculatedColumnFormula>
    </tableColumn>
    <tableColumn id="12" xr3:uid="{00000000-0010-0000-1E00-00000C000000}" name="Place7" dataDxfId="762">
      <calculatedColumnFormula>IF(L5=0," ",IF((RANK(L5,L$5:L$31,1)-COUNTIF(L$5:L$31,0)&gt;6)," ",RANK(L5,L$5:L$31,1)-COUNTIF(L$5:L$31,0)))</calculatedColumnFormula>
    </tableColumn>
    <tableColumn id="13" xr3:uid="{00000000-0010-0000-1E00-00000D000000}" name="Points8" dataDxfId="761">
      <calculatedColumnFormula>IF(Table6220273233373822[[#This Row],[Non-Member]]="X"," ",IF(N5=" "," ",IFERROR(VLOOKUP(M5,Points!$A$2:$B$14,2,FALSE)," ")))</calculatedColumnFormula>
    </tableColumn>
    <tableColumn id="14" xr3:uid="{00000000-0010-0000-1E00-00000E000000}" name="Time/Score9" dataDxfId="760" dataCellStyle="Comma"/>
    <tableColumn id="15" xr3:uid="{00000000-0010-0000-1E00-00000F000000}" name="Time/Score10" dataDxfId="759">
      <calculatedColumnFormula>IF(P5=0," ",_xlfn.RANK.AVG(P5,P$5:P$31,1)-COUNTIF(P$5:P$31,0))</calculatedColumnFormula>
    </tableColumn>
    <tableColumn id="16" xr3:uid="{00000000-0010-0000-1E00-000010000000}" name="Place10" dataDxfId="758">
      <calculatedColumnFormula>IF(P5=0," ",IF((RANK(P5,P$5:P$31,1)-COUNTIF(P$5:P$31,0)&gt;6)," ",RANK(P5,P$5:P$31,1)-COUNTIF(P$5:P$31,0)))</calculatedColumnFormula>
    </tableColumn>
    <tableColumn id="17" xr3:uid="{00000000-0010-0000-1E00-000011000000}" name="Points11" dataDxfId="757">
      <calculatedColumnFormula>IF(Table6220273233373822[[#This Row],[Non-Member]]="X"," ",IF(R5=" "," ",IFERROR(VLOOKUP(Q5,Points!$A$2:$B$14,2,FALSE)," ")))</calculatedColumnFormula>
    </tableColumn>
    <tableColumn id="18" xr3:uid="{00000000-0010-0000-1E00-000012000000}" name="Time/Score12" dataDxfId="756" dataCellStyle="Comma"/>
    <tableColumn id="19" xr3:uid="{00000000-0010-0000-1E00-000013000000}" name="Time/Score13" dataDxfId="755">
      <calculatedColumnFormula>IF(T5=0," ",_xlfn.RANK.AVG(T5,T$5:T$31,1)-COUNTIF(T$5:T$31,0))</calculatedColumnFormula>
    </tableColumn>
    <tableColumn id="20" xr3:uid="{00000000-0010-0000-1E00-000014000000}" name="Place13" dataDxfId="754">
      <calculatedColumnFormula>IF(T5=0," ",IF((RANK(T5,T$5:T$31,1)-COUNTIF(T$5:T$31,0)&gt;6)," ",RANK(T5,T$5:T$31,1)-COUNTIF(T$5:T$31,0)))</calculatedColumnFormula>
    </tableColumn>
    <tableColumn id="21" xr3:uid="{00000000-0010-0000-1E00-000015000000}" name="Points14" dataDxfId="753">
      <calculatedColumnFormula>IF(Table6220273233373822[[#This Row],[Non-Member]]="X"," ",IF(V5=" "," ",IFERROR(VLOOKUP(U5,Points!$A$2:$B$14,2,FALSE)," ")))</calculatedColumnFormula>
    </tableColumn>
    <tableColumn id="22" xr3:uid="{00000000-0010-0000-1E00-000016000000}" name="Time/Score15" dataDxfId="752" dataCellStyle="Comma"/>
    <tableColumn id="23" xr3:uid="{00000000-0010-0000-1E00-000017000000}" name="Time/Score16" dataDxfId="751">
      <calculatedColumnFormula>IF(X5=0," ",_xlfn.RANK.AVG(X5,X$5:X$31,1)-COUNTIF(X$5:X$31,0))</calculatedColumnFormula>
    </tableColumn>
    <tableColumn id="24" xr3:uid="{00000000-0010-0000-1E00-000018000000}" name="Place16" dataDxfId="750">
      <calculatedColumnFormula>IF(X5=0," ",IF((RANK(X5,X$5:X$31,1)-COUNTIF(X$5:X$31,0)&gt;6)," ",RANK(X5,X$5:X$31,1)-COUNTIF(X$5:X$31,0)))</calculatedColumnFormula>
    </tableColumn>
    <tableColumn id="25" xr3:uid="{00000000-0010-0000-1E00-000019000000}" name="Points17" dataDxfId="749">
      <calculatedColumnFormula>IF(Table6220273233373822[[#This Row],[Non-Member]]="X"," ",IF(Z5=" "," ",IFERROR(VLOOKUP(Y5,Points!$A$2:$B$14,2,FALSE)," ")))</calculatedColumnFormula>
    </tableColumn>
    <tableColumn id="26" xr3:uid="{00000000-0010-0000-1E00-00001A000000}" name="Time/Score18" dataDxfId="748" dataCellStyle="Comma"/>
    <tableColumn id="27" xr3:uid="{00000000-0010-0000-1E00-00001B000000}" name="Time/Score19" dataDxfId="747">
      <calculatedColumnFormula>IF(AB5=0," ",_xlfn.RANK.AVG(AB5,AB$5:AB$31,1)-COUNTIF(AB$5:AB$31,0))</calculatedColumnFormula>
    </tableColumn>
    <tableColumn id="28" xr3:uid="{00000000-0010-0000-1E00-00001C000000}" name="Place19" dataDxfId="746">
      <calculatedColumnFormula>IF(AB5=0," ",IF((RANK(AB5,AB$5:AB$31,1)-COUNTIF(AB$5:AB$31,0)&gt;6)," ",RANK(AB5,AB$5:AB$31,1)-COUNTIF(AB$5:AB$31,0)))</calculatedColumnFormula>
    </tableColumn>
    <tableColumn id="29" xr3:uid="{00000000-0010-0000-1E00-00001D000000}" name="Points20" dataDxfId="745">
      <calculatedColumnFormula>IF(Table6220273233373822[[#This Row],[Non-Member]]="X"," ",IF(AD5=" "," ",IFERROR(VLOOKUP(AC5,Points!$A$2:$B$14,2,FALSE)," ")))</calculatedColumnFormula>
    </tableColumn>
    <tableColumn id="30" xr3:uid="{00000000-0010-0000-1E00-00001E000000}" name="Time/Score21" dataDxfId="744" dataCellStyle="Comma">
      <calculatedColumnFormula>IF(OR(X5=0,AB5=0)," ",X5+AB5)</calculatedColumnFormula>
    </tableColumn>
    <tableColumn id="31" xr3:uid="{00000000-0010-0000-1E00-00001F000000}" name="Time/Score22" dataDxfId="743">
      <calculatedColumnFormula>IF(OR(AF5=0,AF5=" ")," ",_xlfn.RANK.AVG(AF5,AF$5:AF$31,1)-COUNTIF(AF$5:AF$31,0))</calculatedColumnFormula>
    </tableColumn>
    <tableColumn id="32" xr3:uid="{00000000-0010-0000-1E00-000020000000}" name="Place22" dataDxfId="742">
      <calculatedColumnFormula>IF(OR(AF5=0,AF5=" ")," ",IF((RANK(AF5,AF$5:AF$31,1)-COUNTIF(AF$5:AF$31,0)&gt;6)," ",RANK(AF5,AF$5:AF$31,1)-COUNTIF(AF$5:AF$31,0)))</calculatedColumnFormula>
    </tableColumn>
    <tableColumn id="33" xr3:uid="{00000000-0010-0000-1E00-000021000000}" name="Points23" dataDxfId="741">
      <calculatedColumnFormula>IF(Table6220273233373822[[#This Row],[Non-Member]]="X"," ",IF(AH5=" "," ",IFERROR(VLOOKUP(AG5,Points!$A$2:$B$14,2,FALSE)," ")))</calculatedColumnFormula>
    </tableColumn>
    <tableColumn id="34" xr3:uid="{00000000-0010-0000-1E00-000022000000}" name="Points24" dataDxfId="740">
      <calculatedColumnFormula>IF(Table6220273233373822[[#This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E00-000023000000}" name="Points25" dataDxfId="739" dataCellStyle="Comma">
      <calculatedColumnFormula>IF(AJ5=0," ",AJ5)</calculatedColumnFormula>
    </tableColumn>
    <tableColumn id="36" xr3:uid="{00000000-0010-0000-1E00-000024000000}" name="Place26" dataDxfId="738">
      <calculatedColumnFormula>IF(AK5=" "," ",RANK(AK5,$AK$5:$AK$31))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F000000}" name="Table622027323337383923" displayName="Table622027323337383923" ref="B4:AL31" totalsRowShown="0" headerRowDxfId="737" dataDxfId="736" tableBorderDxfId="735">
  <autoFilter ref="B4:AL31" xr:uid="{00000000-0009-0000-0100-000016000000}"/>
  <sortState xmlns:xlrd2="http://schemas.microsoft.com/office/spreadsheetml/2017/richdata2" ref="B5:AL31">
    <sortCondition ref="AL5:AL31"/>
    <sortCondition ref="B5:B31"/>
  </sortState>
  <tableColumns count="37">
    <tableColumn id="1" xr3:uid="{00000000-0010-0000-1F00-000001000000}" name="Name" dataDxfId="734"/>
    <tableColumn id="37" xr3:uid="{00000000-0010-0000-1F00-000025000000}" name="Non-Member" dataDxfId="733"/>
    <tableColumn id="2" xr3:uid="{00000000-0010-0000-1F00-000002000000}" name="Time/Score" dataDxfId="732" dataCellStyle="Comma"/>
    <tableColumn id="3" xr3:uid="{00000000-0010-0000-1F00-000003000000}" name="Column2" dataDxfId="731">
      <calculatedColumnFormula>IF(D5=0," ",_xlfn.RANK.AVG(D5,D$5:D$31,1)-COUNTIF(D$5:D$31,0))</calculatedColumnFormula>
    </tableColumn>
    <tableColumn id="4" xr3:uid="{00000000-0010-0000-1F00-000004000000}" name="Place" dataDxfId="730">
      <calculatedColumnFormula>IF(D5=0," ",IF((RANK(D5,D$5:D$31,1)-COUNTIF(D$5:D$31,0)&gt;6)," ",RANK(D5,D$5:D$31,1)-COUNTIF(D$5:D$31,0)))</calculatedColumnFormula>
    </tableColumn>
    <tableColumn id="5" xr3:uid="{00000000-0010-0000-1F00-000005000000}" name="Points" dataDxfId="729">
      <calculatedColumnFormula>IF(Table622027323337383923[[#This Row],[Non-Member]]="X"," ",IF(F5=" "," ",IFERROR(VLOOKUP(E5,Points!$A$2:$B$14,2,FALSE)," ")))</calculatedColumnFormula>
    </tableColumn>
    <tableColumn id="6" xr3:uid="{00000000-0010-0000-1F00-000006000000}" name="Time/Score3" dataDxfId="728" dataCellStyle="Comma"/>
    <tableColumn id="7" xr3:uid="{00000000-0010-0000-1F00-000007000000}" name="Time/Score4" dataDxfId="727">
      <calculatedColumnFormula>IF(H5=0," ",_xlfn.RANK.AVG(H5,H$5:H$31,1)-COUNTIF(H$5:H$31,0))</calculatedColumnFormula>
    </tableColumn>
    <tableColumn id="8" xr3:uid="{00000000-0010-0000-1F00-000008000000}" name="Place4" dataDxfId="726">
      <calculatedColumnFormula>IF(H5=0," ",IF((RANK(H5,H$5:H$31,1)-COUNTIF(H$5:H$31,0)&gt;6)," ",RANK(H5,H$5:H$31,1)-COUNTIF(H$5:H$31,0)))</calculatedColumnFormula>
    </tableColumn>
    <tableColumn id="9" xr3:uid="{00000000-0010-0000-1F00-000009000000}" name="Points5" dataDxfId="725">
      <calculatedColumnFormula>IF(Table622027323337383923[[#This Row],[Non-Member]]="X"," ",IF(J5=" "," ",IFERROR(VLOOKUP(I5,Points!$A$2:$B$14,2,FALSE)," ")))</calculatedColumnFormula>
    </tableColumn>
    <tableColumn id="10" xr3:uid="{00000000-0010-0000-1F00-00000A000000}" name="Time/Score6" dataDxfId="724" dataCellStyle="Comma"/>
    <tableColumn id="11" xr3:uid="{00000000-0010-0000-1F00-00000B000000}" name="Time/Score7" dataDxfId="723">
      <calculatedColumnFormula>IF(L5=0," ",_xlfn.RANK.AVG(L5,L$5:L$31,1)-COUNTIF(L$5:L$31,0))</calculatedColumnFormula>
    </tableColumn>
    <tableColumn id="12" xr3:uid="{00000000-0010-0000-1F00-00000C000000}" name="Place7" dataDxfId="722">
      <calculatedColumnFormula>IF(L5=0," ",IF((RANK(L5,L$5:L$31,1)-COUNTIF(L$5:L$31,0)&gt;6)," ",RANK(L5,L$5:L$31,1)-COUNTIF(L$5:L$31,0)))</calculatedColumnFormula>
    </tableColumn>
    <tableColumn id="13" xr3:uid="{00000000-0010-0000-1F00-00000D000000}" name="Points8" dataDxfId="721">
      <calculatedColumnFormula>IF(Table622027323337383923[[#This Row],[Non-Member]]="X"," ",IF(N5=" "," ",IFERROR(VLOOKUP(M5,Points!$A$2:$B$14,2,FALSE)," ")))</calculatedColumnFormula>
    </tableColumn>
    <tableColumn id="14" xr3:uid="{00000000-0010-0000-1F00-00000E000000}" name="Time/Score9" dataDxfId="720" dataCellStyle="Comma"/>
    <tableColumn id="15" xr3:uid="{00000000-0010-0000-1F00-00000F000000}" name="Time/Score10" dataDxfId="719">
      <calculatedColumnFormula>IF(P5=0," ",_xlfn.RANK.AVG(P5,P$5:P$31,1)-COUNTIF(P$5:P$31,0))</calculatedColumnFormula>
    </tableColumn>
    <tableColumn id="16" xr3:uid="{00000000-0010-0000-1F00-000010000000}" name="Place10" dataDxfId="718">
      <calculatedColumnFormula>IF(P5=0," ",IF((RANK(P5,P$5:P$31,1)-COUNTIF(P$5:P$31,0)&gt;6)," ",RANK(P5,P$5:P$31,1)-COUNTIF(P$5:P$31,0)))</calculatedColumnFormula>
    </tableColumn>
    <tableColumn id="17" xr3:uid="{00000000-0010-0000-1F00-000011000000}" name="Points11" dataDxfId="717">
      <calculatedColumnFormula>IF(Table622027323337383923[[#This Row],[Non-Member]]="X"," ",IF(R5=" "," ",IFERROR(VLOOKUP(Q5,Points!$A$2:$B$14,2,FALSE)," ")))</calculatedColumnFormula>
    </tableColumn>
    <tableColumn id="18" xr3:uid="{00000000-0010-0000-1F00-000012000000}" name="Time/Score12" dataDxfId="716" dataCellStyle="Comma"/>
    <tableColumn id="19" xr3:uid="{00000000-0010-0000-1F00-000013000000}" name="Time/Score13" dataDxfId="715">
      <calculatedColumnFormula>IF(T5=0," ",_xlfn.RANK.AVG(T5,T$5:T$31,1)-COUNTIF(T$5:T$31,0))</calculatedColumnFormula>
    </tableColumn>
    <tableColumn id="20" xr3:uid="{00000000-0010-0000-1F00-000014000000}" name="Place13" dataDxfId="714">
      <calculatedColumnFormula>IF(T5=0," ",IF((RANK(T5,T$5:T$31,1)-COUNTIF(T$5:T$31,0)&gt;6)," ",RANK(T5,T$5:T$31,1)-COUNTIF(T$5:T$31,0)))</calculatedColumnFormula>
    </tableColumn>
    <tableColumn id="21" xr3:uid="{00000000-0010-0000-1F00-000015000000}" name="Points14" dataDxfId="713">
      <calculatedColumnFormula>IF(Table622027323337383923[[#This Row],[Non-Member]]="X"," ",IF(V5=" "," ",IFERROR(VLOOKUP(U5,Points!$A$2:$B$14,2,FALSE)," ")))</calculatedColumnFormula>
    </tableColumn>
    <tableColumn id="22" xr3:uid="{00000000-0010-0000-1F00-000016000000}" name="Time/Score15" dataDxfId="712" dataCellStyle="Comma"/>
    <tableColumn id="23" xr3:uid="{00000000-0010-0000-1F00-000017000000}" name="Time/Score16" dataDxfId="711">
      <calculatedColumnFormula>IF(X5=0," ",_xlfn.RANK.AVG(X5,X$5:X$31,1)-COUNTIF(X$5:X$31,0))</calculatedColumnFormula>
    </tableColumn>
    <tableColumn id="24" xr3:uid="{00000000-0010-0000-1F00-000018000000}" name="Place16" dataDxfId="710">
      <calculatedColumnFormula>IF(X5=0," ",IF((RANK(X5,X$5:X$31,1)-COUNTIF(X$5:X$31,0)&gt;6)," ",RANK(X5,X$5:X$31,1)-COUNTIF(X$5:X$31,0)))</calculatedColumnFormula>
    </tableColumn>
    <tableColumn id="25" xr3:uid="{00000000-0010-0000-1F00-000019000000}" name="Points17" dataDxfId="709"/>
    <tableColumn id="26" xr3:uid="{00000000-0010-0000-1F00-00001A000000}" name="Time/Score18" dataDxfId="708" dataCellStyle="Comma"/>
    <tableColumn id="27" xr3:uid="{00000000-0010-0000-1F00-00001B000000}" name="Time/Score19" dataDxfId="707">
      <calculatedColumnFormula>IF(AB5=0," ",_xlfn.RANK.AVG(AB5,AB$5:AB$31,1)-COUNTIF(AB$5:AB$31,0))</calculatedColumnFormula>
    </tableColumn>
    <tableColumn id="28" xr3:uid="{00000000-0010-0000-1F00-00001C000000}" name="Place19" dataDxfId="706">
      <calculatedColumnFormula>IF(AB5=0," ",IF((RANK(AB5,AB$5:AB$31,1)-COUNTIF(AB$5:AB$31,0)&gt;6)," ",RANK(AB5,AB$5:AB$31,1)-COUNTIF(AB$5:AB$31,0)))</calculatedColumnFormula>
    </tableColumn>
    <tableColumn id="29" xr3:uid="{00000000-0010-0000-1F00-00001D000000}" name="Points20" dataDxfId="705">
      <calculatedColumnFormula>IF(Table622027323337383923[[#This Row],[Non-Member]]="X"," ",IF(AD5=" "," ",IFERROR(VLOOKUP(AC5,Points!$A$2:$B$14,2,FALSE)," ")))</calculatedColumnFormula>
    </tableColumn>
    <tableColumn id="30" xr3:uid="{00000000-0010-0000-1F00-00001E000000}" name="Time/Score21" dataDxfId="704" dataCellStyle="Comma">
      <calculatedColumnFormula>IF(OR(X5=0,AB5=0)," ",X5+AB5)</calculatedColumnFormula>
    </tableColumn>
    <tableColumn id="31" xr3:uid="{00000000-0010-0000-1F00-00001F000000}" name="Time/Score22" dataDxfId="703">
      <calculatedColumnFormula>IF(OR(AF5=0,AF5=" ")," ",_xlfn.RANK.AVG(AF5,AF$5:AF$31,1)-COUNTIF(AF$5:AF$31,0))</calculatedColumnFormula>
    </tableColumn>
    <tableColumn id="32" xr3:uid="{00000000-0010-0000-1F00-000020000000}" name="Place22" dataDxfId="702">
      <calculatedColumnFormula>IF(OR(AF5=0,AF5=" ")," ",IF((RANK(AF5,AF$5:AF$31,1)-COUNTIF(AF$5:AF$31,0)&gt;6)," ",RANK(AF5,AF$5:AF$31,1)-COUNTIF(AF$5:AF$31,0)))</calculatedColumnFormula>
    </tableColumn>
    <tableColumn id="33" xr3:uid="{00000000-0010-0000-1F00-000021000000}" name="Points23" dataDxfId="701">
      <calculatedColumnFormula>IF(Table622027323337383923[[#This Row],[Non-Member]]="X"," ",IF(AH5=" "," ",IFERROR(VLOOKUP(AG5,Points!$A$2:$B$14,2,FALSE)," ")))</calculatedColumnFormula>
    </tableColumn>
    <tableColumn id="34" xr3:uid="{00000000-0010-0000-1F00-000022000000}" name="Points24" dataDxfId="700">
      <calculatedColumnFormula>IF(Table622027323337383923[[#This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F00-000023000000}" name="Points25" dataDxfId="699" dataCellStyle="Comma">
      <calculatedColumnFormula>IF(AJ5=0," ",AJ5)</calculatedColumnFormula>
    </tableColumn>
    <tableColumn id="36" xr3:uid="{00000000-0010-0000-1F00-000024000000}" name="Place26" dataDxfId="698">
      <calculatedColumnFormula>IF(AK5=" "," ",RANK(AK5,$AK$5:$AK$31))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0000000}" name="Table62202732333738392324" displayName="Table62202732333738392324" ref="B4:AL24" totalsRowShown="0" headerRowDxfId="697" dataDxfId="696" tableBorderDxfId="695">
  <autoFilter ref="B4:AL24" xr:uid="{00000000-0009-0000-0100-000017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000-000001000000}" name="Name" dataDxfId="694"/>
    <tableColumn id="37" xr3:uid="{00000000-0010-0000-2000-000025000000}" name="Non-Member" dataDxfId="693"/>
    <tableColumn id="2" xr3:uid="{00000000-0010-0000-2000-000002000000}" name="Time/Score" dataDxfId="692" dataCellStyle="Comma"/>
    <tableColumn id="3" xr3:uid="{00000000-0010-0000-2000-000003000000}" name="Column2" dataDxfId="691">
      <calculatedColumnFormula>IF(D5=0," ",_xlfn.RANK.AVG(D5,D$5:D$24,1)-COUNTIF(D$5:D$24,0))</calculatedColumnFormula>
    </tableColumn>
    <tableColumn id="4" xr3:uid="{00000000-0010-0000-2000-000004000000}" name="Place" dataDxfId="690">
      <calculatedColumnFormula>IF(D5=0," ",IF((RANK(D5,D$5:D$24,1)-COUNTIF(D$5:D$24,0)&gt;6)," ",RANK(D5,D$5:D$24,1)-COUNTIF(D$5:D$24,0)))</calculatedColumnFormula>
    </tableColumn>
    <tableColumn id="5" xr3:uid="{00000000-0010-0000-2000-000005000000}" name="Points" dataDxfId="689">
      <calculatedColumnFormula>IF(Table62202732333738392324[[#This Row],[Non-Member]]="X"," ",IF(F5=" "," ",IFERROR(VLOOKUP(E5,Points!$A$2:$B$14,2,FALSE)," ")))</calculatedColumnFormula>
    </tableColumn>
    <tableColumn id="6" xr3:uid="{00000000-0010-0000-2000-000006000000}" name="Time/Score3" dataDxfId="688" dataCellStyle="Comma"/>
    <tableColumn id="7" xr3:uid="{00000000-0010-0000-2000-000007000000}" name="Time/Score4" dataDxfId="687">
      <calculatedColumnFormula>IF(H5=0," ",_xlfn.RANK.AVG(H5,H$5:H$24,1)-COUNTIF(H$5:H$24,0))</calculatedColumnFormula>
    </tableColumn>
    <tableColumn id="8" xr3:uid="{00000000-0010-0000-2000-000008000000}" name="Place4" dataDxfId="686">
      <calculatedColumnFormula>IF(H5=0," ",IF((RANK(H5,H$5:H$24,1)-COUNTIF(H$5:H$24,0)&gt;6)," ",RANK(H5,H$5:H$24,1)-COUNTIF(H$5:H$24,0)))</calculatedColumnFormula>
    </tableColumn>
    <tableColumn id="9" xr3:uid="{00000000-0010-0000-2000-000009000000}" name="Points5" dataDxfId="685">
      <calculatedColumnFormula>IF(Table62202732333738392324[[#This Row],[Non-Member]]="X"," ",IF(J5=" "," ",IFERROR(VLOOKUP(I5,Points!$A$2:$B$14,2,FALSE)," ")))</calculatedColumnFormula>
    </tableColumn>
    <tableColumn id="10" xr3:uid="{00000000-0010-0000-2000-00000A000000}" name="Time/Score6" dataDxfId="684" dataCellStyle="Comma"/>
    <tableColumn id="11" xr3:uid="{00000000-0010-0000-2000-00000B000000}" name="Time/Score7" dataDxfId="683">
      <calculatedColumnFormula>IF(L5=0," ",_xlfn.RANK.AVG(L5,L$5:L$24,1)-COUNTIF(L$5:L$24,0))</calculatedColumnFormula>
    </tableColumn>
    <tableColumn id="12" xr3:uid="{00000000-0010-0000-2000-00000C000000}" name="Place7" dataDxfId="682">
      <calculatedColumnFormula>IF(L5=0," ",IF((RANK(L5,L$5:L$24,1)-COUNTIF(L$5:L$24,0)&gt;6)," ",RANK(L5,L$5:L$24,1)-COUNTIF(L$5:L$24,0)))</calculatedColumnFormula>
    </tableColumn>
    <tableColumn id="13" xr3:uid="{00000000-0010-0000-2000-00000D000000}" name="Points8" dataDxfId="681">
      <calculatedColumnFormula>IF(Table62202732333738392324[[#This Row],[Non-Member]]="X"," ",IF(N5=" "," ",IFERROR(VLOOKUP(M5,Points!$A$2:$B$14,2,FALSE)," ")))</calculatedColumnFormula>
    </tableColumn>
    <tableColumn id="14" xr3:uid="{00000000-0010-0000-2000-00000E000000}" name="Time/Score9" dataDxfId="680" dataCellStyle="Comma"/>
    <tableColumn id="15" xr3:uid="{00000000-0010-0000-2000-00000F000000}" name="Time/Score10" dataDxfId="679">
      <calculatedColumnFormula>IF(P5=0," ",_xlfn.RANK.AVG(P5,P$5:P$24,1)-COUNTIF(P$5:P$24,0))</calculatedColumnFormula>
    </tableColumn>
    <tableColumn id="16" xr3:uid="{00000000-0010-0000-2000-000010000000}" name="Place10" dataDxfId="678">
      <calculatedColumnFormula>IF(P5=0," ",IF((RANK(P5,P$5:P$24,1)-COUNTIF(P$5:P$24,0)&gt;6)," ",RANK(P5,P$5:P$24,1)-COUNTIF(P$5:P$24,0)))</calculatedColumnFormula>
    </tableColumn>
    <tableColumn id="17" xr3:uid="{00000000-0010-0000-2000-000011000000}" name="Points11" dataDxfId="677">
      <calculatedColumnFormula>IF(Table62202732333738392324[[#This Row],[Non-Member]]="X"," ",IF(R5=" "," ",IFERROR(VLOOKUP(Q5,Points!$A$2:$B$14,2,FALSE)," ")))</calculatedColumnFormula>
    </tableColumn>
    <tableColumn id="18" xr3:uid="{00000000-0010-0000-2000-000012000000}" name="Time/Score12" dataDxfId="676" dataCellStyle="Comma"/>
    <tableColumn id="19" xr3:uid="{00000000-0010-0000-2000-000013000000}" name="Time/Score13" dataDxfId="675">
      <calculatedColumnFormula>IF(T5=0," ",_xlfn.RANK.AVG(T5,T$5:T$24,1)-COUNTIF(T$5:T$24,0))</calculatedColumnFormula>
    </tableColumn>
    <tableColumn id="20" xr3:uid="{00000000-0010-0000-2000-000014000000}" name="Place13" dataDxfId="674">
      <calculatedColumnFormula>IF(T5=0," ",IF((RANK(T5,T$5:T$24,1)-COUNTIF(T$5:T$24,0)&gt;6)," ",RANK(T5,T$5:T$24,1)-COUNTIF(T$5:T$24,0)))</calculatedColumnFormula>
    </tableColumn>
    <tableColumn id="21" xr3:uid="{00000000-0010-0000-2000-000015000000}" name="Points14" dataDxfId="673">
      <calculatedColumnFormula>IF(Table62202732333738392324[[#This Row],[Non-Member]]="X"," ",IF(V5=" "," ",IFERROR(VLOOKUP(U5,Points!$A$2:$B$14,2,FALSE)," ")))</calculatedColumnFormula>
    </tableColumn>
    <tableColumn id="22" xr3:uid="{00000000-0010-0000-2000-000016000000}" name="Time/Score15" dataDxfId="672" dataCellStyle="Comma"/>
    <tableColumn id="23" xr3:uid="{00000000-0010-0000-2000-000017000000}" name="Time/Score16" dataDxfId="671">
      <calculatedColumnFormula>IF(X5=0," ",_xlfn.RANK.AVG(X5,X$5:X$24,1)-COUNTIF(X$5:X$24,0))</calculatedColumnFormula>
    </tableColumn>
    <tableColumn id="24" xr3:uid="{00000000-0010-0000-2000-000018000000}" name="Place16" dataDxfId="670">
      <calculatedColumnFormula>IF(X5=0," ",IF((RANK(X5,X$5:X$24,1)-COUNTIF(X$5:X$24,0)&gt;6)," ",RANK(X5,X$5:X$24,1)-COUNTIF(X$5:X$24,0)))</calculatedColumnFormula>
    </tableColumn>
    <tableColumn id="25" xr3:uid="{00000000-0010-0000-2000-000019000000}" name="Points17" dataDxfId="669">
      <calculatedColumnFormula>IF(Table62202732333738392324[[#This Row],[Non-Member]]="X"," ",IF(Z5=" "," ",IFERROR(VLOOKUP(Y5,Points!$A$2:$B$14,2,FALSE)," ")))</calculatedColumnFormula>
    </tableColumn>
    <tableColumn id="26" xr3:uid="{00000000-0010-0000-2000-00001A000000}" name="Time/Score18" dataDxfId="668" dataCellStyle="Comma"/>
    <tableColumn id="27" xr3:uid="{00000000-0010-0000-2000-00001B000000}" name="Time/Score19" dataDxfId="667">
      <calculatedColumnFormula>IF(AB5=0," ",_xlfn.RANK.AVG(AB5,AB$5:AB$24,1)-COUNTIF(AB$5:AB$24,0))</calculatedColumnFormula>
    </tableColumn>
    <tableColumn id="28" xr3:uid="{00000000-0010-0000-2000-00001C000000}" name="Place19" dataDxfId="666">
      <calculatedColumnFormula>IF(AB5=0," ",IF((RANK(AB5,AB$5:AB$24,1)-COUNTIF(AB$5:AB$24,0)&gt;6)," ",RANK(AB5,AB$5:AB$24,1)-COUNTIF(AB$5:AB$24,0)))</calculatedColumnFormula>
    </tableColumn>
    <tableColumn id="29" xr3:uid="{00000000-0010-0000-2000-00001D000000}" name="Points20" dataDxfId="665">
      <calculatedColumnFormula>IF(Table62202732333738392324[[#This Row],[Non-Member]]="X"," ",IF(AD5=" "," ",IFERROR(VLOOKUP(AC5,Points!$A$2:$B$14,2,FALSE)," ")))</calculatedColumnFormula>
    </tableColumn>
    <tableColumn id="30" xr3:uid="{00000000-0010-0000-2000-00001E000000}" name="Time/Score21" dataDxfId="664" dataCellStyle="Comma">
      <calculatedColumnFormula>IF(OR(X5=0,AB5=0)," ",X5+AB5)</calculatedColumnFormula>
    </tableColumn>
    <tableColumn id="31" xr3:uid="{00000000-0010-0000-2000-00001F000000}" name="Time/Score22" dataDxfId="663">
      <calculatedColumnFormula>IF(OR(AF5=0,AF5=" ")," ",_xlfn.RANK.AVG(AF5,AF$5:AF$24,1)-COUNTIF(AF$5:AF$24,0))</calculatedColumnFormula>
    </tableColumn>
    <tableColumn id="32" xr3:uid="{00000000-0010-0000-2000-000020000000}" name="Place22" dataDxfId="662">
      <calculatedColumnFormula>IF(OR(AF5=0,AF5=" ")," ",IF((RANK(AF5,AF$5:AF$24,1)-COUNTIF(AF$5:AF$24,0)&gt;6)," ",RANK(AF5,AF$5:AF$24,1)-COUNTIF(AF$5:AF$24,0)))</calculatedColumnFormula>
    </tableColumn>
    <tableColumn id="33" xr3:uid="{00000000-0010-0000-2000-000021000000}" name="Points23" dataDxfId="661">
      <calculatedColumnFormula>IF(Table62202732333738392324[[#This Row],[Non-Member]]="X"," ",IF(AH5=" "," ",IFERROR(VLOOKUP(AG5,Points!$A$2:$B$14,2,FALSE)," ")))</calculatedColumnFormula>
    </tableColumn>
    <tableColumn id="34" xr3:uid="{00000000-0010-0000-2000-000022000000}" name="Points24" dataDxfId="660">
      <calculatedColumnFormula>IF(Table62202732333738392324[[#This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000-000023000000}" name="Points25" dataDxfId="659" dataCellStyle="Comma">
      <calculatedColumnFormula>IF(AJ5=0," ",AJ5)</calculatedColumnFormula>
    </tableColumn>
    <tableColumn id="36" xr3:uid="{00000000-0010-0000-2000-000024000000}" name="Place26" dataDxfId="6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1000000}" name="Table634568910112334444025" displayName="Table634568910112334444025" ref="B4:AC28" totalsRowShown="0" headerRowDxfId="657" dataDxfId="656" tableBorderDxfId="655">
  <autoFilter ref="B4:AC28" xr:uid="{00000000-0009-0000-0100-000018000000}"/>
  <sortState xmlns:xlrd2="http://schemas.microsoft.com/office/spreadsheetml/2017/richdata2" ref="B5:AC28">
    <sortCondition ref="AC5:AC28"/>
    <sortCondition ref="B5:B28"/>
  </sortState>
  <tableColumns count="28">
    <tableColumn id="1" xr3:uid="{00000000-0010-0000-2100-000001000000}" name="Name" dataDxfId="654"/>
    <tableColumn id="39" xr3:uid="{00000000-0010-0000-2100-000027000000}" name="Points" dataDxfId="653">
      <calculatedColumnFormula>IFERROR(IF(VLOOKUP($B5,'PW G-Breakaway'!$B$5:$AI$24,6,FALSE)=" ",0,VLOOKUP($B5,'PW G-Breakaway'!$B$5:$AI$24,6,FALSE)),0)+IFERROR(IF(VLOOKUP($B5,'PW G-Barrels'!$B$5:$AI$31,6,FALSE)=" ",0,VLOOKUP($B5,'PW G-Barrels'!$B$5:$AI$31,6,FALSE)),0)+IFERROR(IF(VLOOKUP($B5,'PW G-Poles'!$B$5:$AI$31,6,FALSE)=" ",0,VLOOKUP($B5,'PW G-Poles'!$B$5:$AI$31,6,FALSE)),0)+IFERROR(IF(VLOOKUP($B5,'PW G-Goats'!$B$5:$AI$31,6,FALSE)=" ",0,VLOOKUP($B5,'PW G-Goats'!$B$5:$AI$31,6,FALSE)),0)</calculatedColumnFormula>
    </tableColumn>
    <tableColumn id="4" xr3:uid="{00000000-0010-0000-2100-000004000000}" name="Column1" dataDxfId="652">
      <calculatedColumnFormula>IF(C5&gt;0,C5," ")</calculatedColumnFormula>
    </tableColumn>
    <tableColumn id="5" xr3:uid="{00000000-0010-0000-2100-000005000000}" name="Place" dataDxfId="651">
      <calculatedColumnFormula>IF(C5=0," ",RANK(C5,C$5:C$28,0))</calculatedColumnFormula>
    </tableColumn>
    <tableColumn id="43" xr3:uid="{00000000-0010-0000-2100-00002B000000}" name="Points4" dataDxfId="650">
      <calculatedColumnFormula>IFERROR(IF(VLOOKUP($B5,'PW G-Breakaway'!$B$5:$AI$24,10,FALSE)=" ",0,VLOOKUP($B5,'PW G-Breakaway'!$B$5:$AI$24,10,FALSE)),0)+IFERROR(IF(VLOOKUP($B5,'PW G-Barrels'!$B$5:$AI$31,10,FALSE)=" ",0,VLOOKUP($B5,'PW G-Barrels'!$B$5:$AI$31,10,FALSE)),0)+IFERROR(IF(VLOOKUP($B5,'PW G-Poles'!$B$5:$AI$31,10,FALSE)=" ",0,VLOOKUP($B5,'PW G-Poles'!$B$5:$AI$31,10,FALSE)),0)+IFERROR(IF(VLOOKUP($B5,'PW G-Goats'!$B$5:$AI$31,10,FALSE)=" ",0,VLOOKUP($B5,'PW G-Goats'!$B$5:$AI$31,10,FALSE)),0)</calculatedColumnFormula>
    </tableColumn>
    <tableColumn id="6" xr3:uid="{00000000-0010-0000-2100-000006000000}" name="Points5" dataDxfId="649">
      <calculatedColumnFormula>IF(F5&gt;0,F5," ")</calculatedColumnFormula>
    </tableColumn>
    <tableColumn id="44" xr3:uid="{00000000-0010-0000-2100-00002C000000}" name="Place5" dataDxfId="648">
      <calculatedColumnFormula>IF(F5=0," ",RANK(F5,F$5:F$28,0))</calculatedColumnFormula>
    </tableColumn>
    <tableColumn id="46" xr3:uid="{00000000-0010-0000-2100-00002E000000}" name="Points43" dataDxfId="647">
      <calculatedColumnFormula>IFERROR(IF(VLOOKUP($B5,'PW G-Breakaway'!$B$5:$AI$24,14,FALSE)=" ",0,VLOOKUP($B5,'PW G-Breakaway'!$B$5:$AI$24,14,FALSE)),0)+IFERROR(IF(VLOOKUP($B5,'PW G-Barrels'!$B$5:$AI$31,14,FALSE)=" ",0,VLOOKUP($B5,'PW G-Barrels'!$B$5:$AI$31,14,FALSE)),0)+IFERROR(IF(VLOOKUP($B5,'PW G-Poles'!$B$5:$AI$31,14,FALSE)=" ",0,VLOOKUP($B5,'PW G-Poles'!$B$5:$AI$31,14,FALSE)),0)+IFERROR(IF(VLOOKUP($B5,'PW G-Goats'!$B$5:$AI$31,14,FALSE)=" ",0,VLOOKUP($B5,'PW G-Goats'!$B$5:$AI$31,14,FALSE)),0)</calculatedColumnFormula>
    </tableColumn>
    <tableColumn id="7" xr3:uid="{00000000-0010-0000-2100-000007000000}" name="Points432" dataDxfId="646">
      <calculatedColumnFormula>IF(I5&gt;0,I5," ")</calculatedColumnFormula>
    </tableColumn>
    <tableColumn id="47" xr3:uid="{00000000-0010-0000-2100-00002F000000}" name="Place54" dataDxfId="645">
      <calculatedColumnFormula>IF(I5=0," ",RANK(I5,I$5:I$28,0))</calculatedColumnFormula>
    </tableColumn>
    <tableColumn id="49" xr3:uid="{00000000-0010-0000-2100-000031000000}" name="Points44" dataDxfId="644">
      <calculatedColumnFormula>IFERROR(IF(VLOOKUP($B5,'PW G-Breakaway'!$B$5:$AI$24,18,FALSE)=" ",0,VLOOKUP($B5,'PW G-Breakaway'!$B$5:$AI$24,18,FALSE)),0)+IFERROR(IF(VLOOKUP($B5,'PW G-Barrels'!$B$5:$AI$31,18,FALSE)=" ",0,VLOOKUP($B5,'PW G-Barrels'!$B$5:$AI$31,18,FALSE)),0)+IFERROR(IF(VLOOKUP($B5,'PW G-Poles'!$B$5:$AI$31,18,FALSE)=" ",0,VLOOKUP($B5,'PW G-Poles'!$B$5:$AI$31,18,FALSE)),0)+IFERROR(IF(VLOOKUP($B5,'PW G-Goats'!$B$5:$AI$31,18,FALSE)=" ",0,VLOOKUP($B5,'PW G-Goats'!$B$5:$AI$31,18,FALSE)),0)</calculatedColumnFormula>
    </tableColumn>
    <tableColumn id="8" xr3:uid="{00000000-0010-0000-2100-000008000000}" name="Points442" dataDxfId="643">
      <calculatedColumnFormula>IF(L5&gt;0,L5," ")</calculatedColumnFormula>
    </tableColumn>
    <tableColumn id="50" xr3:uid="{00000000-0010-0000-2100-000032000000}" name="Place55" dataDxfId="642">
      <calculatedColumnFormula>IF(L5=0," ",RANK(L5,L$5:L$28,0))</calculatedColumnFormula>
    </tableColumn>
    <tableColumn id="52" xr3:uid="{00000000-0010-0000-2100-000034000000}" name="Points45" dataDxfId="641">
      <calculatedColumnFormula>IFERROR(IF(VLOOKUP($B5,'PW G-Breakaway'!$B$5:$AI$24,22,FALSE)=" ",0,VLOOKUP($B5,'PW G-Breakaway'!$B$5:$AI$24,22,FALSE)),0)+IFERROR(IF(VLOOKUP($B5,'PW G-Barrels'!$B$5:$AI$31,22,FALSE)=" ",0,VLOOKUP($B5,'PW G-Barrels'!$B$5:$AI$31,22,FALSE)),0)+IFERROR(IF(VLOOKUP($B5,'PW G-Poles'!$B$5:$AI$31,22,FALSE)=" ",0,VLOOKUP($B5,'PW G-Poles'!$B$5:$AI$31,22,FALSE)),0)+IFERROR(IF(VLOOKUP($B5,'PW G-Goats'!$B$5:$AI$31,22,FALSE)=" ",0,VLOOKUP($B5,'PW G-Goats'!$B$5:$AI$31,22,FALSE)),0)</calculatedColumnFormula>
    </tableColumn>
    <tableColumn id="9" xr3:uid="{00000000-0010-0000-2100-000009000000}" name="Points452" dataDxfId="640">
      <calculatedColumnFormula>IF(O5&gt;0,O5," ")</calculatedColumnFormula>
    </tableColumn>
    <tableColumn id="53" xr3:uid="{00000000-0010-0000-2100-000035000000}" name="Place56" dataDxfId="639">
      <calculatedColumnFormula>IF(O5=0," ",RANK(O5,O$5:O$28,0))</calculatedColumnFormula>
    </tableColumn>
    <tableColumn id="55" xr3:uid="{00000000-0010-0000-2100-000037000000}" name="Points46" dataDxfId="638">
      <calculatedColumnFormula>IFERROR(IF(VLOOKUP($B5,'PW G-Breakaway'!$B$5:$AI$24,26,FALSE)=" ",0,VLOOKUP($B5,'PW G-Breakaway'!$B$5:$AI$24,26,FALSE)),0)+IFERROR(IF(VLOOKUP($B5,'PW G-Barrels'!$B$5:$AI$31,26,FALSE)=" ",0,VLOOKUP($B5,'PW G-Barrels'!$B$5:$AI$31,26,FALSE)),0)+IFERROR(IF(VLOOKUP($B5,'PW G-Poles'!$B$5:$AI$31,26,FALSE)=" ",0,VLOOKUP($B5,'PW G-Poles'!$B$5:$AI$31,26,FALSE)),0)+IFERROR(IF(VLOOKUP($B5,'PW G-Goats'!$B$5:$AI$31,26,FALSE)=" ",0,VLOOKUP($B5,'PW G-Goats'!$B$5:$AI$31,26,FALSE)),0)</calculatedColumnFormula>
    </tableColumn>
    <tableColumn id="10" xr3:uid="{00000000-0010-0000-2100-00000A000000}" name="Points462" dataDxfId="637">
      <calculatedColumnFormula>IF(R5&gt;0,R5," ")</calculatedColumnFormula>
    </tableColumn>
    <tableColumn id="56" xr3:uid="{00000000-0010-0000-2100-000038000000}" name="Place57" dataDxfId="636">
      <calculatedColumnFormula>IF(R5=0," ",RANK(R5,R$5:R$28,0))</calculatedColumnFormula>
    </tableColumn>
    <tableColumn id="58" xr3:uid="{00000000-0010-0000-2100-00003A000000}" name="Points47" dataDxfId="635">
      <calculatedColumnFormula>IFERROR(IF(VLOOKUP($B5,'PW G-Breakaway'!$B$5:$AI$24,30,FALSE)=" ",0,VLOOKUP($B5,'PW G-Breakaway'!$B$5:$AI$24,30,FALSE)),0)+IFERROR(IF(VLOOKUP($B5,'PW G-Barrels'!$B$5:$AI$31,30,FALSE)=" ",0,VLOOKUP($B5,'PW G-Barrels'!$B$5:$AI$31,30,FALSE)),0)+IFERROR(IF(VLOOKUP($B5,'PW G-Poles'!$B$5:$AI$31,30,FALSE)=" ",0,VLOOKUP($B5,'PW G-Poles'!$B$5:$AI$31,30,FALSE)),0)+IFERROR(IF(VLOOKUP($B5,'PW G-Goats'!$B$5:$AI$31,30,FALSE)=" ",0,VLOOKUP($B5,'PW G-Goats'!$B$5:$AI$31,30,FALSE)),0)</calculatedColumnFormula>
    </tableColumn>
    <tableColumn id="11" xr3:uid="{00000000-0010-0000-2100-00000B000000}" name="Points472" dataDxfId="634">
      <calculatedColumnFormula>IF(U5&gt;0,U5," ")</calculatedColumnFormula>
    </tableColumn>
    <tableColumn id="59" xr3:uid="{00000000-0010-0000-2100-00003B000000}" name="Place58" dataDxfId="633">
      <calculatedColumnFormula>IF(U5=0," ",RANK(U5,U$5:U$28,0))</calculatedColumnFormula>
    </tableColumn>
    <tableColumn id="61" xr3:uid="{00000000-0010-0000-2100-00003D000000}" name="Points48" dataDxfId="632">
      <calculatedColumnFormula>IFERROR(IF(VLOOKUP($B5,'PW G-Breakaway'!$B$5:$AI$24,34,FALSE)=" ",0,VLOOKUP($B5,'PW G-Breakaway'!$B$5:$AI$24,34,FALSE)),0)+IFERROR(IF(VLOOKUP($B5,'PW G-Barrels'!$B$5:$AI$31,34,FALSE)=" ",0,VLOOKUP($B5,'PW G-Barrels'!$B$5:$AI$31,34,FALSE)),0)+IFERROR(IF(VLOOKUP($B5,'PW G-Poles'!$B$5:$AI$31,34,FALSE)=" ",0,VLOOKUP($B5,'PW G-Poles'!$B$5:$AI$31,34,FALSE)),0)+IFERROR(IF(VLOOKUP($B5,'PW G-Goats'!$B$5:$AI$31,34,FALSE)=" ",0,VLOOKUP($B5,'PW G-Goats'!$B$5:$AI$31,34,FALSE)),0)</calculatedColumnFormula>
    </tableColumn>
    <tableColumn id="12" xr3:uid="{00000000-0010-0000-2100-00000C000000}" name="Points49" dataDxfId="631">
      <calculatedColumnFormula>IF(X5&gt;0,X5," ")</calculatedColumnFormula>
    </tableColumn>
    <tableColumn id="62" xr3:uid="{00000000-0010-0000-2100-00003E000000}" name="Place59" dataDxfId="630">
      <calculatedColumnFormula>IF(X5=0," ",RANK(X5,X$5:X$28,0))</calculatedColumnFormula>
    </tableColumn>
    <tableColumn id="2" xr3:uid="{00000000-0010-0000-2100-000002000000}" name="Points482" dataDxfId="629">
      <calculatedColumnFormula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calculatedColumnFormula>
    </tableColumn>
    <tableColumn id="13" xr3:uid="{00000000-0010-0000-2100-00000D000000}" name="Points483" dataDxfId="628">
      <calculatedColumnFormula>IF(AA5&gt;0,AA5," ")</calculatedColumnFormula>
    </tableColumn>
    <tableColumn id="3" xr3:uid="{00000000-0010-0000-2100-000003000000}" name="Place593" dataDxfId="627">
      <calculatedColumnFormula>IF(AB5=" "," ",RANK(AB5,AB$5:AB$28))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22000000}" name="Table6220273215" displayName="Table6220273215" ref="B4:AL24" totalsRowShown="0" headerRowDxfId="626" dataDxfId="625" tableBorderDxfId="624">
  <autoFilter ref="B4:AL24" xr:uid="{00000000-0009-0000-0100-00000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200-000001000000}" name="Name" dataDxfId="623"/>
    <tableColumn id="37" xr3:uid="{00000000-0010-0000-2200-000025000000}" name="Non-Member" dataDxfId="622"/>
    <tableColumn id="2" xr3:uid="{00000000-0010-0000-2200-000002000000}" name="Time/Score" dataDxfId="621"/>
    <tableColumn id="3" xr3:uid="{00000000-0010-0000-2200-000003000000}" name="Column2" dataDxfId="620">
      <calculatedColumnFormula>IF(D5=0," ",_xlfn.RANK.AVG(D5,D$5:D$24,0))</calculatedColumnFormula>
    </tableColumn>
    <tableColumn id="4" xr3:uid="{00000000-0010-0000-2200-000004000000}" name="Place" dataDxfId="619">
      <calculatedColumnFormula>IF(D5=0," ",IF((RANK(D5,D$5:D$24,0)&gt;6)," ",RANK(D5,D$5:D$24,0)))</calculatedColumnFormula>
    </tableColumn>
    <tableColumn id="5" xr3:uid="{00000000-0010-0000-2200-000005000000}" name="Points" dataDxfId="618">
      <calculatedColumnFormula>IF(Table6220273215[[#This Row],[Non-Member]]="X"," ",IF(F5=" "," ",IFERROR(VLOOKUP(E5,Points!$A$2:$B$14,2,FALSE)," ")))</calculatedColumnFormula>
    </tableColumn>
    <tableColumn id="6" xr3:uid="{00000000-0010-0000-2200-000006000000}" name="Time/Score3" dataDxfId="617"/>
    <tableColumn id="7" xr3:uid="{00000000-0010-0000-2200-000007000000}" name="Time/Score4" dataDxfId="616">
      <calculatedColumnFormula>IF(H5=0," ",_xlfn.RANK.AVG(H5,H$5:H$24,0))</calculatedColumnFormula>
    </tableColumn>
    <tableColumn id="8" xr3:uid="{00000000-0010-0000-2200-000008000000}" name="Place4" dataDxfId="615">
      <calculatedColumnFormula>IF(H5=0," ",IF((RANK(H5,H$5:H$24,0)&gt;6)," ",RANK(H5,H$5:H$24,0)))</calculatedColumnFormula>
    </tableColumn>
    <tableColumn id="9" xr3:uid="{00000000-0010-0000-2200-000009000000}" name="Points5" dataDxfId="614">
      <calculatedColumnFormula>IF(Table6220273215[[#This Row],[Non-Member]]="X"," ",IF(J5=" "," ",IFERROR(VLOOKUP(I5,Points!$A$2:$B$14,2,FALSE)," ")))</calculatedColumnFormula>
    </tableColumn>
    <tableColumn id="10" xr3:uid="{00000000-0010-0000-2200-00000A000000}" name="Time/Score6" dataDxfId="613"/>
    <tableColumn id="11" xr3:uid="{00000000-0010-0000-2200-00000B000000}" name="Time/Score7" dataDxfId="612">
      <calculatedColumnFormula>IF(L5=0," ",_xlfn.RANK.AVG(L5,L$5:L$24,0))</calculatedColumnFormula>
    </tableColumn>
    <tableColumn id="12" xr3:uid="{00000000-0010-0000-2200-00000C000000}" name="Place7" dataDxfId="611">
      <calculatedColumnFormula>IF(L5=0," ",IF((RANK(L5,L$5:L$24,0)&gt;6)," ",RANK(L5,L$5:L$24,0)))</calculatedColumnFormula>
    </tableColumn>
    <tableColumn id="13" xr3:uid="{00000000-0010-0000-2200-00000D000000}" name="Points8" dataDxfId="610">
      <calculatedColumnFormula>IF(Table6220273215[[#This Row],[Non-Member]]="X"," ",IF(N5=" "," ",IFERROR(VLOOKUP(M5,Points!$A$2:$B$14,2,FALSE)," ")))</calculatedColumnFormula>
    </tableColumn>
    <tableColumn id="14" xr3:uid="{00000000-0010-0000-2200-00000E000000}" name="Time/Score9" dataDxfId="609"/>
    <tableColumn id="15" xr3:uid="{00000000-0010-0000-2200-00000F000000}" name="Time/Score10" dataDxfId="608">
      <calculatedColumnFormula>IF(P5=0," ",_xlfn.RANK.AVG(P5,P$5:P$24,0))</calculatedColumnFormula>
    </tableColumn>
    <tableColumn id="16" xr3:uid="{00000000-0010-0000-2200-000010000000}" name="Place10" dataDxfId="607">
      <calculatedColumnFormula>IF(P5=0," ",IF((RANK(P5,P$5:P$24,0)&gt;6)," ",RANK(P5,P$5:P$24,0)))</calculatedColumnFormula>
    </tableColumn>
    <tableColumn id="17" xr3:uid="{00000000-0010-0000-2200-000011000000}" name="Points11" dataDxfId="606">
      <calculatedColumnFormula>IF(Table6220273215[[#This Row],[Non-Member]]="X"," ",IF(R5=" "," ",IFERROR(VLOOKUP(Q5,Points!$A$2:$B$14,2,FALSE)," ")))</calculatedColumnFormula>
    </tableColumn>
    <tableColumn id="18" xr3:uid="{00000000-0010-0000-2200-000012000000}" name="Time/Score12" dataDxfId="605"/>
    <tableColumn id="19" xr3:uid="{00000000-0010-0000-2200-000013000000}" name="Time/Score13" dataDxfId="604">
      <calculatedColumnFormula>IF(T5=0," ",_xlfn.RANK.AVG(T5,T$5:T$24,0))</calculatedColumnFormula>
    </tableColumn>
    <tableColumn id="20" xr3:uid="{00000000-0010-0000-2200-000014000000}" name="Place13" dataDxfId="603">
      <calculatedColumnFormula>IF(T5=0," ",IF((RANK(T5,T$5:T$24,0)&gt;6)," ",RANK(T5,T$5:T$24,0)))</calculatedColumnFormula>
    </tableColumn>
    <tableColumn id="21" xr3:uid="{00000000-0010-0000-2200-000015000000}" name="Points14" dataDxfId="602">
      <calculatedColumnFormula>IF(Table6220273215[[#This Row],[Non-Member]]="X"," ",IF(V5=" "," ",IFERROR(VLOOKUP(U5,Points!$A$2:$B$14,2,FALSE)," ")))</calculatedColumnFormula>
    </tableColumn>
    <tableColumn id="22" xr3:uid="{00000000-0010-0000-2200-000016000000}" name="Time/Score15" dataDxfId="601"/>
    <tableColumn id="23" xr3:uid="{00000000-0010-0000-2200-000017000000}" name="Time/Score16" dataDxfId="600">
      <calculatedColumnFormula>IF(X5=0," ",_xlfn.RANK.AVG(X5,X$5:X$24,0))</calculatedColumnFormula>
    </tableColumn>
    <tableColumn id="24" xr3:uid="{00000000-0010-0000-2200-000018000000}" name="Place16" dataDxfId="599">
      <calculatedColumnFormula>IF(X5=0," ",IF((RANK(X5,X$5:X$24,0)&gt;6)," ",RANK(X5,X$5:X$24,0)))</calculatedColumnFormula>
    </tableColumn>
    <tableColumn id="25" xr3:uid="{00000000-0010-0000-2200-000019000000}" name="Points17" dataDxfId="598">
      <calculatedColumnFormula>IF(Table6220273215[[#This Row],[Non-Member]]="X"," ",IF(Z5=" "," ",IFERROR(VLOOKUP(Y5,Points!$A$2:$B$14,2,FALSE)," ")))</calculatedColumnFormula>
    </tableColumn>
    <tableColumn id="26" xr3:uid="{00000000-0010-0000-2200-00001A000000}" name="Time/Score18" dataDxfId="597"/>
    <tableColumn id="27" xr3:uid="{00000000-0010-0000-2200-00001B000000}" name="Time/Score19" dataDxfId="596">
      <calculatedColumnFormula>IF(AB5=0," ",_xlfn.RANK.AVG(AB5,AB$5:AB$24,0))</calculatedColumnFormula>
    </tableColumn>
    <tableColumn id="28" xr3:uid="{00000000-0010-0000-2200-00001C000000}" name="Place19" dataDxfId="595">
      <calculatedColumnFormula>IF(AB5=0," ",IF((RANK(AB5,AB$5:AB$24,0)&gt;6)," ",RANK(AB5,AB$5:AB$24,0)))</calculatedColumnFormula>
    </tableColumn>
    <tableColumn id="29" xr3:uid="{00000000-0010-0000-2200-00001D000000}" name="Points20" dataDxfId="594">
      <calculatedColumnFormula>IF(Table6220273215[[#This Row],[Non-Member]]="X"," ",IF(AD5=" "," ",IFERROR(VLOOKUP(AC5,Points!$A$2:$B$14,2,FALSE)," ")))</calculatedColumnFormula>
    </tableColumn>
    <tableColumn id="30" xr3:uid="{00000000-0010-0000-2200-00001E000000}" name="Time/Score21" dataDxfId="593">
      <calculatedColumnFormula>IF(X5+AB5=0," ",X5+AB5)</calculatedColumnFormula>
    </tableColumn>
    <tableColumn id="31" xr3:uid="{00000000-0010-0000-2200-00001F000000}" name="Time/Score22" dataDxfId="592">
      <calculatedColumnFormula>IF(AF5=0," ",_xlfn.RANK.AVG(AF5,IF(AF$5:AF$24&gt;0,AF$5:AF$24,0),0))</calculatedColumnFormula>
    </tableColumn>
    <tableColumn id="32" xr3:uid="{00000000-0010-0000-2200-000020000000}" name="Place22" dataDxfId="591">
      <calculatedColumnFormula>IFERROR(IF(RANK(AF5,AF$5:AF$24,0)&gt;6," ",(IF(AF5,RANK(AF5,AF$5:AF$24,0)," ")))," ")</calculatedColumnFormula>
    </tableColumn>
    <tableColumn id="33" xr3:uid="{00000000-0010-0000-2200-000021000000}" name="Points23" dataDxfId="590">
      <calculatedColumnFormula>IF(Table6220273215[[#This Row],[Non-Member]]="X"," ",IF(AH5=" "," ",IFERROR(VLOOKUP(AG5,Points!$A$2:$B$14,2,FALSE)," ")))</calculatedColumnFormula>
    </tableColumn>
    <tableColumn id="34" xr3:uid="{00000000-0010-0000-2200-000022000000}" name="Points24" dataDxfId="589">
      <calculatedColumnFormula>IF(Table6220273215[[#This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200-000023000000}" name="Points25" dataDxfId="588" dataCellStyle="Comma">
      <calculatedColumnFormula>IF(AJ5=0," ",AJ5)</calculatedColumnFormula>
    </tableColumn>
    <tableColumn id="36" xr3:uid="{00000000-0010-0000-2200-000024000000}" name="Place26" dataDxfId="58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3000000}" name="Table622027323316" displayName="Table622027323316" ref="B4:AL26" totalsRowShown="0" headerRowDxfId="586" dataDxfId="585" tableBorderDxfId="584">
  <autoFilter ref="B4:AL26" xr:uid="{00000000-0009-0000-0100-00000F000000}"/>
  <sortState xmlns:xlrd2="http://schemas.microsoft.com/office/spreadsheetml/2017/richdata2" ref="B5:AL26">
    <sortCondition ref="AL5:AL26"/>
    <sortCondition ref="B5:B26"/>
  </sortState>
  <tableColumns count="37">
    <tableColumn id="1" xr3:uid="{00000000-0010-0000-2300-000001000000}" name="Name" dataDxfId="583"/>
    <tableColumn id="37" xr3:uid="{00000000-0010-0000-2300-000025000000}" name="Non-Member" dataDxfId="582"/>
    <tableColumn id="2" xr3:uid="{00000000-0010-0000-2300-000002000000}" name="Time/Score" dataDxfId="581" dataCellStyle="Comma"/>
    <tableColumn id="3" xr3:uid="{00000000-0010-0000-2300-000003000000}" name="Column2" dataDxfId="580">
      <calculatedColumnFormula>IF(D5=0," ",_xlfn.RANK.AVG(D5,D$5:D$26,1)-COUNTIF(D$5:D$26,0))</calculatedColumnFormula>
    </tableColumn>
    <tableColumn id="4" xr3:uid="{00000000-0010-0000-2300-000004000000}" name="Place" dataDxfId="579">
      <calculatedColumnFormula>IF(D5=0," ",IF((RANK(D5,D$5:D$26,1)-COUNTIF(D$5:D$26,0)&gt;6)," ",RANK(D5,D$5:D$26,1)-COUNTIF(D$5:D$26,0)))</calculatedColumnFormula>
    </tableColumn>
    <tableColumn id="5" xr3:uid="{00000000-0010-0000-2300-000005000000}" name="Points" dataDxfId="578">
      <calculatedColumnFormula>IF(Table622027323316[[#This Row],[Non-Member]]="X"," ",IF(F5=" "," ",IFERROR(VLOOKUP(E5,Points!$A$2:$B$14,2,FALSE)," ")))</calculatedColumnFormula>
    </tableColumn>
    <tableColumn id="6" xr3:uid="{00000000-0010-0000-2300-000006000000}" name="Time/Score3" dataDxfId="577" dataCellStyle="Comma"/>
    <tableColumn id="7" xr3:uid="{00000000-0010-0000-2300-000007000000}" name="Time/Score4" dataDxfId="576">
      <calculatedColumnFormula>IF(H5=0," ",_xlfn.RANK.AVG(H5,H$5:H$26,1)-COUNTIF(H$5:H$26,0))</calculatedColumnFormula>
    </tableColumn>
    <tableColumn id="8" xr3:uid="{00000000-0010-0000-2300-000008000000}" name="Place4" dataDxfId="575">
      <calculatedColumnFormula>IF(H5=0," ",IF((RANK(H5,H$5:H$26,1)-COUNTIF(H$5:H$26,0)&gt;6)," ",RANK(H5,H$5:H$26,1)-COUNTIF(H$5:H$26,0)))</calculatedColumnFormula>
    </tableColumn>
    <tableColumn id="9" xr3:uid="{00000000-0010-0000-2300-000009000000}" name="Points5" dataDxfId="574">
      <calculatedColumnFormula>IF(Table622027323316[[#This Row],[Non-Member]]="X"," ",IF(J5=" "," ",IFERROR(VLOOKUP(I5,Points!$A$2:$B$14,2,FALSE)," ")))</calculatedColumnFormula>
    </tableColumn>
    <tableColumn id="10" xr3:uid="{00000000-0010-0000-2300-00000A000000}" name="Time/Score6" dataDxfId="573" dataCellStyle="Comma"/>
    <tableColumn id="11" xr3:uid="{00000000-0010-0000-2300-00000B000000}" name="Time/Score7" dataDxfId="572">
      <calculatedColumnFormula>IF(L5=0," ",_xlfn.RANK.AVG(L5,L$5:L$26,1)-COUNTIF(L$5:L$26,0))</calculatedColumnFormula>
    </tableColumn>
    <tableColumn id="12" xr3:uid="{00000000-0010-0000-2300-00000C000000}" name="Place7" dataDxfId="571">
      <calculatedColumnFormula>IF(L5=0," ",IF((RANK(L5,L$5:L$26,1)-COUNTIF(L$5:L$26,0)&gt;6)," ",RANK(L5,L$5:L$26,1)-COUNTIF(L$5:L$26,0)))</calculatedColumnFormula>
    </tableColumn>
    <tableColumn id="13" xr3:uid="{00000000-0010-0000-2300-00000D000000}" name="Points8" dataDxfId="570">
      <calculatedColumnFormula>IF(Table622027323316[[#This Row],[Non-Member]]="X"," ",IF(N5=" "," ",IFERROR(VLOOKUP(M5,Points!$A$2:$B$14,2,FALSE)," ")))</calculatedColumnFormula>
    </tableColumn>
    <tableColumn id="14" xr3:uid="{00000000-0010-0000-2300-00000E000000}" name="Time/Score9" dataDxfId="569" dataCellStyle="Comma"/>
    <tableColumn id="15" xr3:uid="{00000000-0010-0000-2300-00000F000000}" name="Time/Score10" dataDxfId="568">
      <calculatedColumnFormula>IF(P5=0," ",_xlfn.RANK.AVG(P5,P$5:P$26,1)-COUNTIF(P$5:P$26,0))</calculatedColumnFormula>
    </tableColumn>
    <tableColumn id="16" xr3:uid="{00000000-0010-0000-2300-000010000000}" name="Place10" dataDxfId="567">
      <calculatedColumnFormula>IF(P5=0," ",IF((RANK(P5,P$5:P$26,1)-COUNTIF(P$5:P$26,0)&gt;6)," ",RANK(P5,P$5:P$26,1)-COUNTIF(P$5:P$26,0)))</calculatedColumnFormula>
    </tableColumn>
    <tableColumn id="17" xr3:uid="{00000000-0010-0000-2300-000011000000}" name="Points11" dataDxfId="566">
      <calculatedColumnFormula>IF(Table622027323316[[#This Row],[Non-Member]]="X"," ",IF(R5=" "," ",IFERROR(VLOOKUP(Q5,Points!$A$2:$B$14,2,FALSE)," ")))</calculatedColumnFormula>
    </tableColumn>
    <tableColumn id="18" xr3:uid="{00000000-0010-0000-2300-000012000000}" name="Time/Score12" dataDxfId="565" dataCellStyle="Comma"/>
    <tableColumn id="19" xr3:uid="{00000000-0010-0000-2300-000013000000}" name="Time/Score13" dataDxfId="564">
      <calculatedColumnFormula>IF(T5=0," ",_xlfn.RANK.AVG(T5,T$5:T$26,1)-COUNTIF(T$5:T$26,0))</calculatedColumnFormula>
    </tableColumn>
    <tableColumn id="20" xr3:uid="{00000000-0010-0000-2300-000014000000}" name="Place13" dataDxfId="563">
      <calculatedColumnFormula>IF(T5=0," ",IF((RANK(T5,T$5:T$26,1)-COUNTIF(T$5:T$26,0)&gt;6)," ",RANK(T5,T$5:T$26,1)-COUNTIF(T$5:T$26,0)))</calculatedColumnFormula>
    </tableColumn>
    <tableColumn id="21" xr3:uid="{00000000-0010-0000-2300-000015000000}" name="Points14" dataDxfId="562">
      <calculatedColumnFormula>IF(Table622027323316[[#This Row],[Non-Member]]="X"," ",IF(V5=" "," ",IFERROR(VLOOKUP(U5,Points!$A$2:$B$14,2,FALSE)," ")))</calculatedColumnFormula>
    </tableColumn>
    <tableColumn id="22" xr3:uid="{00000000-0010-0000-2300-000016000000}" name="Time/Score15" dataDxfId="561" dataCellStyle="Comma"/>
    <tableColumn id="23" xr3:uid="{00000000-0010-0000-2300-000017000000}" name="Time/Score16" dataDxfId="560">
      <calculatedColumnFormula>IF(X5=0," ",_xlfn.RANK.AVG(X5,X$5:X$26,1)-COUNTIF(X$5:X$26,0))</calculatedColumnFormula>
    </tableColumn>
    <tableColumn id="24" xr3:uid="{00000000-0010-0000-2300-000018000000}" name="Place16" dataDxfId="559">
      <calculatedColumnFormula>IF(X5=0," ",IF((RANK(X5,X$5:X$26,1)-COUNTIF(X$5:X$26,0)&gt;6)," ",RANK(X5,X$5:X$26,1)-COUNTIF(X$5:X$26,0)))</calculatedColumnFormula>
    </tableColumn>
    <tableColumn id="25" xr3:uid="{00000000-0010-0000-2300-000019000000}" name="Points17" dataDxfId="558">
      <calculatedColumnFormula>IF(Table622027323316[[#This Row],[Non-Member]]="X"," ",IF(Z5=" "," ",IFERROR(VLOOKUP(Y5,Points!$A$2:$B$14,2,FALSE)," ")))</calculatedColumnFormula>
    </tableColumn>
    <tableColumn id="26" xr3:uid="{00000000-0010-0000-2300-00001A000000}" name="Time/Score18" dataDxfId="557" dataCellStyle="Comma"/>
    <tableColumn id="27" xr3:uid="{00000000-0010-0000-2300-00001B000000}" name="Time/Score19" dataDxfId="556">
      <calculatedColumnFormula>IF(AB5=0," ",_xlfn.RANK.AVG(AB5,AB$5:AB$26,1)-COUNTIF(AB$5:AB$26,0))</calculatedColumnFormula>
    </tableColumn>
    <tableColumn id="28" xr3:uid="{00000000-0010-0000-2300-00001C000000}" name="Place19" dataDxfId="555">
      <calculatedColumnFormula>IF(AB5=0," ",IF((RANK(AB5,AB$5:AB$26,1)-COUNTIF(AB$5:AB$26,0)&gt;6)," ",RANK(AB5,AB$5:AB$26,1)-COUNTIF(AB$5:AB$26,0)))</calculatedColumnFormula>
    </tableColumn>
    <tableColumn id="29" xr3:uid="{00000000-0010-0000-2300-00001D000000}" name="Points20" dataDxfId="554">
      <calculatedColumnFormula>IF(Table622027323316[[#This Row],[Non-Member]]="X"," ",IF(AD5=" "," ",IFERROR(VLOOKUP(AC5,Points!$A$2:$B$14,2,FALSE)," ")))</calculatedColumnFormula>
    </tableColumn>
    <tableColumn id="30" xr3:uid="{00000000-0010-0000-2300-00001E000000}" name="Time/Score21" dataDxfId="553" dataCellStyle="Comma">
      <calculatedColumnFormula>IF(OR(X5=0,AB5=0)," ",X5+AB5)</calculatedColumnFormula>
    </tableColumn>
    <tableColumn id="31" xr3:uid="{00000000-0010-0000-2300-00001F000000}" name="Time/Score22" dataDxfId="552">
      <calculatedColumnFormula>IF(OR(AF5=0,AF5=" ")," ",_xlfn.RANK.AVG(AF5,AF$5:AF$26,1)-COUNTIF(AF$5:AF$26,0))</calculatedColumnFormula>
    </tableColumn>
    <tableColumn id="32" xr3:uid="{00000000-0010-0000-2300-000020000000}" name="Place22" dataDxfId="551">
      <calculatedColumnFormula>IF(OR(AF5=0,AF5=" ")," ",IF((RANK(AF5,AF$5:AF$26,1)-COUNTIF(AF$5:AF$26,0)&gt;6)," ",RANK(AF5,AF$5:AF$26,1)-COUNTIF(AF$5:AF$26,0)))</calculatedColumnFormula>
    </tableColumn>
    <tableColumn id="33" xr3:uid="{00000000-0010-0000-2300-000021000000}" name="Points23" dataDxfId="550">
      <calculatedColumnFormula>IF(Table622027323316[[#This Row],[Non-Member]]="X"," ",IF(AH5=" "," ",IFERROR(VLOOKUP(AG5,Points!$A$2:$B$14,2,FALSE)," ")))</calculatedColumnFormula>
    </tableColumn>
    <tableColumn id="34" xr3:uid="{00000000-0010-0000-2300-000022000000}" name="Points24" dataDxfId="549">
      <calculatedColumnFormula>IF(Table622027323316[[#This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300-000023000000}" name="Points25" dataDxfId="548" dataCellStyle="Comma">
      <calculatedColumnFormula>IF(AJ5=0," ",AJ5)</calculatedColumnFormula>
    </tableColumn>
    <tableColumn id="36" xr3:uid="{00000000-0010-0000-2300-000024000000}" name="Place26" dataDxfId="547">
      <calculatedColumnFormula>IF(AK5=" "," ",RANK(AK5,$AK$5:$AK$26))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4000000}" name="Table62202732333417" displayName="Table62202732333417" ref="B4:AL24" totalsRowShown="0" headerRowDxfId="546" dataDxfId="545" tableBorderDxfId="544">
  <autoFilter ref="B4:AL24" xr:uid="{00000000-0009-0000-0100-00001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400-000001000000}" name="Name" dataDxfId="543"/>
    <tableColumn id="37" xr3:uid="{00000000-0010-0000-2400-000025000000}" name="Non-Member" dataDxfId="542"/>
    <tableColumn id="2" xr3:uid="{00000000-0010-0000-2400-000002000000}" name="Time/Score" dataDxfId="541" dataCellStyle="Comma"/>
    <tableColumn id="3" xr3:uid="{00000000-0010-0000-2400-000003000000}" name="Column2" dataDxfId="540">
      <calculatedColumnFormula>IF(D5=0," ",_xlfn.RANK.AVG(D5,D$5:D$24,1)-COUNTIF(D$5:D$24,0))</calculatedColumnFormula>
    </tableColumn>
    <tableColumn id="4" xr3:uid="{00000000-0010-0000-2400-000004000000}" name="Place" dataDxfId="539">
      <calculatedColumnFormula>IF(D5=0," ",IF((RANK(D5,D$5:D$24,1)-COUNTIF(D$5:D$24,0)&gt;6)," ",RANK(D5,D$5:D$24,1)-COUNTIF(D$5:D$24,0)))</calculatedColumnFormula>
    </tableColumn>
    <tableColumn id="5" xr3:uid="{00000000-0010-0000-2400-000005000000}" name="Points" dataDxfId="538">
      <calculatedColumnFormula>IF(Table62202732333417[[#This Row],[Non-Member]]="X"," ",IF(F5=" "," ",IFERROR(VLOOKUP(E5,Points!$A$2:$B$14,2,FALSE)," ")))</calculatedColumnFormula>
    </tableColumn>
    <tableColumn id="6" xr3:uid="{00000000-0010-0000-2400-000006000000}" name="Time/Score3" dataDxfId="537" dataCellStyle="Comma"/>
    <tableColumn id="7" xr3:uid="{00000000-0010-0000-2400-000007000000}" name="Time/Score4" dataDxfId="536">
      <calculatedColumnFormula>IF(H5=0," ",_xlfn.RANK.AVG(H5,H$5:H$24,1)-COUNTIF(H$5:H$24,0))</calculatedColumnFormula>
    </tableColumn>
    <tableColumn id="8" xr3:uid="{00000000-0010-0000-2400-000008000000}" name="Place4" dataDxfId="535">
      <calculatedColumnFormula>IF(H5=0," ",IF((RANK(H5,H$5:H$24,1)-COUNTIF(H$5:H$24,0)&gt;6)," ",RANK(H5,H$5:H$24,1)-COUNTIF(H$5:H$24,0)))</calculatedColumnFormula>
    </tableColumn>
    <tableColumn id="9" xr3:uid="{00000000-0010-0000-2400-000009000000}" name="Points5" dataDxfId="534">
      <calculatedColumnFormula>IF(Table62202732333417[[#This Row],[Non-Member]]="X"," ",IF(J5=" "," ",IFERROR(VLOOKUP(I5,Points!$A$2:$B$14,2,FALSE)," ")))</calculatedColumnFormula>
    </tableColumn>
    <tableColumn id="10" xr3:uid="{00000000-0010-0000-2400-00000A000000}" name="Time/Score6" dataDxfId="533" dataCellStyle="Comma"/>
    <tableColumn id="11" xr3:uid="{00000000-0010-0000-2400-00000B000000}" name="Time/Score7" dataDxfId="532">
      <calculatedColumnFormula>IF(L5=0," ",_xlfn.RANK.AVG(L5,L$5:L$24,1)-COUNTIF(L$5:L$24,0))</calculatedColumnFormula>
    </tableColumn>
    <tableColumn id="12" xr3:uid="{00000000-0010-0000-2400-00000C000000}" name="Place7" dataDxfId="531">
      <calculatedColumnFormula>IF(L5=0," ",IF((RANK(L5,L$5:L$24,1)-COUNTIF(L$5:L$24,0)&gt;6)," ",RANK(L5,L$5:L$24,1)-COUNTIF(L$5:L$24,0)))</calculatedColumnFormula>
    </tableColumn>
    <tableColumn id="13" xr3:uid="{00000000-0010-0000-2400-00000D000000}" name="Points8" dataDxfId="530">
      <calculatedColumnFormula>IF(Table62202732333417[[#This Row],[Non-Member]]="X"," ",IF(N5=" "," ",IFERROR(VLOOKUP(M5,Points!$A$2:$B$14,2,FALSE)," ")))</calculatedColumnFormula>
    </tableColumn>
    <tableColumn id="14" xr3:uid="{00000000-0010-0000-2400-00000E000000}" name="Time/Score9" dataDxfId="529" dataCellStyle="Comma"/>
    <tableColumn id="15" xr3:uid="{00000000-0010-0000-2400-00000F000000}" name="Time/Score10" dataDxfId="528">
      <calculatedColumnFormula>IF(P5=0," ",_xlfn.RANK.AVG(P5,P$5:P$24,1)-COUNTIF(P$5:P$24,0))</calculatedColumnFormula>
    </tableColumn>
    <tableColumn id="16" xr3:uid="{00000000-0010-0000-2400-000010000000}" name="Place10" dataDxfId="527">
      <calculatedColumnFormula>IF(P5=0," ",IF((RANK(P5,P$5:P$24,1)-COUNTIF(P$5:P$24,0)&gt;6)," ",RANK(P5,P$5:P$24,1)-COUNTIF(P$5:P$24,0)))</calculatedColumnFormula>
    </tableColumn>
    <tableColumn id="17" xr3:uid="{00000000-0010-0000-2400-000011000000}" name="Points11" dataDxfId="526">
      <calculatedColumnFormula>IF(Table62202732333417[[#This Row],[Non-Member]]="X"," ",IF(R5=" "," ",IFERROR(VLOOKUP(Q5,Points!$A$2:$B$14,2,FALSE)," ")))</calculatedColumnFormula>
    </tableColumn>
    <tableColumn id="18" xr3:uid="{00000000-0010-0000-2400-000012000000}" name="Time/Score12" dataDxfId="525" dataCellStyle="Comma"/>
    <tableColumn id="19" xr3:uid="{00000000-0010-0000-2400-000013000000}" name="Time/Score13" dataDxfId="524">
      <calculatedColumnFormula>IF(T5=0," ",_xlfn.RANK.AVG(T5,T$5:T$24,1)-COUNTIF(T$5:T$24,0))</calculatedColumnFormula>
    </tableColumn>
    <tableColumn id="20" xr3:uid="{00000000-0010-0000-2400-000014000000}" name="Place13" dataDxfId="523">
      <calculatedColumnFormula>IF(T5=0," ",IF((RANK(T5,T$5:T$24,1)-COUNTIF(T$5:T$24,0)&gt;6)," ",RANK(T5,T$5:T$24,1)-COUNTIF(T$5:T$24,0)))</calculatedColumnFormula>
    </tableColumn>
    <tableColumn id="21" xr3:uid="{00000000-0010-0000-2400-000015000000}" name="Points14" dataDxfId="522">
      <calculatedColumnFormula>IF(Table62202732333417[[#This Row],[Non-Member]]="X"," ",IF(V5=" "," ",IFERROR(VLOOKUP(U5,Points!$A$2:$B$14,2,FALSE)," ")))</calculatedColumnFormula>
    </tableColumn>
    <tableColumn id="22" xr3:uid="{00000000-0010-0000-2400-000016000000}" name="Time/Score15" dataDxfId="521" dataCellStyle="Comma"/>
    <tableColumn id="23" xr3:uid="{00000000-0010-0000-2400-000017000000}" name="Time/Score16" dataDxfId="520">
      <calculatedColumnFormula>IF(X5=0," ",_xlfn.RANK.AVG(X5,X$5:X$24,1)-COUNTIF(X$5:X$24,0))</calculatedColumnFormula>
    </tableColumn>
    <tableColumn id="24" xr3:uid="{00000000-0010-0000-2400-000018000000}" name="Place16" dataDxfId="519">
      <calculatedColumnFormula>IF(X5=0," ",IF((RANK(X5,X$5:X$24,1)-COUNTIF(X$5:X$24,0)&gt;6)," ",RANK(X5,X$5:X$24,1)-COUNTIF(X$5:X$24,0)))</calculatedColumnFormula>
    </tableColumn>
    <tableColumn id="25" xr3:uid="{00000000-0010-0000-2400-000019000000}" name="Points17" dataDxfId="518">
      <calculatedColumnFormula>IF(Table62202732333417[[#This Row],[Non-Member]]="X"," ",IF(Z5=" "," ",IFERROR(VLOOKUP(Y5,Points!$A$2:$B$14,2,FALSE)," ")))</calculatedColumnFormula>
    </tableColumn>
    <tableColumn id="26" xr3:uid="{00000000-0010-0000-2400-00001A000000}" name="Time/Score18" dataDxfId="517" dataCellStyle="Comma"/>
    <tableColumn id="27" xr3:uid="{00000000-0010-0000-2400-00001B000000}" name="Time/Score19" dataDxfId="516">
      <calculatedColumnFormula>IF(AB5=0," ",_xlfn.RANK.AVG(AB5,AB$5:AB$24,1)-COUNTIF(AB$5:AB$24,0))</calculatedColumnFormula>
    </tableColumn>
    <tableColumn id="28" xr3:uid="{00000000-0010-0000-2400-00001C000000}" name="Place19" dataDxfId="515">
      <calculatedColumnFormula>IF(AB5=0," ",IF((RANK(AB5,AB$5:AB$24,1)-COUNTIF(AB$5:AB$24,0)&gt;6)," ",RANK(AB5,AB$5:AB$24,1)-COUNTIF(AB$5:AB$24,0)))</calculatedColumnFormula>
    </tableColumn>
    <tableColumn id="29" xr3:uid="{00000000-0010-0000-2400-00001D000000}" name="Points20" dataDxfId="514">
      <calculatedColumnFormula>IF(Table62202732333417[[#This Row],[Non-Member]]="X"," ",IF(AD5=" "," ",IFERROR(VLOOKUP(AC5,Points!$A$2:$B$14,2,FALSE)," ")))</calculatedColumnFormula>
    </tableColumn>
    <tableColumn id="30" xr3:uid="{00000000-0010-0000-2400-00001E000000}" name="Time/Score21" dataDxfId="513" dataCellStyle="Comma">
      <calculatedColumnFormula>IF(OR(X5=0,AB5=0)," ",X5+AB5)</calculatedColumnFormula>
    </tableColumn>
    <tableColumn id="31" xr3:uid="{00000000-0010-0000-2400-00001F000000}" name="Time/Score22" dataDxfId="512">
      <calculatedColumnFormula>IF(OR(AF5=0,AF5=" ")," ",_xlfn.RANK.AVG(AF5,AF$5:AF$24,1)-COUNTIF(AF$5:AF$24,0))</calculatedColumnFormula>
    </tableColumn>
    <tableColumn id="32" xr3:uid="{00000000-0010-0000-2400-000020000000}" name="Place22" dataDxfId="511">
      <calculatedColumnFormula>IF(OR(AF5=0,AF5=" ")," ",IF((RANK(AF5,AF$5:AF$24,1)-COUNTIF(AF$5:AF$24,0)&gt;6)," ",RANK(AF5,AF$5:AF$24,1)-COUNTIF(AF$5:AF$24,0)))</calculatedColumnFormula>
    </tableColumn>
    <tableColumn id="33" xr3:uid="{00000000-0010-0000-2400-000021000000}" name="Points23" dataDxfId="510">
      <calculatedColumnFormula>IF(Table62202732333417[[#This Row],[Non-Member]]="X"," ",IF(AH5=" "," ",IFERROR(VLOOKUP(AG5,Points!$A$2:$B$14,2,FALSE)," ")))</calculatedColumnFormula>
    </tableColumn>
    <tableColumn id="34" xr3:uid="{00000000-0010-0000-2400-000022000000}" name="Points24" dataDxfId="509">
      <calculatedColumnFormula>IF(Table62202732333417[[#This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400-000023000000}" name="Points25" dataDxfId="508" dataCellStyle="Comma">
      <calculatedColumnFormula>IF(AJ5=0," ",AJ5)</calculatedColumnFormula>
    </tableColumn>
    <tableColumn id="36" xr3:uid="{00000000-0010-0000-2400-000024000000}" name="Place26" dataDxfId="50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5000000}" name="Table6220273233341718" displayName="Table6220273233341718" ref="B4:AL24" totalsRowShown="0" headerRowDxfId="506" dataDxfId="505" tableBorderDxfId="504">
  <autoFilter ref="B4:AL24" xr:uid="{00000000-0009-0000-0100-00001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500-000001000000}" name="Name" dataDxfId="503"/>
    <tableColumn id="37" xr3:uid="{00000000-0010-0000-2500-000025000000}" name="Non-Member" dataDxfId="502"/>
    <tableColumn id="2" xr3:uid="{00000000-0010-0000-2500-000002000000}" name="Time/Score" dataDxfId="501" dataCellStyle="Comma"/>
    <tableColumn id="3" xr3:uid="{00000000-0010-0000-2500-000003000000}" name="Column2" dataDxfId="500">
      <calculatedColumnFormula>IF(D5=0," ",_xlfn.RANK.AVG(D5,D$5:D$24,1)-COUNTIF(D$5:D$24,0))</calculatedColumnFormula>
    </tableColumn>
    <tableColumn id="4" xr3:uid="{00000000-0010-0000-2500-000004000000}" name="Place" dataDxfId="499">
      <calculatedColumnFormula>IF(D5=0," ",IF((RANK(D5,D$5:D$24,1)-COUNTIF(D$5:D$24,0)&gt;6)," ",RANK(D5,D$5:D$24,1)-COUNTIF(D$5:D$24,0)))</calculatedColumnFormula>
    </tableColumn>
    <tableColumn id="5" xr3:uid="{00000000-0010-0000-2500-000005000000}" name="Points" dataDxfId="498">
      <calculatedColumnFormula>IF(Table6220273233341718[[#This Row],[Non-Member]]="X"," ",IF(F5=" "," ",IFERROR(VLOOKUP(E5,Points!$A$2:$B$14,2,FALSE)," ")))</calculatedColumnFormula>
    </tableColumn>
    <tableColumn id="6" xr3:uid="{00000000-0010-0000-2500-000006000000}" name="Time/Score3" dataDxfId="497" dataCellStyle="Comma"/>
    <tableColumn id="7" xr3:uid="{00000000-0010-0000-2500-000007000000}" name="Time/Score4" dataDxfId="496">
      <calculatedColumnFormula>IF(H5=0," ",_xlfn.RANK.AVG(H5,H$5:H$24,1)-COUNTIF(H$5:H$24,0))</calculatedColumnFormula>
    </tableColumn>
    <tableColumn id="8" xr3:uid="{00000000-0010-0000-2500-000008000000}" name="Place4" dataDxfId="495">
      <calculatedColumnFormula>IF(H5=0," ",IF((RANK(H5,H$5:H$24,1)-COUNTIF(H$5:H$24,0)&gt;6)," ",RANK(H5,H$5:H$24,1)-COUNTIF(H$5:H$24,0)))</calculatedColumnFormula>
    </tableColumn>
    <tableColumn id="9" xr3:uid="{00000000-0010-0000-2500-000009000000}" name="Points5" dataDxfId="494">
      <calculatedColumnFormula>IF(Table6220273233341718[[#This Row],[Non-Member]]="X"," ",IF(J5=" "," ",IFERROR(VLOOKUP(I5,Points!$A$2:$B$14,2,FALSE)," ")))</calculatedColumnFormula>
    </tableColumn>
    <tableColumn id="10" xr3:uid="{00000000-0010-0000-2500-00000A000000}" name="Time/Score6" dataDxfId="493" dataCellStyle="Comma"/>
    <tableColumn id="11" xr3:uid="{00000000-0010-0000-2500-00000B000000}" name="Time/Score7" dataDxfId="492">
      <calculatedColumnFormula>IF(L5=0," ",_xlfn.RANK.AVG(L5,L$5:L$24,1)-COUNTIF(L$5:L$24,0))</calculatedColumnFormula>
    </tableColumn>
    <tableColumn id="12" xr3:uid="{00000000-0010-0000-2500-00000C000000}" name="Place7" dataDxfId="491">
      <calculatedColumnFormula>IF(L5=0," ",IF((RANK(L5,L$5:L$24,1)-COUNTIF(L$5:L$24,0)&gt;6)," ",RANK(L5,L$5:L$24,1)-COUNTIF(L$5:L$24,0)))</calculatedColumnFormula>
    </tableColumn>
    <tableColumn id="13" xr3:uid="{00000000-0010-0000-2500-00000D000000}" name="Points8" dataDxfId="490">
      <calculatedColumnFormula>IF(Table6220273233341718[[#This Row],[Non-Member]]="X"," ",IF(N5=" "," ",IFERROR(VLOOKUP(M5,Points!$A$2:$B$14,2,FALSE)," ")))</calculatedColumnFormula>
    </tableColumn>
    <tableColumn id="14" xr3:uid="{00000000-0010-0000-2500-00000E000000}" name="Time/Score9" dataDxfId="489" dataCellStyle="Comma"/>
    <tableColumn id="15" xr3:uid="{00000000-0010-0000-2500-00000F000000}" name="Time/Score10" dataDxfId="488">
      <calculatedColumnFormula>IF(P5=0," ",_xlfn.RANK.AVG(P5,P$5:P$24,1)-COUNTIF(P$5:P$24,0))</calculatedColumnFormula>
    </tableColumn>
    <tableColumn id="16" xr3:uid="{00000000-0010-0000-2500-000010000000}" name="Place10" dataDxfId="487">
      <calculatedColumnFormula>IF(P5=0," ",IF((RANK(P5,P$5:P$24,1)-COUNTIF(P$5:P$24,0)&gt;6)," ",RANK(P5,P$5:P$24,1)-COUNTIF(P$5:P$24,0)))</calculatedColumnFormula>
    </tableColumn>
    <tableColumn id="17" xr3:uid="{00000000-0010-0000-2500-000011000000}" name="Points11" dataDxfId="486">
      <calculatedColumnFormula>IF(Table6220273233341718[[#This Row],[Non-Member]]="X"," ",IF(R5=" "," ",IFERROR(VLOOKUP(Q5,Points!$A$2:$B$14,2,FALSE)," ")))</calculatedColumnFormula>
    </tableColumn>
    <tableColumn id="18" xr3:uid="{00000000-0010-0000-2500-000012000000}" name="Time/Score12" dataDxfId="485" dataCellStyle="Comma"/>
    <tableColumn id="19" xr3:uid="{00000000-0010-0000-2500-000013000000}" name="Time/Score13" dataDxfId="484">
      <calculatedColumnFormula>IF(T5=0," ",_xlfn.RANK.AVG(T5,T$5:T$24,1)-COUNTIF(T$5:T$24,0))</calculatedColumnFormula>
    </tableColumn>
    <tableColumn id="20" xr3:uid="{00000000-0010-0000-2500-000014000000}" name="Place13" dataDxfId="483">
      <calculatedColumnFormula>IF(T5=0," ",IF((RANK(T5,T$5:T$24,1)-COUNTIF(T$5:T$24,0)&gt;6)," ",RANK(T5,T$5:T$24,1)-COUNTIF(T$5:T$24,0)))</calculatedColumnFormula>
    </tableColumn>
    <tableColumn id="21" xr3:uid="{00000000-0010-0000-2500-000015000000}" name="Points14" dataDxfId="482">
      <calculatedColumnFormula>IF(Table6220273233341718[[#This Row],[Non-Member]]="X"," ",IF(V5=" "," ",IFERROR(VLOOKUP(U5,Points!$A$2:$B$14,2,FALSE)," ")))</calculatedColumnFormula>
    </tableColumn>
    <tableColumn id="22" xr3:uid="{00000000-0010-0000-2500-000016000000}" name="Time/Score15" dataDxfId="481" dataCellStyle="Comma"/>
    <tableColumn id="23" xr3:uid="{00000000-0010-0000-2500-000017000000}" name="Time/Score16" dataDxfId="480">
      <calculatedColumnFormula>IF(X5=0," ",_xlfn.RANK.AVG(X5,X$5:X$24,1)-COUNTIF(X$5:X$24,0))</calculatedColumnFormula>
    </tableColumn>
    <tableColumn id="24" xr3:uid="{00000000-0010-0000-2500-000018000000}" name="Place16" dataDxfId="479">
      <calculatedColumnFormula>IF(X5=0," ",IF((RANK(X5,X$5:X$24,1)-COUNTIF(X$5:X$24,0)&gt;6)," ",RANK(X5,X$5:X$24,1)-COUNTIF(X$5:X$24,0)))</calculatedColumnFormula>
    </tableColumn>
    <tableColumn id="25" xr3:uid="{00000000-0010-0000-2500-000019000000}" name="Points17" dataDxfId="478">
      <calculatedColumnFormula>IF(Table6220273233341718[[#This Row],[Non-Member]]="X"," ",IF(Z5=" "," ",IFERROR(VLOOKUP(Y5,Points!$A$2:$B$14,2,FALSE)," ")))</calculatedColumnFormula>
    </tableColumn>
    <tableColumn id="26" xr3:uid="{00000000-0010-0000-2500-00001A000000}" name="Time/Score18" dataDxfId="477" dataCellStyle="Comma"/>
    <tableColumn id="27" xr3:uid="{00000000-0010-0000-2500-00001B000000}" name="Time/Score19" dataDxfId="476">
      <calculatedColumnFormula>IF(AB5=0," ",_xlfn.RANK.AVG(AB5,AB$5:AB$24,1)-COUNTIF(AB$5:AB$24,0))</calculatedColumnFormula>
    </tableColumn>
    <tableColumn id="28" xr3:uid="{00000000-0010-0000-2500-00001C000000}" name="Place19" dataDxfId="475">
      <calculatedColumnFormula>IF(AB5=0," ",IF((RANK(AB5,AB$5:AB$24,1)-COUNTIF(AB$5:AB$24,0)&gt;6)," ",RANK(AB5,AB$5:AB$24,1)-COUNTIF(AB$5:AB$24,0)))</calculatedColumnFormula>
    </tableColumn>
    <tableColumn id="29" xr3:uid="{00000000-0010-0000-2500-00001D000000}" name="Points20" dataDxfId="474">
      <calculatedColumnFormula>IF(Table6220273233341718[[#This Row],[Non-Member]]="X"," ",IF(AD5=" "," ",IFERROR(VLOOKUP(AC5,Points!$A$2:$B$14,2,FALSE)," ")))</calculatedColumnFormula>
    </tableColumn>
    <tableColumn id="30" xr3:uid="{00000000-0010-0000-2500-00001E000000}" name="Time/Score21" dataDxfId="473" dataCellStyle="Comma">
      <calculatedColumnFormula>IF(OR(X5=0,AB5=0)," ",X5+AB5)</calculatedColumnFormula>
    </tableColumn>
    <tableColumn id="31" xr3:uid="{00000000-0010-0000-2500-00001F000000}" name="Time/Score22" dataDxfId="472">
      <calculatedColumnFormula>IF(OR(AF5=0,AF5=" ")," ",_xlfn.RANK.AVG(AF5,AF$5:AF$24,1)-COUNTIF(AF$5:AF$24,0))</calculatedColumnFormula>
    </tableColumn>
    <tableColumn id="32" xr3:uid="{00000000-0010-0000-2500-000020000000}" name="Place22" dataDxfId="471">
      <calculatedColumnFormula>IF(OR(AF5=0,AF5=" ")," ",IF((RANK(AF5,AF$5:AF$24,1)-COUNTIF(AF$5:AF$24,0)&gt;6)," ",RANK(AF5,AF$5:AF$24,1)-COUNTIF(AF$5:AF$24,0)))</calculatedColumnFormula>
    </tableColumn>
    <tableColumn id="33" xr3:uid="{00000000-0010-0000-2500-000021000000}" name="Points23" dataDxfId="470">
      <calculatedColumnFormula>IF(Table6220273233341718[[#This Row],[Non-Member]]="X"," ",IF(AH5=" "," ",IFERROR(VLOOKUP(AG5,Points!$A$2:$B$14,2,FALSE)," ")))</calculatedColumnFormula>
    </tableColumn>
    <tableColumn id="34" xr3:uid="{00000000-0010-0000-2500-000022000000}" name="Points24" dataDxfId="469">
      <calculatedColumnFormula>IF(Table6220273233341718[[#This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500-000023000000}" name="Points25" dataDxfId="468" dataCellStyle="Comma">
      <calculatedColumnFormula>IF(AJ5=0," ",AJ5)</calculatedColumnFormula>
    </tableColumn>
    <tableColumn id="36" xr3:uid="{00000000-0010-0000-2500-000024000000}" name="Place26" dataDxfId="46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26000000}" name="Table622027323334171819" displayName="Table622027323334171819" ref="B4:AL24" totalsRowShown="0" headerRowDxfId="466" dataDxfId="465" tableBorderDxfId="464">
  <autoFilter ref="B4:AL24" xr:uid="{00000000-0009-0000-0100-00001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600-000001000000}" name="Name" dataDxfId="463"/>
    <tableColumn id="37" xr3:uid="{00000000-0010-0000-2600-000025000000}" name="Non-Member" dataDxfId="462"/>
    <tableColumn id="2" xr3:uid="{00000000-0010-0000-2600-000002000000}" name="Time/Score" dataDxfId="461" dataCellStyle="Comma"/>
    <tableColumn id="3" xr3:uid="{00000000-0010-0000-2600-000003000000}" name="Column2" dataDxfId="460">
      <calculatedColumnFormula>IF(D5=0," ",_xlfn.RANK.AVG(D5,D$5:D$24,1)-COUNTIF(D$5:D$24,0))</calculatedColumnFormula>
    </tableColumn>
    <tableColumn id="4" xr3:uid="{00000000-0010-0000-2600-000004000000}" name="Place" dataDxfId="459">
      <calculatedColumnFormula>IF(D5=0," ",IF((RANK(D5,D$5:D$24,1)-COUNTIF(D$5:D$24,0)&gt;6)," ",RANK(D5,D$5:D$24,1)-COUNTIF(D$5:D$24,0)))</calculatedColumnFormula>
    </tableColumn>
    <tableColumn id="5" xr3:uid="{00000000-0010-0000-2600-000005000000}" name="Points" dataDxfId="458">
      <calculatedColumnFormula>IF(Table622027323334171819[[#This Row],[Non-Member]]="X"," ",IF(F5=" "," ",IFERROR(VLOOKUP(E5,Points!$A$2:$B$14,2,FALSE)," ")))</calculatedColumnFormula>
    </tableColumn>
    <tableColumn id="6" xr3:uid="{00000000-0010-0000-2600-000006000000}" name="Time/Score3" dataDxfId="457" dataCellStyle="Comma"/>
    <tableColumn id="7" xr3:uid="{00000000-0010-0000-2600-000007000000}" name="Time/Score4" dataDxfId="456">
      <calculatedColumnFormula>IF(H5=0," ",_xlfn.RANK.AVG(H5,H$5:H$24,1)-COUNTIF(H$5:H$24,0))</calculatedColumnFormula>
    </tableColumn>
    <tableColumn id="8" xr3:uid="{00000000-0010-0000-2600-000008000000}" name="Place4" dataDxfId="455">
      <calculatedColumnFormula>IF(H5=0," ",IF((RANK(H5,H$5:H$24,1)-COUNTIF(H$5:H$24,0)&gt;6)," ",RANK(H5,H$5:H$24,1)-COUNTIF(H$5:H$24,0)))</calculatedColumnFormula>
    </tableColumn>
    <tableColumn id="9" xr3:uid="{00000000-0010-0000-2600-000009000000}" name="Points5" dataDxfId="454">
      <calculatedColumnFormula>IF(Table622027323334171819[[#This Row],[Non-Member]]="X"," ",IF(J5=" "," ",IFERROR(VLOOKUP(I5,Points!$A$2:$B$14,2,FALSE)," ")))</calculatedColumnFormula>
    </tableColumn>
    <tableColumn id="10" xr3:uid="{00000000-0010-0000-2600-00000A000000}" name="Time/Score6" dataDxfId="453" dataCellStyle="Comma"/>
    <tableColumn id="11" xr3:uid="{00000000-0010-0000-2600-00000B000000}" name="Time/Score7" dataDxfId="452">
      <calculatedColumnFormula>IF(L5=0," ",_xlfn.RANK.AVG(L5,L$5:L$24,1)-COUNTIF(L$5:L$24,0))</calculatedColumnFormula>
    </tableColumn>
    <tableColumn id="12" xr3:uid="{00000000-0010-0000-2600-00000C000000}" name="Place7" dataDxfId="451">
      <calculatedColumnFormula>IF(L5=0," ",IF((RANK(L5,L$5:L$24,1)-COUNTIF(L$5:L$24,0)&gt;6)," ",RANK(L5,L$5:L$24,1)-COUNTIF(L$5:L$24,0)))</calculatedColumnFormula>
    </tableColumn>
    <tableColumn id="13" xr3:uid="{00000000-0010-0000-2600-00000D000000}" name="Points8" dataDxfId="450">
      <calculatedColumnFormula>IF(Table622027323334171819[[#This Row],[Non-Member]]="X"," ",IF(N5=" "," ",IFERROR(VLOOKUP(M5,Points!$A$2:$B$14,2,FALSE)," ")))</calculatedColumnFormula>
    </tableColumn>
    <tableColumn id="14" xr3:uid="{00000000-0010-0000-2600-00000E000000}" name="Time/Score9" dataDxfId="449" dataCellStyle="Comma"/>
    <tableColumn id="15" xr3:uid="{00000000-0010-0000-2600-00000F000000}" name="Time/Score10" dataDxfId="448">
      <calculatedColumnFormula>IF(P5=0," ",_xlfn.RANK.AVG(P5,P$5:P$24,1)-COUNTIF(P$5:P$24,0))</calculatedColumnFormula>
    </tableColumn>
    <tableColumn id="16" xr3:uid="{00000000-0010-0000-2600-000010000000}" name="Place10" dataDxfId="447">
      <calculatedColumnFormula>IF(P5=0," ",IF((RANK(P5,P$5:P$24,1)-COUNTIF(P$5:P$24,0)&gt;6)," ",RANK(P5,P$5:P$24,1)-COUNTIF(P$5:P$24,0)))</calculatedColumnFormula>
    </tableColumn>
    <tableColumn id="17" xr3:uid="{00000000-0010-0000-2600-000011000000}" name="Points11" dataDxfId="446">
      <calculatedColumnFormula>IF(Table622027323334171819[[#This Row],[Non-Member]]="X"," ",IF(R5=" "," ",IFERROR(VLOOKUP(Q5,Points!$A$2:$B$14,2,FALSE)," ")))</calculatedColumnFormula>
    </tableColumn>
    <tableColumn id="18" xr3:uid="{00000000-0010-0000-2600-000012000000}" name="Time/Score12" dataDxfId="445" dataCellStyle="Comma"/>
    <tableColumn id="19" xr3:uid="{00000000-0010-0000-2600-000013000000}" name="Time/Score13" dataDxfId="444">
      <calculatedColumnFormula>IF(T5=0," ",_xlfn.RANK.AVG(T5,T$5:T$24,1)-COUNTIF(T$5:T$24,0))</calculatedColumnFormula>
    </tableColumn>
    <tableColumn id="20" xr3:uid="{00000000-0010-0000-2600-000014000000}" name="Place13" dataDxfId="443">
      <calculatedColumnFormula>IF(T5=0," ",IF((RANK(T5,T$5:T$24,1)-COUNTIF(T$5:T$24,0)&gt;6)," ",RANK(T5,T$5:T$24,1)-COUNTIF(T$5:T$24,0)))</calculatedColumnFormula>
    </tableColumn>
    <tableColumn id="21" xr3:uid="{00000000-0010-0000-2600-000015000000}" name="Points14" dataDxfId="442">
      <calculatedColumnFormula>IF(Table622027323334171819[[#This Row],[Non-Member]]="X"," ",IF(V5=" "," ",IFERROR(VLOOKUP(U5,Points!$A$2:$B$14,2,FALSE)," ")))</calculatedColumnFormula>
    </tableColumn>
    <tableColumn id="22" xr3:uid="{00000000-0010-0000-2600-000016000000}" name="Time/Score15" dataDxfId="441" dataCellStyle="Comma"/>
    <tableColumn id="23" xr3:uid="{00000000-0010-0000-2600-000017000000}" name="Time/Score16" dataDxfId="440">
      <calculatedColumnFormula>IF(X5=0," ",_xlfn.RANK.AVG(X5,X$5:X$24,1)-COUNTIF(X$5:X$24,0))</calculatedColumnFormula>
    </tableColumn>
    <tableColumn id="24" xr3:uid="{00000000-0010-0000-2600-000018000000}" name="Place16" dataDxfId="439">
      <calculatedColumnFormula>IF(X5=0," ",IF((RANK(X5,X$5:X$24,1)-COUNTIF(X$5:X$24,0)&gt;6)," ",RANK(X5,X$5:X$24,1)-COUNTIF(X$5:X$24,0)))</calculatedColumnFormula>
    </tableColumn>
    <tableColumn id="25" xr3:uid="{00000000-0010-0000-2600-000019000000}" name="Points17" dataDxfId="438">
      <calculatedColumnFormula>IF(Table622027323334171819[[#This Row],[Non-Member]]="X"," ",IF(Z5=" "," ",IFERROR(VLOOKUP(Y5,Points!$A$2:$B$14,2,FALSE)," ")))</calculatedColumnFormula>
    </tableColumn>
    <tableColumn id="26" xr3:uid="{00000000-0010-0000-2600-00001A000000}" name="Time/Score18" dataDxfId="437" dataCellStyle="Comma"/>
    <tableColumn id="27" xr3:uid="{00000000-0010-0000-2600-00001B000000}" name="Time/Score19" dataDxfId="436">
      <calculatedColumnFormula>IF(AB5=0," ",_xlfn.RANK.AVG(AB5,AB$5:AB$24,1)-COUNTIF(AB$5:AB$24,0))</calculatedColumnFormula>
    </tableColumn>
    <tableColumn id="28" xr3:uid="{00000000-0010-0000-2600-00001C000000}" name="Place19" dataDxfId="435">
      <calculatedColumnFormula>IF(AB5=0," ",IF((RANK(AB5,AB$5:AB$24,1)-COUNTIF(AB$5:AB$24,0)&gt;6)," ",RANK(AB5,AB$5:AB$24,1)-COUNTIF(AB$5:AB$24,0)))</calculatedColumnFormula>
    </tableColumn>
    <tableColumn id="29" xr3:uid="{00000000-0010-0000-2600-00001D000000}" name="Points20" dataDxfId="434">
      <calculatedColumnFormula>IF(Table622027323334171819[[#This Row],[Non-Member]]="X"," ",IF(AD5=" "," ",IFERROR(VLOOKUP(AC5,Points!$A$2:$B$14,2,FALSE)," ")))</calculatedColumnFormula>
    </tableColumn>
    <tableColumn id="30" xr3:uid="{00000000-0010-0000-2600-00001E000000}" name="Time/Score21" dataDxfId="433" dataCellStyle="Comma">
      <calculatedColumnFormula>IF(OR(X5=0,AB5=0)," ",X5+AB5)</calculatedColumnFormula>
    </tableColumn>
    <tableColumn id="31" xr3:uid="{00000000-0010-0000-2600-00001F000000}" name="Time/Score22" dataDxfId="432">
      <calculatedColumnFormula>IF(OR(AF5=0,AF5=" ")," ",_xlfn.RANK.AVG(AF5,AF$5:AF$24,1)-COUNTIF(AF$5:AF$24,0))</calculatedColumnFormula>
    </tableColumn>
    <tableColumn id="32" xr3:uid="{00000000-0010-0000-2600-000020000000}" name="Place22" dataDxfId="431">
      <calculatedColumnFormula>IF(OR(AF5=0,AF5=" ")," ",IF((RANK(AF5,AF$5:AF$24,1)-COUNTIF(AF$5:AF$24,0)&gt;6)," ",RANK(AF5,AF$5:AF$24,1)-COUNTIF(AF$5:AF$24,0)))</calculatedColumnFormula>
    </tableColumn>
    <tableColumn id="33" xr3:uid="{00000000-0010-0000-2600-000021000000}" name="Points23" dataDxfId="430">
      <calculatedColumnFormula>IF(Table622027323334171819[[#This Row],[Non-Member]]="X"," ",IF(AH5=" "," ",IFERROR(VLOOKUP(AG5,Points!$A$2:$B$14,2,FALSE)," ")))</calculatedColumnFormula>
    </tableColumn>
    <tableColumn id="34" xr3:uid="{00000000-0010-0000-2600-000022000000}" name="Points24" dataDxfId="429">
      <calculatedColumnFormula>IF(Table622027323334171819[[#This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600-000023000000}" name="Points25" dataDxfId="428" dataCellStyle="Comma">
      <calculatedColumnFormula>IF(AJ5=0," ",AJ5)</calculatedColumnFormula>
    </tableColumn>
    <tableColumn id="36" xr3:uid="{00000000-0010-0000-2600-000024000000}" name="Place26" dataDxfId="42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622027323337383923244450" displayName="Table622027323337383923244450" ref="B4:AL24" totalsRowShown="0" headerRowDxfId="1717" dataDxfId="1716" tableBorderDxfId="1715">
  <autoFilter ref="B4:AL24" xr:uid="{00000000-0009-0000-0100-00003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300-000001000000}" name="Name" dataDxfId="1714"/>
    <tableColumn id="37" xr3:uid="{00000000-0010-0000-0300-000025000000}" name="Non-Member" dataDxfId="1713"/>
    <tableColumn id="2" xr3:uid="{00000000-0010-0000-0300-000002000000}" name="Time/Score" dataDxfId="1712" dataCellStyle="Comma"/>
    <tableColumn id="3" xr3:uid="{00000000-0010-0000-0300-000003000000}" name="Column2" dataDxfId="1711">
      <calculatedColumnFormula>IF(D5=0," ",_xlfn.RANK.AVG(D5,D$5:D$24,1)-COUNTIF(D$5:D$24,0))</calculatedColumnFormula>
    </tableColumn>
    <tableColumn id="4" xr3:uid="{00000000-0010-0000-0300-000004000000}" name="Place" dataDxfId="1710">
      <calculatedColumnFormula>IF(D5=0," ",IF((RANK(D5,D$5:D$24,1)-COUNTIF(D$5:D$24,0)&gt;6)," ",RANK(D5,D$5:D$24,1)-COUNTIF(D$5:D$24,0)))</calculatedColumnFormula>
    </tableColumn>
    <tableColumn id="5" xr3:uid="{00000000-0010-0000-0300-000005000000}" name="Points" dataDxfId="1709">
      <calculatedColumnFormula>IF(Table622027323337383923244450[[#This Row],[Non-Member]]="X"," ",IF(F5=" "," ",IFERROR(VLOOKUP(E5,Points!$A$2:$B$14,2,FALSE)," ")))</calculatedColumnFormula>
    </tableColumn>
    <tableColumn id="6" xr3:uid="{00000000-0010-0000-0300-000006000000}" name="Time/Score3" dataDxfId="1708" dataCellStyle="Comma"/>
    <tableColumn id="7" xr3:uid="{00000000-0010-0000-0300-000007000000}" name="Time/Score4" dataDxfId="1707">
      <calculatedColumnFormula>IF(H5=0," ",_xlfn.RANK.AVG(H5,H$5:H$24,1)-COUNTIF(H$5:H$24,0))</calculatedColumnFormula>
    </tableColumn>
    <tableColumn id="8" xr3:uid="{00000000-0010-0000-0300-000008000000}" name="Place4" dataDxfId="1706">
      <calculatedColumnFormula>IF(H5=0," ",IF((RANK(H5,H$5:H$24,1)-COUNTIF(H$5:H$24,0)&gt;6)," ",RANK(H5,H$5:H$24,1)-COUNTIF(H$5:H$24,0)))</calculatedColumnFormula>
    </tableColumn>
    <tableColumn id="9" xr3:uid="{00000000-0010-0000-0300-000009000000}" name="Points5" dataDxfId="1705">
      <calculatedColumnFormula>IF(Table622027323337383923244450[[#This Row],[Non-Member]]="X"," ",IF(J5=" "," ",IFERROR(VLOOKUP(I5,Points!$A$2:$B$14,2,FALSE)," ")))</calculatedColumnFormula>
    </tableColumn>
    <tableColumn id="10" xr3:uid="{00000000-0010-0000-0300-00000A000000}" name="Time/Score6" dataDxfId="1704" dataCellStyle="Comma"/>
    <tableColumn id="11" xr3:uid="{00000000-0010-0000-0300-00000B000000}" name="Time/Score7" dataDxfId="1703">
      <calculatedColumnFormula>IF(L5=0," ",_xlfn.RANK.AVG(L5,L$5:L$24,1)-COUNTIF(L$5:L$24,0))</calculatedColumnFormula>
    </tableColumn>
    <tableColumn id="12" xr3:uid="{00000000-0010-0000-0300-00000C000000}" name="Place7" dataDxfId="1702">
      <calculatedColumnFormula>IF(L5=0," ",IF((RANK(L5,L$5:L$24,1)-COUNTIF(L$5:L$24,0)&gt;6)," ",RANK(L5,L$5:L$24,1)-COUNTIF(L$5:L$24,0)))</calculatedColumnFormula>
    </tableColumn>
    <tableColumn id="13" xr3:uid="{00000000-0010-0000-0300-00000D000000}" name="Points8" dataDxfId="1701">
      <calculatedColumnFormula>IF(Table622027323337383923244450[[#This Row],[Non-Member]]="X"," ",IF(N5=" "," ",IFERROR(VLOOKUP(M5,Points!$A$2:$B$14,2,FALSE)," ")))</calculatedColumnFormula>
    </tableColumn>
    <tableColumn id="14" xr3:uid="{00000000-0010-0000-0300-00000E000000}" name="Time/Score9" dataDxfId="1700" dataCellStyle="Comma"/>
    <tableColumn id="15" xr3:uid="{00000000-0010-0000-0300-00000F000000}" name="Time/Score10" dataDxfId="1699">
      <calculatedColumnFormula>IF(P5=0," ",_xlfn.RANK.AVG(P5,P$5:P$24,1)-COUNTIF(P$5:P$24,0))</calculatedColumnFormula>
    </tableColumn>
    <tableColumn id="16" xr3:uid="{00000000-0010-0000-0300-000010000000}" name="Place10" dataDxfId="1698">
      <calculatedColumnFormula>IF(P5=0," ",IF((RANK(P5,P$5:P$24,1)-COUNTIF(P$5:P$24,0)&gt;6)," ",RANK(P5,P$5:P$24,1)-COUNTIF(P$5:P$24,0)))</calculatedColumnFormula>
    </tableColumn>
    <tableColumn id="17" xr3:uid="{00000000-0010-0000-0300-000011000000}" name="Points11" dataDxfId="1697">
      <calculatedColumnFormula>IF(Table622027323337383923244450[[#This Row],[Non-Member]]="X"," ",IF(R5=" "," ",IFERROR(VLOOKUP(Q5,Points!$A$2:$B$14,2,FALSE)," ")))</calculatedColumnFormula>
    </tableColumn>
    <tableColumn id="18" xr3:uid="{00000000-0010-0000-0300-000012000000}" name="Time/Score12" dataDxfId="1696" dataCellStyle="Comma"/>
    <tableColumn id="19" xr3:uid="{00000000-0010-0000-0300-000013000000}" name="Time/Score13" dataDxfId="1695">
      <calculatedColumnFormula>IF(T5=0," ",_xlfn.RANK.AVG(T5,T$5:T$24,1)-COUNTIF(T$5:T$24,0))</calculatedColumnFormula>
    </tableColumn>
    <tableColumn id="20" xr3:uid="{00000000-0010-0000-0300-000014000000}" name="Place13" dataDxfId="1694">
      <calculatedColumnFormula>IF(T5=0," ",IF((RANK(T5,T$5:T$24,1)-COUNTIF(T$5:T$24,0)&gt;6)," ",RANK(T5,T$5:T$24,1)-COUNTIF(T$5:T$24,0)))</calculatedColumnFormula>
    </tableColumn>
    <tableColumn id="21" xr3:uid="{00000000-0010-0000-0300-000015000000}" name="Points14" dataDxfId="1693">
      <calculatedColumnFormula>IF(Table622027323337383923244450[[#This Row],[Non-Member]]="X"," ",IF(V5=" "," ",IFERROR(VLOOKUP(U5,Points!$A$2:$B$14,2,FALSE)," ")))</calculatedColumnFormula>
    </tableColumn>
    <tableColumn id="22" xr3:uid="{00000000-0010-0000-0300-000016000000}" name="Time/Score15" dataDxfId="1692" dataCellStyle="Comma"/>
    <tableColumn id="23" xr3:uid="{00000000-0010-0000-0300-000017000000}" name="Time/Score16" dataDxfId="1691">
      <calculatedColumnFormula>IF(X5=0," ",_xlfn.RANK.AVG(X5,X$5:X$24,1)-COUNTIF(X$5:X$24,0))</calculatedColumnFormula>
    </tableColumn>
    <tableColumn id="24" xr3:uid="{00000000-0010-0000-0300-000018000000}" name="Place16" dataDxfId="1690">
      <calculatedColumnFormula>IF(X5=0," ",IF((RANK(X5,X$5:X$24,1)-COUNTIF(X$5:X$24,0)&gt;6)," ",RANK(X5,X$5:X$24,1)-COUNTIF(X$5:X$24,0)))</calculatedColumnFormula>
    </tableColumn>
    <tableColumn id="25" xr3:uid="{00000000-0010-0000-0300-000019000000}" name="Points17" dataDxfId="1689">
      <calculatedColumnFormula>IF(Table622027323337383923244450[[#This Row],[Non-Member]]="X"," ",IF(Z5=" "," ",IFERROR(VLOOKUP(Y5,Points!$A$2:$B$14,2,FALSE)," ")))</calculatedColumnFormula>
    </tableColumn>
    <tableColumn id="26" xr3:uid="{00000000-0010-0000-0300-00001A000000}" name="Time/Score18" dataDxfId="1688" dataCellStyle="Comma"/>
    <tableColumn id="27" xr3:uid="{00000000-0010-0000-0300-00001B000000}" name="Time/Score19" dataDxfId="1687">
      <calculatedColumnFormula>IF(AB5=0," ",_xlfn.RANK.AVG(AB5,AB$5:AB$24,1)-COUNTIF(AB$5:AB$24,0))</calculatedColumnFormula>
    </tableColumn>
    <tableColumn id="28" xr3:uid="{00000000-0010-0000-0300-00001C000000}" name="Place19" dataDxfId="1686">
      <calculatedColumnFormula>IF(AB5=0," ",IF((RANK(AB5,AB$5:AB$24,1)-COUNTIF(AB$5:AB$24,0)&gt;6)," ",RANK(AB5,AB$5:AB$24,1)-COUNTIF(AB$5:AB$24,0)))</calculatedColumnFormula>
    </tableColumn>
    <tableColumn id="29" xr3:uid="{00000000-0010-0000-0300-00001D000000}" name="Points20" dataDxfId="1685">
      <calculatedColumnFormula>IF(Table622027323337383923244450[[#This Row],[Non-Member]]="X"," ",IF(AD5=" "," ",IFERROR(VLOOKUP(AC5,Points!$A$2:$B$14,2,FALSE)," ")))</calculatedColumnFormula>
    </tableColumn>
    <tableColumn id="30" xr3:uid="{00000000-0010-0000-0300-00001E000000}" name="Time/Score21" dataDxfId="1684" dataCellStyle="Comma">
      <calculatedColumnFormula>IF(OR(X5=0,AB5=0)," ",X5+AB5)</calculatedColumnFormula>
    </tableColumn>
    <tableColumn id="31" xr3:uid="{00000000-0010-0000-0300-00001F000000}" name="Time/Score22" dataDxfId="1683">
      <calculatedColumnFormula>IF(OR(AF5=0,AF5=" ")," ",_xlfn.RANK.AVG(AF5,AF$5:AF$24,1)-COUNTIF(AF$5:AF$24,0))</calculatedColumnFormula>
    </tableColumn>
    <tableColumn id="32" xr3:uid="{00000000-0010-0000-0300-000020000000}" name="Place22" dataDxfId="1682">
      <calculatedColumnFormula>IF(OR(AF5=0,AF5=" ")," ",IF((RANK(AF5,AF$5:AF$24,1)-COUNTIF(AF$5:AF$24,0)&gt;6)," ",RANK(AF5,AF$5:AF$24,1)-COUNTIF(AF$5:AF$24,0)))</calculatedColumnFormula>
    </tableColumn>
    <tableColumn id="33" xr3:uid="{00000000-0010-0000-0300-000021000000}" name="Points23" dataDxfId="1681">
      <calculatedColumnFormula>IF(Table622027323337383923244450[[#This Row],[Non-Member]]="X"," ",IF(AH5=" "," ",IFERROR(VLOOKUP(AG5,Points!$A$2:$B$14,2,FALSE)," ")))</calculatedColumnFormula>
    </tableColumn>
    <tableColumn id="34" xr3:uid="{00000000-0010-0000-0300-000022000000}" name="Points24" dataDxfId="1680">
      <calculatedColumnFormula>IF(Table622027323337383923244450[[#This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300-000023000000}" name="Points25" dataDxfId="1679" dataCellStyle="Comma">
      <calculatedColumnFormula>IF(AJ5=0," ",AJ5)</calculatedColumnFormula>
    </tableColumn>
    <tableColumn id="36" xr3:uid="{00000000-0010-0000-0300-000024000000}" name="Place26" dataDxfId="167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27000000}" name="Table634568910112334444020" displayName="Table634568910112334444020" ref="B4:AC24" totalsRowShown="0" headerRowDxfId="426" dataDxfId="425" tableBorderDxfId="424">
  <autoFilter ref="B4:AC24" xr:uid="{00000000-0009-0000-0100-000013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700-000001000000}" name="Name" dataDxfId="423"/>
    <tableColumn id="39" xr3:uid="{00000000-0010-0000-2700-000027000000}" name="Points" dataDxfId="422">
      <calculatedColumnFormula>IFERROR(IF(VLOOKUP($B5,'PW B-Calf Riding'!$B$5:$AI$24,6,FALSE)=" ",0,VLOOKUP($B5,'PW B-Calf Riding'!$B$5:$AI$24,6,FALSE)),0)+IFERROR(IF(VLOOKUP($B5,'PW B-Goats'!$B$5:$AI$26,6,FALSE)=" ",0,VLOOKUP($B5,'PW B-Goats'!$B$5:$AI$26,6,FALSE)),0)+IFERROR(IF(VLOOKUP($B5,'PW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calculatedColumnFormula>
    </tableColumn>
    <tableColumn id="4" xr3:uid="{00000000-0010-0000-2700-000004000000}" name="Column1" dataDxfId="421">
      <calculatedColumnFormula>IF(C5&gt;0,C5," ")</calculatedColumnFormula>
    </tableColumn>
    <tableColumn id="5" xr3:uid="{00000000-0010-0000-2700-000005000000}" name="Place" dataDxfId="420">
      <calculatedColumnFormula>IF(C5=0," ",RANK(C5,C$5:C$24,0))</calculatedColumnFormula>
    </tableColumn>
    <tableColumn id="43" xr3:uid="{00000000-0010-0000-2700-00002B000000}" name="Points4" dataDxfId="419">
      <calculatedColumnFormula>IFERROR(IF(VLOOKUP($B5,'PW B-Calf Riding'!$B$5:$AI$24,10,FALSE)=" ",0,VLOOKUP($B5,'PW B-Calf Riding'!$B$5:$AI$24,10,FALSE)),0)+IFERROR(IF(VLOOKUP($B5,'PW B-Goats'!$B$5:$AI$26,10,FALSE)=" ",0,VLOOKUP($B5,'PW B-Goats'!$B$5:$AI$26,10,FALSE)),0)+IFERROR(IF(VLOOKUP($B5,'PW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calculatedColumnFormula>
    </tableColumn>
    <tableColumn id="6" xr3:uid="{00000000-0010-0000-2700-000006000000}" name="Points5" dataDxfId="418">
      <calculatedColumnFormula>IF(F5&gt;0,F5," ")</calculatedColumnFormula>
    </tableColumn>
    <tableColumn id="44" xr3:uid="{00000000-0010-0000-2700-00002C000000}" name="Place5" dataDxfId="417">
      <calculatedColumnFormula>IF(F5=0," ",RANK(F5,F$5:F$24,0))</calculatedColumnFormula>
    </tableColumn>
    <tableColumn id="46" xr3:uid="{00000000-0010-0000-2700-00002E000000}" name="Points43" dataDxfId="416">
      <calculatedColumnFormula>IFERROR(IF(VLOOKUP($B5,'PW B-Calf Riding'!$B$5:$AI$24,14,FALSE)=" ",0,VLOOKUP($B5,'PW B-Calf Riding'!$B$5:$AI$24,14,FALSE)),0)+IFERROR(IF(VLOOKUP($B5,'PW B-Goats'!$B$5:$AI$26,14,FALSE)=" ",0,VLOOKUP($B5,'PW B-Goats'!$B$5:$AI$26,14,FALSE)),0)+IFERROR(IF(VLOOKUP($B5,'PW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calculatedColumnFormula>
    </tableColumn>
    <tableColumn id="7" xr3:uid="{00000000-0010-0000-2700-000007000000}" name="Points432" dataDxfId="415">
      <calculatedColumnFormula>IF(I5&gt;0,I5," ")</calculatedColumnFormula>
    </tableColumn>
    <tableColumn id="47" xr3:uid="{00000000-0010-0000-2700-00002F000000}" name="Place54" dataDxfId="414">
      <calculatedColumnFormula>IF(I5=0," ",RANK(I5,I$5:I$24,0))</calculatedColumnFormula>
    </tableColumn>
    <tableColumn id="49" xr3:uid="{00000000-0010-0000-2700-000031000000}" name="Points44" dataDxfId="413">
      <calculatedColumnFormula>IFERROR(IF(VLOOKUP($B5,'PW B-Calf Riding'!$B$5:$AI$24,18,FALSE)=" ",0,VLOOKUP($B5,'PW B-Calf Riding'!$B$5:$AI$24,18,FALSE)),0)+IFERROR(IF(VLOOKUP($B5,'PW B-Goats'!$B$5:$AI$26,18,FALSE)=" ",0,VLOOKUP($B5,'PW B-Goats'!$B$5:$AI$26,18,FALSE)),0)+IFERROR(IF(VLOOKUP($B5,'PW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calculatedColumnFormula>
    </tableColumn>
    <tableColumn id="8" xr3:uid="{00000000-0010-0000-2700-000008000000}" name="Points442" dataDxfId="412">
      <calculatedColumnFormula>IF(L5&gt;0,L5," ")</calculatedColumnFormula>
    </tableColumn>
    <tableColumn id="50" xr3:uid="{00000000-0010-0000-2700-000032000000}" name="Place55" dataDxfId="411">
      <calculatedColumnFormula>IF(L5=0," ",RANK(L5,L$5:L$24,0))</calculatedColumnFormula>
    </tableColumn>
    <tableColumn id="52" xr3:uid="{00000000-0010-0000-2700-000034000000}" name="Points45" dataDxfId="410">
      <calculatedColumnFormula>IFERROR(IF(VLOOKUP($B5,'PW B-Calf Riding'!$B$5:$AI$24,22,FALSE)=" ",0,VLOOKUP($B5,'PW B-Calf Riding'!$B$5:$AI$24,22,FALSE)),0)+IFERROR(IF(VLOOKUP($B5,'PW B-Goats'!$B$5:$AI$26,22,FALSE)=" ",0,VLOOKUP($B5,'PW B-Goats'!$B$5:$AI$26,22,FALSE)),0)+IFERROR(IF(VLOOKUP($B5,'PW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calculatedColumnFormula>
    </tableColumn>
    <tableColumn id="9" xr3:uid="{00000000-0010-0000-2700-000009000000}" name="Points452" dataDxfId="409">
      <calculatedColumnFormula>IF(O5&gt;0,O5," ")</calculatedColumnFormula>
    </tableColumn>
    <tableColumn id="53" xr3:uid="{00000000-0010-0000-2700-000035000000}" name="Place56" dataDxfId="408">
      <calculatedColumnFormula>IF(O5=0," ",RANK(O5,O$5:O$24,0))</calculatedColumnFormula>
    </tableColumn>
    <tableColumn id="55" xr3:uid="{00000000-0010-0000-2700-000037000000}" name="Points46" dataDxfId="407">
      <calculatedColumnFormula>IFERROR(IF(VLOOKUP($B5,'PW B-Calf Riding'!$B$5:$AI$24,26,FALSE)=" ",0,VLOOKUP($B5,'PW B-Calf Riding'!$B$5:$AI$24,26,FALSE)),0)+IFERROR(IF(VLOOKUP($B5,'PW B-Goats'!$B$5:$AI$26,26,FALSE)=" ",0,VLOOKUP($B5,'PW B-Goats'!$B$5:$AI$26,26,FALSE)),0)+IFERROR(IF(VLOOKUP($B5,'PW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calculatedColumnFormula>
    </tableColumn>
    <tableColumn id="10" xr3:uid="{00000000-0010-0000-2700-00000A000000}" name="Points462" dataDxfId="406">
      <calculatedColumnFormula>IF(R5&gt;0,R5," ")</calculatedColumnFormula>
    </tableColumn>
    <tableColumn id="56" xr3:uid="{00000000-0010-0000-2700-000038000000}" name="Place57" dataDxfId="405">
      <calculatedColumnFormula>IF(R5=0," ",RANK(R5,R$5:R$24,0))</calculatedColumnFormula>
    </tableColumn>
    <tableColumn id="58" xr3:uid="{00000000-0010-0000-2700-00003A000000}" name="Points47" dataDxfId="404">
      <calculatedColumnFormula>IFERROR(IF(VLOOKUP($B5,'PW B-Calf Riding'!$B$5:$AI$24,30,FALSE)=" ",0,VLOOKUP($B5,'PW B-Calf Riding'!$B$5:$AI$24,30,FALSE)),0)+IFERROR(IF(VLOOKUP($B5,'PW B-Goats'!$B$5:$AI$26,30,FALSE)=" ",0,VLOOKUP($B5,'PW B-Goats'!$B$5:$AI$26,30,FALSE)),0)+IFERROR(IF(VLOOKUP($B5,'PW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calculatedColumnFormula>
    </tableColumn>
    <tableColumn id="11" xr3:uid="{00000000-0010-0000-2700-00000B000000}" name="Points472" dataDxfId="403">
      <calculatedColumnFormula>IF(U5&gt;0,U5," ")</calculatedColumnFormula>
    </tableColumn>
    <tableColumn id="59" xr3:uid="{00000000-0010-0000-2700-00003B000000}" name="Place58" dataDxfId="402">
      <calculatedColumnFormula>IF(U5=0," ",RANK(U5,U$5:U$24,0))</calculatedColumnFormula>
    </tableColumn>
    <tableColumn id="61" xr3:uid="{00000000-0010-0000-2700-00003D000000}" name="Points48" dataDxfId="401">
      <calculatedColumnFormula>IFERROR(IF(VLOOKUP($B5,'PW B-Calf Riding'!$B$5:$AI$24,34,FALSE)=" ",0,VLOOKUP($B5,'PW B-Calf Riding'!$B$5:$AI$24,34,FALSE)),0)+IFERROR(IF(VLOOKUP($B5,'PW B-Goats'!$B$5:$AI$26,34,FALSE)=" ",0,VLOOKUP($B5,'PW B-Goats'!$B$5:$AI$26,34,FALSE)),0)+IFERROR(IF(VLOOKUP($B5,'PW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calculatedColumnFormula>
    </tableColumn>
    <tableColumn id="12" xr3:uid="{00000000-0010-0000-2700-00000C000000}" name="Points49" dataDxfId="400">
      <calculatedColumnFormula>IF(X5&gt;0,X5," ")</calculatedColumnFormula>
    </tableColumn>
    <tableColumn id="62" xr3:uid="{00000000-0010-0000-2700-00003E000000}" name="Place59" dataDxfId="399">
      <calculatedColumnFormula>IF(X5=0," ",RANK(X5,X$5:X$24,0))</calculatedColumnFormula>
    </tableColumn>
    <tableColumn id="2" xr3:uid="{00000000-0010-0000-2700-000002000000}" name="Points482" dataDxfId="398">
      <calculatedColumnFormula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calculatedColumnFormula>
    </tableColumn>
    <tableColumn id="13" xr3:uid="{00000000-0010-0000-2700-00000D000000}" name="Points483" dataDxfId="397">
      <calculatedColumnFormula>IF(AA5&gt;0,AA5," ")</calculatedColumnFormula>
    </tableColumn>
    <tableColumn id="3" xr3:uid="{00000000-0010-0000-2700-000003000000}" name="Place593" dataDxfId="396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8000000}" name="Table6220273236" displayName="Table6220273236" ref="B4:AL24" totalsRowShown="0" headerRowDxfId="395" dataDxfId="394" tableBorderDxfId="393">
  <autoFilter ref="B4:AL24" xr:uid="{00000000-0009-0000-0100-000023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800-000001000000}" name="Name" dataDxfId="392"/>
    <tableColumn id="37" xr3:uid="{00000000-0010-0000-2800-000025000000}" name="Non-Member" dataDxfId="391"/>
    <tableColumn id="2" xr3:uid="{00000000-0010-0000-2800-000002000000}" name="Time/Score" dataDxfId="390"/>
    <tableColumn id="3" xr3:uid="{00000000-0010-0000-2800-000003000000}" name="Column2" dataDxfId="389">
      <calculatedColumnFormula>IF(D5=0," ",_xlfn.RANK.AVG(D5,D$5:D$24,0))</calculatedColumnFormula>
    </tableColumn>
    <tableColumn id="4" xr3:uid="{00000000-0010-0000-2800-000004000000}" name="Place" dataDxfId="388">
      <calculatedColumnFormula>IF(D5=0," ",IF((RANK(D5,D$5:D$24,0)&gt;6)," ",RANK(D5,D$5:D$24,0)))</calculatedColumnFormula>
    </tableColumn>
    <tableColumn id="5" xr3:uid="{00000000-0010-0000-2800-000005000000}" name="Points" dataDxfId="387">
      <calculatedColumnFormula>IF(Table6220273236[[#This Row],[Non-Member]]="X"," ",IF(F5=" "," ",IFERROR(VLOOKUP(E5,Points!$A$2:$B$14,2,FALSE)," ")))</calculatedColumnFormula>
    </tableColumn>
    <tableColumn id="6" xr3:uid="{00000000-0010-0000-2800-000006000000}" name="Time/Score3" dataDxfId="386"/>
    <tableColumn id="7" xr3:uid="{00000000-0010-0000-2800-000007000000}" name="Time/Score4" dataDxfId="385">
      <calculatedColumnFormula>IF(H5=0," ",_xlfn.RANK.AVG(H5,H$5:H$24,0))</calculatedColumnFormula>
    </tableColumn>
    <tableColumn id="8" xr3:uid="{00000000-0010-0000-2800-000008000000}" name="Place4" dataDxfId="384">
      <calculatedColumnFormula>IF(H5=0," ",IF((RANK(H5,H$5:H$24,0)&gt;6)," ",RANK(H5,H$5:H$24,0)))</calculatedColumnFormula>
    </tableColumn>
    <tableColumn id="9" xr3:uid="{00000000-0010-0000-2800-000009000000}" name="Points5" dataDxfId="383">
      <calculatedColumnFormula>IF(Table6220273236[[#This Row],[Non-Member]]="X"," ",IF(J5=" "," ",IFERROR(VLOOKUP(I5,Points!$A$2:$B$14,2,FALSE)," ")))</calculatedColumnFormula>
    </tableColumn>
    <tableColumn id="10" xr3:uid="{00000000-0010-0000-2800-00000A000000}" name="Time/Score6" dataDxfId="382"/>
    <tableColumn id="11" xr3:uid="{00000000-0010-0000-2800-00000B000000}" name="Time/Score7" dataDxfId="381">
      <calculatedColumnFormula>IF(L5=0," ",_xlfn.RANK.AVG(L5,L$5:L$24,0))</calculatedColumnFormula>
    </tableColumn>
    <tableColumn id="12" xr3:uid="{00000000-0010-0000-2800-00000C000000}" name="Place7" dataDxfId="380">
      <calculatedColumnFormula>IF(L5=0," ",IF((RANK(L5,L$5:L$24,0)&gt;6)," ",RANK(L5,L$5:L$24,0)))</calculatedColumnFormula>
    </tableColumn>
    <tableColumn id="13" xr3:uid="{00000000-0010-0000-2800-00000D000000}" name="Points8" dataDxfId="379">
      <calculatedColumnFormula>IF(Table6220273236[[#This Row],[Non-Member]]="X"," ",IF(N5=" "," ",IFERROR(VLOOKUP(M5,Points!$A$2:$B$14,2,FALSE)," ")))</calculatedColumnFormula>
    </tableColumn>
    <tableColumn id="14" xr3:uid="{00000000-0010-0000-2800-00000E000000}" name="Time/Score9" dataDxfId="378"/>
    <tableColumn id="15" xr3:uid="{00000000-0010-0000-2800-00000F000000}" name="Time/Score10" dataDxfId="377">
      <calculatedColumnFormula>IF(P5=0," ",_xlfn.RANK.AVG(P5,P$5:P$24,0))</calculatedColumnFormula>
    </tableColumn>
    <tableColumn id="16" xr3:uid="{00000000-0010-0000-2800-000010000000}" name="Place10" dataDxfId="376">
      <calculatedColumnFormula>IF(P5=0," ",IF((RANK(P5,P$5:P$24,0)&gt;6)," ",RANK(P5,P$5:P$24,0)))</calculatedColumnFormula>
    </tableColumn>
    <tableColumn id="17" xr3:uid="{00000000-0010-0000-2800-000011000000}" name="Points11" dataDxfId="375">
      <calculatedColumnFormula>IF(Table6220273236[[#This Row],[Non-Member]]="X"," ",IF(R5=" "," ",IFERROR(VLOOKUP(Q5,Points!$A$2:$B$14,2,FALSE)," ")))</calculatedColumnFormula>
    </tableColumn>
    <tableColumn id="18" xr3:uid="{00000000-0010-0000-2800-000012000000}" name="Time/Score12" dataDxfId="374"/>
    <tableColumn id="19" xr3:uid="{00000000-0010-0000-2800-000013000000}" name="Time/Score13" dataDxfId="373">
      <calculatedColumnFormula>IF(T5=0," ",_xlfn.RANK.AVG(T5,T$5:T$24,0))</calculatedColumnFormula>
    </tableColumn>
    <tableColumn id="20" xr3:uid="{00000000-0010-0000-2800-000014000000}" name="Place13" dataDxfId="372">
      <calculatedColumnFormula>IF(T5=0," ",IF((RANK(T5,T$5:T$24,0)&gt;6)," ",RANK(T5,T$5:T$24,0)))</calculatedColumnFormula>
    </tableColumn>
    <tableColumn id="21" xr3:uid="{00000000-0010-0000-2800-000015000000}" name="Points14" dataDxfId="371">
      <calculatedColumnFormula>IF(Table6220273236[[#This Row],[Non-Member]]="X"," ",IF(V5=" "," ",IFERROR(VLOOKUP(U5,Points!$A$2:$B$14,2,FALSE)," ")))</calculatedColumnFormula>
    </tableColumn>
    <tableColumn id="22" xr3:uid="{00000000-0010-0000-2800-000016000000}" name="Time/Score15" dataDxfId="370"/>
    <tableColumn id="23" xr3:uid="{00000000-0010-0000-2800-000017000000}" name="Time/Score16" dataDxfId="369">
      <calculatedColumnFormula>IF(X5=0," ",_xlfn.RANK.AVG(X5,X$5:X$24,0))</calculatedColumnFormula>
    </tableColumn>
    <tableColumn id="24" xr3:uid="{00000000-0010-0000-2800-000018000000}" name="Place16" dataDxfId="368">
      <calculatedColumnFormula>IF(X5=0," ",IF((RANK(X5,X$5:X$24,0)&gt;6)," ",RANK(X5,X$5:X$24,0)))</calculatedColumnFormula>
    </tableColumn>
    <tableColumn id="25" xr3:uid="{00000000-0010-0000-2800-000019000000}" name="Points17" dataDxfId="367">
      <calculatedColumnFormula>IF(Table6220273236[[#This Row],[Non-Member]]="X"," ",IF(Z5=" "," ",IFERROR(VLOOKUP(Y5,Points!$A$2:$B$14,2,FALSE)," ")))</calculatedColumnFormula>
    </tableColumn>
    <tableColumn id="26" xr3:uid="{00000000-0010-0000-2800-00001A000000}" name="Time/Score18" dataDxfId="366"/>
    <tableColumn id="27" xr3:uid="{00000000-0010-0000-2800-00001B000000}" name="Time/Score19" dataDxfId="365">
      <calculatedColumnFormula>IF(AB5=0," ",_xlfn.RANK.AVG(AB5,IF(AB$5:AB$24&gt;0,AB$5:AB$24,0),0))</calculatedColumnFormula>
    </tableColumn>
    <tableColumn id="28" xr3:uid="{00000000-0010-0000-2800-00001C000000}" name="Place19" dataDxfId="364">
      <calculatedColumnFormula>IFERROR(IF(RANK(AB5,AB$5:AB$24,0)&gt;6," ",(IF(AB5,RANK(AB5,AB$5:AB$24,0)," ")))," ")</calculatedColumnFormula>
    </tableColumn>
    <tableColumn id="29" xr3:uid="{00000000-0010-0000-2800-00001D000000}" name="Points20" dataDxfId="363">
      <calculatedColumnFormula>IF(Table6220273236[[#This Row],[Non-Member]]="X"," ",IF(AD5=" "," ",IFERROR(VLOOKUP(AC5,Points!$A$2:$B$14,2,FALSE)," ")))</calculatedColumnFormula>
    </tableColumn>
    <tableColumn id="30" xr3:uid="{00000000-0010-0000-2800-00001E000000}" name="Time/Score21" dataDxfId="362"/>
    <tableColumn id="31" xr3:uid="{00000000-0010-0000-2800-00001F000000}" name="Time/Score22" dataDxfId="361">
      <calculatedColumnFormula>IF(AF5=0," ",_xlfn.RANK.AVG(AF5,IF(AF$5:AF$24&gt;0,AF$5:AF$24,0),0))</calculatedColumnFormula>
    </tableColumn>
    <tableColumn id="32" xr3:uid="{00000000-0010-0000-2800-000020000000}" name="Place22" dataDxfId="360">
      <calculatedColumnFormula>IFERROR(IF(RANK(AF5,AF$5:AF$24,0)&gt;6," ",(IF(AF5,RANK(AF5,AF$5:AF$24,0)," ")))," ")</calculatedColumnFormula>
    </tableColumn>
    <tableColumn id="33" xr3:uid="{00000000-0010-0000-2800-000021000000}" name="Points23" dataDxfId="359">
      <calculatedColumnFormula>IF(Table6220273236[[#This Row],[Non-Member]]="X"," ",IF(AH5=" "," ",IFERROR(VLOOKUP(AG5,Points!$A$2:$B$14,2,FALSE)," ")))</calculatedColumnFormula>
    </tableColumn>
    <tableColumn id="34" xr3:uid="{00000000-0010-0000-2800-000022000000}" name="Points24" dataDxfId="358">
      <calculatedColumnFormula>IF(Table6220273236[[#This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800-000023000000}" name="Points25" dataDxfId="357" dataCellStyle="Comma">
      <calculatedColumnFormula>IF(AJ5=0," ",AJ5)</calculatedColumnFormula>
    </tableColumn>
    <tableColumn id="36" xr3:uid="{00000000-0010-0000-2800-000024000000}" name="Place26" dataDxfId="35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9000000}" name="Table622027323337" displayName="Table622027323337" ref="B4:AL24" totalsRowShown="0" headerRowDxfId="355" dataDxfId="354" tableBorderDxfId="353">
  <autoFilter ref="B4:AL24" xr:uid="{00000000-0009-0000-0100-00002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900-000001000000}" name="Name" dataDxfId="352"/>
    <tableColumn id="37" xr3:uid="{00000000-0010-0000-2900-000025000000}" name="Non-Member" dataDxfId="351"/>
    <tableColumn id="2" xr3:uid="{00000000-0010-0000-2900-000002000000}" name="Time/Score" dataDxfId="350" dataCellStyle="Comma"/>
    <tableColumn id="3" xr3:uid="{00000000-0010-0000-2900-000003000000}" name="Column2" dataDxfId="349">
      <calculatedColumnFormula>IF(D5=0," ",_xlfn.RANK.AVG(D5,D$5:D$24,1)-COUNTIF(D$5:D$24,0))</calculatedColumnFormula>
    </tableColumn>
    <tableColumn id="4" xr3:uid="{00000000-0010-0000-2900-000004000000}" name="Place" dataDxfId="348">
      <calculatedColumnFormula>IF(D5=0," ",IF((RANK(D5,D$5:D$24,1)-COUNTIF(D$5:D$24,0)&gt;6)," ",RANK(D5,D$5:D$24,1)-COUNTIF(D$5:D$24,0)))</calculatedColumnFormula>
    </tableColumn>
    <tableColumn id="5" xr3:uid="{00000000-0010-0000-2900-000005000000}" name="Points" dataDxfId="347">
      <calculatedColumnFormula>IF(Table622027323337[[#This Row],[Non-Member]]="X"," ",IF(F5=" "," ",IFERROR(VLOOKUP(E5,Points!$A$2:$B$14,2,FALSE)," ")))</calculatedColumnFormula>
    </tableColumn>
    <tableColumn id="6" xr3:uid="{00000000-0010-0000-2900-000006000000}" name="Time/Score3" dataDxfId="346" dataCellStyle="Comma"/>
    <tableColumn id="7" xr3:uid="{00000000-0010-0000-2900-000007000000}" name="Time/Score4" dataDxfId="345">
      <calculatedColumnFormula>IF(H5=0," ",_xlfn.RANK.AVG(H5,H$5:H$24,1)-COUNTIF(H$5:H$24,0))</calculatedColumnFormula>
    </tableColumn>
    <tableColumn id="8" xr3:uid="{00000000-0010-0000-2900-000008000000}" name="Place4" dataDxfId="344">
      <calculatedColumnFormula>IF(H5=0," ",IF((RANK(H5,H$5:H$24,1)-COUNTIF(H$5:H$24,0)&gt;6)," ",RANK(H5,H$5:H$24,1)-COUNTIF(H$5:H$24,0)))</calculatedColumnFormula>
    </tableColumn>
    <tableColumn id="9" xr3:uid="{00000000-0010-0000-2900-000009000000}" name="Points5" dataDxfId="343">
      <calculatedColumnFormula>IF(Table622027323337[[#This Row],[Non-Member]]="X"," ",IF(J5=" "," ",IFERROR(VLOOKUP(I5,Points!$A$2:$B$14,2,FALSE)," ")))</calculatedColumnFormula>
    </tableColumn>
    <tableColumn id="10" xr3:uid="{00000000-0010-0000-2900-00000A000000}" name="Time/Score6" dataDxfId="342" dataCellStyle="Comma"/>
    <tableColumn id="11" xr3:uid="{00000000-0010-0000-2900-00000B000000}" name="Time/Score7" dataDxfId="341">
      <calculatedColumnFormula>IF(L5=0," ",_xlfn.RANK.AVG(L5,L$5:L$24,1)-COUNTIF(L$5:L$24,0))</calculatedColumnFormula>
    </tableColumn>
    <tableColumn id="12" xr3:uid="{00000000-0010-0000-2900-00000C000000}" name="Place7" dataDxfId="340">
      <calculatedColumnFormula>IF(L5=0," ",IF((RANK(L5,L$5:L$24,1)-COUNTIF(L$5:L$24,0)&gt;6)," ",RANK(L5,L$5:L$24,1)-COUNTIF(L$5:L$24,0)))</calculatedColumnFormula>
    </tableColumn>
    <tableColumn id="13" xr3:uid="{00000000-0010-0000-2900-00000D000000}" name="Points8" dataDxfId="339">
      <calculatedColumnFormula>IF(Table622027323337[[#This Row],[Non-Member]]="X"," ",IF(N5=" "," ",IFERROR(VLOOKUP(M5,Points!$A$2:$B$14,2,FALSE)," ")))</calculatedColumnFormula>
    </tableColumn>
    <tableColumn id="14" xr3:uid="{00000000-0010-0000-2900-00000E000000}" name="Time/Score9" dataDxfId="338" dataCellStyle="Comma"/>
    <tableColumn id="15" xr3:uid="{00000000-0010-0000-2900-00000F000000}" name="Time/Score10" dataDxfId="337">
      <calculatedColumnFormula>IF(P5=0," ",_xlfn.RANK.AVG(P5,P$5:P$24,1)-COUNTIF(P$5:P$24,0))</calculatedColumnFormula>
    </tableColumn>
    <tableColumn id="16" xr3:uid="{00000000-0010-0000-2900-000010000000}" name="Place10" dataDxfId="336">
      <calculatedColumnFormula>IF(P5=0," ",IF((RANK(P5,P$5:P$24,1)-COUNTIF(P$5:P$24,0)&gt;6)," ",RANK(P5,P$5:P$24,1)-COUNTIF(P$5:P$24,0)))</calculatedColumnFormula>
    </tableColumn>
    <tableColumn id="17" xr3:uid="{00000000-0010-0000-2900-000011000000}" name="Points11" dataDxfId="335">
      <calculatedColumnFormula>IF(Table622027323337[[#This Row],[Non-Member]]="X"," ",IF(R5=" "," ",IFERROR(VLOOKUP(Q5,Points!$A$2:$B$14,2,FALSE)," ")))</calculatedColumnFormula>
    </tableColumn>
    <tableColumn id="18" xr3:uid="{00000000-0010-0000-2900-000012000000}" name="Time/Score12" dataDxfId="334" dataCellStyle="Comma"/>
    <tableColumn id="19" xr3:uid="{00000000-0010-0000-2900-000013000000}" name="Time/Score13" dataDxfId="333">
      <calculatedColumnFormula>IF(T5=0," ",_xlfn.RANK.AVG(T5,T$5:T$24,1)-COUNTIF(T$5:T$24,0))</calculatedColumnFormula>
    </tableColumn>
    <tableColumn id="20" xr3:uid="{00000000-0010-0000-2900-000014000000}" name="Place13" dataDxfId="332">
      <calculatedColumnFormula>IF(T5=0," ",IF((RANK(T5,T$5:T$24,1)-COUNTIF(T$5:T$24,0)&gt;6)," ",RANK(T5,T$5:T$24,1)-COUNTIF(T$5:T$24,0)))</calculatedColumnFormula>
    </tableColumn>
    <tableColumn id="21" xr3:uid="{00000000-0010-0000-2900-000015000000}" name="Points14" dataDxfId="331">
      <calculatedColumnFormula>IF(Table622027323337[[#This Row],[Non-Member]]="X"," ",IF(V5=" "," ",IFERROR(VLOOKUP(U5,Points!$A$2:$B$14,2,FALSE)," ")))</calculatedColumnFormula>
    </tableColumn>
    <tableColumn id="22" xr3:uid="{00000000-0010-0000-2900-000016000000}" name="Time/Score15" dataDxfId="330" dataCellStyle="Comma"/>
    <tableColumn id="23" xr3:uid="{00000000-0010-0000-2900-000017000000}" name="Time/Score16" dataDxfId="329">
      <calculatedColumnFormula>IF(X5=0," ",_xlfn.RANK.AVG(X5,X$5:X$24,1)-COUNTIF(X$5:X$24,0))</calculatedColumnFormula>
    </tableColumn>
    <tableColumn id="24" xr3:uid="{00000000-0010-0000-2900-000018000000}" name="Place16" dataDxfId="328">
      <calculatedColumnFormula>IF(X5=0," ",IF((RANK(X5,X$5:X$24,1)-COUNTIF(X$5:X$24,0)&gt;6)," ",RANK(X5,X$5:X$24,1)-COUNTIF(X$5:X$24,0)))</calculatedColumnFormula>
    </tableColumn>
    <tableColumn id="25" xr3:uid="{00000000-0010-0000-2900-000019000000}" name="Points17" dataDxfId="327">
      <calculatedColumnFormula>IF(Table622027323337[[#This Row],[Non-Member]]="X"," ",IF(Z5=" "," ",IFERROR(VLOOKUP(Y5,Points!$A$2:$B$14,2,FALSE)," ")))</calculatedColumnFormula>
    </tableColumn>
    <tableColumn id="26" xr3:uid="{00000000-0010-0000-2900-00001A000000}" name="Time/Score18" dataDxfId="326" dataCellStyle="Comma"/>
    <tableColumn id="27" xr3:uid="{00000000-0010-0000-2900-00001B000000}" name="Time/Score19" dataDxfId="325">
      <calculatedColumnFormula>IF(AB5=0," ",_xlfn.RANK.AVG(AB5,AB$5:AB$24,1)-COUNTIF(AB$5:AB$24,0))</calculatedColumnFormula>
    </tableColumn>
    <tableColumn id="28" xr3:uid="{00000000-0010-0000-2900-00001C000000}" name="Place19" dataDxfId="324">
      <calculatedColumnFormula>IF(AB5=0," ",IF((RANK(AB5,AB$5:AB$24,1)-COUNTIF(AB$5:AB$24,0)&gt;6)," ",RANK(AB5,AB$5:AB$24,1)-COUNTIF(AB$5:AB$24,0)))</calculatedColumnFormula>
    </tableColumn>
    <tableColumn id="29" xr3:uid="{00000000-0010-0000-2900-00001D000000}" name="Points20" dataDxfId="323">
      <calculatedColumnFormula>IF(Table622027323337[[#This Row],[Non-Member]]="X"," ",IF(AD5=" "," ",IFERROR(VLOOKUP(AC5,Points!$A$2:$B$14,2,FALSE)," ")))</calculatedColumnFormula>
    </tableColumn>
    <tableColumn id="30" xr3:uid="{00000000-0010-0000-2900-00001E000000}" name="Time/Score21" dataDxfId="322" dataCellStyle="Comma">
      <calculatedColumnFormula>IF(OR(X5=0,AB5=0)," ",X5+AB5)</calculatedColumnFormula>
    </tableColumn>
    <tableColumn id="31" xr3:uid="{00000000-0010-0000-2900-00001F000000}" name="Time/Score22" dataDxfId="321">
      <calculatedColumnFormula>IF(OR(AF5=0,AF5=" ")," ",_xlfn.RANK.AVG(AF5,AF$5:AF$24,1)-COUNTIF(AF$5:AF$24,0))</calculatedColumnFormula>
    </tableColumn>
    <tableColumn id="32" xr3:uid="{00000000-0010-0000-2900-000020000000}" name="Place22" dataDxfId="320">
      <calculatedColumnFormula>IF(OR(AF5=0,AF5=" ")," ",IF((RANK(AF5,AF$5:AF$24,1)-COUNTIF(AF$5:AF$24,0)&gt;6)," ",RANK(AF5,AF$5:AF$24,1)-COUNTIF(AF$5:AF$24,0)))</calculatedColumnFormula>
    </tableColumn>
    <tableColumn id="33" xr3:uid="{00000000-0010-0000-2900-000021000000}" name="Points23" dataDxfId="319">
      <calculatedColumnFormula>IF(Table622027323337[[#This Row],[Non-Member]]="X"," ",IF(AH5=" "," ",IFERROR(VLOOKUP(AG5,Points!$A$2:$B$14,2,FALSE)," ")))</calculatedColumnFormula>
    </tableColumn>
    <tableColumn id="34" xr3:uid="{00000000-0010-0000-2900-000022000000}" name="Points24" dataDxfId="318">
      <calculatedColumnFormula>IF(Table622027323337[[#This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900-000023000000}" name="Points25" dataDxfId="317" dataCellStyle="Comma">
      <calculatedColumnFormula>IF(AJ5=0," ",AJ5)</calculatedColumnFormula>
    </tableColumn>
    <tableColumn id="36" xr3:uid="{00000000-0010-0000-2900-000024000000}" name="Place26" dataDxfId="31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A000000}" name="Table62202732333738" displayName="Table62202732333738" ref="B4:AL24" totalsRowShown="0" headerRowDxfId="315" dataDxfId="314" tableBorderDxfId="313">
  <autoFilter ref="B4:AL24" xr:uid="{00000000-0009-0000-0100-00002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A00-000001000000}" name="Name" dataDxfId="312"/>
    <tableColumn id="37" xr3:uid="{00000000-0010-0000-2A00-000025000000}" name="Non-Member" dataDxfId="311"/>
    <tableColumn id="2" xr3:uid="{00000000-0010-0000-2A00-000002000000}" name="Time/Score" dataDxfId="310" dataCellStyle="Comma"/>
    <tableColumn id="3" xr3:uid="{00000000-0010-0000-2A00-000003000000}" name="Column2" dataDxfId="309">
      <calculatedColumnFormula>IF(D5=0," ",_xlfn.RANK.AVG(D5,D$5:D$24,1)-COUNTIF(D$5:D$24,0))</calculatedColumnFormula>
    </tableColumn>
    <tableColumn id="4" xr3:uid="{00000000-0010-0000-2A00-000004000000}" name="Place" dataDxfId="308">
      <calculatedColumnFormula>IF(D5=0," ",IF((RANK(D5,D$5:D$24,1)-COUNTIF(D$5:D$24,0)&gt;6)," ",RANK(D5,D$5:D$24,1)-COUNTIF(D$5:D$24,0)))</calculatedColumnFormula>
    </tableColumn>
    <tableColumn id="5" xr3:uid="{00000000-0010-0000-2A00-000005000000}" name="Points" dataDxfId="307">
      <calculatedColumnFormula>IF(Table62202732333738[[#This Row],[Non-Member]]="X"," ",IF(F5=" "," ",IFERROR(VLOOKUP(E5,Points!$A$2:$B$14,2,FALSE)," ")))</calculatedColumnFormula>
    </tableColumn>
    <tableColumn id="6" xr3:uid="{00000000-0010-0000-2A00-000006000000}" name="Time/Score3" dataDxfId="306" dataCellStyle="Comma"/>
    <tableColumn id="7" xr3:uid="{00000000-0010-0000-2A00-000007000000}" name="Time/Score4" dataDxfId="305">
      <calculatedColumnFormula>IF(H5=0," ",_xlfn.RANK.AVG(H5,H$5:H$24,1)-COUNTIF(H$5:H$24,0))</calculatedColumnFormula>
    </tableColumn>
    <tableColumn id="8" xr3:uid="{00000000-0010-0000-2A00-000008000000}" name="Place4" dataDxfId="304">
      <calculatedColumnFormula>IF(H5=0," ",IF((RANK(H5,H$5:H$24,1)-COUNTIF(H$5:H$24,0)&gt;6)," ",RANK(H5,H$5:H$24,1)-COUNTIF(H$5:H$24,0)))</calculatedColumnFormula>
    </tableColumn>
    <tableColumn id="9" xr3:uid="{00000000-0010-0000-2A00-000009000000}" name="Points5" dataDxfId="303">
      <calculatedColumnFormula>IF(Table62202732333738[[#This Row],[Non-Member]]="X"," ",IF(J5=" "," ",IFERROR(VLOOKUP(I5,Points!$A$2:$B$14,2,FALSE)," ")))</calculatedColumnFormula>
    </tableColumn>
    <tableColumn id="10" xr3:uid="{00000000-0010-0000-2A00-00000A000000}" name="Time/Score6" dataDxfId="302" dataCellStyle="Comma"/>
    <tableColumn id="11" xr3:uid="{00000000-0010-0000-2A00-00000B000000}" name="Time/Score7" dataDxfId="301">
      <calculatedColumnFormula>IF(L5=0," ",_xlfn.RANK.AVG(L5,L$5:L$24,1)-COUNTIF(L$5:L$24,0))</calculatedColumnFormula>
    </tableColumn>
    <tableColumn id="12" xr3:uid="{00000000-0010-0000-2A00-00000C000000}" name="Place7" dataDxfId="300">
      <calculatedColumnFormula>IF(L5=0," ",IF((RANK(L5,L$5:L$24,1)-COUNTIF(L$5:L$24,0)&gt;6)," ",RANK(L5,L$5:L$24,1)-COUNTIF(L$5:L$24,0)))</calculatedColumnFormula>
    </tableColumn>
    <tableColumn id="13" xr3:uid="{00000000-0010-0000-2A00-00000D000000}" name="Points8" dataDxfId="299">
      <calculatedColumnFormula>IF(Table62202732333738[[#This Row],[Non-Member]]="X"," ",IF(N5=" "," ",IFERROR(VLOOKUP(M5,Points!$A$2:$B$14,2,FALSE)," ")))</calculatedColumnFormula>
    </tableColumn>
    <tableColumn id="14" xr3:uid="{00000000-0010-0000-2A00-00000E000000}" name="Time/Score9" dataDxfId="298" dataCellStyle="Comma"/>
    <tableColumn id="15" xr3:uid="{00000000-0010-0000-2A00-00000F000000}" name="Time/Score10" dataDxfId="297">
      <calculatedColumnFormula>IF(P5=0," ",_xlfn.RANK.AVG(P5,P$5:P$24,1)-COUNTIF(P$5:P$24,0))</calculatedColumnFormula>
    </tableColumn>
    <tableColumn id="16" xr3:uid="{00000000-0010-0000-2A00-000010000000}" name="Place10" dataDxfId="296">
      <calculatedColumnFormula>IF(P5=0," ",IF((RANK(P5,P$5:P$24,1)-COUNTIF(P$5:P$24,0)&gt;6)," ",RANK(P5,P$5:P$24,1)-COUNTIF(P$5:P$24,0)))</calculatedColumnFormula>
    </tableColumn>
    <tableColumn id="17" xr3:uid="{00000000-0010-0000-2A00-000011000000}" name="Points11" dataDxfId="295">
      <calculatedColumnFormula>IF(Table62202732333738[[#This Row],[Non-Member]]="X"," ",IF(R5=" "," ",IFERROR(VLOOKUP(Q5,Points!$A$2:$B$14,2,FALSE)," ")))</calculatedColumnFormula>
    </tableColumn>
    <tableColumn id="18" xr3:uid="{00000000-0010-0000-2A00-000012000000}" name="Time/Score12" dataDxfId="294" dataCellStyle="Comma"/>
    <tableColumn id="19" xr3:uid="{00000000-0010-0000-2A00-000013000000}" name="Time/Score13" dataDxfId="293">
      <calculatedColumnFormula>IF(T5=0," ",_xlfn.RANK.AVG(T5,T$5:T$24,1)-COUNTIF(T$5:T$24,0))</calculatedColumnFormula>
    </tableColumn>
    <tableColumn id="20" xr3:uid="{00000000-0010-0000-2A00-000014000000}" name="Place13" dataDxfId="292">
      <calculatedColumnFormula>IF(T5=0," ",IF((RANK(T5,T$5:T$24,1)-COUNTIF(T$5:T$24,0)&gt;6)," ",RANK(T5,T$5:T$24,1)-COUNTIF(T$5:T$24,0)))</calculatedColumnFormula>
    </tableColumn>
    <tableColumn id="21" xr3:uid="{00000000-0010-0000-2A00-000015000000}" name="Points14" dataDxfId="291">
      <calculatedColumnFormula>IF(Table62202732333738[[#This Row],[Non-Member]]="X"," ",IF(V5=" "," ",IFERROR(VLOOKUP(U5,Points!$A$2:$B$14,2,FALSE)," ")))</calculatedColumnFormula>
    </tableColumn>
    <tableColumn id="22" xr3:uid="{00000000-0010-0000-2A00-000016000000}" name="Time/Score15" dataDxfId="290" dataCellStyle="Comma"/>
    <tableColumn id="23" xr3:uid="{00000000-0010-0000-2A00-000017000000}" name="Time/Score16" dataDxfId="289">
      <calculatedColumnFormula>IF(X5=0," ",_xlfn.RANK.AVG(X5,X$5:X$24,1)-COUNTIF(X$5:X$24,0))</calculatedColumnFormula>
    </tableColumn>
    <tableColumn id="24" xr3:uid="{00000000-0010-0000-2A00-000018000000}" name="Place16" dataDxfId="288">
      <calculatedColumnFormula>IF(X5=0," ",IF((RANK(X5,X$5:X$24,1)-COUNTIF(X$5:X$24,0)&gt;6)," ",RANK(X5,X$5:X$24,1)-COUNTIF(X$5:X$24,0)))</calculatedColumnFormula>
    </tableColumn>
    <tableColumn id="25" xr3:uid="{00000000-0010-0000-2A00-000019000000}" name="Points17" dataDxfId="287">
      <calculatedColumnFormula>IF(Table62202732333738[[#This Row],[Non-Member]]="X"," ",IF(Z5=" "," ",IFERROR(VLOOKUP(Y5,Points!$A$2:$B$14,2,FALSE)," ")))</calculatedColumnFormula>
    </tableColumn>
    <tableColumn id="26" xr3:uid="{00000000-0010-0000-2A00-00001A000000}" name="Time/Score18" dataDxfId="286" dataCellStyle="Comma"/>
    <tableColumn id="27" xr3:uid="{00000000-0010-0000-2A00-00001B000000}" name="Time/Score19" dataDxfId="285">
      <calculatedColumnFormula>IF(AB5=0," ",_xlfn.RANK.AVG(AB5,AB$5:AB$24,1)-COUNTIF(AB$5:AB$24,0))</calculatedColumnFormula>
    </tableColumn>
    <tableColumn id="28" xr3:uid="{00000000-0010-0000-2A00-00001C000000}" name="Place19" dataDxfId="284">
      <calculatedColumnFormula>IF(AB5=0," ",IF((RANK(AB5,AB$5:AB$24,1)-COUNTIF(AB$5:AB$24,0)&gt;6)," ",RANK(AB5,AB$5:AB$24,1)-COUNTIF(AB$5:AB$24,0)))</calculatedColumnFormula>
    </tableColumn>
    <tableColumn id="29" xr3:uid="{00000000-0010-0000-2A00-00001D000000}" name="Points20" dataDxfId="283">
      <calculatedColumnFormula>IF(Table62202732333738[[#This Row],[Non-Member]]="X"," ",IF(AD5=" "," ",IFERROR(VLOOKUP(AC5,Points!$A$2:$B$14,2,FALSE)," ")))</calculatedColumnFormula>
    </tableColumn>
    <tableColumn id="30" xr3:uid="{00000000-0010-0000-2A00-00001E000000}" name="Time/Score21" dataDxfId="282" dataCellStyle="Comma">
      <calculatedColumnFormula>IF(OR(X5=0,AB5=0)," ",X5+AB5)</calculatedColumnFormula>
    </tableColumn>
    <tableColumn id="31" xr3:uid="{00000000-0010-0000-2A00-00001F000000}" name="Time/Score22" dataDxfId="281">
      <calculatedColumnFormula>IF(OR(AF5=0,AF5=" ")," ",_xlfn.RANK.AVG(AF5,AF$5:AF$24,1)-COUNTIF(AF$5:AF$24,0))</calculatedColumnFormula>
    </tableColumn>
    <tableColumn id="32" xr3:uid="{00000000-0010-0000-2A00-000020000000}" name="Place22" dataDxfId="280">
      <calculatedColumnFormula>IF(OR(AF5=0,AF5=" ")," ",IF((RANK(AF5,AF$5:AF$24,1)-COUNTIF(AF$5:AF$24,0)&gt;6)," ",RANK(AF5,AF$5:AF$24,1)-COUNTIF(AF$5:AF$24,0)))</calculatedColumnFormula>
    </tableColumn>
    <tableColumn id="33" xr3:uid="{00000000-0010-0000-2A00-000021000000}" name="Points23" dataDxfId="279">
      <calculatedColumnFormula>IF(Table62202732333738[[#This Row],[Non-Member]]="X"," ",IF(AH5=" "," ",IFERROR(VLOOKUP(AG5,Points!$A$2:$B$14,2,FALSE)," ")))</calculatedColumnFormula>
    </tableColumn>
    <tableColumn id="34" xr3:uid="{00000000-0010-0000-2A00-000022000000}" name="Points24" dataDxfId="278">
      <calculatedColumnFormula>IF(Table62202732333738[[#This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A00-000023000000}" name="Points25" dataDxfId="277" dataCellStyle="Comma">
      <calculatedColumnFormula>IF(AJ5=0," ",AJ5)</calculatedColumnFormula>
    </tableColumn>
    <tableColumn id="36" xr3:uid="{00000000-0010-0000-2A00-000024000000}" name="Place26" dataDxfId="27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B000000}" name="Table6220273233373839" displayName="Table6220273233373839" ref="B4:AL24" totalsRowShown="0" headerRowDxfId="275" dataDxfId="274" tableBorderDxfId="273">
  <autoFilter ref="B4:AL24" xr:uid="{00000000-0009-0000-0100-000026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B00-000001000000}" name="Name" dataDxfId="272"/>
    <tableColumn id="37" xr3:uid="{00000000-0010-0000-2B00-000025000000}" name="Non-Member" dataDxfId="271"/>
    <tableColumn id="2" xr3:uid="{00000000-0010-0000-2B00-000002000000}" name="Time/Score" dataDxfId="270" dataCellStyle="Comma"/>
    <tableColumn id="3" xr3:uid="{00000000-0010-0000-2B00-000003000000}" name="Column2" dataDxfId="269">
      <calculatedColumnFormula>IF(D5=0," ",_xlfn.RANK.AVG(D5,D$5:D$24,1)-COUNTIF(D$5:D$24,0))</calculatedColumnFormula>
    </tableColumn>
    <tableColumn id="4" xr3:uid="{00000000-0010-0000-2B00-000004000000}" name="Place" dataDxfId="268">
      <calculatedColumnFormula>IF(D5=0," ",IF((RANK(D5,D$5:D$24,1)-COUNTIF(D$5:D$24,0)&gt;6)," ",RANK(D5,D$5:D$24,1)-COUNTIF(D$5:D$24,0)))</calculatedColumnFormula>
    </tableColumn>
    <tableColumn id="5" xr3:uid="{00000000-0010-0000-2B00-000005000000}" name="Points" dataDxfId="267">
      <calculatedColumnFormula>IF(Table6220273233373839[[#This Row],[Non-Member]]="X"," ",IF(F5=" "," ",IFERROR(VLOOKUP(E5,Points!$A$2:$B$14,2,FALSE)," ")))</calculatedColumnFormula>
    </tableColumn>
    <tableColumn id="6" xr3:uid="{00000000-0010-0000-2B00-000006000000}" name="Time/Score3" dataDxfId="266" dataCellStyle="Comma"/>
    <tableColumn id="7" xr3:uid="{00000000-0010-0000-2B00-000007000000}" name="Time/Score4" dataDxfId="265">
      <calculatedColumnFormula>IF(H5=0," ",_xlfn.RANK.AVG(H5,H$5:H$24,1)-COUNTIF(H$5:H$24,0))</calculatedColumnFormula>
    </tableColumn>
    <tableColumn id="8" xr3:uid="{00000000-0010-0000-2B00-000008000000}" name="Place4" dataDxfId="264">
      <calculatedColumnFormula>IF(H5=0," ",IF((RANK(H5,H$5:H$24,1)-COUNTIF(H$5:H$24,0)&gt;6)," ",RANK(H5,H$5:H$24,1)-COUNTIF(H$5:H$24,0)))</calculatedColumnFormula>
    </tableColumn>
    <tableColumn id="9" xr3:uid="{00000000-0010-0000-2B00-000009000000}" name="Points5" dataDxfId="263">
      <calculatedColumnFormula>IF(Table6220273233373839[[#This Row],[Non-Member]]="X"," ",IF(J5=" "," ",IFERROR(VLOOKUP(I5,Points!$A$2:$B$14,2,FALSE)," ")))</calculatedColumnFormula>
    </tableColumn>
    <tableColumn id="10" xr3:uid="{00000000-0010-0000-2B00-00000A000000}" name="Time/Score6" dataDxfId="262" dataCellStyle="Comma"/>
    <tableColumn id="11" xr3:uid="{00000000-0010-0000-2B00-00000B000000}" name="Time/Score7" dataDxfId="261">
      <calculatedColumnFormula>IF(L5=0," ",_xlfn.RANK.AVG(L5,L$5:L$24,1)-COUNTIF(L$5:L$24,0))</calculatedColumnFormula>
    </tableColumn>
    <tableColumn id="12" xr3:uid="{00000000-0010-0000-2B00-00000C000000}" name="Place7" dataDxfId="260">
      <calculatedColumnFormula>IF(L5=0," ",IF((RANK(L5,L$5:L$24,1)-COUNTIF(L$5:L$24,0)&gt;6)," ",RANK(L5,L$5:L$24,1)-COUNTIF(L$5:L$24,0)))</calculatedColumnFormula>
    </tableColumn>
    <tableColumn id="13" xr3:uid="{00000000-0010-0000-2B00-00000D000000}" name="Points8" dataDxfId="259">
      <calculatedColumnFormula>IF(Table6220273233373839[[#This Row],[Non-Member]]="X"," ",IF(N5=" "," ",IFERROR(VLOOKUP(M5,Points!$A$2:$B$14,2,FALSE)," ")))</calculatedColumnFormula>
    </tableColumn>
    <tableColumn id="14" xr3:uid="{00000000-0010-0000-2B00-00000E000000}" name="Time/Score9" dataDxfId="258" dataCellStyle="Comma"/>
    <tableColumn id="15" xr3:uid="{00000000-0010-0000-2B00-00000F000000}" name="Time/Score10" dataDxfId="257">
      <calculatedColumnFormula>IF(P5=0," ",_xlfn.RANK.AVG(P5,P$5:P$24,1)-COUNTIF(P$5:P$24,0))</calculatedColumnFormula>
    </tableColumn>
    <tableColumn id="16" xr3:uid="{00000000-0010-0000-2B00-000010000000}" name="Place10" dataDxfId="256">
      <calculatedColumnFormula>IF(P5=0," ",IF((RANK(P5,P$5:P$24,1)-COUNTIF(P$5:P$24,0)&gt;6)," ",RANK(P5,P$5:P$24,1)-COUNTIF(P$5:P$24,0)))</calculatedColumnFormula>
    </tableColumn>
    <tableColumn id="17" xr3:uid="{00000000-0010-0000-2B00-000011000000}" name="Points11" dataDxfId="255">
      <calculatedColumnFormula>IF(Table6220273233373839[[#This Row],[Non-Member]]="X"," ",IF(R5=" "," ",IFERROR(VLOOKUP(Q5,Points!$A$2:$B$14,2,FALSE)," ")))</calculatedColumnFormula>
    </tableColumn>
    <tableColumn id="18" xr3:uid="{00000000-0010-0000-2B00-000012000000}" name="Time/Score12" dataDxfId="254" dataCellStyle="Comma"/>
    <tableColumn id="19" xr3:uid="{00000000-0010-0000-2B00-000013000000}" name="Time/Score13" dataDxfId="253">
      <calculatedColumnFormula>IF(T5=0," ",_xlfn.RANK.AVG(T5,T$5:T$24,1)-COUNTIF(T$5:T$24,0))</calculatedColumnFormula>
    </tableColumn>
    <tableColumn id="20" xr3:uid="{00000000-0010-0000-2B00-000014000000}" name="Place13" dataDxfId="252">
      <calculatedColumnFormula>IF(T5=0," ",IF((RANK(T5,T$5:T$24,1)-COUNTIF(T$5:T$24,0)&gt;6)," ",RANK(T5,T$5:T$24,1)-COUNTIF(T$5:T$24,0)))</calculatedColumnFormula>
    </tableColumn>
    <tableColumn id="21" xr3:uid="{00000000-0010-0000-2B00-000015000000}" name="Points14" dataDxfId="251">
      <calculatedColumnFormula>IF(Table6220273233373839[[#This Row],[Non-Member]]="X"," ",IF(V5=" "," ",IFERROR(VLOOKUP(U5,Points!$A$2:$B$14,2,FALSE)," ")))</calculatedColumnFormula>
    </tableColumn>
    <tableColumn id="22" xr3:uid="{00000000-0010-0000-2B00-000016000000}" name="Time/Score15" dataDxfId="250" dataCellStyle="Comma"/>
    <tableColumn id="23" xr3:uid="{00000000-0010-0000-2B00-000017000000}" name="Time/Score16" dataDxfId="249">
      <calculatedColumnFormula>IF(X5=0," ",_xlfn.RANK.AVG(X5,X$5:X$24,1)-COUNTIF(X$5:X$24,0))</calculatedColumnFormula>
    </tableColumn>
    <tableColumn id="24" xr3:uid="{00000000-0010-0000-2B00-000018000000}" name="Place16" dataDxfId="248">
      <calculatedColumnFormula>IF(X5=0," ",IF((RANK(X5,X$5:X$24,1)-COUNTIF(X$5:X$24,0)&gt;6)," ",RANK(X5,X$5:X$24,1)-COUNTIF(X$5:X$24,0)))</calculatedColumnFormula>
    </tableColumn>
    <tableColumn id="25" xr3:uid="{00000000-0010-0000-2B00-000019000000}" name="Points17" dataDxfId="247">
      <calculatedColumnFormula>IF(Table6220273233373839[[#This Row],[Non-Member]]="X"," ",IF(Z5=" "," ",IFERROR(VLOOKUP(Y5,Points!$A$2:$B$14,2,FALSE)," ")))</calculatedColumnFormula>
    </tableColumn>
    <tableColumn id="26" xr3:uid="{00000000-0010-0000-2B00-00001A000000}" name="Time/Score18" dataDxfId="246" dataCellStyle="Comma"/>
    <tableColumn id="27" xr3:uid="{00000000-0010-0000-2B00-00001B000000}" name="Time/Score19" dataDxfId="245">
      <calculatedColumnFormula>IF(AB5=0," ",_xlfn.RANK.AVG(AB5,AB$5:AB$24,1)-COUNTIF(AB$5:AB$24,0))</calculatedColumnFormula>
    </tableColumn>
    <tableColumn id="28" xr3:uid="{00000000-0010-0000-2B00-00001C000000}" name="Place19" dataDxfId="244">
      <calculatedColumnFormula>IF(AB5=0," ",IF((RANK(AB5,AB$5:AB$24,1)-COUNTIF(AB$5:AB$24,0)&gt;6)," ",RANK(AB5,AB$5:AB$24,1)-COUNTIF(AB$5:AB$24,0)))</calculatedColumnFormula>
    </tableColumn>
    <tableColumn id="29" xr3:uid="{00000000-0010-0000-2B00-00001D000000}" name="Points20" dataDxfId="243">
      <calculatedColumnFormula>IF(Table6220273233373839[[#This Row],[Non-Member]]="X"," ",IF(AD5=" "," ",IFERROR(VLOOKUP(AC5,Points!$A$2:$B$14,2,FALSE)," ")))</calculatedColumnFormula>
    </tableColumn>
    <tableColumn id="30" xr3:uid="{00000000-0010-0000-2B00-00001E000000}" name="Time/Score21" dataDxfId="242" dataCellStyle="Comma">
      <calculatedColumnFormula>IF(OR(X5=0,AB5=0)," ",X5+AB5)</calculatedColumnFormula>
    </tableColumn>
    <tableColumn id="31" xr3:uid="{00000000-0010-0000-2B00-00001F000000}" name="Time/Score22" dataDxfId="241">
      <calculatedColumnFormula>IF(OR(AF5=0,AF5=" ")," ",_xlfn.RANK.AVG(AF5,AF$5:AF$24,1)-COUNTIF(AF$5:AF$24,0))</calculatedColumnFormula>
    </tableColumn>
    <tableColumn id="32" xr3:uid="{00000000-0010-0000-2B00-000020000000}" name="Place22" dataDxfId="240">
      <calculatedColumnFormula>IF(OR(AF5=0,AF5=" ")," ",IF((RANK(AF5,AF$5:AF$24,1)-COUNTIF(AF$5:AF$24,0)&gt;6)," ",RANK(AF5,AF$5:AF$24,1)-COUNTIF(AF$5:AF$24,0)))</calculatedColumnFormula>
    </tableColumn>
    <tableColumn id="33" xr3:uid="{00000000-0010-0000-2B00-000021000000}" name="Points23" dataDxfId="239">
      <calculatedColumnFormula>IF(Table6220273233373839[[#This Row],[Non-Member]]="X"," ",IF(AH5=" "," ",IFERROR(VLOOKUP(AG5,Points!$A$2:$B$14,2,FALSE)," ")))</calculatedColumnFormula>
    </tableColumn>
    <tableColumn id="34" xr3:uid="{00000000-0010-0000-2B00-000022000000}" name="Points24" dataDxfId="238">
      <calculatedColumnFormula>IF(Table6220273233373839[[#This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B00-000023000000}" name="Points25" dataDxfId="237" dataCellStyle="Comma">
      <calculatedColumnFormula>IF(AJ5=0," ",AJ5)</calculatedColumnFormula>
    </tableColumn>
    <tableColumn id="36" xr3:uid="{00000000-0010-0000-2B00-000024000000}" name="Place26" dataDxfId="23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C000000}" name="Table6345689101123344440" displayName="Table6345689101123344440" ref="B4:AC24" totalsRowShown="0" headerRowDxfId="235" dataDxfId="234" tableBorderDxfId="233">
  <autoFilter ref="B4:AC24" xr:uid="{00000000-0009-0000-0100-00002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C00-000001000000}" name="Name" dataDxfId="232"/>
    <tableColumn id="39" xr3:uid="{00000000-0010-0000-2C00-000027000000}" name="Points" dataDxfId="231">
      <calculatedColumnFormula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G-Goats'!$B$5:$AI$24,6,FALSE)=" ",0,VLOOKUP($B5,'MM G-Goats'!$B$5:$AI$24,6,FALSE)),0)</calculatedColumnFormula>
    </tableColumn>
    <tableColumn id="4" xr3:uid="{00000000-0010-0000-2C00-000004000000}" name="Column1" dataDxfId="230">
      <calculatedColumnFormula>IF(C5&gt;0,C5," ")</calculatedColumnFormula>
    </tableColumn>
    <tableColumn id="5" xr3:uid="{00000000-0010-0000-2C00-000005000000}" name="Place" dataDxfId="229">
      <calculatedColumnFormula>IF(C5=0," ",RANK(C5,C$5:C$24,0))</calculatedColumnFormula>
    </tableColumn>
    <tableColumn id="43" xr3:uid="{00000000-0010-0000-2C00-00002B000000}" name="Points4" dataDxfId="228">
      <calculatedColumnFormula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G-Goats'!$B$5:$AI$24,10,FALSE)=" ",0,VLOOKUP($B5,'MM G-Goats'!$B$5:$AI$24,10,FALSE)),0)</calculatedColumnFormula>
    </tableColumn>
    <tableColumn id="6" xr3:uid="{00000000-0010-0000-2C00-000006000000}" name="Points5" dataDxfId="227">
      <calculatedColumnFormula>IF(F5&gt;0,F5," ")</calculatedColumnFormula>
    </tableColumn>
    <tableColumn id="44" xr3:uid="{00000000-0010-0000-2C00-00002C000000}" name="Place5" dataDxfId="226">
      <calculatedColumnFormula>IF(F5=0," ",RANK(F5,F$5:F$24,0))</calculatedColumnFormula>
    </tableColumn>
    <tableColumn id="46" xr3:uid="{00000000-0010-0000-2C00-00002E000000}" name="Points43" dataDxfId="225">
      <calculatedColumnFormula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G-Goats'!$B$5:$AI$24,14,FALSE)=" ",0,VLOOKUP($B5,'MM G-Goats'!$B$5:$AI$24,14,FALSE)),0)</calculatedColumnFormula>
    </tableColumn>
    <tableColumn id="7" xr3:uid="{00000000-0010-0000-2C00-000007000000}" name="Points432" dataDxfId="224">
      <calculatedColumnFormula>IF(I5&gt;0,I5," ")</calculatedColumnFormula>
    </tableColumn>
    <tableColumn id="47" xr3:uid="{00000000-0010-0000-2C00-00002F000000}" name="Place54" dataDxfId="223">
      <calculatedColumnFormula>IF(I5=0," ",RANK(I5,I$5:I$24,0))</calculatedColumnFormula>
    </tableColumn>
    <tableColumn id="49" xr3:uid="{00000000-0010-0000-2C00-000031000000}" name="Points44" dataDxfId="222">
      <calculatedColumnFormula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G-Goats'!$B$5:$AI$24,18,FALSE)=" ",0,VLOOKUP($B5,'MM G-Goats'!$B$5:$AI$24,18,FALSE)),0)</calculatedColumnFormula>
    </tableColumn>
    <tableColumn id="8" xr3:uid="{00000000-0010-0000-2C00-000008000000}" name="Points442" dataDxfId="221">
      <calculatedColumnFormula>IF(L5&gt;0,L5," ")</calculatedColumnFormula>
    </tableColumn>
    <tableColumn id="50" xr3:uid="{00000000-0010-0000-2C00-000032000000}" name="Place55" dataDxfId="220">
      <calculatedColumnFormula>IF(L5=0," ",RANK(L5,L$5:L$24,0))</calculatedColumnFormula>
    </tableColumn>
    <tableColumn id="52" xr3:uid="{00000000-0010-0000-2C00-000034000000}" name="Points45" dataDxfId="219">
      <calculatedColumnFormula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G-Goats'!$B$5:$AI$24,22,FALSE)=" ",0,VLOOKUP($B5,'MM G-Goats'!$B$5:$AI$24,22,FALSE)),0)</calculatedColumnFormula>
    </tableColumn>
    <tableColumn id="9" xr3:uid="{00000000-0010-0000-2C00-000009000000}" name="Points452" dataDxfId="218">
      <calculatedColumnFormula>IF(O5&gt;0,O5," ")</calculatedColumnFormula>
    </tableColumn>
    <tableColumn id="53" xr3:uid="{00000000-0010-0000-2C00-000035000000}" name="Place56" dataDxfId="217">
      <calculatedColumnFormula>IF(O5=0," ",RANK(O5,O$5:O$24,0))</calculatedColumnFormula>
    </tableColumn>
    <tableColumn id="55" xr3:uid="{00000000-0010-0000-2C00-000037000000}" name="Points46" dataDxfId="216">
      <calculatedColumnFormula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G-Goats'!$B$5:$AI$24,26,FALSE)=" ",0,VLOOKUP($B5,'MM G-Goats'!$B$5:$AI$24,26,FALSE)),0)</calculatedColumnFormula>
    </tableColumn>
    <tableColumn id="10" xr3:uid="{00000000-0010-0000-2C00-00000A000000}" name="Points462" dataDxfId="215">
      <calculatedColumnFormula>IF(R5&gt;0,R5," ")</calculatedColumnFormula>
    </tableColumn>
    <tableColumn id="56" xr3:uid="{00000000-0010-0000-2C00-000038000000}" name="Place57" dataDxfId="214">
      <calculatedColumnFormula>IF(R5=0," ",RANK(R5,R$5:R$24,0))</calculatedColumnFormula>
    </tableColumn>
    <tableColumn id="58" xr3:uid="{00000000-0010-0000-2C00-00003A000000}" name="Points47" dataDxfId="213">
      <calculatedColumnFormula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G-Goats'!$B$5:$AI$24,30,FALSE)=" ",0,VLOOKUP($B5,'MM G-Goats'!$B$5:$AI$24,30,FALSE)),0)</calculatedColumnFormula>
    </tableColumn>
    <tableColumn id="11" xr3:uid="{00000000-0010-0000-2C00-00000B000000}" name="Points472" dataDxfId="212">
      <calculatedColumnFormula>IF(U5&gt;0,U5," ")</calculatedColumnFormula>
    </tableColumn>
    <tableColumn id="59" xr3:uid="{00000000-0010-0000-2C00-00003B000000}" name="Place58" dataDxfId="211">
      <calculatedColumnFormula>IF(U5=0," ",RANK(U5,U$5:U$24,0))</calculatedColumnFormula>
    </tableColumn>
    <tableColumn id="61" xr3:uid="{00000000-0010-0000-2C00-00003D000000}" name="Points48" dataDxfId="210">
      <calculatedColumnFormula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G-Goats'!$B$5:$AI$24,34,FALSE)=" ",0,VLOOKUP($B5,'MM G-Goats'!$B$5:$AI$24,34,FALSE)),0)</calculatedColumnFormula>
    </tableColumn>
    <tableColumn id="12" xr3:uid="{00000000-0010-0000-2C00-00000C000000}" name="Points49" dataDxfId="209">
      <calculatedColumnFormula>IF(X5&gt;0,X5," ")</calculatedColumnFormula>
    </tableColumn>
    <tableColumn id="62" xr3:uid="{00000000-0010-0000-2C00-00003E000000}" name="Place59" dataDxfId="208">
      <calculatedColumnFormula>IF(X5=0," ",RANK(X5,X$5:X$24,0))</calculatedColumnFormula>
    </tableColumn>
    <tableColumn id="2" xr3:uid="{00000000-0010-0000-2C00-000002000000}" name="Points482" dataDxfId="207">
      <calculatedColumnFormula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calculatedColumnFormula>
    </tableColumn>
    <tableColumn id="13" xr3:uid="{00000000-0010-0000-2C00-00000D000000}" name="Points483" dataDxfId="206">
      <calculatedColumnFormula>IF(AA5&gt;0,AA5," ")</calculatedColumnFormula>
    </tableColumn>
    <tableColumn id="3" xr3:uid="{00000000-0010-0000-2C00-000003000000}" name="Place593" dataDxfId="205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D000000}" name="Table62202732" displayName="Table62202732" ref="B4:AL24" totalsRowShown="0" headerRowDxfId="204" dataDxfId="203" tableBorderDxfId="202">
  <autoFilter ref="B4:AL24" xr:uid="{00000000-0009-0000-0100-00001F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D00-000001000000}" name="Name" dataDxfId="201"/>
    <tableColumn id="37" xr3:uid="{00000000-0010-0000-2D00-000025000000}" name="Non-Member" dataDxfId="200"/>
    <tableColumn id="2" xr3:uid="{00000000-0010-0000-2D00-000002000000}" name="Time/Score" dataDxfId="199"/>
    <tableColumn id="3" xr3:uid="{00000000-0010-0000-2D00-000003000000}" name="Column2" dataDxfId="198">
      <calculatedColumnFormula>IF(D5=0," ",_xlfn.RANK.AVG(D5,D$5:D$24,0))</calculatedColumnFormula>
    </tableColumn>
    <tableColumn id="4" xr3:uid="{00000000-0010-0000-2D00-000004000000}" name="Place" dataDxfId="197">
      <calculatedColumnFormula>IF(D5=0," ",IF((RANK(D5,D$5:D$24,0)&gt;6)," ",RANK(D5,D$5:D$24,0)))</calculatedColumnFormula>
    </tableColumn>
    <tableColumn id="5" xr3:uid="{00000000-0010-0000-2D00-000005000000}" name="Points" dataDxfId="196">
      <calculatedColumnFormula>IF(Table62202732[[#This Row],[Non-Member]]="X"," ",IF(F5=" "," ",IFERROR(VLOOKUP(E5,Points!$A$2:$B$14,2,FALSE)," ")))</calculatedColumnFormula>
    </tableColumn>
    <tableColumn id="6" xr3:uid="{00000000-0010-0000-2D00-000006000000}" name="Time/Score3" dataDxfId="195"/>
    <tableColumn id="7" xr3:uid="{00000000-0010-0000-2D00-000007000000}" name="Time/Score4" dataDxfId="194">
      <calculatedColumnFormula>IF(H5=0," ",_xlfn.RANK.AVG(H5,H$5:H$24,0))</calculatedColumnFormula>
    </tableColumn>
    <tableColumn id="8" xr3:uid="{00000000-0010-0000-2D00-000008000000}" name="Place4" dataDxfId="193">
      <calculatedColumnFormula>IF(H5=0," ",IF((RANK(H5,H$5:H$24,0)&gt;6)," ",RANK(H5,H$5:H$24,0)))</calculatedColumnFormula>
    </tableColumn>
    <tableColumn id="9" xr3:uid="{00000000-0010-0000-2D00-000009000000}" name="Points5" dataDxfId="192">
      <calculatedColumnFormula>IF(Table62202732[[#This Row],[Non-Member]]="X"," ",IF(J5=" "," ",IFERROR(VLOOKUP(I5,Points!$A$2:$B$14,2,FALSE)," ")))</calculatedColumnFormula>
    </tableColumn>
    <tableColumn id="10" xr3:uid="{00000000-0010-0000-2D00-00000A000000}" name="Time/Score6" dataDxfId="191"/>
    <tableColumn id="11" xr3:uid="{00000000-0010-0000-2D00-00000B000000}" name="Time/Score7" dataDxfId="190">
      <calculatedColumnFormula>IF(L5=0," ",_xlfn.RANK.AVG(L5,L$5:L$24,0))</calculatedColumnFormula>
    </tableColumn>
    <tableColumn id="12" xr3:uid="{00000000-0010-0000-2D00-00000C000000}" name="Place7" dataDxfId="189">
      <calculatedColumnFormula>IF(L5=0," ",IF((RANK(L5,L$5:L$24,0)&gt;6)," ",RANK(L5,L$5:L$24,0)))</calculatedColumnFormula>
    </tableColumn>
    <tableColumn id="13" xr3:uid="{00000000-0010-0000-2D00-00000D000000}" name="Points8" dataDxfId="188">
      <calculatedColumnFormula>IF(Table62202732[[#This Row],[Non-Member]]="X"," ",IF(N5=" "," ",IFERROR(VLOOKUP(M5,Points!$A$2:$B$14,2,FALSE)," ")))</calculatedColumnFormula>
    </tableColumn>
    <tableColumn id="14" xr3:uid="{00000000-0010-0000-2D00-00000E000000}" name="Time/Score9" dataDxfId="187"/>
    <tableColumn id="15" xr3:uid="{00000000-0010-0000-2D00-00000F000000}" name="Time/Score10" dataDxfId="186">
      <calculatedColumnFormula>IF(P5=0," ",_xlfn.RANK.AVG(P5,P$5:P$24,0))</calculatedColumnFormula>
    </tableColumn>
    <tableColumn id="16" xr3:uid="{00000000-0010-0000-2D00-000010000000}" name="Place10" dataDxfId="185">
      <calculatedColumnFormula>IF(P5=0," ",IF((RANK(P5,P$5:P$24,0)&gt;6)," ",RANK(P5,P$5:P$24,0)))</calculatedColumnFormula>
    </tableColumn>
    <tableColumn id="17" xr3:uid="{00000000-0010-0000-2D00-000011000000}" name="Points11" dataDxfId="184">
      <calculatedColumnFormula>IF(Table62202732[[#This Row],[Non-Member]]="X"," ",IF(R5=" "," ",IFERROR(VLOOKUP(Q5,Points!$A$2:$B$14,2,FALSE)," ")))</calculatedColumnFormula>
    </tableColumn>
    <tableColumn id="18" xr3:uid="{00000000-0010-0000-2D00-000012000000}" name="Time/Score12" dataDxfId="183"/>
    <tableColumn id="19" xr3:uid="{00000000-0010-0000-2D00-000013000000}" name="Time/Score13" dataDxfId="182">
      <calculatedColumnFormula>IF(T5=0," ",_xlfn.RANK.AVG(T5,T$5:T$24,0))</calculatedColumnFormula>
    </tableColumn>
    <tableColumn id="20" xr3:uid="{00000000-0010-0000-2D00-000014000000}" name="Place13" dataDxfId="181">
      <calculatedColumnFormula>IF(T5=0," ",IF((RANK(T5,T$5:T$24,0)&gt;6)," ",RANK(T5,T$5:T$24,0)))</calculatedColumnFormula>
    </tableColumn>
    <tableColumn id="21" xr3:uid="{00000000-0010-0000-2D00-000015000000}" name="Points14" dataDxfId="180">
      <calculatedColumnFormula>IF(Table62202732[[#This Row],[Non-Member]]="X"," ",IF(V5=" "," ",IFERROR(VLOOKUP(U5,Points!$A$2:$B$14,2,FALSE)," ")))</calculatedColumnFormula>
    </tableColumn>
    <tableColumn id="22" xr3:uid="{00000000-0010-0000-2D00-000016000000}" name="Time/Score15" dataDxfId="179"/>
    <tableColumn id="23" xr3:uid="{00000000-0010-0000-2D00-000017000000}" name="Time/Score16" dataDxfId="178">
      <calculatedColumnFormula>IF(X5=0," ",_xlfn.RANK.AVG(X5,X$5:X$24,0))</calculatedColumnFormula>
    </tableColumn>
    <tableColumn id="24" xr3:uid="{00000000-0010-0000-2D00-000018000000}" name="Place16" dataDxfId="177">
      <calculatedColumnFormula>IF(X5=0," ",IF((RANK(X5,X$5:X$24,0)&gt;6)," ",RANK(X5,X$5:X$24,0)))</calculatedColumnFormula>
    </tableColumn>
    <tableColumn id="25" xr3:uid="{00000000-0010-0000-2D00-000019000000}" name="Points17" dataDxfId="176">
      <calculatedColumnFormula>IF(Table62202732[[#This Row],[Non-Member]]="X"," ",IF(Z5=" "," ",IFERROR(VLOOKUP(Y5,Points!$A$2:$B$14,2,FALSE)," ")))</calculatedColumnFormula>
    </tableColumn>
    <tableColumn id="26" xr3:uid="{00000000-0010-0000-2D00-00001A000000}" name="Time/Score18" dataDxfId="175"/>
    <tableColumn id="27" xr3:uid="{00000000-0010-0000-2D00-00001B000000}" name="Time/Score19" dataDxfId="174">
      <calculatedColumnFormula>IF(AB5=0," ",_xlfn.RANK.AVG(AB5,AB$5:AB$24,0))</calculatedColumnFormula>
    </tableColumn>
    <tableColumn id="28" xr3:uid="{00000000-0010-0000-2D00-00001C000000}" name="Place19" dataDxfId="173">
      <calculatedColumnFormula>IF(AB5=0," ",IF((RANK(AB5,AB$5:AB$24,0)&gt;6)," ",RANK(AB5,AB$5:AB$24,0)))</calculatedColumnFormula>
    </tableColumn>
    <tableColumn id="29" xr3:uid="{00000000-0010-0000-2D00-00001D000000}" name="Points20" dataDxfId="172">
      <calculatedColumnFormula>IF(Table62202732[[#This Row],[Non-Member]]="X"," ",IF(AD5=" "," ",IFERROR(VLOOKUP(AC5,Points!$A$2:$B$14,2,FALSE)," ")))</calculatedColumnFormula>
    </tableColumn>
    <tableColumn id="30" xr3:uid="{00000000-0010-0000-2D00-00001E000000}" name="Time/Score21" dataDxfId="171">
      <calculatedColumnFormula>IF(X5+AB5=0," ",X5+AB5)</calculatedColumnFormula>
    </tableColumn>
    <tableColumn id="31" xr3:uid="{00000000-0010-0000-2D00-00001F000000}" name="Time/Score22" dataDxfId="170">
      <calculatedColumnFormula>IF(AF5=0," ",_xlfn.RANK.AVG(AF5,IF(AF$5:AF$24&gt;0,AF$5:AF$24,0),0))</calculatedColumnFormula>
    </tableColumn>
    <tableColumn id="32" xr3:uid="{00000000-0010-0000-2D00-000020000000}" name="Place22" dataDxfId="169">
      <calculatedColumnFormula>IFERROR(IF(RANK(AF5,AF$5:AF$24,0)&gt;6," ",(IF(AF5,RANK(AF5,AF$5:AF$24,0)," ")))," ")</calculatedColumnFormula>
    </tableColumn>
    <tableColumn id="33" xr3:uid="{00000000-0010-0000-2D00-000021000000}" name="Points23" dataDxfId="168">
      <calculatedColumnFormula>IF(Table62202732[[#This Row],[Non-Member]]="X"," ",IF(AH5=" "," ",IFERROR(VLOOKUP(AG5,Points!$A$2:$B$14,2,FALSE)," ")))</calculatedColumnFormula>
    </tableColumn>
    <tableColumn id="34" xr3:uid="{00000000-0010-0000-2D00-000022000000}" name="Points24" dataDxfId="167">
      <calculatedColumnFormula>IF(Table62202732[[#This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D00-000023000000}" name="Points25" dataDxfId="166" dataCellStyle="Comma">
      <calculatedColumnFormula>IF(AJ5=0," ",AJ5)</calculatedColumnFormula>
    </tableColumn>
    <tableColumn id="36" xr3:uid="{00000000-0010-0000-2D00-000024000000}" name="Place26" dataDxfId="1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E000000}" name="Table6220273233" displayName="Table6220273233" ref="B4:AL24" totalsRowShown="0" headerRowDxfId="164" dataDxfId="163" tableBorderDxfId="162">
  <autoFilter ref="B4:AL24" xr:uid="{00000000-0009-0000-0100-00002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E00-000001000000}" name="Name" dataDxfId="161"/>
    <tableColumn id="37" xr3:uid="{00000000-0010-0000-2E00-000025000000}" name="Non-Member" dataDxfId="160"/>
    <tableColumn id="2" xr3:uid="{00000000-0010-0000-2E00-000002000000}" name="Time/Score" dataDxfId="159" dataCellStyle="Comma"/>
    <tableColumn id="3" xr3:uid="{00000000-0010-0000-2E00-000003000000}" name="Column2" dataDxfId="158">
      <calculatedColumnFormula>IF(D5=0," ",_xlfn.RANK.AVG(D5,D$5:D$24,1)-COUNTIF(D$5:D$24,0))</calculatedColumnFormula>
    </tableColumn>
    <tableColumn id="4" xr3:uid="{00000000-0010-0000-2E00-000004000000}" name="Place" dataDxfId="157">
      <calculatedColumnFormula>IF(D5=0," ",IF((RANK(D5,D$5:D$24,1)-COUNTIF(D$5:D$24,0)&gt;6)," ",RANK(D5,D$5:D$24,1)-COUNTIF(D$5:D$24,0)))</calculatedColumnFormula>
    </tableColumn>
    <tableColumn id="5" xr3:uid="{00000000-0010-0000-2E00-000005000000}" name="Points" dataDxfId="156">
      <calculatedColumnFormula>IF(Table6220273233[[#This Row],[Non-Member]]="X"," ",IF(F5=" "," ",IFERROR(VLOOKUP(E5,Points!$A$2:$B$14,2,FALSE)," ")))</calculatedColumnFormula>
    </tableColumn>
    <tableColumn id="6" xr3:uid="{00000000-0010-0000-2E00-000006000000}" name="Time/Score3" dataDxfId="155" dataCellStyle="Comma"/>
    <tableColumn id="7" xr3:uid="{00000000-0010-0000-2E00-000007000000}" name="Time/Score4" dataDxfId="154">
      <calculatedColumnFormula>IF(H5=0," ",_xlfn.RANK.AVG(H5,H$5:H$24,1)-COUNTIF(H$5:H$24,0))</calculatedColumnFormula>
    </tableColumn>
    <tableColumn id="8" xr3:uid="{00000000-0010-0000-2E00-000008000000}" name="Place4" dataDxfId="153">
      <calculatedColumnFormula>IF(H5=0," ",IF((RANK(H5,H$5:H$24,1)-COUNTIF(H$5:H$24,0)&gt;6)," ",RANK(H5,H$5:H$24,1)-COUNTIF(H$5:H$24,0)))</calculatedColumnFormula>
    </tableColumn>
    <tableColumn id="9" xr3:uid="{00000000-0010-0000-2E00-000009000000}" name="Points5" dataDxfId="152">
      <calculatedColumnFormula>IF(Table6220273233[[#This Row],[Non-Member]]="X"," ",IF(J5=" "," ",IFERROR(VLOOKUP(I5,Points!$A$2:$B$14,2,FALSE)," ")))</calculatedColumnFormula>
    </tableColumn>
    <tableColumn id="10" xr3:uid="{00000000-0010-0000-2E00-00000A000000}" name="Time/Score6" dataDxfId="151" dataCellStyle="Comma"/>
    <tableColumn id="11" xr3:uid="{00000000-0010-0000-2E00-00000B000000}" name="Time/Score7" dataDxfId="150">
      <calculatedColumnFormula>IF(L5=0," ",_xlfn.RANK.AVG(L5,L$5:L$24,1)-COUNTIF(L$5:L$24,0))</calculatedColumnFormula>
    </tableColumn>
    <tableColumn id="12" xr3:uid="{00000000-0010-0000-2E00-00000C000000}" name="Place7" dataDxfId="149">
      <calculatedColumnFormula>IF(L5=0," ",IF((RANK(L5,L$5:L$24,1)-COUNTIF(L$5:L$24,0)&gt;6)," ",RANK(L5,L$5:L$24,1)-COUNTIF(L$5:L$24,0)))</calculatedColumnFormula>
    </tableColumn>
    <tableColumn id="13" xr3:uid="{00000000-0010-0000-2E00-00000D000000}" name="Points8" dataDxfId="148">
      <calculatedColumnFormula>IF(Table6220273233[[#This Row],[Non-Member]]="X"," ",IF(N5=" "," ",IFERROR(VLOOKUP(M5,Points!$A$2:$B$14,2,FALSE)," ")))</calculatedColumnFormula>
    </tableColumn>
    <tableColumn id="14" xr3:uid="{00000000-0010-0000-2E00-00000E000000}" name="Time/Score9" dataDxfId="147" dataCellStyle="Comma"/>
    <tableColumn id="15" xr3:uid="{00000000-0010-0000-2E00-00000F000000}" name="Time/Score10" dataDxfId="146">
      <calculatedColumnFormula>IF(P5=0," ",_xlfn.RANK.AVG(P5,P$5:P$24,1)-COUNTIF(P$5:P$24,0))</calculatedColumnFormula>
    </tableColumn>
    <tableColumn id="16" xr3:uid="{00000000-0010-0000-2E00-000010000000}" name="Place10" dataDxfId="145">
      <calculatedColumnFormula>IF(P5=0," ",IF((RANK(P5,P$5:P$24,1)-COUNTIF(P$5:P$24,0)&gt;6)," ",RANK(P5,P$5:P$24,1)-COUNTIF(P$5:P$24,0)))</calculatedColumnFormula>
    </tableColumn>
    <tableColumn id="17" xr3:uid="{00000000-0010-0000-2E00-000011000000}" name="Points11" dataDxfId="144">
      <calculatedColumnFormula>IF(Table6220273233[[#This Row],[Non-Member]]="X"," ",IF(R5=" "," ",IFERROR(VLOOKUP(Q5,Points!$A$2:$B$14,2,FALSE)," ")))</calculatedColumnFormula>
    </tableColumn>
    <tableColumn id="18" xr3:uid="{00000000-0010-0000-2E00-000012000000}" name="Time/Score12" dataDxfId="143" dataCellStyle="Comma"/>
    <tableColumn id="19" xr3:uid="{00000000-0010-0000-2E00-000013000000}" name="Time/Score13" dataDxfId="142">
      <calculatedColumnFormula>IF(T5=0," ",_xlfn.RANK.AVG(T5,T$5:T$24,1)-COUNTIF(T$5:T$24,0))</calculatedColumnFormula>
    </tableColumn>
    <tableColumn id="20" xr3:uid="{00000000-0010-0000-2E00-000014000000}" name="Place13" dataDxfId="141">
      <calculatedColumnFormula>IF(T5=0," ",IF((RANK(T5,T$5:T$24,1)-COUNTIF(T$5:T$24,0)&gt;6)," ",RANK(T5,T$5:T$24,1)-COUNTIF(T$5:T$24,0)))</calculatedColumnFormula>
    </tableColumn>
    <tableColumn id="21" xr3:uid="{00000000-0010-0000-2E00-000015000000}" name="Points14" dataDxfId="140">
      <calculatedColumnFormula>IF(Table6220273233[[#This Row],[Non-Member]]="X"," ",IF(V5=" "," ",IFERROR(VLOOKUP(U5,Points!$A$2:$B$14,2,FALSE)," ")))</calculatedColumnFormula>
    </tableColumn>
    <tableColumn id="22" xr3:uid="{00000000-0010-0000-2E00-000016000000}" name="Time/Score15" dataDxfId="139" dataCellStyle="Comma"/>
    <tableColumn id="23" xr3:uid="{00000000-0010-0000-2E00-000017000000}" name="Time/Score16" dataDxfId="138">
      <calculatedColumnFormula>IF(X5=0," ",_xlfn.RANK.AVG(X5,X$5:X$24,1)-COUNTIF(X$5:X$24,0))</calculatedColumnFormula>
    </tableColumn>
    <tableColumn id="24" xr3:uid="{00000000-0010-0000-2E00-000018000000}" name="Place16" dataDxfId="137">
      <calculatedColumnFormula>IF(X5=0," ",IF((RANK(X5,X$5:X$24,1)-COUNTIF(X$5:X$24,0)&gt;6)," ",RANK(X5,X$5:X$24,1)-COUNTIF(X$5:X$24,0)))</calculatedColumnFormula>
    </tableColumn>
    <tableColumn id="25" xr3:uid="{00000000-0010-0000-2E00-000019000000}" name="Points17" dataDxfId="136">
      <calculatedColumnFormula>IF(Table6220273233[[#This Row],[Non-Member]]="X"," ",IF(Z5=" "," ",IFERROR(VLOOKUP(Y5,Points!$A$2:$B$14,2,FALSE)," ")))</calculatedColumnFormula>
    </tableColumn>
    <tableColumn id="26" xr3:uid="{00000000-0010-0000-2E00-00001A000000}" name="Time/Score18" dataDxfId="135" dataCellStyle="Comma"/>
    <tableColumn id="27" xr3:uid="{00000000-0010-0000-2E00-00001B000000}" name="Time/Score19" dataDxfId="134">
      <calculatedColumnFormula>IF(AB5=0," ",_xlfn.RANK.AVG(AB5,AB$5:AB$24,1)-COUNTIF(AB$5:AB$24,0))</calculatedColumnFormula>
    </tableColumn>
    <tableColumn id="28" xr3:uid="{00000000-0010-0000-2E00-00001C000000}" name="Place19" dataDxfId="133">
      <calculatedColumnFormula>IF(AB5=0," ",IF((RANK(AB5,AB$5:AB$24,1)-COUNTIF(AB$5:AB$24,0)&gt;6)," ",RANK(AB5,AB$5:AB$24,1)-COUNTIF(AB$5:AB$24,0)))</calculatedColumnFormula>
    </tableColumn>
    <tableColumn id="29" xr3:uid="{00000000-0010-0000-2E00-00001D000000}" name="Points20" dataDxfId="132">
      <calculatedColumnFormula>IF(Table6220273233[[#This Row],[Non-Member]]="X"," ",IF(AD5=" "," ",IFERROR(VLOOKUP(AC5,Points!$A$2:$B$14,2,FALSE)," ")))</calculatedColumnFormula>
    </tableColumn>
    <tableColumn id="30" xr3:uid="{00000000-0010-0000-2E00-00001E000000}" name="Time/Score21" dataDxfId="131" dataCellStyle="Comma">
      <calculatedColumnFormula>IF(OR(X5=0,AB5=0)," ",X5+AB5)</calculatedColumnFormula>
    </tableColumn>
    <tableColumn id="31" xr3:uid="{00000000-0010-0000-2E00-00001F000000}" name="Time/Score22" dataDxfId="130">
      <calculatedColumnFormula>IF(OR(AF5=0,AF5=" ")," ",_xlfn.RANK.AVG(AF5,AF$5:AF$24,1)-COUNTIF(AF$5:AF$24,0))</calculatedColumnFormula>
    </tableColumn>
    <tableColumn id="32" xr3:uid="{00000000-0010-0000-2E00-000020000000}" name="Place22" dataDxfId="129">
      <calculatedColumnFormula>IF(OR(AF5=0,AF5=" ")," ",IF((RANK(AF5,AF$5:AF$24,1)-COUNTIF(AF$5:AF$24,0)&gt;6)," ",RANK(AF5,AF$5:AF$24,1)-COUNTIF(AF$5:AF$24,0)))</calculatedColumnFormula>
    </tableColumn>
    <tableColumn id="33" xr3:uid="{00000000-0010-0000-2E00-000021000000}" name="Points23" dataDxfId="128">
      <calculatedColumnFormula>IF(Table6220273233[[#This Row],[Non-Member]]="X"," ",IF(AH5=" "," ",IFERROR(VLOOKUP(AG5,Points!$A$2:$B$14,2,FALSE)," ")))</calculatedColumnFormula>
    </tableColumn>
    <tableColumn id="34" xr3:uid="{00000000-0010-0000-2E00-000022000000}" name="Points24" dataDxfId="127">
      <calculatedColumnFormula>IF(Table6220273233[[#This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E00-000023000000}" name="Points25" dataDxfId="126" dataCellStyle="Comma">
      <calculatedColumnFormula>IF(AJ5=0," ",AJ5)</calculatedColumnFormula>
    </tableColumn>
    <tableColumn id="36" xr3:uid="{00000000-0010-0000-2E00-000024000000}" name="Place26" dataDxfId="12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F000000}" name="Table622027323334" displayName="Table622027323334" ref="B4:AL24" totalsRowShown="0" headerRowDxfId="124" dataDxfId="123" tableBorderDxfId="122">
  <autoFilter ref="B4:AL24" xr:uid="{00000000-0009-0000-0100-00002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F00-000001000000}" name="Name" dataDxfId="121"/>
    <tableColumn id="37" xr3:uid="{00000000-0010-0000-2F00-000025000000}" name="Non-Member" dataDxfId="120"/>
    <tableColumn id="2" xr3:uid="{00000000-0010-0000-2F00-000002000000}" name="Time/Score" dataDxfId="119" dataCellStyle="Comma"/>
    <tableColumn id="3" xr3:uid="{00000000-0010-0000-2F00-000003000000}" name="Column2" dataDxfId="118">
      <calculatedColumnFormula>IF(D5=0," ",_xlfn.RANK.AVG(D5,D$5:D$24,1)-COUNTIF(D$5:D$24,0))</calculatedColumnFormula>
    </tableColumn>
    <tableColumn id="4" xr3:uid="{00000000-0010-0000-2F00-000004000000}" name="Place" dataDxfId="117">
      <calculatedColumnFormula>IF(D5=0," ",IF((RANK(D5,D$5:D$24,1)-COUNTIF(D$5:D$24,0)&gt;6)," ",RANK(D5,D$5:D$24,1)-COUNTIF(D$5:D$24,0)))</calculatedColumnFormula>
    </tableColumn>
    <tableColumn id="5" xr3:uid="{00000000-0010-0000-2F00-000005000000}" name="Points" dataDxfId="116">
      <calculatedColumnFormula>IF(Table622027323334[[#This Row],[Non-Member]]="X"," ",IF(F5=" "," ",IFERROR(VLOOKUP(E5,Points!$A$2:$B$14,2,FALSE)," ")))</calculatedColumnFormula>
    </tableColumn>
    <tableColumn id="6" xr3:uid="{00000000-0010-0000-2F00-000006000000}" name="Time/Score3" dataDxfId="115" dataCellStyle="Comma"/>
    <tableColumn id="7" xr3:uid="{00000000-0010-0000-2F00-000007000000}" name="Time/Score4" dataDxfId="114">
      <calculatedColumnFormula>IF(H5=0," ",_xlfn.RANK.AVG(H5,H$5:H$24,1)-COUNTIF(H$5:H$24,0))</calculatedColumnFormula>
    </tableColumn>
    <tableColumn id="8" xr3:uid="{00000000-0010-0000-2F00-000008000000}" name="Place4" dataDxfId="113">
      <calculatedColumnFormula>IF(H5=0," ",IF((RANK(H5,H$5:H$24,1)-COUNTIF(H$5:H$24,0)&gt;6)," ",RANK(H5,H$5:H$24,1)-COUNTIF(H$5:H$24,0)))</calculatedColumnFormula>
    </tableColumn>
    <tableColumn id="9" xr3:uid="{00000000-0010-0000-2F00-000009000000}" name="Points5" dataDxfId="112">
      <calculatedColumnFormula>IF(Table622027323334[[#This Row],[Non-Member]]="X"," ",IF(J5=" "," ",IFERROR(VLOOKUP(I5,Points!$A$2:$B$14,2,FALSE)," ")))</calculatedColumnFormula>
    </tableColumn>
    <tableColumn id="10" xr3:uid="{00000000-0010-0000-2F00-00000A000000}" name="Time/Score6" dataDxfId="111" dataCellStyle="Comma"/>
    <tableColumn id="11" xr3:uid="{00000000-0010-0000-2F00-00000B000000}" name="Time/Score7" dataDxfId="110">
      <calculatedColumnFormula>IF(L5=0," ",_xlfn.RANK.AVG(L5,L$5:L$24,1)-COUNTIF(L$5:L$24,0))</calculatedColumnFormula>
    </tableColumn>
    <tableColumn id="12" xr3:uid="{00000000-0010-0000-2F00-00000C000000}" name="Place7" dataDxfId="109">
      <calculatedColumnFormula>IF(L5=0," ",IF((RANK(L5,L$5:L$24,1)-COUNTIF(L$5:L$24,0)&gt;6)," ",RANK(L5,L$5:L$24,1)-COUNTIF(L$5:L$24,0)))</calculatedColumnFormula>
    </tableColumn>
    <tableColumn id="13" xr3:uid="{00000000-0010-0000-2F00-00000D000000}" name="Points8" dataDxfId="108">
      <calculatedColumnFormula>IF(Table622027323334[[#This Row],[Non-Member]]="X"," ",IF(N5=" "," ",IFERROR(VLOOKUP(M5,Points!$A$2:$B$14,2,FALSE)," ")))</calculatedColumnFormula>
    </tableColumn>
    <tableColumn id="14" xr3:uid="{00000000-0010-0000-2F00-00000E000000}" name="Time/Score9" dataDxfId="107" dataCellStyle="Comma"/>
    <tableColumn id="15" xr3:uid="{00000000-0010-0000-2F00-00000F000000}" name="Time/Score10" dataDxfId="106">
      <calculatedColumnFormula>IF(P5=0," ",_xlfn.RANK.AVG(P5,P$5:P$24,1)-COUNTIF(P$5:P$24,0))</calculatedColumnFormula>
    </tableColumn>
    <tableColumn id="16" xr3:uid="{00000000-0010-0000-2F00-000010000000}" name="Place10" dataDxfId="105">
      <calculatedColumnFormula>IF(P5=0," ",IF((RANK(P5,P$5:P$24,1)-COUNTIF(P$5:P$24,0)&gt;6)," ",RANK(P5,P$5:P$24,1)-COUNTIF(P$5:P$24,0)))</calculatedColumnFormula>
    </tableColumn>
    <tableColumn id="17" xr3:uid="{00000000-0010-0000-2F00-000011000000}" name="Points11" dataDxfId="104">
      <calculatedColumnFormula>IF(Table622027323334[[#This Row],[Non-Member]]="X"," ",IF(R5=" "," ",IFERROR(VLOOKUP(Q5,Points!$A$2:$B$14,2,FALSE)," ")))</calculatedColumnFormula>
    </tableColumn>
    <tableColumn id="18" xr3:uid="{00000000-0010-0000-2F00-000012000000}" name="Time/Score12" dataDxfId="103" dataCellStyle="Comma"/>
    <tableColumn id="19" xr3:uid="{00000000-0010-0000-2F00-000013000000}" name="Time/Score13" dataDxfId="102">
      <calculatedColumnFormula>IF(T5=0," ",_xlfn.RANK.AVG(T5,T$5:T$24,1)-COUNTIF(T$5:T$24,0))</calculatedColumnFormula>
    </tableColumn>
    <tableColumn id="20" xr3:uid="{00000000-0010-0000-2F00-000014000000}" name="Place13" dataDxfId="101">
      <calculatedColumnFormula>IF(T5=0," ",IF((RANK(T5,T$5:T$24,1)-COUNTIF(T$5:T$24,0)&gt;6)," ",RANK(T5,T$5:T$24,1)-COUNTIF(T$5:T$24,0)))</calculatedColumnFormula>
    </tableColumn>
    <tableColumn id="21" xr3:uid="{00000000-0010-0000-2F00-000015000000}" name="Points14" dataDxfId="100">
      <calculatedColumnFormula>IF(Table622027323334[[#This Row],[Non-Member]]="X"," ",IF(V5=" "," ",IFERROR(VLOOKUP(U5,Points!$A$2:$B$14,2,FALSE)," ")))</calculatedColumnFormula>
    </tableColumn>
    <tableColumn id="22" xr3:uid="{00000000-0010-0000-2F00-000016000000}" name="Time/Score15" dataDxfId="99" dataCellStyle="Comma"/>
    <tableColumn id="23" xr3:uid="{00000000-0010-0000-2F00-000017000000}" name="Time/Score16" dataDxfId="98">
      <calculatedColumnFormula>IF(X5=0," ",_xlfn.RANK.AVG(X5,X$5:X$24,1)-COUNTIF(X$5:X$24,0))</calculatedColumnFormula>
    </tableColumn>
    <tableColumn id="24" xr3:uid="{00000000-0010-0000-2F00-000018000000}" name="Place16" dataDxfId="97">
      <calculatedColumnFormula>IF(X5=0," ",IF((RANK(X5,X$5:X$24,1)-COUNTIF(X$5:X$24,0)&gt;6)," ",RANK(X5,X$5:X$24,1)-COUNTIF(X$5:X$24,0)))</calculatedColumnFormula>
    </tableColumn>
    <tableColumn id="25" xr3:uid="{00000000-0010-0000-2F00-000019000000}" name="Points17" dataDxfId="96">
      <calculatedColumnFormula>IF(Table622027323334[[#This Row],[Non-Member]]="X"," ",IF(Z5=" "," ",IFERROR(VLOOKUP(Y5,Points!$A$2:$B$14,2,FALSE)," ")))</calculatedColumnFormula>
    </tableColumn>
    <tableColumn id="26" xr3:uid="{00000000-0010-0000-2F00-00001A000000}" name="Time/Score18" dataDxfId="95" dataCellStyle="Comma"/>
    <tableColumn id="27" xr3:uid="{00000000-0010-0000-2F00-00001B000000}" name="Time/Score19" dataDxfId="94">
      <calculatedColumnFormula>IF(AB5=0," ",_xlfn.RANK.AVG(AB5,AB$5:AB$24,1)-COUNTIF(AB$5:AB$24,0))</calculatedColumnFormula>
    </tableColumn>
    <tableColumn id="28" xr3:uid="{00000000-0010-0000-2F00-00001C000000}" name="Place19" dataDxfId="93">
      <calculatedColumnFormula>IF(AB5=0," ",IF((RANK(AB5,AB$5:AB$24,1)-COUNTIF(AB$5:AB$24,0)&gt;6)," ",RANK(AB5,AB$5:AB$24,1)-COUNTIF(AB$5:AB$24,0)))</calculatedColumnFormula>
    </tableColumn>
    <tableColumn id="29" xr3:uid="{00000000-0010-0000-2F00-00001D000000}" name="Points20" dataDxfId="92">
      <calculatedColumnFormula>IF(Table622027323334[[#This Row],[Non-Member]]="X"," ",IF(AD5=" "," ",IFERROR(VLOOKUP(AC5,Points!$A$2:$B$14,2,FALSE)," ")))</calculatedColumnFormula>
    </tableColumn>
    <tableColumn id="30" xr3:uid="{00000000-0010-0000-2F00-00001E000000}" name="Time/Score21" dataDxfId="91" dataCellStyle="Comma">
      <calculatedColumnFormula>IF(OR(X5=0,AB5=0)," ",X5+AB5)</calculatedColumnFormula>
    </tableColumn>
    <tableColumn id="31" xr3:uid="{00000000-0010-0000-2F00-00001F000000}" name="Time/Score22" dataDxfId="90">
      <calculatedColumnFormula>IF(OR(AF5=0,AF5=" ")," ",_xlfn.RANK.AVG(AF5,AF$5:AF$24,1)-COUNTIF(AF$5:AF$24,0))</calculatedColumnFormula>
    </tableColumn>
    <tableColumn id="32" xr3:uid="{00000000-0010-0000-2F00-000020000000}" name="Place22" dataDxfId="89">
      <calculatedColumnFormula>IF(OR(AF5=0,AF5=" ")," ",IF((RANK(AF5,AF$5:AF$24,1)-COUNTIF(AF$5:AF$24,0)&gt;6)," ",RANK(AF5,AF$5:AF$24,1)-COUNTIF(AF$5:AF$24,0)))</calculatedColumnFormula>
    </tableColumn>
    <tableColumn id="33" xr3:uid="{00000000-0010-0000-2F00-000021000000}" name="Points23" dataDxfId="88">
      <calculatedColumnFormula>IF(Table622027323334[[#This Row],[Non-Member]]="X"," ",IF(AH5=" "," ",IFERROR(VLOOKUP(AG5,Points!$A$2:$B$14,2,FALSE)," ")))</calculatedColumnFormula>
    </tableColumn>
    <tableColumn id="34" xr3:uid="{00000000-0010-0000-2F00-000022000000}" name="Points24" dataDxfId="87">
      <calculatedColumnFormula>IF(Table622027323334[[#This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F00-000023000000}" name="Points25" dataDxfId="86" dataCellStyle="Comma">
      <calculatedColumnFormula>IF(AJ5=0," ",AJ5)</calculatedColumnFormula>
    </tableColumn>
    <tableColumn id="36" xr3:uid="{00000000-0010-0000-2F00-000024000000}" name="Place26" dataDxfId="8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30000000}" name="Table62202732333435" displayName="Table62202732333435" ref="B4:AL24" totalsRowShown="0" headerRowDxfId="84" dataDxfId="83" tableBorderDxfId="82">
  <autoFilter ref="B4:AL24" xr:uid="{00000000-0009-0000-0100-00002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3000-000001000000}" name="Name" dataDxfId="81"/>
    <tableColumn id="37" xr3:uid="{00000000-0010-0000-3000-000025000000}" name="Non-Member" dataDxfId="80"/>
    <tableColumn id="2" xr3:uid="{00000000-0010-0000-3000-000002000000}" name="Time/Score" dataDxfId="79" dataCellStyle="Comma"/>
    <tableColumn id="3" xr3:uid="{00000000-0010-0000-3000-000003000000}" name="Column2" dataDxfId="78">
      <calculatedColumnFormula>IF(D5=0," ",_xlfn.RANK.AVG(D5,D$5:D$24,1)-COUNTIF(D$5:D$24,0))</calculatedColumnFormula>
    </tableColumn>
    <tableColumn id="4" xr3:uid="{00000000-0010-0000-3000-000004000000}" name="Place" dataDxfId="77">
      <calculatedColumnFormula>IF(D5=0," ",IF((RANK(D5,D$5:D$24,1)-COUNTIF(D$5:D$24,0)&gt;6)," ",RANK(D5,D$5:D$24,1)-COUNTIF(D$5:D$24,0)))</calculatedColumnFormula>
    </tableColumn>
    <tableColumn id="5" xr3:uid="{00000000-0010-0000-3000-000005000000}" name="Points" dataDxfId="76">
      <calculatedColumnFormula>IF(Table62202732333435[[#This Row],[Non-Member]]="X"," ",IF(F5=" "," ",IFERROR(VLOOKUP(E5,Points!$A$2:$B$14,2,FALSE)," ")))</calculatedColumnFormula>
    </tableColumn>
    <tableColumn id="6" xr3:uid="{00000000-0010-0000-3000-000006000000}" name="Time/Score3" dataDxfId="75" dataCellStyle="Comma"/>
    <tableColumn id="7" xr3:uid="{00000000-0010-0000-3000-000007000000}" name="Time/Score4" dataDxfId="74">
      <calculatedColumnFormula>IF(H5=0," ",_xlfn.RANK.AVG(H5,H$5:H$24,1)-COUNTIF(H$5:H$24,0))</calculatedColumnFormula>
    </tableColumn>
    <tableColumn id="8" xr3:uid="{00000000-0010-0000-3000-000008000000}" name="Place4" dataDxfId="73">
      <calculatedColumnFormula>IF(H5=0," ",IF((RANK(H5,H$5:H$24,1)-COUNTIF(H$5:H$24,0)&gt;6)," ",RANK(H5,H$5:H$24,1)-COUNTIF(H$5:H$24,0)))</calculatedColumnFormula>
    </tableColumn>
    <tableColumn id="9" xr3:uid="{00000000-0010-0000-3000-000009000000}" name="Points5" dataDxfId="72">
      <calculatedColumnFormula>IF(Table62202732333435[[#This Row],[Non-Member]]="X"," ",IF(J5=" "," ",IFERROR(VLOOKUP(I5,Points!$A$2:$B$14,2,FALSE)," ")))</calculatedColumnFormula>
    </tableColumn>
    <tableColumn id="10" xr3:uid="{00000000-0010-0000-3000-00000A000000}" name="Time/Score6" dataDxfId="71" dataCellStyle="Comma"/>
    <tableColumn id="11" xr3:uid="{00000000-0010-0000-3000-00000B000000}" name="Time/Score7" dataDxfId="70">
      <calculatedColumnFormula>IF(L5=0," ",_xlfn.RANK.AVG(L5,L$5:L$24,1)-COUNTIF(L$5:L$24,0))</calculatedColumnFormula>
    </tableColumn>
    <tableColumn id="12" xr3:uid="{00000000-0010-0000-3000-00000C000000}" name="Place7" dataDxfId="69">
      <calculatedColumnFormula>IF(L5=0," ",IF((RANK(L5,L$5:L$24,1)-COUNTIF(L$5:L$24,0)&gt;6)," ",RANK(L5,L$5:L$24,1)-COUNTIF(L$5:L$24,0)))</calculatedColumnFormula>
    </tableColumn>
    <tableColumn id="13" xr3:uid="{00000000-0010-0000-3000-00000D000000}" name="Points8" dataDxfId="68">
      <calculatedColumnFormula>IF(Table62202732333435[[#This Row],[Non-Member]]="X"," ",IF(N5=" "," ",IFERROR(VLOOKUP(M5,Points!$A$2:$B$14,2,FALSE)," ")))</calculatedColumnFormula>
    </tableColumn>
    <tableColumn id="14" xr3:uid="{00000000-0010-0000-3000-00000E000000}" name="Time/Score9" dataDxfId="67" dataCellStyle="Comma"/>
    <tableColumn id="15" xr3:uid="{00000000-0010-0000-3000-00000F000000}" name="Time/Score10" dataDxfId="66">
      <calculatedColumnFormula>IF(P5=0," ",_xlfn.RANK.AVG(P5,P$5:P$24,1)-COUNTIF(P$5:P$24,0))</calculatedColumnFormula>
    </tableColumn>
    <tableColumn id="16" xr3:uid="{00000000-0010-0000-3000-000010000000}" name="Place10" dataDxfId="65">
      <calculatedColumnFormula>IF(P5=0," ",IF((RANK(P5,P$5:P$24,1)-COUNTIF(P$5:P$24,0)&gt;6)," ",RANK(P5,P$5:P$24,1)-COUNTIF(P$5:P$24,0)))</calculatedColumnFormula>
    </tableColumn>
    <tableColumn id="17" xr3:uid="{00000000-0010-0000-3000-000011000000}" name="Points11" dataDxfId="64">
      <calculatedColumnFormula>IF(Table62202732333435[[#This Row],[Non-Member]]="X"," ",IF(R5=" "," ",IFERROR(VLOOKUP(Q5,Points!$A$2:$B$14,2,FALSE)," ")))</calculatedColumnFormula>
    </tableColumn>
    <tableColumn id="18" xr3:uid="{00000000-0010-0000-3000-000012000000}" name="Time/Score12" dataDxfId="63" dataCellStyle="Comma"/>
    <tableColumn id="19" xr3:uid="{00000000-0010-0000-3000-000013000000}" name="Time/Score13" dataDxfId="62">
      <calculatedColumnFormula>IF(T5=0," ",_xlfn.RANK.AVG(T5,T$5:T$24,1)-COUNTIF(T$5:T$24,0))</calculatedColumnFormula>
    </tableColumn>
    <tableColumn id="20" xr3:uid="{00000000-0010-0000-3000-000014000000}" name="Place13" dataDxfId="61">
      <calculatedColumnFormula>IF(T5=0," ",IF((RANK(T5,T$5:T$24,1)-COUNTIF(T$5:T$24,0)&gt;6)," ",RANK(T5,T$5:T$24,1)-COUNTIF(T$5:T$24,0)))</calculatedColumnFormula>
    </tableColumn>
    <tableColumn id="21" xr3:uid="{00000000-0010-0000-3000-000015000000}" name="Points14" dataDxfId="60">
      <calculatedColumnFormula>IF(Table62202732333435[[#This Row],[Non-Member]]="X"," ",IF(V5=" "," ",IFERROR(VLOOKUP(U5,Points!$A$2:$B$14,2,FALSE)," ")))</calculatedColumnFormula>
    </tableColumn>
    <tableColumn id="22" xr3:uid="{00000000-0010-0000-3000-000016000000}" name="Time/Score15" dataDxfId="59" dataCellStyle="Comma"/>
    <tableColumn id="23" xr3:uid="{00000000-0010-0000-3000-000017000000}" name="Time/Score16" dataDxfId="58">
      <calculatedColumnFormula>IF(X5=0," ",_xlfn.RANK.AVG(X5,X$5:X$24,1)-COUNTIF(X$5:X$24,0))</calculatedColumnFormula>
    </tableColumn>
    <tableColumn id="24" xr3:uid="{00000000-0010-0000-3000-000018000000}" name="Place16" dataDxfId="57">
      <calculatedColumnFormula>IF(X5=0," ",IF((RANK(X5,X$5:X$24,1)-COUNTIF(X$5:X$24,0)&gt;6)," ",RANK(X5,X$5:X$24,1)-COUNTIF(X$5:X$24,0)))</calculatedColumnFormula>
    </tableColumn>
    <tableColumn id="25" xr3:uid="{00000000-0010-0000-3000-000019000000}" name="Points17" dataDxfId="56">
      <calculatedColumnFormula>IF(Table62202732333435[[#This Row],[Non-Member]]="X"," ",IF(Z5=" "," ",IFERROR(VLOOKUP(Y5,Points!$A$2:$B$14,2,FALSE)," ")))</calculatedColumnFormula>
    </tableColumn>
    <tableColumn id="26" xr3:uid="{00000000-0010-0000-3000-00001A000000}" name="Time/Score18" dataDxfId="55" dataCellStyle="Comma"/>
    <tableColumn id="27" xr3:uid="{00000000-0010-0000-3000-00001B000000}" name="Time/Score19" dataDxfId="54">
      <calculatedColumnFormula>IF(AB5=0," ",_xlfn.RANK.AVG(AB5,AB$5:AB$24,1)-COUNTIF(AB$5:AB$24,0))</calculatedColumnFormula>
    </tableColumn>
    <tableColumn id="28" xr3:uid="{00000000-0010-0000-3000-00001C000000}" name="Place19" dataDxfId="53">
      <calculatedColumnFormula>IF(AB5=0," ",IF((RANK(AB5,AB$5:AB$24,1)-COUNTIF(AB$5:AB$24,0)&gt;6)," ",RANK(AB5,AB$5:AB$24,1)-COUNTIF(AB$5:AB$24,0)))</calculatedColumnFormula>
    </tableColumn>
    <tableColumn id="29" xr3:uid="{00000000-0010-0000-3000-00001D000000}" name="Points20" dataDxfId="52">
      <calculatedColumnFormula>IF(Table62202732333435[[#This Row],[Non-Member]]="X"," ",IF(AD5=" "," ",IFERROR(VLOOKUP(AC5,Points!$A$2:$B$14,2,FALSE)," ")))</calculatedColumnFormula>
    </tableColumn>
    <tableColumn id="30" xr3:uid="{00000000-0010-0000-3000-00001E000000}" name="Time/Score21" dataDxfId="51" dataCellStyle="Comma">
      <calculatedColumnFormula>IF(OR(X5=0,AB5=0)," ",X5+AB5)</calculatedColumnFormula>
    </tableColumn>
    <tableColumn id="31" xr3:uid="{00000000-0010-0000-3000-00001F000000}" name="Time/Score22" dataDxfId="50">
      <calculatedColumnFormula>IF(OR(AF5=0,AF5=" ")," ",_xlfn.RANK.AVG(AF5,AF$5:AF$24,1)-COUNTIF(AF$5:AF$24,0))</calculatedColumnFormula>
    </tableColumn>
    <tableColumn id="32" xr3:uid="{00000000-0010-0000-3000-000020000000}" name="Place22" dataDxfId="49">
      <calculatedColumnFormula>IF(OR(AF5=0,AF5=" ")," ",IF((RANK(AF5,AF$5:AF$24,1)-COUNTIF(AF$5:AF$24,0)&gt;6)," ",RANK(AF5,AF$5:AF$24,1)-COUNTIF(AF$5:AF$24,0)))</calculatedColumnFormula>
    </tableColumn>
    <tableColumn id="33" xr3:uid="{00000000-0010-0000-3000-000021000000}" name="Points23" dataDxfId="48">
      <calculatedColumnFormula>IF(Table62202732333435[[#This Row],[Non-Member]]="X"," ",IF(AH5=" "," ",IFERROR(VLOOKUP(AG5,Points!$A$2:$B$14,2,FALSE)," ")))</calculatedColumnFormula>
    </tableColumn>
    <tableColumn id="34" xr3:uid="{00000000-0010-0000-3000-000022000000}" name="Points24" dataDxfId="47">
      <calculatedColumnFormula>IF(Table62202732333435[[#This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3000-000023000000}" name="Points25" dataDxfId="46" dataCellStyle="Comma">
      <calculatedColumnFormula>IF(AJ5=0," ",AJ5)</calculatedColumnFormula>
    </tableColumn>
    <tableColumn id="36" xr3:uid="{00000000-0010-0000-3000-000024000000}" name="Place26" dataDxfId="4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4000000}" name="Table6345689101123344440254555" displayName="Table6345689101123344440254555" ref="B4:AC24" totalsRowShown="0" headerRowDxfId="1677" dataDxfId="1676" tableBorderDxfId="1675">
  <autoFilter ref="B4:AC24" xr:uid="{00000000-0009-0000-0100-000036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400-000001000000}" name="Name" dataDxfId="1674"/>
    <tableColumn id="39" xr3:uid="{00000000-0010-0000-0400-000027000000}" name="Points" dataDxfId="1673">
      <calculatedColumnFormula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calculatedColumnFormula>
    </tableColumn>
    <tableColumn id="4" xr3:uid="{00000000-0010-0000-0400-000004000000}" name="Column1" dataDxfId="1672">
      <calculatedColumnFormula>IF(C5&gt;0,C5," ")</calculatedColumnFormula>
    </tableColumn>
    <tableColumn id="5" xr3:uid="{00000000-0010-0000-0400-000005000000}" name="Place" dataDxfId="1671">
      <calculatedColumnFormula>IF(C5=0," ",RANK(C5,C$5:C$24,0))</calculatedColumnFormula>
    </tableColumn>
    <tableColumn id="43" xr3:uid="{00000000-0010-0000-0400-00002B000000}" name="Points4" dataDxfId="1670">
      <calculatedColumnFormula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calculatedColumnFormula>
    </tableColumn>
    <tableColumn id="6" xr3:uid="{00000000-0010-0000-0400-000006000000}" name="Points5" dataDxfId="1669">
      <calculatedColumnFormula>IF(F5&gt;0,F5," ")</calculatedColumnFormula>
    </tableColumn>
    <tableColumn id="44" xr3:uid="{00000000-0010-0000-0400-00002C000000}" name="Place5" dataDxfId="1668">
      <calculatedColumnFormula>IF(F5=0," ",RANK(F5,F$5:F$24,0))</calculatedColumnFormula>
    </tableColumn>
    <tableColumn id="46" xr3:uid="{00000000-0010-0000-0400-00002E000000}" name="Points43" dataDxfId="166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 (2)'!$B$5:$AI$24,14,FALSE)=" ",0,VLOOKUP($B5,'JR-Team Roping-Header (2)'!$B$5:$AI$24,14,FALSE)),0)+IFERROR(IF(VLOOKUP($B5,'JR-Team Roping-Heeler (2)'!$B$5:$AI$24,14,FALSE)=" ",0,VLOOKUP($B5,'JR-Team Roping-Heeler (2)'!$B$5:$AI$24,14,FALSE)),0)</calculatedColumnFormula>
    </tableColumn>
    <tableColumn id="7" xr3:uid="{00000000-0010-0000-0400-000007000000}" name="Points432" dataDxfId="1666">
      <calculatedColumnFormula>IF(I5&gt;0,I5," ")</calculatedColumnFormula>
    </tableColumn>
    <tableColumn id="47" xr3:uid="{00000000-0010-0000-0400-00002F000000}" name="Place54" dataDxfId="1665">
      <calculatedColumnFormula>IF(I5=0," ",RANK(I5,I$5:I$24,0))</calculatedColumnFormula>
    </tableColumn>
    <tableColumn id="49" xr3:uid="{00000000-0010-0000-0400-000031000000}" name="Points44" dataDxfId="166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 (2)'!$B$5:$AI$24,18,FALSE)=" ",0,VLOOKUP($B5,'JR-Team Roping-Header (2)'!$B$5:$AI$24,18,FALSE)),0)+IFERROR(IF(VLOOKUP($B5,'JR-Team Roping-Heeler (2)'!$B$5:$AI$24,18,FALSE)=" ",0,VLOOKUP($B5,'JR-Team Roping-Heeler (2)'!$B$5:$AI$24,18,FALSE)),0)</calculatedColumnFormula>
    </tableColumn>
    <tableColumn id="8" xr3:uid="{00000000-0010-0000-0400-000008000000}" name="Points442" dataDxfId="1663">
      <calculatedColumnFormula>IF(L5&gt;0,L5," ")</calculatedColumnFormula>
    </tableColumn>
    <tableColumn id="50" xr3:uid="{00000000-0010-0000-0400-000032000000}" name="Place55" dataDxfId="1662">
      <calculatedColumnFormula>IF(L5=0," ",RANK(L5,L$5:L$24,0))</calculatedColumnFormula>
    </tableColumn>
    <tableColumn id="52" xr3:uid="{00000000-0010-0000-0400-000034000000}" name="Points45" dataDxfId="166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 (2)'!$B$5:$AI$24,22,FALSE)=" ",0,VLOOKUP($B5,'JR-Team Roping-Header (2)'!$B$5:$AI$24,22,FALSE)),0)+IFERROR(IF(VLOOKUP($B5,'JR-Team Roping-Heeler (2)'!$B$5:$AI$24,22,FALSE)=" ",0,VLOOKUP($B5,'JR-Team Roping-Heeler (2)'!$B$5:$AI$24,22,FALSE)),0)</calculatedColumnFormula>
    </tableColumn>
    <tableColumn id="9" xr3:uid="{00000000-0010-0000-0400-000009000000}" name="Points452" dataDxfId="1660">
      <calculatedColumnFormula>IF(O5&gt;0,O5," ")</calculatedColumnFormula>
    </tableColumn>
    <tableColumn id="53" xr3:uid="{00000000-0010-0000-0400-000035000000}" name="Place56" dataDxfId="1659">
      <calculatedColumnFormula>IF(O5=0," ",RANK(O5,O$5:O$24,0))</calculatedColumnFormula>
    </tableColumn>
    <tableColumn id="55" xr3:uid="{00000000-0010-0000-0400-000037000000}" name="Points46" dataDxfId="165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 (2)'!$B$5:$AI$24,26,FALSE)=" ",0,VLOOKUP($B5,'JR-Team Roping-Header (2)'!$B$5:$AI$24,26,FALSE)),0)+IFERROR(IF(VLOOKUP($B5,'JR-Team Roping-Heeler (2)'!$B$5:$AI$24,26,FALSE)=" ",0,VLOOKUP($B5,'JR-Team Roping-Heeler (2)'!$B$5:$AI$24,26,FALSE)),0)</calculatedColumnFormula>
    </tableColumn>
    <tableColumn id="10" xr3:uid="{00000000-0010-0000-0400-00000A000000}" name="Points462" dataDxfId="1657">
      <calculatedColumnFormula>IF(R5&gt;0,R5," ")</calculatedColumnFormula>
    </tableColumn>
    <tableColumn id="56" xr3:uid="{00000000-0010-0000-0400-000038000000}" name="Place57" dataDxfId="1656">
      <calculatedColumnFormula>IF(R5=0," ",RANK(R5,R$5:R$24,0))</calculatedColumnFormula>
    </tableColumn>
    <tableColumn id="58" xr3:uid="{00000000-0010-0000-0400-00003A000000}" name="Points47" dataDxfId="165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 (2)'!$B$5:$AI$24,30,FALSE)=" ",0,VLOOKUP($B5,'JR-Team Roping-Header (2)'!$B$5:$AI$24,30,FALSE)),0)+IFERROR(IF(VLOOKUP($B5,'JR-Team Roping-Heeler (2)'!$B$5:$AI$24,30,FALSE)=" ",0,VLOOKUP($B5,'JR-Team Roping-Heeler (2)'!$B$5:$AI$24,30,FALSE)),0)</calculatedColumnFormula>
    </tableColumn>
    <tableColumn id="11" xr3:uid="{00000000-0010-0000-0400-00000B000000}" name="Points472" dataDxfId="1654">
      <calculatedColumnFormula>IF(U5&gt;0,U5," ")</calculatedColumnFormula>
    </tableColumn>
    <tableColumn id="59" xr3:uid="{00000000-0010-0000-0400-00003B000000}" name="Place58" dataDxfId="1653">
      <calculatedColumnFormula>IF(U5=0," ",RANK(U5,U$5:U$24,0))</calculatedColumnFormula>
    </tableColumn>
    <tableColumn id="61" xr3:uid="{00000000-0010-0000-0400-00003D000000}" name="Points48" dataDxfId="165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 (2)'!$B$5:$AI$24,34,FALSE)=" ",0,VLOOKUP($B5,'JR-Team Roping-Header (2)'!$B$5:$AI$24,34,FALSE)),0)+IFERROR(IF(VLOOKUP($B5,'JR-Team Roping-Heeler (2)'!$B$5:$AI$24,34,FALSE)=" ",0,VLOOKUP($B5,'JR-Team Roping-Heeler (2)'!$B$5:$AI$24,34,FALSE)),0)</calculatedColumnFormula>
    </tableColumn>
    <tableColumn id="12" xr3:uid="{00000000-0010-0000-0400-00000C000000}" name="Points49" dataDxfId="1651">
      <calculatedColumnFormula>IF(X5&gt;0,X5," ")</calculatedColumnFormula>
    </tableColumn>
    <tableColumn id="62" xr3:uid="{00000000-0010-0000-0400-00003E000000}" name="Place59" dataDxfId="1650">
      <calculatedColumnFormula>IF(X5=0," ",RANK(X5,X$5:X$24,0))</calculatedColumnFormula>
    </tableColumn>
    <tableColumn id="2" xr3:uid="{00000000-0010-0000-0400-000002000000}" name="Points482" dataDxfId="1649">
      <calculatedColumnFormula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calculatedColumnFormula>
    </tableColumn>
    <tableColumn id="13" xr3:uid="{00000000-0010-0000-0400-00000D000000}" name="Points483" dataDxfId="1648">
      <calculatedColumnFormula>IF(AA5&gt;0,AA5," ")</calculatedColumnFormula>
    </tableColumn>
    <tableColumn id="3" xr3:uid="{00000000-0010-0000-0400-000003000000}" name="Place593" dataDxfId="164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31000000}" name="Table634568910112334444014" displayName="Table634568910112334444014" ref="B4:AC24" totalsRowShown="0" headerRowDxfId="44" dataDxfId="43" tableBorderDxfId="42">
  <autoFilter ref="B4:AC24" xr:uid="{00000000-0009-0000-0100-00000D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3100-000001000000}" name="Name" dataDxfId="41"/>
    <tableColumn id="39" xr3:uid="{00000000-0010-0000-3100-000027000000}" name="Points" dataDxfId="40">
      <calculatedColumnFormula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calculatedColumnFormula>
    </tableColumn>
    <tableColumn id="4" xr3:uid="{00000000-0010-0000-3100-000004000000}" name="Column1" dataDxfId="39">
      <calculatedColumnFormula>IF(C5&gt;0,C5," ")</calculatedColumnFormula>
    </tableColumn>
    <tableColumn id="5" xr3:uid="{00000000-0010-0000-3100-000005000000}" name="Place" dataDxfId="38">
      <calculatedColumnFormula>IF(C5=0," ",RANK(C5,C$5:C$24,0))</calculatedColumnFormula>
    </tableColumn>
    <tableColumn id="43" xr3:uid="{00000000-0010-0000-3100-00002B000000}" name="Points4" dataDxfId="37">
      <calculatedColumnFormula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calculatedColumnFormula>
    </tableColumn>
    <tableColumn id="6" xr3:uid="{00000000-0010-0000-3100-000006000000}" name="Points5" dataDxfId="36">
      <calculatedColumnFormula>IF(F5&gt;0,F5," ")</calculatedColumnFormula>
    </tableColumn>
    <tableColumn id="44" xr3:uid="{00000000-0010-0000-3100-00002C000000}" name="Place5" dataDxfId="35">
      <calculatedColumnFormula>IF(F5=0," ",RANK(F5,F$5:F$24,0))</calculatedColumnFormula>
    </tableColumn>
    <tableColumn id="46" xr3:uid="{00000000-0010-0000-3100-00002E000000}" name="Points43" dataDxfId="34">
      <calculatedColumnFormula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calculatedColumnFormula>
    </tableColumn>
    <tableColumn id="7" xr3:uid="{00000000-0010-0000-3100-000007000000}" name="Points432" dataDxfId="33">
      <calculatedColumnFormula>IF(I5&gt;0,I5," ")</calculatedColumnFormula>
    </tableColumn>
    <tableColumn id="47" xr3:uid="{00000000-0010-0000-3100-00002F000000}" name="Place54" dataDxfId="32">
      <calculatedColumnFormula>IF(I5=0," ",RANK(I5,I$5:I$24,0))</calculatedColumnFormula>
    </tableColumn>
    <tableColumn id="49" xr3:uid="{00000000-0010-0000-3100-000031000000}" name="Points44" dataDxfId="31">
      <calculatedColumnFormula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calculatedColumnFormula>
    </tableColumn>
    <tableColumn id="8" xr3:uid="{00000000-0010-0000-3100-000008000000}" name="Points442" dataDxfId="30">
      <calculatedColumnFormula>IF(L5&gt;0,L5," ")</calculatedColumnFormula>
    </tableColumn>
    <tableColumn id="50" xr3:uid="{00000000-0010-0000-3100-000032000000}" name="Place55" dataDxfId="29">
      <calculatedColumnFormula>IF(L5=0," ",RANK(L5,L$5:L$24,0))</calculatedColumnFormula>
    </tableColumn>
    <tableColumn id="52" xr3:uid="{00000000-0010-0000-3100-000034000000}" name="Points45" dataDxfId="28">
      <calculatedColumnFormula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calculatedColumnFormula>
    </tableColumn>
    <tableColumn id="9" xr3:uid="{00000000-0010-0000-3100-000009000000}" name="Points452" dataDxfId="27">
      <calculatedColumnFormula>IF(O5&gt;0,O5," ")</calculatedColumnFormula>
    </tableColumn>
    <tableColumn id="53" xr3:uid="{00000000-0010-0000-3100-000035000000}" name="Place56" dataDxfId="26">
      <calculatedColumnFormula>IF(O5=0," ",RANK(O5,O$5:O$24,0))</calculatedColumnFormula>
    </tableColumn>
    <tableColumn id="55" xr3:uid="{00000000-0010-0000-3100-000037000000}" name="Points46" dataDxfId="25">
      <calculatedColumnFormula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calculatedColumnFormula>
    </tableColumn>
    <tableColumn id="10" xr3:uid="{00000000-0010-0000-3100-00000A000000}" name="Points462" dataDxfId="24">
      <calculatedColumnFormula>IF(R5&gt;0,R5," ")</calculatedColumnFormula>
    </tableColumn>
    <tableColumn id="56" xr3:uid="{00000000-0010-0000-3100-000038000000}" name="Place57" dataDxfId="23">
      <calculatedColumnFormula>IF(R5=0," ",RANK(R5,R$5:R$24,0))</calculatedColumnFormula>
    </tableColumn>
    <tableColumn id="58" xr3:uid="{00000000-0010-0000-3100-00003A000000}" name="Points47" dataDxfId="22">
      <calculatedColumnFormula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calculatedColumnFormula>
    </tableColumn>
    <tableColumn id="11" xr3:uid="{00000000-0010-0000-3100-00000B000000}" name="Points472" dataDxfId="21">
      <calculatedColumnFormula>IF(U5&gt;0,U5," ")</calculatedColumnFormula>
    </tableColumn>
    <tableColumn id="59" xr3:uid="{00000000-0010-0000-3100-00003B000000}" name="Place58" dataDxfId="20">
      <calculatedColumnFormula>IF(U5=0," ",RANK(U5,U$5:U$24,0))</calculatedColumnFormula>
    </tableColumn>
    <tableColumn id="61" xr3:uid="{00000000-0010-0000-3100-00003D000000}" name="Points48" dataDxfId="19">
      <calculatedColumnFormula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calculatedColumnFormula>
    </tableColumn>
    <tableColumn id="12" xr3:uid="{00000000-0010-0000-3100-00000C000000}" name="Points49" dataDxfId="18">
      <calculatedColumnFormula>IF(X5&gt;0,X5," ")</calculatedColumnFormula>
    </tableColumn>
    <tableColumn id="62" xr3:uid="{00000000-0010-0000-3100-00003E000000}" name="Place59" dataDxfId="17">
      <calculatedColumnFormula>IF(X5=0," ",RANK(X5,X$5:X$24,0))</calculatedColumnFormula>
    </tableColumn>
    <tableColumn id="2" xr3:uid="{00000000-0010-0000-3100-000002000000}" name="Points482" dataDxfId="16">
      <calculatedColumnFormula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calculatedColumnFormula>
    </tableColumn>
    <tableColumn id="13" xr3:uid="{00000000-0010-0000-3100-00000D000000}" name="Points483" dataDxfId="15">
      <calculatedColumnFormula>IF(AA5&gt;0,AA5," ")</calculatedColumnFormula>
    </tableColumn>
    <tableColumn id="3" xr3:uid="{00000000-0010-0000-3100-000003000000}" name="Place593" dataDxfId="14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32000000}" name="Table634568910112334444014356" displayName="Table634568910112334444014356" ref="B4:E24" totalsRowShown="0" headerRowDxfId="13" dataDxfId="12" tableBorderDxfId="11">
  <autoFilter ref="B4:E24" xr:uid="{00000000-0009-0000-0100-000005000000}"/>
  <sortState xmlns:xlrd2="http://schemas.microsoft.com/office/spreadsheetml/2017/richdata2" ref="B5:E24">
    <sortCondition ref="E5:E24"/>
    <sortCondition ref="B5:B24"/>
  </sortState>
  <tableColumns count="4">
    <tableColumn id="1" xr3:uid="{00000000-0010-0000-3200-000001000000}" name="Column1" dataDxfId="10"/>
    <tableColumn id="13" xr3:uid="{00000000-0010-0000-3200-00000D000000}" name="Points483" dataDxfId="9">
      <calculatedColumnFormula>IFERROR(IF(VLOOKUP($B5,'SR G-Barrels'!$B$5:$AC$100,36,FALSE)=" ",0,VLOOKUP($B5,'SR G-Barrels'!$B$5:$AC$100,36,FALSE)),0)+IFERROR(IF(VLOOKUP($B5,'SR G-Poles'!$B$5:$AC$100,36,FALSE)=" ",0,VLOOKUP($B5,'SR G-Poles'!$B$5:$AC$100,36,FALSE)),0)+IFERROR(IF(VLOOKUP($B5,'SR G-Goats'!$B$5:$AC$100,36,FALSE)=" ",0,VLOOKUP($B5,'SR G-Goats'!$B$5:$AC$100,36,FALSE)),0)+IFERROR(IF(VLOOKUP($B5,'SR G-Breakaway'!$B$5:$AC$100,36,FALSE)=" ",0,VLOOKUP($B5,'SR G-Breakaway'!$B$5:$AC$100,36,FALSE)),0)+IFERROR(IF(VLOOKUP($B5,'SR-Team Roping-Header'!$B$5:$AC$100,12,FALSE)=" ",0,VLOOKUP($B5,'SR-Team Roping-Header'!$B$5:$AC$100,12,FALSE)),0)+IFERROR(IF(VLOOKUP($B5,'SR-Team Roping-Heeler'!$B$5:$AC$100,12,FALSE)=" ",0,VLOOKUP($B5,'SR-Team Roping-Heeler'!$B$5:$AC$100,12,FALSE)),0)+IFERROR(IF(VLOOKUP($B5,'JR G-Barrels'!$B$5:$AC$100,36,FALSE)=" ",0,VLOOKUP($B5,'JR G-Barrels'!$B$5:$AC$100,36,FALSE)),0)+IFERROR(IF(VLOOKUP($B5,'JR G-Poles'!$B$5:$AC$100,36,FALSE)=" ",0,VLOOKUP($B5,'JR G-Poles'!$B$5:$AC$100,36,FALSE)),0)+IFERROR(IF(VLOOKUP($B5,'JR G-Goats'!$B$5:$AC$100,36,FALSE)=" ",0,VLOOKUP($B5,'JR G-Goats'!$B$5:$AC$100,36,FALSE)),0)+IFERROR(IF(VLOOKUP($B5,'JR G-Breakaway'!$B$5:$AC$100,36,FALSE)=" ",0,VLOOKUP($B5,'JR G-Breakaway'!$B$5:$AC$100,36,FALSE)),0)+IFERROR(IF(VLOOKUP($B5,'JR-Team Roping-Header'!$B$5:$N$100,12,FALSE)=" ",0,VLOOKUP($B5,'JR-Team Roping-Header'!$B$5:$N$100,12,FALSE)),0)+IFERROR(IF(VLOOKUP($B5,'JR-Team Roping-Heeler'!$B$5:$AC$100,12,FALSE)=" ",0,VLOOKUP($B5,'JR-Team Roping-Heeler'!$B$5:$AC$100,12,FALSE)),0)+IFERROR(IF(VLOOKUP($B5,'PW G-Barrels'!$B$5:$AC$106,36,FALSE)=" ",0,VLOOKUP($B5,'PW G-Barrels'!$B$5:$AC$106,36,FALSE)),0)+IFERROR(IF(VLOOKUP($B5,'PW G-Poles'!$B$5:$AC$107,36,FALSE)=" ",0,VLOOKUP($B5,'PW G-Poles'!$B$5:$AC$107,36,FALSE)),0)+IFERROR(IF(VLOOKUP($B5,'PW G-Goats'!$B$5:$AC$107,36,FALSE)=" ",0,VLOOKUP($B5,'PW G-Goats'!$B$5:$AC$107,36,FALSE)),0)+IFERROR(IF(VLOOKUP($B5,'PW G-Breakaway'!$B$5:$AC$100,36,FALSE)=" ",0,VLOOKUP($B5,'PW G-Breakaway'!$B$5:$AC$100,36,FALSE)),0)+IFERROR(IF(VLOOKUP($B5,'MM G-Dummy Roping'!$B$5:$AC$100,27,FALSE)=" ",0,VLOOKUP($B5,'MM G-Dummy Roping'!$B$5:$AC$100,27,FALSE)),0)+IFERROR(IF(VLOOKUP($B5,'MM G-Barrels'!$B$5:$AC$95,27,FALSE)=" ",0,VLOOKUP($B5,'MM G-Barrels'!$B$5:$AC$95,27,FALSE)),0)+IFERROR(IF(VLOOKUP($B5,'MM G-Figure 8'!$B$5:$AC$97,27,FALSE)=" ",0,VLOOKUP($B5,'MM G-Figure 8'!$B$5:$AC$97,27,FALSE)),0)+IFERROR(IF(VLOOKUP($B5,'MM G-Goats'!$B$5:$AC$98,27,FALSE)=" ",0,VLOOKUP($B5,'MM G-Goats'!$B$5:$AC$98,27,FALSE)),0)</calculatedColumnFormula>
    </tableColumn>
    <tableColumn id="2" xr3:uid="{00000000-0010-0000-3200-000002000000}" name="Points484" dataDxfId="8">
      <calculatedColumnFormula>IF(C5&gt;0,C5," ")</calculatedColumnFormula>
    </tableColumn>
    <tableColumn id="3" xr3:uid="{00000000-0010-0000-3200-000003000000}" name="Place593" dataDxfId="7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33000000}" name="Table63456891011233444401435" displayName="Table63456891011233444401435" ref="B4:E24" totalsRowShown="0" headerRowDxfId="6" dataDxfId="5" tableBorderDxfId="4">
  <autoFilter ref="B4:E24" xr:uid="{00000000-0009-0000-0100-000004000000}"/>
  <sortState xmlns:xlrd2="http://schemas.microsoft.com/office/spreadsheetml/2017/richdata2" ref="B5:E24">
    <sortCondition ref="E5:E24"/>
    <sortCondition ref="B5:B24"/>
  </sortState>
  <tableColumns count="4">
    <tableColumn id="1" xr3:uid="{00000000-0010-0000-3300-000001000000}" name="Name" dataDxfId="3"/>
    <tableColumn id="13" xr3:uid="{00000000-0010-0000-3300-00000D000000}" name="Points483" dataDxfId="2">
      <calculatedColumnFormula>IF(#REF!&gt;0,#REF!," ")</calculatedColumnFormula>
    </tableColumn>
    <tableColumn id="2" xr3:uid="{00000000-0010-0000-3300-000002000000}" name="Points484" dataDxfId="1">
      <calculatedColumnFormula>IF(C5&gt;0,C5," ")</calculatedColumnFormula>
    </tableColumn>
    <tableColumn id="3" xr3:uid="{00000000-0010-0000-3300-000003000000}" name="Place593" dataDxfId="0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62202732333417181930512" displayName="Table62202732333417181930512" ref="B4:AH25" totalsRowShown="0" headerRowDxfId="1646" dataDxfId="1645" tableBorderDxfId="1644">
  <autoFilter ref="B4:AH25" xr:uid="{00000000-0009-0000-0100-000001000000}"/>
  <sortState xmlns:xlrd2="http://schemas.microsoft.com/office/spreadsheetml/2017/richdata2" ref="B5:AH25">
    <sortCondition ref="I5:I25"/>
    <sortCondition ref="B5:B25"/>
  </sortState>
  <tableColumns count="33">
    <tableColumn id="1" xr3:uid="{00000000-0010-0000-0500-000001000000}" name="Name" dataDxfId="1643"/>
    <tableColumn id="2" xr3:uid="{00000000-0010-0000-0500-000002000000}" name="Time/Score" dataDxfId="1642" dataCellStyle="Comma"/>
    <tableColumn id="3" xr3:uid="{00000000-0010-0000-0500-000003000000}" name="Column2" dataDxfId="1641">
      <calculatedColumnFormula>IF(C5=0," ",_xlfn.RANK.AVG(C5,C$5:C$25,1)-COUNTIF(C$5:C$25,0))</calculatedColumnFormula>
    </tableColumn>
    <tableColumn id="4" xr3:uid="{00000000-0010-0000-0500-000004000000}" name="Place" dataDxfId="1640">
      <calculatedColumnFormula>IF(C5=0," ",IF((RANK(C5,C$5:C$25,1)-COUNTIF(C$5:C$25,0)&gt;6)," ",RANK(C5,C$5:C$25,1)-COUNTIF(C$5:C$25,0)))</calculatedColumnFormula>
    </tableColumn>
    <tableColumn id="5" xr3:uid="{00000000-0010-0000-0500-000005000000}" name="Points" dataDxfId="1639">
      <calculatedColumnFormula>IF(E5=" "," ",IFERROR(VLOOKUP(D5,Points!$A$2:$B$14,2,FALSE)," "))</calculatedColumnFormula>
    </tableColumn>
    <tableColumn id="6" xr3:uid="{00000000-0010-0000-0500-000006000000}" name="Time/Score3" dataDxfId="1638" dataCellStyle="Comma"/>
    <tableColumn id="7" xr3:uid="{00000000-0010-0000-0500-000007000000}" name="Time/Score4" dataDxfId="1637">
      <calculatedColumnFormula>IF(G5=0," ",_xlfn.RANK.AVG(G5,G$5:G$25,1)-COUNTIF(G$5:G$25,0))</calculatedColumnFormula>
    </tableColumn>
    <tableColumn id="8" xr3:uid="{00000000-0010-0000-0500-000008000000}" name="Place4" dataDxfId="1636">
      <calculatedColumnFormula>IF(G5=0," ",IF((RANK(G5,G$5:G$25,1)-COUNTIF(G$5:G$25,0)&gt;6)," ",RANK(G5,G$5:G$25,1)-COUNTIF(G$5:G$25,0)))</calculatedColumnFormula>
    </tableColumn>
    <tableColumn id="9" xr3:uid="{00000000-0010-0000-0500-000009000000}" name="Points5" dataDxfId="1635">
      <calculatedColumnFormula>IF(I5=" "," ",IFERROR(VLOOKUP(H5,Points!$A$2:$B$14,2,FALSE)," "))</calculatedColumnFormula>
    </tableColumn>
    <tableColumn id="10" xr3:uid="{00000000-0010-0000-0500-00000A000000}" name="Time/Score6" dataDxfId="1634" dataCellStyle="Comma"/>
    <tableColumn id="11" xr3:uid="{00000000-0010-0000-0500-00000B000000}" name="Time/Score7" dataDxfId="1633">
      <calculatedColumnFormula>IF(K5=0," ",_xlfn.RANK.AVG(K5,K$5:K$25,1)-COUNTIF(K$5:K$25,0))</calculatedColumnFormula>
    </tableColumn>
    <tableColumn id="12" xr3:uid="{00000000-0010-0000-0500-00000C000000}" name="Place7" dataDxfId="1632">
      <calculatedColumnFormula>IF(K5=0," ",IF((RANK(K5,K$5:K$25,1)-COUNTIF(K$5:K$25,0)&gt;6)," ",RANK(K5,K$5:K$25,1)-COUNTIF(K$5:K$25,0)))</calculatedColumnFormula>
    </tableColumn>
    <tableColumn id="13" xr3:uid="{00000000-0010-0000-0500-00000D000000}" name="Points8" dataDxfId="1631">
      <calculatedColumnFormula>IF(M5=" "," ",IFERROR(VLOOKUP(L5,Points!$A$2:$B$14,2,FALSE)," "))</calculatedColumnFormula>
    </tableColumn>
    <tableColumn id="14" xr3:uid="{00000000-0010-0000-0500-00000E000000}" name="Time/Score9" dataDxfId="1630" dataCellStyle="Comma"/>
    <tableColumn id="15" xr3:uid="{00000000-0010-0000-0500-00000F000000}" name="Time/Score10" dataDxfId="1629">
      <calculatedColumnFormula>IF(O5=0," ",_xlfn.RANK.AVG(O5,O$5:O$25,1)-COUNTIF(O$5:O$25,0))</calculatedColumnFormula>
    </tableColumn>
    <tableColumn id="16" xr3:uid="{00000000-0010-0000-0500-000010000000}" name="Place10" dataDxfId="1628">
      <calculatedColumnFormula>IF(O5=0," ",IF((RANK(O5,O$5:O$25,1)-COUNTIF(O$5:O$25,0)&gt;6)," ",RANK(O5,O$5:O$25,1)-COUNTIF(O$5:O$25,0)))</calculatedColumnFormula>
    </tableColumn>
    <tableColumn id="17" xr3:uid="{00000000-0010-0000-0500-000011000000}" name="Points11" dataDxfId="1627">
      <calculatedColumnFormula>IF(Q5=" "," ",IFERROR(VLOOKUP(P5,Points!$A$2:$B$14,2,FALSE)," "))</calculatedColumnFormula>
    </tableColumn>
    <tableColumn id="18" xr3:uid="{00000000-0010-0000-0500-000012000000}" name="Time/Score12" dataDxfId="1626" dataCellStyle="Comma"/>
    <tableColumn id="19" xr3:uid="{00000000-0010-0000-0500-000013000000}" name="Time/Score13" dataDxfId="1625">
      <calculatedColumnFormula>IF(S5=0," ",_xlfn.RANK.AVG(S5,S$5:S$25,1)-COUNTIF(S$5:S$25,0))</calculatedColumnFormula>
    </tableColumn>
    <tableColumn id="20" xr3:uid="{00000000-0010-0000-0500-000014000000}" name="Place13" dataDxfId="1624">
      <calculatedColumnFormula>IF(S5=0," ",IF((RANK(S5,S$5:S$25,1)-COUNTIF(S$5:S$25,0)&gt;6)," ",RANK(S5,S$5:S$25,1)-COUNTIF(S$5:S$25,0)))</calculatedColumnFormula>
    </tableColumn>
    <tableColumn id="21" xr3:uid="{00000000-0010-0000-0500-000015000000}" name="Points14" dataDxfId="1623">
      <calculatedColumnFormula>IF(U5=" "," ",IFERROR(VLOOKUP(T5,Points!$A$2:$B$14,2,FALSE)," "))</calculatedColumnFormula>
    </tableColumn>
    <tableColumn id="22" xr3:uid="{00000000-0010-0000-0500-000016000000}" name="Time/Score15" dataDxfId="1622" dataCellStyle="Comma"/>
    <tableColumn id="23" xr3:uid="{00000000-0010-0000-0500-000017000000}" name="Time/Score16" dataDxfId="1621">
      <calculatedColumnFormula>IF(W5=0," ",_xlfn.RANK.AVG(W5,W$5:W$25,1)-COUNTIF(W$5:W$25,0))</calculatedColumnFormula>
    </tableColumn>
    <tableColumn id="24" xr3:uid="{00000000-0010-0000-0500-000018000000}" name="Place16" dataDxfId="1620">
      <calculatedColumnFormula>IF(W5=0," ",IF((RANK(W5,W$5:W$25,1)-COUNTIF(W$5:W$25,0)&gt;6)," ",RANK(W5,W$5:W$25,1)-COUNTIF(W$5:W$25,0)))</calculatedColumnFormula>
    </tableColumn>
    <tableColumn id="25" xr3:uid="{00000000-0010-0000-0500-000019000000}" name="Points17" dataDxfId="1619">
      <calculatedColumnFormula>IF(Y5=" "," ",IFERROR(VLOOKUP(X5,Points!$A$2:$B$14,2,FALSE)," "))</calculatedColumnFormula>
    </tableColumn>
    <tableColumn id="26" xr3:uid="{00000000-0010-0000-0500-00001A000000}" name="Time/Score18" dataDxfId="1618" dataCellStyle="Comma"/>
    <tableColumn id="27" xr3:uid="{00000000-0010-0000-0500-00001B000000}" name="Time/Score19" dataDxfId="1617">
      <calculatedColumnFormula>IF(AA5=0," ",_xlfn.RANK.AVG(AA5,AA$5:AA$25,1)-COUNTIF(AA$5:AA$25,0))</calculatedColumnFormula>
    </tableColumn>
    <tableColumn id="28" xr3:uid="{00000000-0010-0000-0500-00001C000000}" name="Place19" dataDxfId="1616">
      <calculatedColumnFormula>IF(AA5=0," ",IF((RANK(AA5,AA$5:AA$25,1)-COUNTIF(AA$5:AA$25,0)&gt;6)," ",RANK(AA5,AA$5:AA$25,1)-COUNTIF(AA$5:AA$25,0)))</calculatedColumnFormula>
    </tableColumn>
    <tableColumn id="29" xr3:uid="{00000000-0010-0000-0500-00001D000000}" name="Points20" dataDxfId="1615">
      <calculatedColumnFormula>IF(AC5=" "," ",IFERROR(VLOOKUP(AB5,Points!$A$2:$B$14,2,FALSE)," "))</calculatedColumnFormula>
    </tableColumn>
    <tableColumn id="30" xr3:uid="{00000000-0010-0000-0500-00001E000000}" name="Time/Score21" dataDxfId="1614" dataCellStyle="Comma">
      <calculatedColumnFormula>IF(OR(W5=0,AA5=0)," ",W5+AA5)</calculatedColumnFormula>
    </tableColumn>
    <tableColumn id="31" xr3:uid="{00000000-0010-0000-0500-00001F000000}" name="Time/Score22" dataDxfId="1613">
      <calculatedColumnFormula>IF(OR(AE5=0,AE5=" ")," ",_xlfn.RANK.AVG(AE5,AE$5:AE$25,1)-COUNTIF(AE$5:AE$25,0))</calculatedColumnFormula>
    </tableColumn>
    <tableColumn id="32" xr3:uid="{00000000-0010-0000-0500-000020000000}" name="Place22" dataDxfId="1612">
      <calculatedColumnFormula>IF(OR(AE5=0,AE5=" ")," ",IF((RANK(AE5,AE$5:AE$25,1)-COUNTIF(AE$5:AE$25,0)&gt;6)," ",RANK(AE5,AE$5:AE$25,1)-COUNTIF(AE$5:AE$25,0)))</calculatedColumnFormula>
    </tableColumn>
    <tableColumn id="33" xr3:uid="{00000000-0010-0000-0500-000021000000}" name="Points23" dataDxfId="161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62202732333417181930514" displayName="Table62202732333417181930514" ref="B4:N24" totalsRowShown="0" headerRowDxfId="1610" dataDxfId="1609" tableBorderDxfId="1608">
  <autoFilter ref="B4:N24" xr:uid="{00000000-0009-0000-0100-000003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600-000001000000}" name="Name" dataDxfId="1607"/>
    <tableColumn id="37" xr3:uid="{00000000-0010-0000-0600-000025000000}" name="Non-Member" dataDxfId="1606"/>
    <tableColumn id="5" xr3:uid="{00000000-0010-0000-0600-000005000000}" name="Points" dataDxfId="1605"/>
    <tableColumn id="9" xr3:uid="{00000000-0010-0000-0600-000009000000}" name="Points5" dataDxfId="1604"/>
    <tableColumn id="13" xr3:uid="{00000000-0010-0000-0600-00000D000000}" name="Points8" dataDxfId="1603"/>
    <tableColumn id="17" xr3:uid="{00000000-0010-0000-0600-000011000000}" name="Points11" dataDxfId="1602"/>
    <tableColumn id="21" xr3:uid="{00000000-0010-0000-0600-000015000000}" name="Points14" dataDxfId="1601"/>
    <tableColumn id="25" xr3:uid="{00000000-0010-0000-0600-000019000000}" name="Points17" dataDxfId="1600"/>
    <tableColumn id="29" xr3:uid="{00000000-0010-0000-0600-00001D000000}" name="Points20" dataDxfId="1599"/>
    <tableColumn id="33" xr3:uid="{00000000-0010-0000-0600-000021000000}" name="Points23" dataDxfId="1598"/>
    <tableColumn id="34" xr3:uid="{00000000-0010-0000-0600-000022000000}" name="Points24" dataDxfId="1597">
      <calculatedColumnFormula>IF(Table62202732333417181930514[[#This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600-000023000000}" name="Points25" dataDxfId="1596" dataCellStyle="Comma">
      <calculatedColumnFormula>IF(L5=0," ",L5)</calculatedColumnFormula>
    </tableColumn>
    <tableColumn id="36" xr3:uid="{00000000-0010-0000-0600-000024000000}" name="Place26" dataDxfId="159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7000000}" name="Table6220273233341718193051" displayName="Table6220273233341718193051" ref="B4:AL24" totalsRowShown="0" headerRowDxfId="1594" dataDxfId="1593" tableBorderDxfId="1592">
  <autoFilter ref="B4:AL24" xr:uid="{00000000-0009-0000-0100-000032000000}"/>
  <sortState xmlns:xlrd2="http://schemas.microsoft.com/office/spreadsheetml/2017/richdata2" ref="B5:AL24">
    <sortCondition ref="AL4:AL24"/>
  </sortState>
  <tableColumns count="37">
    <tableColumn id="1" xr3:uid="{00000000-0010-0000-0700-000001000000}" name="Name" dataDxfId="1591"/>
    <tableColumn id="37" xr3:uid="{00000000-0010-0000-0700-000025000000}" name="Non-Member" dataDxfId="1590"/>
    <tableColumn id="2" xr3:uid="{00000000-0010-0000-0700-000002000000}" name="Time/Score" dataDxfId="1589" dataCellStyle="Comma"/>
    <tableColumn id="3" xr3:uid="{00000000-0010-0000-0700-000003000000}" name="Column2" dataDxfId="1588">
      <calculatedColumnFormula>IF(D5=0," ",_xlfn.RANK.AVG(D5,D$5:D$24,1)-COUNTIF(D$5:D$24,0))</calculatedColumnFormula>
    </tableColumn>
    <tableColumn id="4" xr3:uid="{00000000-0010-0000-0700-000004000000}" name="Place" dataDxfId="1587">
      <calculatedColumnFormula>IF(D5=0," ",IF((RANK(D5,D$5:D$24,1)-COUNTIF(D$5:D$24,0)&gt;6)," ",RANK(D5,D$5:D$24,1)-COUNTIF(D$5:D$24,0)))</calculatedColumnFormula>
    </tableColumn>
    <tableColumn id="5" xr3:uid="{00000000-0010-0000-0700-000005000000}" name="Points" dataDxfId="1586">
      <calculatedColumnFormula>IF(Table6220273233341718193051[[#This Row],[Non-Member]]="X"," ",IF(F5=" "," ",IFERROR(VLOOKUP(E5,Points!$A$2:$B$14,2,FALSE)," ")))</calculatedColumnFormula>
    </tableColumn>
    <tableColumn id="6" xr3:uid="{00000000-0010-0000-0700-000006000000}" name="Time/Score3" dataDxfId="1585" dataCellStyle="Comma"/>
    <tableColumn id="7" xr3:uid="{00000000-0010-0000-0700-000007000000}" name="Time/Score4" dataDxfId="1584">
      <calculatedColumnFormula>IF(H5=0," ",_xlfn.RANK.AVG(H5,H$5:H$24,1)-COUNTIF(H$5:H$24,0))</calculatedColumnFormula>
    </tableColumn>
    <tableColumn id="8" xr3:uid="{00000000-0010-0000-0700-000008000000}" name="Place4" dataDxfId="1583">
      <calculatedColumnFormula>IF(H5=0," ",IF((RANK(H5,H$5:H$24,1)-COUNTIF(H$5:H$24,0)&gt;6)," ",RANK(H5,H$5:H$24,1)-COUNTIF(H$5:H$24,0)))</calculatedColumnFormula>
    </tableColumn>
    <tableColumn id="9" xr3:uid="{00000000-0010-0000-0700-000009000000}" name="Points5" dataDxfId="1582">
      <calculatedColumnFormula>IF(Table6220273233341718193051[[#This Row],[Non-Member]]="X"," ",IF(J5=" "," ",IFERROR(VLOOKUP(I5,Points!$A$2:$B$14,2,FALSE)," ")))</calculatedColumnFormula>
    </tableColumn>
    <tableColumn id="10" xr3:uid="{00000000-0010-0000-0700-00000A000000}" name="Time/Score6" dataDxfId="1581" dataCellStyle="Comma"/>
    <tableColumn id="11" xr3:uid="{00000000-0010-0000-0700-00000B000000}" name="Time/Score7" dataDxfId="1580">
      <calculatedColumnFormula>IF(L5=0," ",_xlfn.RANK.AVG(L5,L$5:L$24,1)-COUNTIF(L$5:L$24,0))</calculatedColumnFormula>
    </tableColumn>
    <tableColumn id="12" xr3:uid="{00000000-0010-0000-0700-00000C000000}" name="Place7" dataDxfId="1579">
      <calculatedColumnFormula>IF(L5=0," ",IF((RANK(L5,L$5:L$24,1)-COUNTIF(L$5:L$24,0)&gt;6)," ",RANK(L5,L$5:L$24,1)-COUNTIF(L$5:L$24,0)))</calculatedColumnFormula>
    </tableColumn>
    <tableColumn id="13" xr3:uid="{00000000-0010-0000-0700-00000D000000}" name="Points8" dataDxfId="1578">
      <calculatedColumnFormula>IF(Table6220273233341718193051[[#This Row],[Non-Member]]="X"," ",IF(N5=" "," ",IFERROR(VLOOKUP(M5,Points!$A$2:$B$14,2,FALSE)," ")))</calculatedColumnFormula>
    </tableColumn>
    <tableColumn id="14" xr3:uid="{00000000-0010-0000-0700-00000E000000}" name="Time/Score9" dataDxfId="1577" dataCellStyle="Comma"/>
    <tableColumn id="15" xr3:uid="{00000000-0010-0000-0700-00000F000000}" name="Time/Score10" dataDxfId="1576">
      <calculatedColumnFormula>IF(P5=0," ",_xlfn.RANK.AVG(P5,P$5:P$24,1)-COUNTIF(P$5:P$24,0))</calculatedColumnFormula>
    </tableColumn>
    <tableColumn id="16" xr3:uid="{00000000-0010-0000-0700-000010000000}" name="Place10" dataDxfId="1575">
      <calculatedColumnFormula>IF(P5=0," ",IF((RANK(P5,P$5:P$24,1)-COUNTIF(P$5:P$24,0)&gt;6)," ",RANK(P5,P$5:P$24,1)-COUNTIF(P$5:P$24,0)))</calculatedColumnFormula>
    </tableColumn>
    <tableColumn id="17" xr3:uid="{00000000-0010-0000-0700-000011000000}" name="Points11" dataDxfId="1574">
      <calculatedColumnFormula>IF(Table6220273233341718193051[[#This Row],[Non-Member]]="X"," ",IF(R5=" "," ",IFERROR(VLOOKUP(Q5,Points!$A$2:$B$14,2,FALSE)," ")))</calculatedColumnFormula>
    </tableColumn>
    <tableColumn id="18" xr3:uid="{00000000-0010-0000-0700-000012000000}" name="Time/Score12" dataDxfId="1573" dataCellStyle="Comma"/>
    <tableColumn id="19" xr3:uid="{00000000-0010-0000-0700-000013000000}" name="Time/Score13" dataDxfId="1572">
      <calculatedColumnFormula>IF(T5=0," ",_xlfn.RANK.AVG(T5,T$5:T$24,1)-COUNTIF(T$5:T$24,0))</calculatedColumnFormula>
    </tableColumn>
    <tableColumn id="20" xr3:uid="{00000000-0010-0000-0700-000014000000}" name="Place13" dataDxfId="1571">
      <calculatedColumnFormula>IF(T5=0," ",IF((RANK(T5,T$5:T$24,1)-COUNTIF(T$5:T$24,0)&gt;6)," ",RANK(T5,T$5:T$24,1)-COUNTIF(T$5:T$24,0)))</calculatedColumnFormula>
    </tableColumn>
    <tableColumn id="21" xr3:uid="{00000000-0010-0000-0700-000015000000}" name="Points14" dataDxfId="1570">
      <calculatedColumnFormula>IF(Table6220273233341718193051[[#This Row],[Non-Member]]="X"," ",IF(V5=" "," ",IFERROR(VLOOKUP(U5,Points!$A$2:$B$14,2,FALSE)," ")))</calculatedColumnFormula>
    </tableColumn>
    <tableColumn id="22" xr3:uid="{00000000-0010-0000-0700-000016000000}" name="Time/Score15" dataDxfId="1569" dataCellStyle="Comma"/>
    <tableColumn id="23" xr3:uid="{00000000-0010-0000-0700-000017000000}" name="Time/Score16" dataDxfId="1568">
      <calculatedColumnFormula>IF(X5=0," ",_xlfn.RANK.AVG(X5,X$5:X$24,1)-COUNTIF(X$5:X$24,0))</calculatedColumnFormula>
    </tableColumn>
    <tableColumn id="24" xr3:uid="{00000000-0010-0000-0700-000018000000}" name="Place16" dataDxfId="1567">
      <calculatedColumnFormula>IF(X5=0," ",IF((RANK(X5,X$5:X$24,1)-COUNTIF(X$5:X$24,0)&gt;6)," ",RANK(X5,X$5:X$24,1)-COUNTIF(X$5:X$24,0)))</calculatedColumnFormula>
    </tableColumn>
    <tableColumn id="25" xr3:uid="{00000000-0010-0000-0700-000019000000}" name="Points17" dataDxfId="1566">
      <calculatedColumnFormula>IF(Table6220273233341718193051[[#This Row],[Non-Member]]="X"," ",IF(Z5=" "," ",IFERROR(VLOOKUP(Y5,Points!$A$2:$B$14,2,FALSE)," ")))</calculatedColumnFormula>
    </tableColumn>
    <tableColumn id="26" xr3:uid="{00000000-0010-0000-0700-00001A000000}" name="Time/Score18" dataDxfId="1565" dataCellStyle="Comma"/>
    <tableColumn id="27" xr3:uid="{00000000-0010-0000-0700-00001B000000}" name="Time/Score19" dataDxfId="1564">
      <calculatedColumnFormula>IF(AB5=0," ",_xlfn.RANK.AVG(AB5,AB$5:AB$24,1)-COUNTIF(AB$5:AB$24,0))</calculatedColumnFormula>
    </tableColumn>
    <tableColumn id="28" xr3:uid="{00000000-0010-0000-0700-00001C000000}" name="Place19" dataDxfId="1563">
      <calculatedColumnFormula>IF(AB5=0," ",IF((RANK(AB5,AB$5:AB$24,1)-COUNTIF(AB$5:AB$24,0)&gt;6)," ",RANK(AB5,AB$5:AB$24,1)-COUNTIF(AB$5:AB$24,0)))</calculatedColumnFormula>
    </tableColumn>
    <tableColumn id="29" xr3:uid="{00000000-0010-0000-0700-00001D000000}" name="Points20" dataDxfId="1562">
      <calculatedColumnFormula>IF(Table6220273233341718193051[[#This Row],[Non-Member]]="X"," ",IF(AD5=" "," ",IFERROR(VLOOKUP(AC5,Points!$A$2:$B$14,2,FALSE)," ")))</calculatedColumnFormula>
    </tableColumn>
    <tableColumn id="30" xr3:uid="{00000000-0010-0000-0700-00001E000000}" name="Time/Score21" dataDxfId="1561" dataCellStyle="Comma"/>
    <tableColumn id="31" xr3:uid="{00000000-0010-0000-0700-00001F000000}" name="Time/Score22" dataDxfId="1560">
      <calculatedColumnFormula>IF(AF5=0," ",_xlfn.RANK.AVG(AF5,AF$5:AF$24,1)-COUNTIF(AF$5:AF$24,0))</calculatedColumnFormula>
    </tableColumn>
    <tableColumn id="32" xr3:uid="{00000000-0010-0000-0700-000020000000}" name="Place22" dataDxfId="1559">
      <calculatedColumnFormula>IF(AF5=0," ",IF((RANK(AF5,AF$5:AF$24,1)-COUNTIF(AF$5:AF$24,0)&gt;6)," ",RANK(AF5,AF$5:AF$24,1)-COUNTIF(AF$5:AF$24,0)))</calculatedColumnFormula>
    </tableColumn>
    <tableColumn id="33" xr3:uid="{00000000-0010-0000-0700-000021000000}" name="Points23" dataDxfId="1558">
      <calculatedColumnFormula>IF(Table6220273233341718193051[[#This Row],[Non-Member]]="X"," ",IF(AH5=" "," ",IFERROR(VLOOKUP(AG5,Points!$A$2:$B$14,2,FALSE)," ")))</calculatedColumnFormula>
    </tableColumn>
    <tableColumn id="34" xr3:uid="{00000000-0010-0000-0700-000022000000}" name="Points24" dataDxfId="1557">
      <calculatedColumnFormula>IF(Table6220273233341718193051[[#This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700-000023000000}" name="Points25" dataDxfId="1556" dataCellStyle="Comma">
      <calculatedColumnFormula>IF(AJ5=0," ",AJ5)</calculatedColumnFormula>
    </tableColumn>
    <tableColumn id="36" xr3:uid="{00000000-0010-0000-0700-000024000000}" name="Place26" dataDxfId="155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8000000}" name="Table622027323334171819304652" displayName="Table622027323334171819304652" ref="B4:AL24" totalsRowShown="0" headerRowDxfId="1554" dataDxfId="1553" tableBorderDxfId="1552">
  <autoFilter ref="B4:AL24" xr:uid="{00000000-0009-0000-0100-000033000000}"/>
  <sortState xmlns:xlrd2="http://schemas.microsoft.com/office/spreadsheetml/2017/richdata2" ref="B5:AL24">
    <sortCondition ref="AL4:AL24"/>
  </sortState>
  <tableColumns count="37">
    <tableColumn id="1" xr3:uid="{00000000-0010-0000-0800-000001000000}" name="Name" dataDxfId="1551"/>
    <tableColumn id="37" xr3:uid="{00000000-0010-0000-0800-000025000000}" name="Non-Member" dataDxfId="1550"/>
    <tableColumn id="2" xr3:uid="{00000000-0010-0000-0800-000002000000}" name="Time/Score" dataDxfId="1549" dataCellStyle="Comma"/>
    <tableColumn id="3" xr3:uid="{00000000-0010-0000-0800-000003000000}" name="Column2" dataDxfId="1548">
      <calculatedColumnFormula>IF(D5=0," ",_xlfn.RANK.AVG(D5,D$5:D$24,1)-COUNTIF(D$5:D$24,0))</calculatedColumnFormula>
    </tableColumn>
    <tableColumn id="4" xr3:uid="{00000000-0010-0000-0800-000004000000}" name="Place" dataDxfId="1547">
      <calculatedColumnFormula>IF(D5=0," ",IF((RANK(D5,D$5:D$24,1)-COUNTIF(D$5:D$24,0)&gt;6)," ",RANK(D5,D$5:D$24,1)-COUNTIF(D$5:D$24,0)))</calculatedColumnFormula>
    </tableColumn>
    <tableColumn id="5" xr3:uid="{00000000-0010-0000-0800-000005000000}" name="Points" dataDxfId="1546">
      <calculatedColumnFormula>IF(Table622027323334171819304652[[#This Row],[Non-Member]]="X"," ",IF(F5=" "," ",IFERROR(VLOOKUP(E5,Points!$A$2:$B$14,2,FALSE)," ")))</calculatedColumnFormula>
    </tableColumn>
    <tableColumn id="6" xr3:uid="{00000000-0010-0000-0800-000006000000}" name="Time/Score3" dataDxfId="1545" dataCellStyle="Comma"/>
    <tableColumn id="7" xr3:uid="{00000000-0010-0000-0800-000007000000}" name="Time/Score4" dataDxfId="1544">
      <calculatedColumnFormula>IF(H5=0," ",_xlfn.RANK.AVG(H5,H$5:H$24,1)-COUNTIF(H$5:H$24,0))</calculatedColumnFormula>
    </tableColumn>
    <tableColumn id="8" xr3:uid="{00000000-0010-0000-0800-000008000000}" name="Place4" dataDxfId="1543">
      <calculatedColumnFormula>IF(H5=0," ",IF((RANK(H5,H$5:H$24,1)-COUNTIF(H$5:H$24,0)&gt;6)," ",RANK(H5,H$5:H$24,1)-COUNTIF(H$5:H$24,0)))</calculatedColumnFormula>
    </tableColumn>
    <tableColumn id="9" xr3:uid="{00000000-0010-0000-0800-000009000000}" name="Points5" dataDxfId="1542">
      <calculatedColumnFormula>IF(Table622027323334171819304652[[#This Row],[Non-Member]]="X"," ",IF(J5=" "," ",IFERROR(VLOOKUP(I5,Points!$A$2:$B$14,2,FALSE)," ")))</calculatedColumnFormula>
    </tableColumn>
    <tableColumn id="10" xr3:uid="{00000000-0010-0000-0800-00000A000000}" name="Time/Score6" dataDxfId="1541" dataCellStyle="Comma"/>
    <tableColumn id="11" xr3:uid="{00000000-0010-0000-0800-00000B000000}" name="Time/Score7" dataDxfId="1540">
      <calculatedColumnFormula>IF(L5=0," ",_xlfn.RANK.AVG(L5,L$5:L$24,1)-COUNTIF(L$5:L$24,0))</calculatedColumnFormula>
    </tableColumn>
    <tableColumn id="12" xr3:uid="{00000000-0010-0000-0800-00000C000000}" name="Place7" dataDxfId="1539">
      <calculatedColumnFormula>IF(L5=0," ",IF((RANK(L5,L$5:L$24,1)-COUNTIF(L$5:L$24,0)&gt;6)," ",RANK(L5,L$5:L$24,1)-COUNTIF(L$5:L$24,0)))</calculatedColumnFormula>
    </tableColumn>
    <tableColumn id="13" xr3:uid="{00000000-0010-0000-0800-00000D000000}" name="Points8" dataDxfId="1538">
      <calculatedColumnFormula>IF(Table622027323334171819304652[[#This Row],[Non-Member]]="X"," ",IF(N5=" "," ",IFERROR(VLOOKUP(M5,Points!$A$2:$B$14,2,FALSE)," ")))</calculatedColumnFormula>
    </tableColumn>
    <tableColumn id="14" xr3:uid="{00000000-0010-0000-0800-00000E000000}" name="Time/Score9" dataDxfId="1537" dataCellStyle="Comma"/>
    <tableColumn id="15" xr3:uid="{00000000-0010-0000-0800-00000F000000}" name="Time/Score10" dataDxfId="1536">
      <calculatedColumnFormula>IF(P5=0," ",_xlfn.RANK.AVG(P5,P$5:P$24,1)-COUNTIF(P$5:P$24,0))</calculatedColumnFormula>
    </tableColumn>
    <tableColumn id="16" xr3:uid="{00000000-0010-0000-0800-000010000000}" name="Place10" dataDxfId="1535">
      <calculatedColumnFormula>IF(P5=0," ",IF((RANK(P5,P$5:P$24,1)-COUNTIF(P$5:P$24,0)&gt;6)," ",RANK(P5,P$5:P$24,1)-COUNTIF(P$5:P$24,0)))</calculatedColumnFormula>
    </tableColumn>
    <tableColumn id="17" xr3:uid="{00000000-0010-0000-0800-000011000000}" name="Points11" dataDxfId="1534">
      <calculatedColumnFormula>IF(Table622027323334171819304652[[#This Row],[Non-Member]]="X"," ",IF(R5=" "," ",IFERROR(VLOOKUP(Q5,Points!$A$2:$B$14,2,FALSE)," ")))</calculatedColumnFormula>
    </tableColumn>
    <tableColumn id="18" xr3:uid="{00000000-0010-0000-0800-000012000000}" name="Time/Score12" dataDxfId="1533" dataCellStyle="Comma"/>
    <tableColumn id="19" xr3:uid="{00000000-0010-0000-0800-000013000000}" name="Time/Score13" dataDxfId="1532">
      <calculatedColumnFormula>IF(T5=0," ",_xlfn.RANK.AVG(T5,T$5:T$24,1)-COUNTIF(T$5:T$24,0))</calculatedColumnFormula>
    </tableColumn>
    <tableColumn id="20" xr3:uid="{00000000-0010-0000-0800-000014000000}" name="Place13" dataDxfId="1531">
      <calculatedColumnFormula>IF(T5=0," ",IF((RANK(T5,T$5:T$24,1)-COUNTIF(T$5:T$24,0)&gt;6)," ",RANK(T5,T$5:T$24,1)-COUNTIF(T$5:T$24,0)))</calculatedColumnFormula>
    </tableColumn>
    <tableColumn id="21" xr3:uid="{00000000-0010-0000-0800-000015000000}" name="Points14" dataDxfId="1530">
      <calculatedColumnFormula>IF(Table622027323334171819304652[[#This Row],[Non-Member]]="X"," ",IF(V5=" "," ",IFERROR(VLOOKUP(U5,Points!$A$2:$B$14,2,FALSE)," ")))</calculatedColumnFormula>
    </tableColumn>
    <tableColumn id="22" xr3:uid="{00000000-0010-0000-0800-000016000000}" name="Time/Score15" dataDxfId="1529" dataCellStyle="Comma"/>
    <tableColumn id="23" xr3:uid="{00000000-0010-0000-0800-000017000000}" name="Time/Score16" dataDxfId="1528">
      <calculatedColumnFormula>IF(X5=0," ",_xlfn.RANK.AVG(X5,X$5:X$24,1)-COUNTIF(X$5:X$24,0))</calculatedColumnFormula>
    </tableColumn>
    <tableColumn id="24" xr3:uid="{00000000-0010-0000-0800-000018000000}" name="Place16" dataDxfId="1527">
      <calculatedColumnFormula>IF(X5=0," ",IF((RANK(X5,X$5:X$24,1)-COUNTIF(X$5:X$24,0)&gt;6)," ",RANK(X5,X$5:X$24,1)-COUNTIF(X$5:X$24,0)))</calculatedColumnFormula>
    </tableColumn>
    <tableColumn id="25" xr3:uid="{00000000-0010-0000-0800-000019000000}" name="Points17" dataDxfId="1526">
      <calculatedColumnFormula>IF(Table622027323334171819304652[[#This Row],[Non-Member]]="X"," ",IF(Z5=" "," ",IFERROR(VLOOKUP(Y5,Points!$A$2:$B$14,2,FALSE)," ")))</calculatedColumnFormula>
    </tableColumn>
    <tableColumn id="26" xr3:uid="{00000000-0010-0000-0800-00001A000000}" name="Time/Score18" dataDxfId="1525" dataCellStyle="Comma"/>
    <tableColumn id="27" xr3:uid="{00000000-0010-0000-0800-00001B000000}" name="Time/Score19" dataDxfId="1524">
      <calculatedColumnFormula>IF(AB5=0," ",_xlfn.RANK.AVG(AB5,AB$5:AB$24,1)-COUNTIF(AB$5:AB$24,0))</calculatedColumnFormula>
    </tableColumn>
    <tableColumn id="28" xr3:uid="{00000000-0010-0000-0800-00001C000000}" name="Place19" dataDxfId="1523">
      <calculatedColumnFormula>IF(AB5=0," ",IF((RANK(AB5,AB$5:AB$24,1)-COUNTIF(AB$5:AB$24,0)&gt;6)," ",RANK(AB5,AB$5:AB$24,1)-COUNTIF(AB$5:AB$24,0)))</calculatedColumnFormula>
    </tableColumn>
    <tableColumn id="29" xr3:uid="{00000000-0010-0000-0800-00001D000000}" name="Points20" dataDxfId="1522">
      <calculatedColumnFormula>IF(Table622027323334171819304652[[#This Row],[Non-Member]]="X"," ",IF(AD5=" "," ",IFERROR(VLOOKUP(AC5,Points!$A$2:$B$14,2,FALSE)," ")))</calculatedColumnFormula>
    </tableColumn>
    <tableColumn id="30" xr3:uid="{00000000-0010-0000-0800-00001E000000}" name="Time/Score21" dataDxfId="1521" dataCellStyle="Comma"/>
    <tableColumn id="31" xr3:uid="{00000000-0010-0000-0800-00001F000000}" name="Time/Score22" dataDxfId="1520">
      <calculatedColumnFormula>IF(AF5=0," ",_xlfn.RANK.AVG(AF5,AF$5:AF$24,1)-COUNTIF(AF$5:AF$24,0))</calculatedColumnFormula>
    </tableColumn>
    <tableColumn id="32" xr3:uid="{00000000-0010-0000-0800-000020000000}" name="Place22" dataDxfId="1519">
      <calculatedColumnFormula>IF(AF5=0," ",IF((RANK(AF5,AF$5:AF$24,1)-COUNTIF(AF$5:AF$24,0)&gt;6)," ",RANK(AF5,AF$5:AF$24,1)-COUNTIF(AF$5:AF$24,0)))</calculatedColumnFormula>
    </tableColumn>
    <tableColumn id="33" xr3:uid="{00000000-0010-0000-0800-000021000000}" name="Points23" dataDxfId="1518">
      <calculatedColumnFormula>IF(Table622027323334171819304652[[#This Row],[Non-Member]]="X"," ",IF(AH5=" "," ",IFERROR(VLOOKUP(AG5,Points!$A$2:$B$14,2,FALSE)," ")))</calculatedColumnFormula>
    </tableColumn>
    <tableColumn id="34" xr3:uid="{00000000-0010-0000-0800-000022000000}" name="Points24" dataDxfId="1517">
      <calculatedColumnFormula>IF(Table622027323334171819304652[[#This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800-000023000000}" name="Points25" dataDxfId="1516" dataCellStyle="Comma">
      <calculatedColumnFormula>IF(AJ5=0," ",AJ5)</calculatedColumnFormula>
    </tableColumn>
    <tableColumn id="36" xr3:uid="{00000000-0010-0000-0800-000024000000}" name="Place26" dataDxfId="151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14"/>
  <sheetViews>
    <sheetView workbookViewId="0">
      <selection activeCell="A15" sqref="A15"/>
    </sheetView>
  </sheetViews>
  <sheetFormatPr defaultRowHeight="14.5" x14ac:dyDescent="0.35"/>
  <sheetData>
    <row r="2" spans="1:2" x14ac:dyDescent="0.35">
      <c r="A2">
        <v>1</v>
      </c>
      <c r="B2">
        <v>18</v>
      </c>
    </row>
    <row r="3" spans="1:2" x14ac:dyDescent="0.35">
      <c r="A3">
        <v>1.5</v>
      </c>
      <c r="B3">
        <v>16.5</v>
      </c>
    </row>
    <row r="4" spans="1:2" x14ac:dyDescent="0.35">
      <c r="A4">
        <v>2</v>
      </c>
      <c r="B4">
        <v>15</v>
      </c>
    </row>
    <row r="5" spans="1:2" x14ac:dyDescent="0.35">
      <c r="A5">
        <v>2.5</v>
      </c>
      <c r="B5">
        <v>13.5</v>
      </c>
    </row>
    <row r="6" spans="1:2" x14ac:dyDescent="0.35">
      <c r="A6">
        <v>3</v>
      </c>
      <c r="B6">
        <v>12</v>
      </c>
    </row>
    <row r="7" spans="1:2" x14ac:dyDescent="0.35">
      <c r="A7">
        <v>3.5</v>
      </c>
      <c r="B7">
        <v>10.5</v>
      </c>
    </row>
    <row r="8" spans="1:2" x14ac:dyDescent="0.35">
      <c r="A8">
        <v>4</v>
      </c>
      <c r="B8">
        <v>9</v>
      </c>
    </row>
    <row r="9" spans="1:2" x14ac:dyDescent="0.35">
      <c r="A9">
        <v>4.5</v>
      </c>
      <c r="B9">
        <v>7.5</v>
      </c>
    </row>
    <row r="10" spans="1:2" x14ac:dyDescent="0.35">
      <c r="A10">
        <v>5</v>
      </c>
      <c r="B10">
        <v>6</v>
      </c>
    </row>
    <row r="11" spans="1:2" x14ac:dyDescent="0.35">
      <c r="A11">
        <v>5.5</v>
      </c>
      <c r="B11">
        <v>4.5</v>
      </c>
    </row>
    <row r="12" spans="1:2" x14ac:dyDescent="0.35">
      <c r="A12">
        <v>6</v>
      </c>
      <c r="B12">
        <v>3</v>
      </c>
    </row>
    <row r="13" spans="1:2" x14ac:dyDescent="0.35">
      <c r="A13">
        <v>6.5</v>
      </c>
      <c r="B13">
        <v>1.5</v>
      </c>
    </row>
    <row r="14" spans="1:2" x14ac:dyDescent="0.35">
      <c r="A14">
        <v>7</v>
      </c>
      <c r="B14">
        <v>1</v>
      </c>
    </row>
  </sheetData>
  <sheetProtection algorithmName="SHA-512" hashValue="a7cW3RAR1dhw+Wx7pPLU/BbRr88T7hjPn+s8l6N4eLqJ9Hjm57MTO7R+0CSNWyJ/qEHuprmPR1AoaZHak+Ilvg==" saltValue="gYHNIViOkjM1Xt7yK7rrv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7265625" style="39" customWidth="1"/>
    <col min="5" max="5" width="11.7265625" style="2" hidden="1" customWidth="1"/>
    <col min="6" max="6" width="11.7265625" style="2" customWidth="1"/>
    <col min="7" max="7" width="11.7265625" style="45" customWidth="1"/>
    <col min="8" max="8" width="11.7265625" style="35" customWidth="1"/>
    <col min="9" max="9" width="11.7265625" style="2" hidden="1" customWidth="1"/>
    <col min="10" max="10" width="11.7265625" style="2" customWidth="1"/>
    <col min="11" max="11" width="11.7265625" style="32" customWidth="1"/>
    <col min="12" max="12" width="12" style="35" customWidth="1"/>
    <col min="13" max="13" width="11.7265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7265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7265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7265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7265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83" t="s">
        <v>123</v>
      </c>
      <c r="C2" s="184"/>
      <c r="D2" s="181">
        <v>43226</v>
      </c>
      <c r="E2" s="181"/>
      <c r="F2" s="181"/>
      <c r="G2" s="182"/>
      <c r="H2" s="180">
        <v>43260</v>
      </c>
      <c r="I2" s="181"/>
      <c r="J2" s="181"/>
      <c r="K2" s="182"/>
      <c r="L2" s="180">
        <v>43288</v>
      </c>
      <c r="M2" s="181"/>
      <c r="N2" s="181"/>
      <c r="O2" s="182"/>
      <c r="P2" s="180">
        <v>43289</v>
      </c>
      <c r="Q2" s="181"/>
      <c r="R2" s="181"/>
      <c r="S2" s="182"/>
      <c r="T2" s="180">
        <v>43316</v>
      </c>
      <c r="U2" s="181"/>
      <c r="V2" s="181"/>
      <c r="W2" s="182"/>
      <c r="X2" s="180" t="s">
        <v>5</v>
      </c>
      <c r="Y2" s="181"/>
      <c r="Z2" s="181"/>
      <c r="AA2" s="182"/>
      <c r="AB2" s="180" t="s">
        <v>6</v>
      </c>
      <c r="AC2" s="181"/>
      <c r="AD2" s="181"/>
      <c r="AE2" s="182"/>
      <c r="AF2" s="180" t="s">
        <v>3</v>
      </c>
      <c r="AG2" s="181"/>
      <c r="AH2" s="181"/>
      <c r="AI2" s="182"/>
      <c r="AJ2" s="28"/>
      <c r="AK2" s="181" t="s">
        <v>4</v>
      </c>
      <c r="AL2" s="182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IF(Table622027323334171819304652[[#This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IF(Table622027323334171819304652[[#This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IF(Table622027323334171819304652[[#This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IF(Table622027323334171819304652[[#This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IF(Table622027323334171819304652[[#This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IF(Table622027323334171819304652[[#This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IF(Table622027323334171819304652[[#This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IF(Table622027323334171819304652[[#This Row],[Non-Member]]="X"," ",IF(AH5=" "," ",IFERROR(VLOOKUP(AG5,Points!$A$2:$B$14,2,FALSE)," ")))</f>
        <v xml:space="preserve"> </v>
      </c>
      <c r="AJ5" s="7">
        <f>IF(Table622027323334171819304652[[#This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IF(Table622027323334171819304652[[#This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IF(Table622027323334171819304652[[#This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IF(Table622027323334171819304652[[#This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IF(Table622027323334171819304652[[#This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IF(Table622027323334171819304652[[#This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IF(Table622027323334171819304652[[#This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IF(Table622027323334171819304652[[#This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IF(Table622027323334171819304652[[#This Row],[Non-Member]]="X"," ",IF(AH6=" "," ",IFERROR(VLOOKUP(AG6,Points!$A$2:$B$14,2,FALSE)," ")))</f>
        <v xml:space="preserve"> </v>
      </c>
      <c r="AJ6" s="9">
        <f>IF(Table622027323334171819304652[[#This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IF(Table622027323334171819304652[[#This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IF(Table622027323334171819304652[[#This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IF(Table622027323334171819304652[[#This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IF(Table622027323334171819304652[[#This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IF(Table622027323334171819304652[[#This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IF(Table622027323334171819304652[[#This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IF(Table622027323334171819304652[[#This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IF(Table622027323334171819304652[[#This Row],[Non-Member]]="X"," ",IF(AH7=" "," ",IFERROR(VLOOKUP(AG7,Points!$A$2:$B$14,2,FALSE)," ")))</f>
        <v xml:space="preserve"> </v>
      </c>
      <c r="AJ7" s="9">
        <f>IF(Table622027323334171819304652[[#This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IF(Table622027323334171819304652[[#This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IF(Table622027323334171819304652[[#This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IF(Table622027323334171819304652[[#This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IF(Table622027323334171819304652[[#This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IF(Table622027323334171819304652[[#This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IF(Table622027323334171819304652[[#This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IF(Table622027323334171819304652[[#This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IF(Table622027323334171819304652[[#This Row],[Non-Member]]="X"," ",IF(AH8=" "," ",IFERROR(VLOOKUP(AG8,Points!$A$2:$B$14,2,FALSE)," ")))</f>
        <v xml:space="preserve"> </v>
      </c>
      <c r="AJ8" s="9">
        <f>IF(Table622027323334171819304652[[#This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IF(Table622027323334171819304652[[#This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IF(Table622027323334171819304652[[#This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IF(Table622027323334171819304652[[#This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IF(Table622027323334171819304652[[#This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IF(Table622027323334171819304652[[#This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IF(Table622027323334171819304652[[#This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IF(Table622027323334171819304652[[#This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IF(Table622027323334171819304652[[#This Row],[Non-Member]]="X"," ",IF(AH9=" "," ",IFERROR(VLOOKUP(AG9,Points!$A$2:$B$14,2,FALSE)," ")))</f>
        <v xml:space="preserve"> </v>
      </c>
      <c r="AJ9" s="9">
        <f>IF(Table622027323334171819304652[[#This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IF(Table622027323334171819304652[[#This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IF(Table622027323334171819304652[[#This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IF(Table622027323334171819304652[[#This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IF(Table622027323334171819304652[[#This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IF(Table622027323334171819304652[[#This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IF(Table622027323334171819304652[[#This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IF(Table622027323334171819304652[[#This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IF(Table622027323334171819304652[[#This Row],[Non-Member]]="X"," ",IF(AH10=" "," ",IFERROR(VLOOKUP(AG10,Points!$A$2:$B$14,2,FALSE)," ")))</f>
        <v xml:space="preserve"> </v>
      </c>
      <c r="AJ10" s="9">
        <f>IF(Table622027323334171819304652[[#This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IF(Table622027323334171819304652[[#This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IF(Table622027323334171819304652[[#This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IF(Table622027323334171819304652[[#This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IF(Table622027323334171819304652[[#This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IF(Table622027323334171819304652[[#This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IF(Table622027323334171819304652[[#This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IF(Table622027323334171819304652[[#This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IF(Table622027323334171819304652[[#This Row],[Non-Member]]="X"," ",IF(AH11=" "," ",IFERROR(VLOOKUP(AG11,Points!$A$2:$B$14,2,FALSE)," ")))</f>
        <v xml:space="preserve"> </v>
      </c>
      <c r="AJ11" s="9">
        <f>IF(Table622027323334171819304652[[#This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IF(Table622027323334171819304652[[#This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IF(Table622027323334171819304652[[#This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IF(Table622027323334171819304652[[#This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IF(Table622027323334171819304652[[#This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IF(Table622027323334171819304652[[#This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IF(Table622027323334171819304652[[#This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IF(Table622027323334171819304652[[#This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IF(Table622027323334171819304652[[#This Row],[Non-Member]]="X"," ",IF(AH12=" "," ",IFERROR(VLOOKUP(AG12,Points!$A$2:$B$14,2,FALSE)," ")))</f>
        <v xml:space="preserve"> </v>
      </c>
      <c r="AJ12" s="9">
        <f>IF(Table622027323334171819304652[[#This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IF(Table622027323334171819304652[[#This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IF(Table622027323334171819304652[[#This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IF(Table622027323334171819304652[[#This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IF(Table622027323334171819304652[[#This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IF(Table622027323334171819304652[[#This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IF(Table622027323334171819304652[[#This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IF(Table622027323334171819304652[[#This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IF(Table622027323334171819304652[[#This Row],[Non-Member]]="X"," ",IF(AH13=" "," ",IFERROR(VLOOKUP(AG13,Points!$A$2:$B$14,2,FALSE)," ")))</f>
        <v xml:space="preserve"> </v>
      </c>
      <c r="AJ13" s="9">
        <f>IF(Table622027323334171819304652[[#This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IF(Table622027323334171819304652[[#This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IF(Table622027323334171819304652[[#This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IF(Table622027323334171819304652[[#This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IF(Table622027323334171819304652[[#This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IF(Table622027323334171819304652[[#This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IF(Table622027323334171819304652[[#This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IF(Table622027323334171819304652[[#This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IF(Table622027323334171819304652[[#This Row],[Non-Member]]="X"," ",IF(AH14=" "," ",IFERROR(VLOOKUP(AG14,Points!$A$2:$B$14,2,FALSE)," ")))</f>
        <v xml:space="preserve"> </v>
      </c>
      <c r="AJ14" s="9">
        <f>IF(Table622027323334171819304652[[#This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IF(Table622027323334171819304652[[#This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IF(Table622027323334171819304652[[#This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IF(Table622027323334171819304652[[#This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IF(Table622027323334171819304652[[#This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IF(Table622027323334171819304652[[#This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IF(Table622027323334171819304652[[#This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IF(Table622027323334171819304652[[#This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IF(Table622027323334171819304652[[#This Row],[Non-Member]]="X"," ",IF(AH15=" "," ",IFERROR(VLOOKUP(AG15,Points!$A$2:$B$14,2,FALSE)," ")))</f>
        <v xml:space="preserve"> </v>
      </c>
      <c r="AJ15" s="9">
        <f>IF(Table622027323334171819304652[[#This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IF(Table622027323334171819304652[[#This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IF(Table622027323334171819304652[[#This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IF(Table622027323334171819304652[[#This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IF(Table622027323334171819304652[[#This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IF(Table622027323334171819304652[[#This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IF(Table622027323334171819304652[[#This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IF(Table622027323334171819304652[[#This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IF(Table622027323334171819304652[[#This Row],[Non-Member]]="X"," ",IF(AH16=" "," ",IFERROR(VLOOKUP(AG16,Points!$A$2:$B$14,2,FALSE)," ")))</f>
        <v xml:space="preserve"> </v>
      </c>
      <c r="AJ16" s="23">
        <f>IF(Table622027323334171819304652[[#This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IF(Table622027323334171819304652[[#This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IF(Table622027323334171819304652[[#This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IF(Table622027323334171819304652[[#This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IF(Table622027323334171819304652[[#This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IF(Table622027323334171819304652[[#This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IF(Table622027323334171819304652[[#This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IF(Table622027323334171819304652[[#This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IF(Table622027323334171819304652[[#This Row],[Non-Member]]="X"," ",IF(AH17=" "," ",IFERROR(VLOOKUP(AG17,Points!$A$2:$B$14,2,FALSE)," ")))</f>
        <v xml:space="preserve"> </v>
      </c>
      <c r="AJ17" s="23">
        <f>IF(Table622027323334171819304652[[#This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IF(Table622027323334171819304652[[#This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IF(Table622027323334171819304652[[#This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IF(Table622027323334171819304652[[#This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IF(Table622027323334171819304652[[#This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IF(Table622027323334171819304652[[#This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IF(Table622027323334171819304652[[#This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IF(Table622027323334171819304652[[#This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IF(Table622027323334171819304652[[#This Row],[Non-Member]]="X"," ",IF(AH18=" "," ",IFERROR(VLOOKUP(AG18,Points!$A$2:$B$14,2,FALSE)," ")))</f>
        <v xml:space="preserve"> </v>
      </c>
      <c r="AJ18" s="23">
        <f>IF(Table622027323334171819304652[[#This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IF(Table622027323334171819304652[[#This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IF(Table622027323334171819304652[[#This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IF(Table622027323334171819304652[[#This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IF(Table622027323334171819304652[[#This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IF(Table622027323334171819304652[[#This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IF(Table622027323334171819304652[[#This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IF(Table622027323334171819304652[[#This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IF(Table622027323334171819304652[[#This Row],[Non-Member]]="X"," ",IF(AH19=" "," ",IFERROR(VLOOKUP(AG19,Points!$A$2:$B$14,2,FALSE)," ")))</f>
        <v xml:space="preserve"> </v>
      </c>
      <c r="AJ19" s="9">
        <f>IF(Table622027323334171819304652[[#This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IF(Table622027323334171819304652[[#This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IF(Table622027323334171819304652[[#This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IF(Table622027323334171819304652[[#This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IF(Table622027323334171819304652[[#This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IF(Table622027323334171819304652[[#This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IF(Table622027323334171819304652[[#This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IF(Table622027323334171819304652[[#This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IF(Table622027323334171819304652[[#This Row],[Non-Member]]="X"," ",IF(AH20=" "," ",IFERROR(VLOOKUP(AG20,Points!$A$2:$B$14,2,FALSE)," ")))</f>
        <v xml:space="preserve"> </v>
      </c>
      <c r="AJ20" s="9">
        <f>IF(Table622027323334171819304652[[#This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IF(Table622027323334171819304652[[#This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IF(Table622027323334171819304652[[#This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IF(Table622027323334171819304652[[#This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IF(Table622027323334171819304652[[#This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IF(Table622027323334171819304652[[#This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IF(Table622027323334171819304652[[#This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IF(Table622027323334171819304652[[#This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IF(Table622027323334171819304652[[#This Row],[Non-Member]]="X"," ",IF(AH21=" "," ",IFERROR(VLOOKUP(AG21,Points!$A$2:$B$14,2,FALSE)," ")))</f>
        <v xml:space="preserve"> </v>
      </c>
      <c r="AJ21" s="9">
        <f>IF(Table622027323334171819304652[[#This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IF(Table622027323334171819304652[[#This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IF(Table622027323334171819304652[[#This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IF(Table622027323334171819304652[[#This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IF(Table622027323334171819304652[[#This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IF(Table622027323334171819304652[[#This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IF(Table622027323334171819304652[[#This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IF(Table622027323334171819304652[[#This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IF(Table622027323334171819304652[[#This Row],[Non-Member]]="X"," ",IF(AH22=" "," ",IFERROR(VLOOKUP(AG22,Points!$A$2:$B$14,2,FALSE)," ")))</f>
        <v xml:space="preserve"> </v>
      </c>
      <c r="AJ22" s="9">
        <f>IF(Table622027323334171819304652[[#This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IF(Table622027323334171819304652[[#This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IF(Table622027323334171819304652[[#This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IF(Table622027323334171819304652[[#This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IF(Table622027323334171819304652[[#This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IF(Table622027323334171819304652[[#This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IF(Table622027323334171819304652[[#This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IF(Table622027323334171819304652[[#This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IF(Table622027323334171819304652[[#This Row],[Non-Member]]="X"," ",IF(AH23=" "," ",IFERROR(VLOOKUP(AG23,Points!$A$2:$B$14,2,FALSE)," ")))</f>
        <v xml:space="preserve"> </v>
      </c>
      <c r="AJ23" s="9">
        <f>IF(Table622027323334171819304652[[#This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IF(Table622027323334171819304652[[#This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IF(Table622027323334171819304652[[#This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IF(Table622027323334171819304652[[#This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IF(Table622027323334171819304652[[#This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IF(Table622027323334171819304652[[#This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IF(Table622027323334171819304652[[#This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IF(Table622027323334171819304652[[#This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IF(Table622027323334171819304652[[#This Row],[Non-Member]]="X"," ",IF(AH24=" "," ",IFERROR(VLOOKUP(AG24,Points!$A$2:$B$14,2,FALSE)," ")))</f>
        <v xml:space="preserve"> </v>
      </c>
      <c r="AJ24" s="9">
        <f>IF(Table622027323334171819304652[[#This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33LT9Y4haW1Qj4sFm+nmoz/mvCFSsVeTlLTinjpZkQhBqO33XFbO7aLMwhABPEA/8qZmP94jRVPl1IBmhdWIbw==" saltValue="YV+6MU/d+2Wcq4BdbkJMT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1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B22" sqref="B2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7265625" style="58" customWidth="1"/>
    <col min="5" max="11" width="24.7265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75" t="s">
        <v>123</v>
      </c>
      <c r="C2" s="176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73" t="s">
        <v>4</v>
      </c>
      <c r="N2" s="174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167</v>
      </c>
      <c r="C5" s="84"/>
      <c r="D5" s="133"/>
      <c r="E5" s="133"/>
      <c r="F5" s="133">
        <v>30</v>
      </c>
      <c r="G5" s="133"/>
      <c r="H5" s="133"/>
      <c r="I5" s="133"/>
      <c r="J5" s="133"/>
      <c r="K5" s="133"/>
      <c r="L5" s="86">
        <f>IF(Table622027323334171819305147[[#This Row],[Non-Member]]="X"," ",((IF(D5=" ",0,D5))+(IF(E5=" ",0,E5))+(IF(F5=" ",0,F5))+(IF(G5=" ",0,G5))+(IF(H5=" ",0,H5))+(IF(I5=" ",0,I5))+(IF(J5=" ",0,J5))+(IF(K5=" ",0,K5))))</f>
        <v>30</v>
      </c>
      <c r="M5" s="88">
        <f t="shared" ref="M5:M24" si="0">IF(L5=0," ",L5)</f>
        <v>30</v>
      </c>
      <c r="N5" s="89">
        <f t="shared" ref="N5:N24" si="1">IF(M5=" "," ",RANK(M5,$M$5:$M$24))</f>
        <v>1</v>
      </c>
    </row>
    <row r="6" spans="2:14" x14ac:dyDescent="0.3">
      <c r="B6" s="90" t="s">
        <v>152</v>
      </c>
      <c r="C6" s="91"/>
      <c r="D6" s="134"/>
      <c r="E6" s="134"/>
      <c r="F6" s="134"/>
      <c r="G6" s="134">
        <v>18</v>
      </c>
      <c r="H6" s="134"/>
      <c r="I6" s="134"/>
      <c r="J6" s="134"/>
      <c r="K6" s="134"/>
      <c r="L6" s="93">
        <f>IF(Table622027323334171819305147[[#This Row],[Non-Member]]="X"," ",((IF(D6=" ",0,D6))+(IF(E6=" ",0,E6))+(IF(F6=" ",0,F6))+(IF(G6=" ",0,G6))+(IF(H6=" ",0,H6))+(IF(I6=" ",0,I6))+(IF(J6=" ",0,J6))+(IF(K6=" ",0,K6))))</f>
        <v>18</v>
      </c>
      <c r="M6" s="95">
        <f t="shared" si="0"/>
        <v>18</v>
      </c>
      <c r="N6" s="96">
        <f t="shared" si="1"/>
        <v>2</v>
      </c>
    </row>
    <row r="7" spans="2:14" x14ac:dyDescent="0.3">
      <c r="B7" s="90" t="s">
        <v>297</v>
      </c>
      <c r="C7" s="91"/>
      <c r="D7" s="134"/>
      <c r="E7" s="134"/>
      <c r="F7" s="134">
        <v>15</v>
      </c>
      <c r="G7" s="134"/>
      <c r="H7" s="134"/>
      <c r="I7" s="134"/>
      <c r="J7" s="134"/>
      <c r="K7" s="134"/>
      <c r="L7" s="93">
        <f>IF(Table622027323334171819305147[[#This Row],[Non-Member]]="X"," ",((IF(D7=" ",0,D7))+(IF(E7=" ",0,E7))+(IF(F7=" ",0,F7))+(IF(G7=" ",0,G7))+(IF(H7=" ",0,H7))+(IF(I7=" ",0,I7))+(IF(J7=" ",0,J7))+(IF(K7=" ",0,K7))))</f>
        <v>15</v>
      </c>
      <c r="M7" s="95">
        <f t="shared" si="0"/>
        <v>15</v>
      </c>
      <c r="N7" s="96">
        <f t="shared" si="1"/>
        <v>3</v>
      </c>
    </row>
    <row r="8" spans="2:14" x14ac:dyDescent="0.3">
      <c r="B8" s="90" t="s">
        <v>224</v>
      </c>
      <c r="C8" s="91"/>
      <c r="D8" s="134"/>
      <c r="E8" s="134"/>
      <c r="F8" s="134"/>
      <c r="G8" s="134">
        <v>15</v>
      </c>
      <c r="H8" s="134"/>
      <c r="I8" s="134"/>
      <c r="J8" s="134"/>
      <c r="K8" s="134"/>
      <c r="L8" s="93">
        <f>IF(Table622027323334171819305147[[#This Row],[Non-Member]]="X"," ",((IF(D8=" ",0,D8))+(IF(E8=" ",0,E8))+(IF(F8=" ",0,F8))+(IF(G8=" ",0,G8))+(IF(H8=" ",0,H8))+(IF(I8=" ",0,I8))+(IF(J8=" ",0,J8))+(IF(K8=" ",0,K8))))</f>
        <v>15</v>
      </c>
      <c r="M8" s="95">
        <f t="shared" si="0"/>
        <v>15</v>
      </c>
      <c r="N8" s="96">
        <f t="shared" si="1"/>
        <v>3</v>
      </c>
    </row>
    <row r="9" spans="2:14" x14ac:dyDescent="0.3">
      <c r="B9" s="90"/>
      <c r="C9" s="91"/>
      <c r="D9" s="134"/>
      <c r="E9" s="134"/>
      <c r="F9" s="134"/>
      <c r="G9" s="134"/>
      <c r="H9" s="134"/>
      <c r="I9" s="134"/>
      <c r="J9" s="134"/>
      <c r="K9" s="134"/>
      <c r="L9" s="93">
        <f>IF(Table622027323334171819305147[[#This Row],[Non-Member]]="X"," ",((IF(D9=" ",0,D9))+(IF(E9=" ",0,E9))+(IF(F9=" ",0,F9))+(IF(G9=" ",0,G9))+(IF(H9=" ",0,H9))+(IF(I9=" ",0,I9))+(IF(J9=" ",0,J9))+(IF(K9=" ",0,K9))))</f>
        <v>0</v>
      </c>
      <c r="M9" s="95" t="str">
        <f t="shared" si="0"/>
        <v xml:space="preserve"> </v>
      </c>
      <c r="N9" s="96" t="str">
        <f t="shared" si="1"/>
        <v xml:space="preserve"> </v>
      </c>
    </row>
    <row r="10" spans="2:14" x14ac:dyDescent="0.3">
      <c r="B10" s="90"/>
      <c r="C10" s="91"/>
      <c r="D10" s="134"/>
      <c r="E10" s="134"/>
      <c r="F10" s="134"/>
      <c r="G10" s="134"/>
      <c r="H10" s="134"/>
      <c r="I10" s="134"/>
      <c r="J10" s="134"/>
      <c r="K10" s="134"/>
      <c r="L10" s="93">
        <f>IF(Table622027323334171819305147[[#This Row],[Non-Member]]="X"," ",((IF(D10=" ",0,D10))+(IF(E10=" ",0,E10))+(IF(F10=" ",0,F10))+(IF(G10=" ",0,G10))+(IF(H10=" ",0,H10))+(IF(I10=" ",0,I10))+(IF(J10=" ",0,J10))+(IF(K10=" ",0,K10))))</f>
        <v>0</v>
      </c>
      <c r="M10" s="95" t="str">
        <f t="shared" si="0"/>
        <v xml:space="preserve"> </v>
      </c>
      <c r="N10" s="96" t="str">
        <f t="shared" si="1"/>
        <v xml:space="preserve"> </v>
      </c>
    </row>
    <row r="11" spans="2:14" x14ac:dyDescent="0.3">
      <c r="B11" s="90"/>
      <c r="C11" s="91"/>
      <c r="D11" s="134"/>
      <c r="E11" s="134"/>
      <c r="F11" s="134"/>
      <c r="G11" s="134"/>
      <c r="H11" s="134"/>
      <c r="I11" s="134"/>
      <c r="J11" s="134"/>
      <c r="K11" s="134"/>
      <c r="L11" s="93">
        <f>IF(Table622027323334171819305147[[#This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3">
      <c r="B12" s="90"/>
      <c r="C12" s="91"/>
      <c r="D12" s="134"/>
      <c r="E12" s="134"/>
      <c r="F12" s="134"/>
      <c r="G12" s="134"/>
      <c r="H12" s="134"/>
      <c r="I12" s="134"/>
      <c r="J12" s="134"/>
      <c r="K12" s="134"/>
      <c r="L12" s="93">
        <f>IF(Table622027323334171819305147[[#This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3">
      <c r="B13" s="90"/>
      <c r="C13" s="91"/>
      <c r="D13" s="134"/>
      <c r="E13" s="134"/>
      <c r="F13" s="134"/>
      <c r="G13" s="134"/>
      <c r="H13" s="134"/>
      <c r="I13" s="134"/>
      <c r="J13" s="134"/>
      <c r="K13" s="134"/>
      <c r="L13" s="93">
        <f>IF(Table622027323334171819305147[[#This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IF(Table622027323334171819305147[[#This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IF(Table622027323334171819305147[[#This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7">
        <f>IF(Table622027323334171819305147[[#This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IF(Table622027323334171819305147[[#This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7">
        <f>IF(Table622027323334171819305147[[#This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IF(Table622027323334171819305147[[#This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IF(Table622027323334171819305147[[#This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4XSXPLmci6EPRGa8P0bx+gyiZXqUPjRsefiK4VVZDvxoO9tGBxymrmK/0jl3hOae1/5UEjCUCMKaKwThOSvscA==" saltValue="3Tdz5zpNniHNmgE3zzZ9FA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C36" sqref="C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124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IF(Table6220273233162753[[#This Row],[Non-Member]]="X"," ",IF(F5=" "," ",IFERROR(VLOOKUP(E5,Points!$A$2:$B$14,2,FALSE)," ")))</f>
        <v xml:space="preserve"> </v>
      </c>
      <c r="H5" s="85">
        <v>12.66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IF(Table6220273233162753[[#This Row],[Non-Member]]="X"," ",IF(J5=" "," ",IFERROR(VLOOKUP(I5,Points!$A$2:$B$14,2,FALSE)," ")))</f>
        <v>18</v>
      </c>
      <c r="L5" s="85">
        <v>14.77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IF(Table6220273233162753[[#This Row],[Non-Member]]="X"," ",IF(N5=" "," ",IFERROR(VLOOKUP(M5,Points!$A$2:$B$14,2,FALSE)," ")))</f>
        <v>15</v>
      </c>
      <c r="P5" s="85">
        <v>14.09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IF(Table6220273233162753[[#This Row],[Non-Member]]="X"," ",IF(R5=" "," ",IFERROR(VLOOKUP(Q5,Points!$A$2:$B$14,2,FALSE)," ")))</f>
        <v>15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IF(Table6220273233162753[[#This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IF(Table6220273233162753[[#This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IF(Table6220273233162753[[#This Row],[Non-Member]]="X"," ",IF(AD5=" "," ",IFERROR(VLOOKUP(AC5,Points!$A$2:$B$14,2,FALSE)," ")))</f>
        <v xml:space="preserve"> </v>
      </c>
      <c r="AF5" s="161"/>
      <c r="AG5" s="86"/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IF(Table6220273233162753[[#This Row],[Non-Member]]="X"," ",IF(AH5=" "," ",IFERROR(VLOOKUP(AG5,Points!$A$2:$B$14,2,FALSE)," ")))</f>
        <v xml:space="preserve"> </v>
      </c>
      <c r="AJ5" s="86">
        <f>IF(Table6220273233162753[[#This Row],[Non-Member]]="X"," ",((IF(G5=" ",0,G5))+(IF(K5=" ",0,K5))+(IF(O5=" ",0,O5))+(IF(S5=" ",0,S5))+(IF(W5=" ",0,W5))+(IF(AA5=" ",0,AA5))+(IF(AE5=" ",0,AE5))+(IF(AI5=" ",0,AI5))))</f>
        <v>48</v>
      </c>
      <c r="AK5" s="88">
        <f t="shared" ref="AK5:AK24" si="15">IF(AJ5=0," ",AJ5)</f>
        <v>48</v>
      </c>
      <c r="AL5" s="89">
        <f t="shared" ref="AL5:AL24" si="16">IF(AK5=" "," ",RANK(AK5,$AK$5:$AK$24))</f>
        <v>1</v>
      </c>
    </row>
    <row r="6" spans="2:38" x14ac:dyDescent="0.3">
      <c r="B6" s="90" t="s">
        <v>221</v>
      </c>
      <c r="C6" s="91"/>
      <c r="D6" s="135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IF(Table6220273233162753[[#This Row],[Non-Member]]="X"," ",IF(F6=" "," ",IFERROR(VLOOKUP(E6,Points!$A$2:$B$14,2,FALSE)," ")))</f>
        <v xml:space="preserve"> </v>
      </c>
      <c r="H6" s="92">
        <v>19.760000000000002</v>
      </c>
      <c r="I6" s="93">
        <f t="shared" si="2"/>
        <v>4</v>
      </c>
      <c r="J6" s="93">
        <f t="shared" si="3"/>
        <v>4</v>
      </c>
      <c r="K6" s="94">
        <f>IF(Table6220273233162753[[#This Row],[Non-Member]]="X"," ",IF(J6=" "," ",IFERROR(VLOOKUP(I6,Points!$A$2:$B$14,2,FALSE)," ")))</f>
        <v>9</v>
      </c>
      <c r="L6" s="92">
        <v>13.69</v>
      </c>
      <c r="M6" s="93">
        <f t="shared" si="4"/>
        <v>1</v>
      </c>
      <c r="N6" s="93">
        <f t="shared" si="5"/>
        <v>1</v>
      </c>
      <c r="O6" s="94">
        <f>IF(Table6220273233162753[[#This Row],[Non-Member]]="X"," ",IF(N6=" "," ",IFERROR(VLOOKUP(M6,Points!$A$2:$B$14,2,FALSE)," ")))</f>
        <v>18</v>
      </c>
      <c r="P6" s="92">
        <v>16.77</v>
      </c>
      <c r="Q6" s="93">
        <f t="shared" si="6"/>
        <v>6</v>
      </c>
      <c r="R6" s="93">
        <f t="shared" si="7"/>
        <v>6</v>
      </c>
      <c r="S6" s="94">
        <f>IF(Table6220273233162753[[#This Row],[Non-Member]]="X"," ",IF(R6=" "," ",IFERROR(VLOOKUP(Q6,Points!$A$2:$B$14,2,FALSE)," ")))</f>
        <v>3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IF(Table6220273233162753[[#This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IF(Table6220273233162753[[#This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IF(Table6220273233162753[[#This Row],[Non-Member]]="X"," ",IF(AD6=" "," ",IFERROR(VLOOKUP(AC6,Points!$A$2:$B$14,2,FALSE)," ")))</f>
        <v xml:space="preserve"> </v>
      </c>
      <c r="AF6" s="92"/>
      <c r="AG6" s="93"/>
      <c r="AH6" s="93" t="str">
        <f t="shared" si="14"/>
        <v xml:space="preserve"> </v>
      </c>
      <c r="AI6" s="94" t="str">
        <f>IF(Table6220273233162753[[#This Row],[Non-Member]]="X"," ",IF(AH6=" "," ",IFERROR(VLOOKUP(AG6,Points!$A$2:$B$14,2,FALSE)," ")))</f>
        <v xml:space="preserve"> </v>
      </c>
      <c r="AJ6" s="93">
        <f>IF(Table6220273233162753[[#This Row],[Non-Member]]="X"," ",((IF(G6=" ",0,G6))+(IF(K6=" ",0,K6))+(IF(O6=" ",0,O6))+(IF(S6=" ",0,S6))+(IF(W6=" ",0,W6))+(IF(AA6=" ",0,AA6))+(IF(AE6=" ",0,AE6))+(IF(AI6=" ",0,AI6))))</f>
        <v>30</v>
      </c>
      <c r="AK6" s="95">
        <f t="shared" si="15"/>
        <v>30</v>
      </c>
      <c r="AL6" s="96">
        <f t="shared" si="16"/>
        <v>2</v>
      </c>
    </row>
    <row r="7" spans="2:38" x14ac:dyDescent="0.3">
      <c r="B7" s="90" t="s">
        <v>222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IF(Table6220273233162753[[#This Row],[Non-Member]]="X"," ",IF(F7=" "," ",IFERROR(VLOOKUP(E7,Points!$A$2:$B$14,2,FALSE)," ")))</f>
        <v xml:space="preserve"> </v>
      </c>
      <c r="H7" s="92">
        <v>15.24</v>
      </c>
      <c r="I7" s="93">
        <f t="shared" si="2"/>
        <v>3</v>
      </c>
      <c r="J7" s="93">
        <f t="shared" si="3"/>
        <v>3</v>
      </c>
      <c r="K7" s="94">
        <f>IF(Table6220273233162753[[#This Row],[Non-Member]]="X"," ",IF(J7=" "," ",IFERROR(VLOOKUP(I7,Points!$A$2:$B$14,2,FALSE)," ")))</f>
        <v>12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IF(Table6220273233162753[[#This Row],[Non-Member]]="X"," ",IF(N7=" "," ",IFERROR(VLOOKUP(M7,Points!$A$2:$B$14,2,FALSE)," ")))</f>
        <v xml:space="preserve"> </v>
      </c>
      <c r="P7" s="92">
        <v>12.75</v>
      </c>
      <c r="Q7" s="93">
        <f t="shared" si="6"/>
        <v>1</v>
      </c>
      <c r="R7" s="93">
        <f t="shared" si="7"/>
        <v>1</v>
      </c>
      <c r="S7" s="94">
        <f>IF(Table6220273233162753[[#This Row],[Non-Member]]="X"," ",IF(R7=" "," ",IFERROR(VLOOKUP(Q7,Points!$A$2:$B$14,2,FALSE)," ")))</f>
        <v>18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IF(Table6220273233162753[[#This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IF(Table6220273233162753[[#This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IF(Table6220273233162753[[#This Row],[Non-Member]]="X"," ",IF(AD7=" "," ",IFERROR(VLOOKUP(AC7,Points!$A$2:$B$14,2,FALSE)," ")))</f>
        <v xml:space="preserve"> </v>
      </c>
      <c r="AF7" s="92"/>
      <c r="AG7" s="93"/>
      <c r="AH7" s="93" t="str">
        <f t="shared" si="14"/>
        <v xml:space="preserve"> </v>
      </c>
      <c r="AI7" s="94" t="str">
        <f>IF(Table6220273233162753[[#This Row],[Non-Member]]="X"," ",IF(AH7=" "," ",IFERROR(VLOOKUP(AG7,Points!$A$2:$B$14,2,FALSE)," ")))</f>
        <v xml:space="preserve"> </v>
      </c>
      <c r="AJ7" s="93">
        <f>IF(Table6220273233162753[[#This Row],[Non-Member]]="X"," ",((IF(G7=" ",0,G7))+(IF(K7=" ",0,K7))+(IF(O7=" ",0,O7))+(IF(S7=" ",0,S7))+(IF(W7=" ",0,W7))+(IF(AA7=" ",0,AA7))+(IF(AE7=" ",0,AE7))+(IF(AI7=" ",0,AI7))))</f>
        <v>30</v>
      </c>
      <c r="AK7" s="95">
        <f t="shared" si="15"/>
        <v>30</v>
      </c>
      <c r="AL7" s="96">
        <f t="shared" si="16"/>
        <v>2</v>
      </c>
    </row>
    <row r="8" spans="2:38" x14ac:dyDescent="0.3">
      <c r="B8" s="90" t="s">
        <v>226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IF(Table6220273233162753[[#This Row],[Non-Member]]="X"," ",IF(F8=" "," ",IFERROR(VLOOKUP(E8,Points!$A$2:$B$14,2,FALSE)," ")))</f>
        <v xml:space="preserve"> </v>
      </c>
      <c r="H8" s="92">
        <v>14.13</v>
      </c>
      <c r="I8" s="93">
        <f t="shared" si="2"/>
        <v>2</v>
      </c>
      <c r="J8" s="93">
        <f t="shared" si="3"/>
        <v>2</v>
      </c>
      <c r="K8" s="94">
        <f>IF(Table6220273233162753[[#This Row],[Non-Member]]="X"," ",IF(J8=" "," ",IFERROR(VLOOKUP(I8,Points!$A$2:$B$14,2,FALSE)," ")))</f>
        <v>15</v>
      </c>
      <c r="L8" s="92">
        <v>20.5</v>
      </c>
      <c r="M8" s="93">
        <f t="shared" si="4"/>
        <v>5</v>
      </c>
      <c r="N8" s="93">
        <f t="shared" si="5"/>
        <v>5</v>
      </c>
      <c r="O8" s="94">
        <f>IF(Table6220273233162753[[#This Row],[Non-Member]]="X"," ",IF(N8=" "," ",IFERROR(VLOOKUP(M8,Points!$A$2:$B$14,2,FALSE)," ")))</f>
        <v>6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IF(Table6220273233162753[[#This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IF(Table6220273233162753[[#This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IF(Table6220273233162753[[#This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IF(Table6220273233162753[[#This Row],[Non-Member]]="X"," ",IF(AD8=" "," ",IFERROR(VLOOKUP(AC8,Points!$A$2:$B$14,2,FALSE)," ")))</f>
        <v xml:space="preserve"> </v>
      </c>
      <c r="AF8" s="92"/>
      <c r="AG8" s="93"/>
      <c r="AH8" s="93" t="str">
        <f t="shared" si="14"/>
        <v xml:space="preserve"> </v>
      </c>
      <c r="AI8" s="94" t="str">
        <f>IF(Table6220273233162753[[#This Row],[Non-Member]]="X"," ",IF(AH8=" "," ",IFERROR(VLOOKUP(AG8,Points!$A$2:$B$14,2,FALSE)," ")))</f>
        <v xml:space="preserve"> </v>
      </c>
      <c r="AJ8" s="93">
        <f>IF(Table6220273233162753[[#This Row],[Non-Member]]="X"," ",((IF(G8=" ",0,G8))+(IF(K8=" ",0,K8))+(IF(O8=" ",0,O8))+(IF(S8=" ",0,S8))+(IF(W8=" ",0,W8))+(IF(AA8=" ",0,AA8))+(IF(AE8=" ",0,AE8))+(IF(AI8=" ",0,AI8))))</f>
        <v>21</v>
      </c>
      <c r="AK8" s="95">
        <f t="shared" si="15"/>
        <v>21</v>
      </c>
      <c r="AL8" s="96">
        <f t="shared" si="16"/>
        <v>4</v>
      </c>
    </row>
    <row r="9" spans="2:38" x14ac:dyDescent="0.3">
      <c r="B9" s="90" t="s">
        <v>146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IF(Table6220273233162753[[#This Row],[Non-Member]]="X"," ",IF(F9=" "," ",IFERROR(VLOOKUP(E9,Points!$A$2:$B$14,2,FALSE)," ")))</f>
        <v xml:space="preserve"> </v>
      </c>
      <c r="H9" s="92">
        <v>22.51</v>
      </c>
      <c r="I9" s="97">
        <f t="shared" si="2"/>
        <v>5</v>
      </c>
      <c r="J9" s="97">
        <f t="shared" si="3"/>
        <v>5</v>
      </c>
      <c r="K9" s="94">
        <f>IF(Table6220273233162753[[#This Row],[Non-Member]]="X"," ",IF(J9=" "," ",IFERROR(VLOOKUP(I9,Points!$A$2:$B$14,2,FALSE)," ")))</f>
        <v>6</v>
      </c>
      <c r="L9" s="92">
        <v>15.64</v>
      </c>
      <c r="M9" s="97">
        <f t="shared" si="4"/>
        <v>3</v>
      </c>
      <c r="N9" s="97">
        <f t="shared" si="5"/>
        <v>3</v>
      </c>
      <c r="O9" s="94">
        <f>IF(Table6220273233162753[[#This Row],[Non-Member]]="X"," ",IF(N9=" "," ",IFERROR(VLOOKUP(M9,Points!$A$2:$B$14,2,FALSE)," ")))</f>
        <v>12</v>
      </c>
      <c r="P9" s="92">
        <v>0</v>
      </c>
      <c r="Q9" s="97" t="str">
        <f t="shared" si="6"/>
        <v xml:space="preserve"> </v>
      </c>
      <c r="R9" s="97" t="str">
        <f t="shared" si="7"/>
        <v xml:space="preserve"> </v>
      </c>
      <c r="S9" s="94" t="str">
        <f>IF(Table6220273233162753[[#This Row],[Non-Member]]="X"," ",IF(R9=" "," ",IFERROR(VLOOKUP(Q9,Points!$A$2:$B$14,2,FALSE)," ")))</f>
        <v xml:space="preserve"> </v>
      </c>
      <c r="T9" s="92"/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IF(Table6220273233162753[[#This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IF(Table6220273233162753[[#This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IF(Table6220273233162753[[#This Row],[Non-Member]]="X"," ",IF(AD9=" "," ",IFERROR(VLOOKUP(AC9,Points!$A$2:$B$14,2,FALSE)," ")))</f>
        <v xml:space="preserve"> </v>
      </c>
      <c r="AF9" s="92" t="str">
        <f t="shared" ref="AF9:AF18" si="17">IF(OR(X9=0,AB9=0)," ",X9+AB9)</f>
        <v xml:space="preserve"> </v>
      </c>
      <c r="AG9" s="97" t="str">
        <f t="shared" ref="AG9:AG18" si="18">IF(OR(AF9=0,AF9=" ")," ",_xlfn.RANK.AVG(AF9,AF$5:AF$24,1)-COUNTIF(AF$5:AF$24,0))</f>
        <v xml:space="preserve"> </v>
      </c>
      <c r="AH9" s="97" t="str">
        <f t="shared" si="14"/>
        <v xml:space="preserve"> </v>
      </c>
      <c r="AI9" s="94" t="str">
        <f>IF(Table6220273233162753[[#This Row],[Non-Member]]="X"," ",IF(AH9=" "," ",IFERROR(VLOOKUP(AG9,Points!$A$2:$B$14,2,FALSE)," ")))</f>
        <v xml:space="preserve"> </v>
      </c>
      <c r="AJ9" s="97">
        <f>IF(Table6220273233162753[[#This Row],[Non-Member]]="X"," ",((IF(G9=" ",0,G9))+(IF(K9=" ",0,K9))+(IF(O9=" ",0,O9))+(IF(S9=" ",0,S9))+(IF(W9=" ",0,W9))+(IF(AA9=" ",0,AA9))+(IF(AE9=" ",0,AE9))+(IF(AI9=" ",0,AI9))))</f>
        <v>18</v>
      </c>
      <c r="AK9" s="95">
        <f t="shared" si="15"/>
        <v>18</v>
      </c>
      <c r="AL9" s="98">
        <f t="shared" si="16"/>
        <v>5</v>
      </c>
    </row>
    <row r="10" spans="2:38" x14ac:dyDescent="0.3">
      <c r="B10" s="90" t="s">
        <v>220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IF(Table6220273233162753[[#This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IF(Table6220273233162753[[#This Row],[Non-Member]]="X"," ",IF(J10=" "," ",IFERROR(VLOOKUP(I10,Points!$A$2:$B$14,2,FALSE)," ")))</f>
        <v xml:space="preserve"> </v>
      </c>
      <c r="L10" s="92">
        <v>28.56</v>
      </c>
      <c r="M10" s="93">
        <f t="shared" si="4"/>
        <v>8</v>
      </c>
      <c r="N10" s="93" t="str">
        <f t="shared" si="5"/>
        <v xml:space="preserve"> </v>
      </c>
      <c r="O10" s="94" t="str">
        <f>IF(Table6220273233162753[[#This Row],[Non-Member]]="X"," ",IF(N10=" "," ",IFERROR(VLOOKUP(M10,Points!$A$2:$B$14,2,FALSE)," ")))</f>
        <v xml:space="preserve"> </v>
      </c>
      <c r="P10" s="92">
        <v>15.28</v>
      </c>
      <c r="Q10" s="93">
        <f t="shared" si="6"/>
        <v>3</v>
      </c>
      <c r="R10" s="93">
        <f t="shared" si="7"/>
        <v>3</v>
      </c>
      <c r="S10" s="94">
        <f>IF(Table6220273233162753[[#This Row],[Non-Member]]="X"," ",IF(R10=" "," ",IFERROR(VLOOKUP(Q10,Points!$A$2:$B$14,2,FALSE)," ")))</f>
        <v>12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IF(Table6220273233162753[[#This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IF(Table6220273233162753[[#This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IF(Table6220273233162753[[#This Row],[Non-Member]]="X"," ",IF(AD10=" "," ",IFERROR(VLOOKUP(AC10,Points!$A$2:$B$14,2,FALSE)," ")))</f>
        <v xml:space="preserve"> </v>
      </c>
      <c r="AF10" s="92" t="str">
        <f t="shared" si="17"/>
        <v xml:space="preserve"> </v>
      </c>
      <c r="AG10" s="93" t="str">
        <f t="shared" si="18"/>
        <v xml:space="preserve"> </v>
      </c>
      <c r="AH10" s="93" t="str">
        <f t="shared" si="14"/>
        <v xml:space="preserve"> </v>
      </c>
      <c r="AI10" s="94" t="str">
        <f>IF(Table6220273233162753[[#This Row],[Non-Member]]="X"," ",IF(AH10=" "," ",IFERROR(VLOOKUP(AG10,Points!$A$2:$B$14,2,FALSE)," ")))</f>
        <v xml:space="preserve"> </v>
      </c>
      <c r="AJ10" s="93">
        <f>IF(Table6220273233162753[[#This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5"/>
        <v>12</v>
      </c>
      <c r="AL10" s="96">
        <f t="shared" si="16"/>
        <v>6</v>
      </c>
    </row>
    <row r="11" spans="2:38" x14ac:dyDescent="0.3">
      <c r="B11" s="90" t="s">
        <v>295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IF(Table6220273233162753[[#This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IF(Table6220273233162753[[#This Row],[Non-Member]]="X"," ",IF(J11=" "," ",IFERROR(VLOOKUP(I11,Points!$A$2:$B$14,2,FALSE)," ")))</f>
        <v xml:space="preserve"> </v>
      </c>
      <c r="L11" s="92">
        <v>16.82</v>
      </c>
      <c r="M11" s="93">
        <f t="shared" si="4"/>
        <v>4</v>
      </c>
      <c r="N11" s="93">
        <f t="shared" si="5"/>
        <v>4</v>
      </c>
      <c r="O11" s="94">
        <f>IF(Table6220273233162753[[#This Row],[Non-Member]]="X"," ",IF(N11=" "," ",IFERROR(VLOOKUP(M11,Points!$A$2:$B$14,2,FALSE)," ")))</f>
        <v>9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IF(Table6220273233162753[[#This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IF(Table6220273233162753[[#This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IF(Table6220273233162753[[#This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IF(Table6220273233162753[[#This Row],[Non-Member]]="X"," ",IF(AD11=" "," ",IFERROR(VLOOKUP(AC11,Points!$A$2:$B$14,2,FALSE)," ")))</f>
        <v xml:space="preserve"> </v>
      </c>
      <c r="AF11" s="92" t="str">
        <f t="shared" si="17"/>
        <v xml:space="preserve"> </v>
      </c>
      <c r="AG11" s="93" t="str">
        <f t="shared" si="18"/>
        <v xml:space="preserve"> </v>
      </c>
      <c r="AH11" s="93" t="str">
        <f t="shared" si="14"/>
        <v xml:space="preserve"> </v>
      </c>
      <c r="AI11" s="94" t="str">
        <f>IF(Table6220273233162753[[#This Row],[Non-Member]]="X"," ",IF(AH11=" "," ",IFERROR(VLOOKUP(AG11,Points!$A$2:$B$14,2,FALSE)," ")))</f>
        <v xml:space="preserve"> </v>
      </c>
      <c r="AJ11" s="93">
        <f>IF(Table6220273233162753[[#This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5"/>
        <v>9</v>
      </c>
      <c r="AL11" s="96">
        <f t="shared" si="16"/>
        <v>7</v>
      </c>
    </row>
    <row r="12" spans="2:38" x14ac:dyDescent="0.3">
      <c r="B12" s="90" t="s">
        <v>153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IF(Table6220273233162753[[#This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IF(Table6220273233162753[[#This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IF(Table6220273233162753[[#This Row],[Non-Member]]="X"," ",IF(N12=" "," ",IFERROR(VLOOKUP(M12,Points!$A$2:$B$14,2,FALSE)," ")))</f>
        <v xml:space="preserve"> </v>
      </c>
      <c r="P12" s="92">
        <v>15.6</v>
      </c>
      <c r="Q12" s="93">
        <f t="shared" si="6"/>
        <v>4</v>
      </c>
      <c r="R12" s="93">
        <f t="shared" si="7"/>
        <v>4</v>
      </c>
      <c r="S12" s="94">
        <f>IF(Table6220273233162753[[#This Row],[Non-Member]]="X"," ",IF(R12=" "," ",IFERROR(VLOOKUP(Q12,Points!$A$2:$B$14,2,FALSE)," ")))</f>
        <v>9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IF(Table6220273233162753[[#This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IF(Table6220273233162753[[#This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IF(Table6220273233162753[[#This Row],[Non-Member]]="X"," ",IF(AD12=" "," ",IFERROR(VLOOKUP(AC12,Points!$A$2:$B$14,2,FALSE)," ")))</f>
        <v xml:space="preserve"> </v>
      </c>
      <c r="AF12" s="92" t="str">
        <f t="shared" si="17"/>
        <v xml:space="preserve"> </v>
      </c>
      <c r="AG12" s="93" t="str">
        <f t="shared" si="18"/>
        <v xml:space="preserve"> </v>
      </c>
      <c r="AH12" s="93" t="str">
        <f t="shared" si="14"/>
        <v xml:space="preserve"> </v>
      </c>
      <c r="AI12" s="94" t="str">
        <f>IF(Table6220273233162753[[#This Row],[Non-Member]]="X"," ",IF(AH12=" "," ",IFERROR(VLOOKUP(AG12,Points!$A$2:$B$14,2,FALSE)," ")))</f>
        <v xml:space="preserve"> </v>
      </c>
      <c r="AJ12" s="93">
        <f>IF(Table6220273233162753[[#This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5"/>
        <v>9</v>
      </c>
      <c r="AL12" s="96">
        <f t="shared" si="16"/>
        <v>7</v>
      </c>
    </row>
    <row r="13" spans="2:38" x14ac:dyDescent="0.3">
      <c r="B13" s="90" t="s">
        <v>133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IF(Table6220273233162753[[#This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IF(Table6220273233162753[[#This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IF(Table6220273233162753[[#This Row],[Non-Member]]="X"," ",IF(N13=" "," ",IFERROR(VLOOKUP(M13,Points!$A$2:$B$14,2,FALSE)," ")))</f>
        <v xml:space="preserve"> </v>
      </c>
      <c r="P13" s="92">
        <v>15.97</v>
      </c>
      <c r="Q13" s="93">
        <f t="shared" si="6"/>
        <v>5</v>
      </c>
      <c r="R13" s="93">
        <f t="shared" si="7"/>
        <v>5</v>
      </c>
      <c r="S13" s="94">
        <f>IF(Table6220273233162753[[#This Row],[Non-Member]]="X"," ",IF(R13=" "," ",IFERROR(VLOOKUP(Q13,Points!$A$2:$B$14,2,FALSE)," ")))</f>
        <v>6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IF(Table6220273233162753[[#This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IF(Table6220273233162753[[#This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IF(Table6220273233162753[[#This Row],[Non-Member]]="X"," ",IF(AD13=" "," ",IFERROR(VLOOKUP(AC13,Points!$A$2:$B$14,2,FALSE)," ")))</f>
        <v xml:space="preserve"> </v>
      </c>
      <c r="AF13" s="92" t="str">
        <f t="shared" si="17"/>
        <v xml:space="preserve"> </v>
      </c>
      <c r="AG13" s="93" t="str">
        <f t="shared" si="18"/>
        <v xml:space="preserve"> </v>
      </c>
      <c r="AH13" s="93" t="str">
        <f t="shared" si="14"/>
        <v xml:space="preserve"> </v>
      </c>
      <c r="AI13" s="94" t="str">
        <f>IF(Table6220273233162753[[#This Row],[Non-Member]]="X"," ",IF(AH13=" "," ",IFERROR(VLOOKUP(AG13,Points!$A$2:$B$14,2,FALSE)," ")))</f>
        <v xml:space="preserve"> </v>
      </c>
      <c r="AJ13" s="93">
        <f>IF(Table6220273233162753[[#This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5"/>
        <v>6</v>
      </c>
      <c r="AL13" s="96">
        <f t="shared" si="16"/>
        <v>9</v>
      </c>
    </row>
    <row r="14" spans="2:38" x14ac:dyDescent="0.3">
      <c r="B14" s="90" t="s">
        <v>224</v>
      </c>
      <c r="C14" s="91"/>
      <c r="D14" s="135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IF(Table6220273233162753[[#This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IF(Table6220273233162753[[#This Row],[Non-Member]]="X"," ",IF(J14=" "," ",IFERROR(VLOOKUP(I14,Points!$A$2:$B$14,2,FALSE)," ")))</f>
        <v xml:space="preserve"> </v>
      </c>
      <c r="L14" s="92">
        <v>21.6</v>
      </c>
      <c r="M14" s="93">
        <f t="shared" si="4"/>
        <v>6</v>
      </c>
      <c r="N14" s="93">
        <f t="shared" si="5"/>
        <v>6</v>
      </c>
      <c r="O14" s="94">
        <f>IF(Table6220273233162753[[#This Row],[Non-Member]]="X"," ",IF(N14=" "," ",IFERROR(VLOOKUP(M14,Points!$A$2:$B$14,2,FALSE)," ")))</f>
        <v>3</v>
      </c>
      <c r="P14" s="92">
        <v>25.37</v>
      </c>
      <c r="Q14" s="93">
        <f t="shared" si="6"/>
        <v>8</v>
      </c>
      <c r="R14" s="93" t="str">
        <f t="shared" si="7"/>
        <v xml:space="preserve"> </v>
      </c>
      <c r="S14" s="94" t="str">
        <f>IF(Table6220273233162753[[#This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IF(Table6220273233162753[[#This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IF(Table6220273233162753[[#This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IF(Table6220273233162753[[#This Row],[Non-Member]]="X"," ",IF(AD14=" "," ",IFERROR(VLOOKUP(AC14,Points!$A$2:$B$14,2,FALSE)," ")))</f>
        <v xml:space="preserve"> </v>
      </c>
      <c r="AF14" s="92" t="str">
        <f t="shared" si="17"/>
        <v xml:space="preserve"> </v>
      </c>
      <c r="AG14" s="93" t="str">
        <f t="shared" si="18"/>
        <v xml:space="preserve"> </v>
      </c>
      <c r="AH14" s="93" t="str">
        <f t="shared" si="14"/>
        <v xml:space="preserve"> </v>
      </c>
      <c r="AI14" s="94" t="str">
        <f>IF(Table6220273233162753[[#This Row],[Non-Member]]="X"," ",IF(AH14=" "," ",IFERROR(VLOOKUP(AG14,Points!$A$2:$B$14,2,FALSE)," ")))</f>
        <v xml:space="preserve"> </v>
      </c>
      <c r="AJ14" s="93">
        <f>IF(Table6220273233162753[[#This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5"/>
        <v>3</v>
      </c>
      <c r="AL14" s="96">
        <f t="shared" si="16"/>
        <v>10</v>
      </c>
    </row>
    <row r="15" spans="2:38" x14ac:dyDescent="0.3">
      <c r="B15" s="90" t="s">
        <v>296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IF(Table6220273233162753[[#This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IF(Table6220273233162753[[#This Row],[Non-Member]]="X"," ",IF(J15=" "," ",IFERROR(VLOOKUP(I15,Points!$A$2:$B$14,2,FALSE)," ")))</f>
        <v xml:space="preserve"> </v>
      </c>
      <c r="L15" s="92">
        <v>27.16</v>
      </c>
      <c r="M15" s="97">
        <f t="shared" si="4"/>
        <v>7</v>
      </c>
      <c r="N15" s="97" t="str">
        <f t="shared" si="5"/>
        <v xml:space="preserve"> </v>
      </c>
      <c r="O15" s="94" t="str">
        <f>IF(Table6220273233162753[[#This Row],[Non-Member]]="X"," ",IF(N15=" "," ",IFERROR(VLOOKUP(M15,Points!$A$2:$B$14,2,FALSE)," ")))</f>
        <v xml:space="preserve"> </v>
      </c>
      <c r="P15" s="92">
        <v>17.16</v>
      </c>
      <c r="Q15" s="97">
        <f t="shared" si="6"/>
        <v>7</v>
      </c>
      <c r="R15" s="97" t="str">
        <f t="shared" si="7"/>
        <v xml:space="preserve"> </v>
      </c>
      <c r="S15" s="94" t="str">
        <f>IF(Table6220273233162753[[#This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IF(Table6220273233162753[[#This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IF(Table6220273233162753[[#This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IF(Table6220273233162753[[#This Row],[Non-Member]]="X"," ",IF(AD15=" "," ",IFERROR(VLOOKUP(AC15,Points!$A$2:$B$14,2,FALSE)," ")))</f>
        <v xml:space="preserve"> </v>
      </c>
      <c r="AF15" s="92" t="str">
        <f t="shared" si="17"/>
        <v xml:space="preserve"> </v>
      </c>
      <c r="AG15" s="97" t="str">
        <f t="shared" si="18"/>
        <v xml:space="preserve"> </v>
      </c>
      <c r="AH15" s="97" t="str">
        <f t="shared" si="14"/>
        <v xml:space="preserve"> </v>
      </c>
      <c r="AI15" s="94" t="str">
        <f>IF(Table6220273233162753[[#This Row],[Non-Member]]="X"," ",IF(AH15=" "," ",IFERROR(VLOOKUP(AG15,Points!$A$2:$B$14,2,FALSE)," ")))</f>
        <v xml:space="preserve"> </v>
      </c>
      <c r="AJ15" s="97">
        <f>IF(Table6220273233162753[[#This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8" t="str">
        <f t="shared" si="16"/>
        <v xml:space="preserve"> </v>
      </c>
    </row>
    <row r="16" spans="2:38" x14ac:dyDescent="0.3">
      <c r="B16" s="90" t="s">
        <v>131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IF(Table6220273233162753[[#This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IF(Table6220273233162753[[#This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IF(Table6220273233162753[[#This Row],[Non-Member]]="X"," ",IF(N16=" "," ",IFERROR(VLOOKUP(M16,Points!$A$2:$B$14,2,FALSE)," ")))</f>
        <v xml:space="preserve"> </v>
      </c>
      <c r="P16" s="92">
        <v>42.74</v>
      </c>
      <c r="Q16" s="93">
        <f t="shared" si="6"/>
        <v>9</v>
      </c>
      <c r="R16" s="93" t="str">
        <f t="shared" si="7"/>
        <v xml:space="preserve"> </v>
      </c>
      <c r="S16" s="94" t="str">
        <f>IF(Table6220273233162753[[#This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IF(Table6220273233162753[[#This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IF(Table6220273233162753[[#This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IF(Table6220273233162753[[#This Row],[Non-Member]]="X"," ",IF(AD16=" "," ",IFERROR(VLOOKUP(AC16,Points!$A$2:$B$14,2,FALSE)," ")))</f>
        <v xml:space="preserve"> </v>
      </c>
      <c r="AF16" s="92" t="str">
        <f t="shared" si="17"/>
        <v xml:space="preserve"> </v>
      </c>
      <c r="AG16" s="93" t="str">
        <f t="shared" si="18"/>
        <v xml:space="preserve"> </v>
      </c>
      <c r="AH16" s="93" t="str">
        <f t="shared" si="14"/>
        <v xml:space="preserve"> </v>
      </c>
      <c r="AI16" s="94" t="str">
        <f>IF(Table6220273233162753[[#This Row],[Non-Member]]="X"," ",IF(AH16=" "," ",IFERROR(VLOOKUP(AG16,Points!$A$2:$B$14,2,FALSE)," ")))</f>
        <v xml:space="preserve"> </v>
      </c>
      <c r="AJ16" s="93">
        <f>IF(Table6220273233162753[[#This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297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IF(Table6220273233162753[[#This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IF(Table6220273233162753[[#This Row],[Non-Member]]="X"," ",IF(J17=" "," ",IFERROR(VLOOKUP(I17,Points!$A$2:$B$14,2,FALSE)," ")))</f>
        <v xml:space="preserve"> </v>
      </c>
      <c r="L17" s="92">
        <v>0</v>
      </c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IF(Table6220273233162753[[#This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IF(Table6220273233162753[[#This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IF(Table6220273233162753[[#This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IF(Table6220273233162753[[#This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IF(Table6220273233162753[[#This Row],[Non-Member]]="X"," ",IF(AD17=" "," ",IFERROR(VLOOKUP(AC17,Points!$A$2:$B$14,2,FALSE)," ")))</f>
        <v xml:space="preserve"> </v>
      </c>
      <c r="AF17" s="92" t="str">
        <f t="shared" si="17"/>
        <v xml:space="preserve"> </v>
      </c>
      <c r="AG17" s="97" t="str">
        <f t="shared" si="18"/>
        <v xml:space="preserve"> </v>
      </c>
      <c r="AH17" s="97" t="str">
        <f t="shared" si="14"/>
        <v xml:space="preserve"> </v>
      </c>
      <c r="AI17" s="94" t="str">
        <f>IF(Table6220273233162753[[#This Row],[Non-Member]]="X"," ",IF(AH17=" "," ",IFERROR(VLOOKUP(AG17,Points!$A$2:$B$14,2,FALSE)," ")))</f>
        <v xml:space="preserve"> </v>
      </c>
      <c r="AJ17" s="97">
        <f>IF(Table6220273233162753[[#This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8" t="str">
        <f t="shared" si="16"/>
        <v xml:space="preserve"> </v>
      </c>
    </row>
    <row r="18" spans="2:38" x14ac:dyDescent="0.3">
      <c r="B18" s="90" t="s">
        <v>225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IF(Table6220273233162753[[#This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IF(Table6220273233162753[[#This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IF(Table6220273233162753[[#This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IF(Table6220273233162753[[#This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IF(Table6220273233162753[[#This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IF(Table6220273233162753[[#This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IF(Table6220273233162753[[#This Row],[Non-Member]]="X"," ",IF(AD18=" "," ",IFERROR(VLOOKUP(AC18,Points!$A$2:$B$14,2,FALSE)," ")))</f>
        <v xml:space="preserve"> </v>
      </c>
      <c r="AF18" s="92" t="str">
        <f t="shared" si="17"/>
        <v xml:space="preserve"> </v>
      </c>
      <c r="AG18" s="93" t="str">
        <f t="shared" si="18"/>
        <v xml:space="preserve"> </v>
      </c>
      <c r="AH18" s="93" t="str">
        <f t="shared" si="14"/>
        <v xml:space="preserve"> </v>
      </c>
      <c r="AI18" s="94" t="str">
        <f>IF(Table6220273233162753[[#This Row],[Non-Member]]="X"," ",IF(AH18=" "," ",IFERROR(VLOOKUP(AG18,Points!$A$2:$B$14,2,FALSE)," ")))</f>
        <v xml:space="preserve"> </v>
      </c>
      <c r="AJ18" s="93">
        <f>IF(Table6220273233162753[[#This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199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IF(Table6220273233162753[[#This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IF(Table6220273233162753[[#This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IF(Table6220273233162753[[#This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IF(Table6220273233162753[[#This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IF(Table6220273233162753[[#This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IF(Table6220273233162753[[#This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IF(Table6220273233162753[[#This Row],[Non-Member]]="X"," ",IF(AD19=" "," ",IFERROR(VLOOKUP(AC19,Points!$A$2:$B$14,2,FALSE)," ")))</f>
        <v xml:space="preserve"> </v>
      </c>
      <c r="AF19" s="160"/>
      <c r="AG19" s="93"/>
      <c r="AH19" s="93" t="str">
        <f t="shared" si="14"/>
        <v xml:space="preserve"> </v>
      </c>
      <c r="AI19" s="94" t="str">
        <f>IF(Table6220273233162753[[#This Row],[Non-Member]]="X"," ",IF(AH19=" "," ",IFERROR(VLOOKUP(AG19,Points!$A$2:$B$14,2,FALSE)," ")))</f>
        <v xml:space="preserve"> </v>
      </c>
      <c r="AJ19" s="93">
        <f>IF(Table6220273233162753[[#This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IF(Table6220273233162753[[#This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IF(Table6220273233162753[[#This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IF(Table6220273233162753[[#This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IF(Table6220273233162753[[#This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IF(Table6220273233162753[[#This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IF(Table6220273233162753[[#This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IF(Table6220273233162753[[#This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3" t="str">
        <f>IF(OR(AF20=0,AF20=" ")," ",_xlfn.RANK.AVG(AF20,AF$5:AF$24,1)-COUNTIF(AF$5:AF$24,0))</f>
        <v xml:space="preserve"> </v>
      </c>
      <c r="AH20" s="93" t="str">
        <f t="shared" si="14"/>
        <v xml:space="preserve"> </v>
      </c>
      <c r="AI20" s="94" t="str">
        <f>IF(Table6220273233162753[[#This Row],[Non-Member]]="X"," ",IF(AH20=" "," ",IFERROR(VLOOKUP(AG20,Points!$A$2:$B$14,2,FALSE)," ")))</f>
        <v xml:space="preserve"> </v>
      </c>
      <c r="AJ20" s="93">
        <f>IF(Table6220273233162753[[#This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IF(Table6220273233162753[[#This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IF(Table6220273233162753[[#This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IF(Table6220273233162753[[#This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IF(Table6220273233162753[[#This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IF(Table6220273233162753[[#This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IF(Table6220273233162753[[#This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IF(Table6220273233162753[[#This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>IF(OR(AF21=0,AF21=" ")," ",_xlfn.RANK.AVG(AF21,AF$5:AF$24,1)-COUNTIF(AF$5:AF$24,0))</f>
        <v xml:space="preserve"> </v>
      </c>
      <c r="AH21" s="93" t="str">
        <f t="shared" si="14"/>
        <v xml:space="preserve"> </v>
      </c>
      <c r="AI21" s="94" t="str">
        <f>IF(Table6220273233162753[[#This Row],[Non-Member]]="X"," ",IF(AH21=" "," ",IFERROR(VLOOKUP(AG21,Points!$A$2:$B$14,2,FALSE)," ")))</f>
        <v xml:space="preserve"> </v>
      </c>
      <c r="AJ21" s="93">
        <f>IF(Table6220273233162753[[#This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IF(Table6220273233162753[[#This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IF(Table6220273233162753[[#This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IF(Table6220273233162753[[#This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IF(Table6220273233162753[[#This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IF(Table6220273233162753[[#This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IF(Table6220273233162753[[#This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IF(Table6220273233162753[[#This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 t="shared" si="14"/>
        <v xml:space="preserve"> </v>
      </c>
      <c r="AI22" s="94" t="str">
        <f>IF(Table6220273233162753[[#This Row],[Non-Member]]="X"," ",IF(AH22=" "," ",IFERROR(VLOOKUP(AG22,Points!$A$2:$B$14,2,FALSE)," ")))</f>
        <v xml:space="preserve"> </v>
      </c>
      <c r="AJ22" s="93">
        <f>IF(Table6220273233162753[[#This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IF(Table6220273233162753[[#This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IF(Table6220273233162753[[#This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IF(Table6220273233162753[[#This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IF(Table6220273233162753[[#This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IF(Table6220273233162753[[#This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IF(Table6220273233162753[[#This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IF(Table6220273233162753[[#This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 t="shared" si="14"/>
        <v xml:space="preserve"> </v>
      </c>
      <c r="AI23" s="94" t="str">
        <f>IF(Table6220273233162753[[#This Row],[Non-Member]]="X"," ",IF(AH23=" "," ",IFERROR(VLOOKUP(AG23,Points!$A$2:$B$14,2,FALSE)," ")))</f>
        <v xml:space="preserve"> </v>
      </c>
      <c r="AJ23" s="93">
        <f>IF(Table6220273233162753[[#This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IF(Table6220273233162753[[#This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IF(Table6220273233162753[[#This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IF(Table6220273233162753[[#This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IF(Table6220273233162753[[#This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IF(Table6220273233162753[[#This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IF(Table6220273233162753[[#This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IF(Table6220273233162753[[#This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 t="shared" si="14"/>
        <v xml:space="preserve"> </v>
      </c>
      <c r="AI24" s="104" t="str">
        <f>IF(Table6220273233162753[[#This Row],[Non-Member]]="X"," ",IF(AH24=" "," ",IFERROR(VLOOKUP(AG24,Points!$A$2:$B$14,2,FALSE)," ")))</f>
        <v xml:space="preserve"> </v>
      </c>
      <c r="AJ24" s="93">
        <f>IF(Table6220273233162753[[#This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D/GYt+kvvpThbAr28SkuACf50WMM7vb4L9sGVC3yJRf5EX9dj0e+lRWLb+c8RLKb5idVclJ/FqTMkyhlkzE2TQ==" saltValue="zgLckeeGoFwOstzaQc90P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6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125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IF(Table622027323334172854[[#This Row],[Non-Member]]="X"," ",IF(J5=" "," ",IFERROR(VLOOKUP(I5,Points!$A$2:$B$14,2,FALSE)," ")))</f>
        <v xml:space="preserve"> </v>
      </c>
      <c r="L5" s="136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IF(Table622027323334172854[[#This Row],[Non-Member]]="X"," ",IF(N5=" "," ",IFERROR(VLOOKUP(M5,Points!$A$2:$B$14,2,FALSE)," ")))</f>
        <v xml:space="preserve"> </v>
      </c>
      <c r="P5" s="136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IF(Table622027323334172854[[#This Row],[Non-Member]]="X"," ",IF(R5=" "," ",IFERROR(VLOOKUP(Q5,Points!$A$2:$B$14,2,FALSE)," ")))</f>
        <v xml:space="preserve"> </v>
      </c>
      <c r="T5" s="136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IF(Table622027323334172854[[#This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IF(Table622027323334172854[[#This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IF(Table622027323334172854[[#This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IF(Table622027323334172854[[#This Row],[Non-Member]]="X"," ",IF(AH5=" "," ",IFERROR(VLOOKUP(AG5,Points!$A$2:$B$14,2,FALSE)," ")))</f>
        <v xml:space="preserve"> </v>
      </c>
      <c r="AJ5" s="86">
        <f>IF(Table622027323334172854[[#This Row],[Non-Member]]="X"," ",((IF(G5=" ",0,G5))+(IF(K5=" ",0,K5))+(IF(O5=" ",0,O5))+(IF(S5=" ",0,S5))+(IF(W5=" ",0,W5))+(IF(AA5=" ",0,AA5))+(IF(AE5=" ",0,AE5))+(IF(AI5=" ",0,AI5))))</f>
        <v>0</v>
      </c>
      <c r="AK5" s="88" t="str">
        <f t="shared" ref="AK5:AK24" si="17">IF(AJ5=0," ",AJ5)</f>
        <v xml:space="preserve"> </v>
      </c>
      <c r="AL5" s="89" t="str">
        <f t="shared" ref="AL5:AL24" si="18">IF(AK5=" "," ",RANK(AK5,$AK$5:$AK$24))</f>
        <v xml:space="preserve"> </v>
      </c>
    </row>
    <row r="6" spans="2:38" x14ac:dyDescent="0.3">
      <c r="B6" s="90"/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IF(Table622027323334172854[[#This Row],[Non-Member]]="X"," ",IF(J6=" "," ",IFERROR(VLOOKUP(I6,Points!$A$2:$B$14,2,FALSE)," ")))</f>
        <v xml:space="preserve"> 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IF(Table622027323334172854[[#This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IF(Table622027323334172854[[#This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IF(Table622027323334172854[[#This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IF(Table622027323334172854[[#This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IF(Table622027323334172854[[#This Row],[Non-Member]]="X"," ",IF(AH6=" "," ",IFERROR(VLOOKUP(AG6,Points!$A$2:$B$14,2,FALSE)," ")))</f>
        <v xml:space="preserve"> </v>
      </c>
      <c r="AJ6" s="93">
        <f>IF(Table622027323334172854[[#This Row],[Non-Member]]="X"," ",((IF(G6=" ",0,G6))+(IF(K6=" ",0,K6))+(IF(O6=" ",0,O6))+(IF(S6=" ",0,S6))+(IF(W6=" ",0,W6))+(IF(AA6=" ",0,AA6))+(IF(AE6=" ",0,AE6))+(IF(AI6=" ",0,AI6))))</f>
        <v>0</v>
      </c>
      <c r="AK6" s="95" t="str">
        <f t="shared" si="17"/>
        <v xml:space="preserve"> </v>
      </c>
      <c r="AL6" s="96" t="str">
        <f t="shared" si="18"/>
        <v xml:space="preserve"> </v>
      </c>
    </row>
    <row r="7" spans="2:38" x14ac:dyDescent="0.3">
      <c r="B7" s="90"/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IF(Table622027323334172854[[#This Row],[Non-Member]]="X"," ",IF(N7=" "," ",IFERROR(VLOOKUP(M7,Points!$A$2:$B$14,2,FALSE)," ")))</f>
        <v xml:space="preserve"> </v>
      </c>
      <c r="P7" s="92"/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IF(Table622027323334172854[[#This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IF(Table622027323334172854[[#This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IF(Table622027323334172854[[#This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IF(Table622027323334172854[[#This Row],[Non-Member]]="X"," ",IF(AH7=" "," ",IFERROR(VLOOKUP(AG7,Points!$A$2:$B$14,2,FALSE)," ")))</f>
        <v xml:space="preserve"> </v>
      </c>
      <c r="AJ7" s="93">
        <f>IF(Table622027323334172854[[#This Row],[Non-Member]]="X"," ",((IF(G7=" ",0,G7))+(IF(K7=" ",0,K7))+(IF(O7=" ",0,O7))+(IF(S7=" ",0,S7))+(IF(W7=" ",0,W7))+(IF(AA7=" ",0,AA7))+(IF(AE7=" ",0,AE7))+(IF(AI7=" ",0,AI7))))</f>
        <v>0</v>
      </c>
      <c r="AK7" s="95" t="str">
        <f t="shared" si="17"/>
        <v xml:space="preserve"> </v>
      </c>
      <c r="AL7" s="96" t="str">
        <f t="shared" si="18"/>
        <v xml:space="preserve"> </v>
      </c>
    </row>
    <row r="8" spans="2:38" x14ac:dyDescent="0.3">
      <c r="B8" s="90"/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IF(Table622027323334172854[[#This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IF(Table622027323334172854[[#This Row],[Non-Member]]="X"," ",IF(J8=" "," ",IFERROR(VLOOKUP(I8,Points!$A$2:$B$14,2,FALSE)," ")))</f>
        <v xml:space="preserve"> </v>
      </c>
      <c r="L8" s="92"/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IF(Table622027323334172854[[#This Row],[Non-Member]]="X"," ",IF(N8=" "," ",IFERROR(VLOOKUP(M8,Points!$A$2:$B$14,2,FALSE)," ")))</f>
        <v xml:space="preserve"> </v>
      </c>
      <c r="P8" s="92"/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IF(Table622027323334172854[[#This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IF(Table622027323334172854[[#This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IF(Table622027323334172854[[#This Row],[Non-Member]]="X"," ",IF(AH8=" "," ",IFERROR(VLOOKUP(AG8,Points!$A$2:$B$14,2,FALSE)," ")))</f>
        <v xml:space="preserve"> </v>
      </c>
      <c r="AJ8" s="93">
        <f>IF(Table622027323334172854[[#This Row],[Non-Member]]="X"," ",((IF(G8=" ",0,G8))+(IF(K8=" ",0,K8))+(IF(O8=" ",0,O8))+(IF(S8=" ",0,S8))+(IF(W8=" ",0,W8))+(IF(AA8=" ",0,AA8))+(IF(AE8=" ",0,AE8))+(IF(AI8=" ",0,AI8))))</f>
        <v>0</v>
      </c>
      <c r="AK8" s="95" t="str">
        <f t="shared" si="17"/>
        <v xml:space="preserve"> </v>
      </c>
      <c r="AL8" s="96" t="str">
        <f t="shared" si="18"/>
        <v xml:space="preserve"> </v>
      </c>
    </row>
    <row r="9" spans="2:38" x14ac:dyDescent="0.3">
      <c r="B9" s="90"/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IF(Table622027323334172854[[#This Row],[Non-Member]]="X"," ",IF(J9=" "," ",IFERROR(VLOOKUP(I9,Points!$A$2:$B$14,2,FALSE)," ")))</f>
        <v xml:space="preserve"> 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IF(Table622027323334172854[[#This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IF(Table622027323334172854[[#This Row],[Non-Member]]="X"," ",IF(AH9=" "," ",IFERROR(VLOOKUP(AG9,Points!$A$2:$B$14,2,FALSE)," ")))</f>
        <v xml:space="preserve"> </v>
      </c>
      <c r="AJ9" s="93">
        <f>IF(Table622027323334172854[[#This Row],[Non-Member]]="X"," ",((IF(G9=" ",0,G9))+(IF(K9=" ",0,K9))+(IF(O9=" ",0,O9))+(IF(S9=" ",0,S9))+(IF(W9=" ",0,W9))+(IF(AA9=" ",0,AA9))+(IF(AE9=" ",0,AE9))+(IF(AI9=" ",0,AI9))))</f>
        <v>0</v>
      </c>
      <c r="AK9" s="95" t="str">
        <f t="shared" si="17"/>
        <v xml:space="preserve"> </v>
      </c>
      <c r="AL9" s="96" t="str">
        <f t="shared" si="18"/>
        <v xml:space="preserve"> </v>
      </c>
    </row>
    <row r="10" spans="2:38" x14ac:dyDescent="0.3">
      <c r="B10" s="90"/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IF(Table622027323334172854[[#This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IF(Table622027323334172854[[#This Row],[Non-Member]]="X"," ",IF(AH10=" "," ",IFERROR(VLOOKUP(AG10,Points!$A$2:$B$14,2,FALSE)," ")))</f>
        <v xml:space="preserve"> </v>
      </c>
      <c r="AJ10" s="93">
        <f>IF(Table622027323334172854[[#This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/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IF(Table622027323334172854[[#This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IF(Table622027323334172854[[#This Row],[Non-Member]]="X"," ",IF(AH11=" "," ",IFERROR(VLOOKUP(AG11,Points!$A$2:$B$14,2,FALSE)," ")))</f>
        <v xml:space="preserve"> </v>
      </c>
      <c r="AJ11" s="93">
        <f>IF(Table622027323334172854[[#This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IF(Table622027323334172854[[#This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IF(Table622027323334172854[[#This Row],[Non-Member]]="X"," ",IF(AH12=" "," ",IFERROR(VLOOKUP(AG12,Points!$A$2:$B$14,2,FALSE)," ")))</f>
        <v xml:space="preserve"> </v>
      </c>
      <c r="AJ12" s="93">
        <f>IF(Table622027323334172854[[#This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IF(Table622027323334172854[[#This Row],[Non-Member]]="X"," ",IF(AH13=" "," ",IFERROR(VLOOKUP(AG13,Points!$A$2:$B$14,2,FALSE)," ")))</f>
        <v xml:space="preserve"> </v>
      </c>
      <c r="AJ13" s="93">
        <f>IF(Table622027323334172854[[#This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IF(Table622027323334172854[[#This Row],[Non-Member]]="X"," ",IF(AH14=" "," ",IFERROR(VLOOKUP(AG14,Points!$A$2:$B$14,2,FALSE)," ")))</f>
        <v xml:space="preserve"> </v>
      </c>
      <c r="AJ14" s="93">
        <f>IF(Table622027323334172854[[#This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IF(Table622027323334172854[[#This Row],[Non-Member]]="X"," ",IF(AH15=" "," ",IFERROR(VLOOKUP(AG15,Points!$A$2:$B$14,2,FALSE)," ")))</f>
        <v xml:space="preserve"> </v>
      </c>
      <c r="AJ15" s="93">
        <f>IF(Table622027323334172854[[#This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IF(Table622027323334172854[[#This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IF(Table622027323334172854[[#This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IF(Table622027323334172854[[#This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IF(Table622027323334172854[[#This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IF(Table622027323334172854[[#This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IF(Table622027323334172854[[#This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IF(Table622027323334172854[[#This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IF(Table622027323334172854[[#This Row],[Non-Member]]="X"," ",IF(AH16=" "," ",IFERROR(VLOOKUP(AG16,Points!$A$2:$B$14,2,FALSE)," ")))</f>
        <v xml:space="preserve"> </v>
      </c>
      <c r="AJ16" s="97">
        <f>IF(Table622027323334172854[[#This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IF(Table622027323334172854[[#This Row],[Non-Member]]="X"," ",IF(AH17=" "," ",IFERROR(VLOOKUP(AG17,Points!$A$2:$B$14,2,FALSE)," ")))</f>
        <v xml:space="preserve"> </v>
      </c>
      <c r="AJ17" s="97">
        <f>IF(Table622027323334172854[[#This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IF(Table622027323334172854[[#This Row],[Non-Member]]="X"," ",IF(AH18=" "," ",IFERROR(VLOOKUP(AG18,Points!$A$2:$B$14,2,FALSE)," ")))</f>
        <v xml:space="preserve"> </v>
      </c>
      <c r="AJ18" s="97">
        <f>IF(Table622027323334172854[[#This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IF(Table622027323334172854[[#This Row],[Non-Member]]="X"," ",IF(AH19=" "," ",IFERROR(VLOOKUP(AG19,Points!$A$2:$B$14,2,FALSE)," ")))</f>
        <v xml:space="preserve"> </v>
      </c>
      <c r="AJ19" s="93">
        <f>IF(Table622027323334172854[[#This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IF(Table622027323334172854[[#This Row],[Non-Member]]="X"," ",IF(AH20=" "," ",IFERROR(VLOOKUP(AG20,Points!$A$2:$B$14,2,FALSE)," ")))</f>
        <v xml:space="preserve"> </v>
      </c>
      <c r="AJ20" s="93">
        <f>IF(Table622027323334172854[[#This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IF(Table622027323334172854[[#This Row],[Non-Member]]="X"," ",IF(AH21=" "," ",IFERROR(VLOOKUP(AG21,Points!$A$2:$B$14,2,FALSE)," ")))</f>
        <v xml:space="preserve"> </v>
      </c>
      <c r="AJ21" s="93">
        <f>IF(Table622027323334172854[[#This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IF(Table622027323334172854[[#This Row],[Non-Member]]="X"," ",IF(AH22=" "," ",IFERROR(VLOOKUP(AG22,Points!$A$2:$B$14,2,FALSE)," ")))</f>
        <v xml:space="preserve"> </v>
      </c>
      <c r="AJ22" s="93">
        <f>IF(Table622027323334172854[[#This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IF(Table622027323334172854[[#This Row],[Non-Member]]="X"," ",IF(AH23=" "," ",IFERROR(VLOOKUP(AG23,Points!$A$2:$B$14,2,FALSE)," ")))</f>
        <v xml:space="preserve"> </v>
      </c>
      <c r="AJ23" s="93">
        <f>IF(Table622027323334172854[[#This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IF(Table622027323334172854[[#This Row],[Non-Member]]="X"," ",IF(AH24=" "," ",IFERROR(VLOOKUP(AG24,Points!$A$2:$B$14,2,FALSE)," ")))</f>
        <v xml:space="preserve"> </v>
      </c>
      <c r="AJ24" s="93">
        <f>IF(Table622027323334172854[[#This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CjajBFeJhZWyNGUf7OUsgfG0Zmbfw6WMDQjN9/anVbagWkHK3nXNxTYwoh7mjvTRmd3e/jZNJwaQUxrVfujvYQ==" saltValue="0niq5tgnnW4ZMWQagF5XH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165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IF(Table6220273233341728543[[#This Row],[Non-Member]]="X"," ",IF(F5=" "," ",IFERROR(VLOOKUP(E5,Points!$A$2:$B$14,2,FALSE)," ")))</f>
        <v xml:space="preserve"> </v>
      </c>
      <c r="H5" s="85">
        <v>4.08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IF(Table6220273233341728543[[#This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IF(Table6220273233341728543[[#This Row],[Non-Member]]="X"," ",IF(N5=" "," ",IFERROR(VLOOKUP(M5,Points!$A$2:$B$14,2,FALSE)," ")))</f>
        <v xml:space="preserve"> </v>
      </c>
      <c r="P5" s="85">
        <v>2.93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IF(Table6220273233341728543[[#This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IF(Table6220273233341728543[[#This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IF(Table6220273233341728543[[#This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IF(Table6220273233341728543[[#This Row],[Non-Member]]="X"," ",IF(AD5=" "," ",IFERROR(VLOOKUP(AC5,Points!$A$2:$B$14,2,FALSE)," ")))</f>
        <v xml:space="preserve"> </v>
      </c>
      <c r="AF5" s="161"/>
      <c r="AG5" s="86"/>
      <c r="AH5" s="86"/>
      <c r="AI5" s="87" t="str">
        <f>IF(Table6220273233341728543[[#This Row],[Non-Member]]="X"," ",IF(AH5=" "," ",IFERROR(VLOOKUP(AG5,Points!$A$2:$B$14,2,FALSE)," ")))</f>
        <v xml:space="preserve"> </v>
      </c>
      <c r="AJ5" s="86">
        <f>IF(Table6220273233341728543[[#This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4">IF(AJ5=0," ",AJ5)</f>
        <v>36</v>
      </c>
      <c r="AL5" s="89">
        <f t="shared" ref="AL5:AL24" si="15">IF(AK5=" "," ",RANK(AK5,$AK$5:$AK$24))</f>
        <v>1</v>
      </c>
    </row>
    <row r="6" spans="2:38" x14ac:dyDescent="0.3">
      <c r="B6" s="90" t="s">
        <v>153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IF(Table6220273233341728543[[#This Row],[Non-Member]]="X"," ",IF(F6=" "," ",IFERROR(VLOOKUP(E6,Points!$A$2:$B$14,2,FALSE)," ")))</f>
        <v xml:space="preserve"> </v>
      </c>
      <c r="H6" s="92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IF(Table6220273233341728543[[#This Row],[Non-Member]]="X"," ",IF(J6=" "," ",IFERROR(VLOOKUP(I6,Points!$A$2:$B$14,2,FALSE)," ")))</f>
        <v xml:space="preserve"> </v>
      </c>
      <c r="L6" s="92">
        <v>23.41</v>
      </c>
      <c r="M6" s="93">
        <f t="shared" si="4"/>
        <v>3</v>
      </c>
      <c r="N6" s="93">
        <f t="shared" si="5"/>
        <v>3</v>
      </c>
      <c r="O6" s="94">
        <f>IF(Table6220273233341728543[[#This Row],[Non-Member]]="X"," ",IF(N6=" "," ",IFERROR(VLOOKUP(M6,Points!$A$2:$B$14,2,FALSE)," ")))</f>
        <v>12</v>
      </c>
      <c r="P6" s="92">
        <v>6.21</v>
      </c>
      <c r="Q6" s="93">
        <f t="shared" si="6"/>
        <v>2</v>
      </c>
      <c r="R6" s="93">
        <f t="shared" si="7"/>
        <v>2</v>
      </c>
      <c r="S6" s="94">
        <f>IF(Table6220273233341728543[[#This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IF(Table6220273233341728543[[#This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IF(Table6220273233341728543[[#This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IF(Table6220273233341728543[[#This Row],[Non-Member]]="X"," ",IF(AD6=" "," ",IFERROR(VLOOKUP(AC6,Points!$A$2:$B$14,2,FALSE)," ")))</f>
        <v xml:space="preserve"> </v>
      </c>
      <c r="AF6" s="92"/>
      <c r="AG6" s="93" t="str">
        <f t="shared" ref="AG6:AG12" si="16">IF(OR(AF6=0,AF6=" ")," ",_xlfn.RANK.AVG(AF6,AF$5:AF$24,1)-COUNTIF(AF$5:AF$24,0))</f>
        <v xml:space="preserve"> </v>
      </c>
      <c r="AH6" s="93" t="str">
        <f t="shared" ref="AH6:AH12" si="17">IF(OR(AF6=0,AF6=" ")," ",IF((RANK(AF6,AF$5:AF$24,1)-COUNTIF(AF$5:AF$24,0)&gt;6)," ",RANK(AF6,AF$5:AF$24,1)-COUNTIF(AF$5:AF$24,0)))</f>
        <v xml:space="preserve"> </v>
      </c>
      <c r="AI6" s="94" t="str">
        <f>IF(Table6220273233341728543[[#This Row],[Non-Member]]="X"," ",IF(AH6=" "," ",IFERROR(VLOOKUP(AG6,Points!$A$2:$B$14,2,FALSE)," ")))</f>
        <v xml:space="preserve"> </v>
      </c>
      <c r="AJ6" s="93">
        <f>IF(Table6220273233341728543[[#This Row],[Non-Member]]="X"," ",((IF(G6=" ",0,G6))+(IF(K6=" ",0,K6))+(IF(O6=" ",0,O6))+(IF(S6=" ",0,S6))+(IF(W6=" ",0,W6))+(IF(AA6=" ",0,AA6))+(IF(AE6=" ",0,AE6))+(IF(AI6=" ",0,AI6))))</f>
        <v>27</v>
      </c>
      <c r="AK6" s="95">
        <f t="shared" si="14"/>
        <v>27</v>
      </c>
      <c r="AL6" s="96">
        <f t="shared" si="15"/>
        <v>2</v>
      </c>
    </row>
    <row r="7" spans="2:38" x14ac:dyDescent="0.3">
      <c r="B7" s="90" t="s">
        <v>220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IF(Table6220273233341728543[[#This Row],[Non-Member]]="X"," ",IF(F7=" "," ",IFERROR(VLOOKUP(E7,Points!$A$2:$B$14,2,FALSE)," ")))</f>
        <v xml:space="preserve"> </v>
      </c>
      <c r="H7" s="92">
        <v>52.66</v>
      </c>
      <c r="I7" s="93">
        <f t="shared" si="2"/>
        <v>5</v>
      </c>
      <c r="J7" s="93">
        <f t="shared" si="3"/>
        <v>5</v>
      </c>
      <c r="K7" s="94">
        <f>IF(Table6220273233341728543[[#This Row],[Non-Member]]="X"," ",IF(J7=" "," ",IFERROR(VLOOKUP(I7,Points!$A$2:$B$14,2,FALSE)," ")))</f>
        <v>6</v>
      </c>
      <c r="L7" s="135">
        <v>21.03</v>
      </c>
      <c r="M7" s="93">
        <f t="shared" si="4"/>
        <v>2</v>
      </c>
      <c r="N7" s="93">
        <f t="shared" si="5"/>
        <v>2</v>
      </c>
      <c r="O7" s="94">
        <f>IF(Table6220273233341728543[[#This Row],[Non-Member]]="X"," ",IF(N7=" "," ",IFERROR(VLOOKUP(M7,Points!$A$2:$B$14,2,FALSE)," ")))</f>
        <v>15</v>
      </c>
      <c r="P7" s="135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IF(Table6220273233341728543[[#This Row],[Non-Member]]="X"," ",IF(R7=" "," ",IFERROR(VLOOKUP(Q7,Points!$A$2:$B$14,2,FALSE)," ")))</f>
        <v xml:space="preserve"> </v>
      </c>
      <c r="T7" s="135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IF(Table6220273233341728543[[#This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IF(Table6220273233341728543[[#This Row],[Non-Member]]="X"," ",IF(AD7=" "," ",IFERROR(VLOOKUP(AC7,Points!$A$2:$B$14,2,FALSE)," ")))</f>
        <v xml:space="preserve"> </v>
      </c>
      <c r="AF7" s="92"/>
      <c r="AG7" s="93" t="str">
        <f t="shared" si="16"/>
        <v xml:space="preserve"> </v>
      </c>
      <c r="AH7" s="93" t="str">
        <f t="shared" si="17"/>
        <v xml:space="preserve"> </v>
      </c>
      <c r="AI7" s="94" t="str">
        <f>IF(Table6220273233341728543[[#This Row],[Non-Member]]="X"," ",IF(AH7=" "," ",IFERROR(VLOOKUP(AG7,Points!$A$2:$B$14,2,FALSE)," ")))</f>
        <v xml:space="preserve"> </v>
      </c>
      <c r="AJ7" s="93">
        <f>IF(Table6220273233341728543[[#This Row],[Non-Member]]="X"," ",((IF(G7=" ",0,G7))+(IF(K7=" ",0,K7))+(IF(O7=" ",0,O7))+(IF(S7=" ",0,S7))+(IF(W7=" ",0,W7))+(IF(AA7=" ",0,AA7))+(IF(AE7=" ",0,AE7))+(IF(AI7=" ",0,AI7))))</f>
        <v>21</v>
      </c>
      <c r="AK7" s="95">
        <f t="shared" si="14"/>
        <v>21</v>
      </c>
      <c r="AL7" s="96">
        <f t="shared" si="15"/>
        <v>3</v>
      </c>
    </row>
    <row r="8" spans="2:38" x14ac:dyDescent="0.3">
      <c r="B8" s="90" t="s">
        <v>295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IF(Table6220273233341728543[[#This Row],[Non-Member]]="X"," ",IF(F8=" "," ",IFERROR(VLOOKUP(E8,Points!$A$2:$B$14,2,FALSE)," ")))</f>
        <v xml:space="preserve"> </v>
      </c>
      <c r="H8" s="92"/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IF(Table6220273233341728543[[#This Row],[Non-Member]]="X"," ",IF(J8=" "," ",IFERROR(VLOOKUP(I8,Points!$A$2:$B$14,2,FALSE)," ")))</f>
        <v xml:space="preserve"> </v>
      </c>
      <c r="L8" s="92">
        <v>11.12</v>
      </c>
      <c r="M8" s="97">
        <f t="shared" si="4"/>
        <v>1</v>
      </c>
      <c r="N8" s="97">
        <f t="shared" si="5"/>
        <v>1</v>
      </c>
      <c r="O8" s="94">
        <f>IF(Table6220273233341728543[[#This Row],[Non-Member]]="X"," ",IF(N8=" "," ",IFERROR(VLOOKUP(M8,Points!$A$2:$B$14,2,FALSE)," ")))</f>
        <v>18</v>
      </c>
      <c r="P8" s="92">
        <v>0</v>
      </c>
      <c r="Q8" s="97" t="str">
        <f t="shared" si="6"/>
        <v xml:space="preserve"> </v>
      </c>
      <c r="R8" s="97" t="str">
        <f t="shared" si="7"/>
        <v xml:space="preserve"> </v>
      </c>
      <c r="S8" s="94" t="str">
        <f>IF(Table6220273233341728543[[#This Row],[Non-Member]]="X"," ",IF(R8=" "," ",IFERROR(VLOOKUP(Q8,Points!$A$2:$B$14,2,FALSE)," ")))</f>
        <v xml:space="preserve"> 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IF(Table6220273233341728543[[#This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IF(Table6220273233341728543[[#This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IF(Table6220273233341728543[[#This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7" t="str">
        <f t="shared" si="16"/>
        <v xml:space="preserve"> </v>
      </c>
      <c r="AH8" s="97" t="str">
        <f t="shared" si="17"/>
        <v xml:space="preserve"> </v>
      </c>
      <c r="AI8" s="94" t="str">
        <f>IF(Table6220273233341728543[[#This Row],[Non-Member]]="X"," ",IF(AH8=" "," ",IFERROR(VLOOKUP(AG8,Points!$A$2:$B$14,2,FALSE)," ")))</f>
        <v xml:space="preserve"> </v>
      </c>
      <c r="AJ8" s="97">
        <f>IF(Table6220273233341728543[[#This Row],[Non-Member]]="X"," ",((IF(G8=" ",0,G8))+(IF(K8=" ",0,K8))+(IF(O8=" ",0,O8))+(IF(S8=" ",0,S8))+(IF(W8=" ",0,W8))+(IF(AA8=" ",0,AA8))+(IF(AE8=" ",0,AE8))+(IF(AI8=" ",0,AI8))))</f>
        <v>18</v>
      </c>
      <c r="AK8" s="95">
        <f t="shared" si="14"/>
        <v>18</v>
      </c>
      <c r="AL8" s="98">
        <f t="shared" si="15"/>
        <v>4</v>
      </c>
    </row>
    <row r="9" spans="2:38" x14ac:dyDescent="0.3">
      <c r="B9" s="90" t="s">
        <v>227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IF(Table6220273233341728543[[#This Row],[Non-Member]]="X"," ",IF(F9=" "," ",IFERROR(VLOOKUP(E9,Points!$A$2:$B$14,2,FALSE)," ")))</f>
        <v xml:space="preserve"> </v>
      </c>
      <c r="H9" s="92">
        <v>7.16</v>
      </c>
      <c r="I9" s="93">
        <f t="shared" si="2"/>
        <v>2</v>
      </c>
      <c r="J9" s="93">
        <f t="shared" si="3"/>
        <v>2</v>
      </c>
      <c r="K9" s="94">
        <f>IF(Table6220273233341728543[[#This Row],[Non-Member]]="X"," ",IF(J9=" "," ",IFERROR(VLOOKUP(I9,Points!$A$2:$B$14,2,FALSE)," ")))</f>
        <v>15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IF(Table6220273233341728543[[#This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IF(Table6220273233341728543[[#This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IF(Table6220273233341728543[[#This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IF(Table6220273233341728543[[#This Row],[Non-Member]]="X"," ",IF(AD9=" "," ",IFERROR(VLOOKUP(AC9,Points!$A$2:$B$14,2,FALSE)," ")))</f>
        <v xml:space="preserve"> </v>
      </c>
      <c r="AF9" s="92"/>
      <c r="AG9" s="93" t="str">
        <f t="shared" si="16"/>
        <v xml:space="preserve"> </v>
      </c>
      <c r="AH9" s="93" t="str">
        <f t="shared" si="17"/>
        <v xml:space="preserve"> </v>
      </c>
      <c r="AI9" s="94" t="str">
        <f>IF(Table6220273233341728543[[#This Row],[Non-Member]]="X"," ",IF(AH9=" "," ",IFERROR(VLOOKUP(AG9,Points!$A$2:$B$14,2,FALSE)," ")))</f>
        <v xml:space="preserve"> </v>
      </c>
      <c r="AJ9" s="93">
        <f>IF(Table6220273233341728543[[#This Row],[Non-Member]]="X"," ",((IF(G9=" ",0,G9))+(IF(K9=" ",0,K9))+(IF(O9=" ",0,O9))+(IF(S9=" ",0,S9))+(IF(W9=" ",0,W9))+(IF(AA9=" ",0,AA9))+(IF(AE9=" ",0,AE9))+(IF(AI9=" ",0,AI9))))</f>
        <v>15</v>
      </c>
      <c r="AK9" s="95">
        <f t="shared" si="14"/>
        <v>15</v>
      </c>
      <c r="AL9" s="96">
        <f t="shared" si="15"/>
        <v>5</v>
      </c>
    </row>
    <row r="10" spans="2:38" x14ac:dyDescent="0.3">
      <c r="B10" s="90" t="s">
        <v>297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IF(Table6220273233341728543[[#This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IF(Table6220273233341728543[[#This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IF(Table6220273233341728543[[#This Row],[Non-Member]]="X"," ",IF(N10=" "," ",IFERROR(VLOOKUP(M10,Points!$A$2:$B$14,2,FALSE)," ")))</f>
        <v xml:space="preserve"> </v>
      </c>
      <c r="P10" s="92">
        <v>7.6</v>
      </c>
      <c r="Q10" s="93">
        <f t="shared" si="6"/>
        <v>3</v>
      </c>
      <c r="R10" s="93">
        <f t="shared" si="7"/>
        <v>3</v>
      </c>
      <c r="S10" s="94">
        <f>IF(Table6220273233341728543[[#This Row],[Non-Member]]="X"," ",IF(R10=" "," ",IFERROR(VLOOKUP(Q10,Points!$A$2:$B$14,2,FALSE)," ")))</f>
        <v>12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IF(Table6220273233341728543[[#This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IF(Table6220273233341728543[[#This Row],[Non-Member]]="X"," ",IF(AD10=" "," ",IFERROR(VLOOKUP(AC10,Points!$A$2:$B$14,2,FALSE)," ")))</f>
        <v xml:space="preserve"> </v>
      </c>
      <c r="AF10" s="92"/>
      <c r="AG10" s="93" t="str">
        <f t="shared" si="16"/>
        <v xml:space="preserve"> </v>
      </c>
      <c r="AH10" s="93" t="str">
        <f t="shared" si="17"/>
        <v xml:space="preserve"> </v>
      </c>
      <c r="AI10" s="94" t="str">
        <f>IF(Table6220273233341728543[[#This Row],[Non-Member]]="X"," ",IF(AH10=" "," ",IFERROR(VLOOKUP(AG10,Points!$A$2:$B$14,2,FALSE)," ")))</f>
        <v xml:space="preserve"> </v>
      </c>
      <c r="AJ10" s="93">
        <f>IF(Table6220273233341728543[[#This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4"/>
        <v>12</v>
      </c>
      <c r="AL10" s="96">
        <f t="shared" si="15"/>
        <v>6</v>
      </c>
    </row>
    <row r="11" spans="2:38" x14ac:dyDescent="0.3">
      <c r="B11" s="90" t="s">
        <v>199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IF(Table6220273233341728543[[#This Row],[Non-Member]]="X"," ",IF(F11=" "," ",IFERROR(VLOOKUP(E11,Points!$A$2:$B$14,2,FALSE)," ")))</f>
        <v xml:space="preserve"> </v>
      </c>
      <c r="H11" s="92">
        <v>44.14</v>
      </c>
      <c r="I11" s="93">
        <f t="shared" si="2"/>
        <v>3</v>
      </c>
      <c r="J11" s="93">
        <f t="shared" si="3"/>
        <v>3</v>
      </c>
      <c r="K11" s="94">
        <f>IF(Table6220273233341728543[[#This Row],[Non-Member]]="X"," ",IF(J11=" "," ",IFERROR(VLOOKUP(I11,Points!$A$2:$B$14,2,FALSE)," ")))</f>
        <v>12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IF(Table6220273233341728543[[#This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IF(Table6220273233341728543[[#This Row],[Non-Member]]="X"," ",IF(AD11=" "," ",IFERROR(VLOOKUP(AC11,Points!$A$2:$B$14,2,FALSE)," ")))</f>
        <v xml:space="preserve"> </v>
      </c>
      <c r="AF11" s="92"/>
      <c r="AG11" s="93" t="str">
        <f t="shared" si="16"/>
        <v xml:space="preserve"> </v>
      </c>
      <c r="AH11" s="93" t="str">
        <f t="shared" si="17"/>
        <v xml:space="preserve"> </v>
      </c>
      <c r="AI11" s="94" t="str">
        <f>IF(Table6220273233341728543[[#This Row],[Non-Member]]="X"," ",IF(AH11=" "," ",IFERROR(VLOOKUP(AG11,Points!$A$2:$B$14,2,FALSE)," ")))</f>
        <v xml:space="preserve"> </v>
      </c>
      <c r="AJ11" s="93">
        <f>IF(Table6220273233341728543[[#This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4"/>
        <v>12</v>
      </c>
      <c r="AL11" s="96">
        <f t="shared" si="15"/>
        <v>6</v>
      </c>
    </row>
    <row r="12" spans="2:38" x14ac:dyDescent="0.3">
      <c r="B12" s="90" t="s">
        <v>296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IF(Table6220273233341728543[[#This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IF(Table6220273233341728543[[#This Row],[Non-Member]]="X"," ",IF(N12=" "," ",IFERROR(VLOOKUP(M12,Points!$A$2:$B$14,2,FALSE)," ")))</f>
        <v xml:space="preserve"> </v>
      </c>
      <c r="P12" s="92">
        <v>27.33</v>
      </c>
      <c r="Q12" s="93">
        <f t="shared" si="6"/>
        <v>4</v>
      </c>
      <c r="R12" s="93">
        <f t="shared" si="7"/>
        <v>4</v>
      </c>
      <c r="S12" s="94">
        <f>IF(Table6220273233341728543[[#This Row],[Non-Member]]="X"," ",IF(R12=" "," ",IFERROR(VLOOKUP(Q12,Points!$A$2:$B$14,2,FALSE)," ")))</f>
        <v>9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IF(Table6220273233341728543[[#This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3" t="str">
        <f t="shared" si="16"/>
        <v xml:space="preserve"> </v>
      </c>
      <c r="AH12" s="93" t="str">
        <f t="shared" si="17"/>
        <v xml:space="preserve"> </v>
      </c>
      <c r="AI12" s="94" t="str">
        <f>IF(Table6220273233341728543[[#This Row],[Non-Member]]="X"," ",IF(AH12=" "," ",IFERROR(VLOOKUP(AG12,Points!$A$2:$B$14,2,FALSE)," ")))</f>
        <v xml:space="preserve"> </v>
      </c>
      <c r="AJ12" s="93">
        <f>IF(Table6220273233341728543[[#This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4"/>
        <v>9</v>
      </c>
      <c r="AL12" s="96">
        <f t="shared" si="15"/>
        <v>8</v>
      </c>
    </row>
    <row r="13" spans="2:38" x14ac:dyDescent="0.3">
      <c r="B13" s="90" t="s">
        <v>223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IF(Table6220273233341728543[[#This Row],[Non-Member]]="X"," ",IF(F13=" "," ",IFERROR(VLOOKUP(E13,Points!$A$2:$B$14,2,FALSE)," ")))</f>
        <v xml:space="preserve"> </v>
      </c>
      <c r="H13" s="92">
        <v>52.46</v>
      </c>
      <c r="I13" s="93">
        <f t="shared" si="2"/>
        <v>4</v>
      </c>
      <c r="J13" s="93">
        <f t="shared" si="3"/>
        <v>4</v>
      </c>
      <c r="K13" s="94">
        <f>IF(Table6220273233341728543[[#This Row],[Non-Member]]="X"," ",IF(J13=" "," ",IFERROR(VLOOKUP(I13,Points!$A$2:$B$14,2,FALSE)," ")))</f>
        <v>9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IF(Table6220273233341728543[[#This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IF(Table6220273233341728543[[#This Row],[Non-Member]]="X"," ",IF(AD13=" "," ",IFERROR(VLOOKUP(AC13,Points!$A$2:$B$14,2,FALSE)," ")))</f>
        <v xml:space="preserve"> </v>
      </c>
      <c r="AF13" s="160"/>
      <c r="AG13" s="93"/>
      <c r="AH13" s="93"/>
      <c r="AI13" s="94" t="str">
        <f>IF(Table6220273233341728543[[#This Row],[Non-Member]]="X"," ",IF(AH13=" "," ",IFERROR(VLOOKUP(AG13,Points!$A$2:$B$14,2,FALSE)," ")))</f>
        <v xml:space="preserve"> </v>
      </c>
      <c r="AJ13" s="93">
        <f>IF(Table6220273233341728543[[#This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4"/>
        <v>9</v>
      </c>
      <c r="AL13" s="96">
        <f t="shared" si="15"/>
        <v>8</v>
      </c>
    </row>
    <row r="14" spans="2:38" x14ac:dyDescent="0.3">
      <c r="B14" s="90" t="s">
        <v>226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IF(Table6220273233341728543[[#This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IF(Table6220273233341728543[[#This Row],[Non-Member]]="X"," ",IF(J14=" "," ",IFERROR(VLOOKUP(I14,Points!$A$2:$B$14,2,FALSE)," ")))</f>
        <v xml:space="preserve"> </v>
      </c>
      <c r="L14" s="137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IF(Table6220273233341728543[[#This Row],[Non-Member]]="X"," ",IF(N14=" "," ",IFERROR(VLOOKUP(M14,Points!$A$2:$B$14,2,FALSE)," ")))</f>
        <v xml:space="preserve"> </v>
      </c>
      <c r="P14" s="137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IF(Table6220273233341728543[[#This Row],[Non-Member]]="X"," ",IF(AD14=" "," ",IFERROR(VLOOKUP(AC14,Points!$A$2:$B$14,2,FALSE)," ")))</f>
        <v xml:space="preserve"> </v>
      </c>
      <c r="AF14" s="92"/>
      <c r="AG14" s="93" t="str">
        <f t="shared" ref="AG14:AG24" si="18">IF(OR(AF14=0,AF14=" ")," ",_xlfn.RANK.AVG(AF14,AF$5:AF$24,1)-COUNTIF(AF$5:AF$24,0))</f>
        <v xml:space="preserve"> </v>
      </c>
      <c r="AH14" s="93" t="str">
        <f t="shared" ref="AH14:AH24" si="19">IF(OR(AF14=0,AF14=" ")," ",IF((RANK(AF14,AF$5:AF$24,1)-COUNTIF(AF$5:AF$24,0)&gt;6)," ",RANK(AF14,AF$5:AF$24,1)-COUNTIF(AF$5:AF$24,0)))</f>
        <v xml:space="preserve"> </v>
      </c>
      <c r="AI14" s="94" t="str">
        <f>IF(Table6220273233341728543[[#This Row],[Non-Member]]="X"," ",IF(AH14=" "," ",IFERROR(VLOOKUP(AG14,Points!$A$2:$B$14,2,FALSE)," ")))</f>
        <v xml:space="preserve"> </v>
      </c>
      <c r="AJ14" s="93">
        <f>IF(Table6220273233341728543[[#This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3">
      <c r="B15" s="90" t="s">
        <v>197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IF(Table6220273233341728543[[#This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IF(Table6220273233341728543[[#This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IF(Table6220273233341728543[[#This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IF(Table6220273233341728543[[#This Row],[Non-Member]]="X"," ",IF(AD15=" "," ",IFERROR(VLOOKUP(AC15,Points!$A$2:$B$14,2,FALSE)," ")))</f>
        <v xml:space="preserve"> </v>
      </c>
      <c r="AF15" s="92"/>
      <c r="AG15" s="93" t="str">
        <f t="shared" si="18"/>
        <v xml:space="preserve"> </v>
      </c>
      <c r="AH15" s="93" t="str">
        <f t="shared" si="19"/>
        <v xml:space="preserve"> </v>
      </c>
      <c r="AI15" s="94" t="str">
        <f>IF(Table6220273233341728543[[#This Row],[Non-Member]]="X"," ",IF(AH15=" "," ",IFERROR(VLOOKUP(AG15,Points!$A$2:$B$14,2,FALSE)," ")))</f>
        <v xml:space="preserve"> </v>
      </c>
      <c r="AJ15" s="93">
        <f>IF(Table6220273233341728543[[#This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3">
      <c r="B16" s="90" t="s">
        <v>144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IF(Table6220273233341728543[[#This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IF(Table6220273233341728543[[#This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IF(Table6220273233341728543[[#This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IF(Table6220273233341728543[[#This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IF(Table6220273233341728543[[#This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IF(Table6220273233341728543[[#This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IF(Table6220273233341728543[[#This Row],[Non-Member]]="X"," ",IF(AD16=" "," ",IFERROR(VLOOKUP(AC16,Points!$A$2:$B$14,2,FALSE)," ")))</f>
        <v xml:space="preserve"> </v>
      </c>
      <c r="AF16" s="92"/>
      <c r="AG16" s="93" t="str">
        <f t="shared" si="18"/>
        <v xml:space="preserve"> </v>
      </c>
      <c r="AH16" s="93" t="str">
        <f t="shared" si="19"/>
        <v xml:space="preserve"> </v>
      </c>
      <c r="AI16" s="94" t="str">
        <f>IF(Table6220273233341728543[[#This Row],[Non-Member]]="X"," ",IF(AH16=" "," ",IFERROR(VLOOKUP(AG16,Points!$A$2:$B$14,2,FALSE)," ")))</f>
        <v xml:space="preserve"> </v>
      </c>
      <c r="AJ16" s="93">
        <f>IF(Table6220273233341728543[[#This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IF(Table6220273233341728543[[#This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IF(Table6220273233341728543[[#This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IF(Table6220273233341728543[[#This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IF(Table6220273233341728543[[#This Row],[Non-Member]]="X"," ",IF(AD17=" "," ",IFERROR(VLOOKUP(AC17,Points!$A$2:$B$14,2,FALSE)," ")))</f>
        <v xml:space="preserve"> </v>
      </c>
      <c r="AF17" s="92" t="str">
        <f t="shared" ref="AF17:AF24" si="20">IF(OR(X17=0,AB17=0)," ",X17+AB17)</f>
        <v xml:space="preserve"> </v>
      </c>
      <c r="AG17" s="97" t="str">
        <f t="shared" si="18"/>
        <v xml:space="preserve"> </v>
      </c>
      <c r="AH17" s="97" t="str">
        <f t="shared" si="19"/>
        <v xml:space="preserve"> </v>
      </c>
      <c r="AI17" s="94" t="str">
        <f>IF(Table6220273233341728543[[#This Row],[Non-Member]]="X"," ",IF(AH17=" "," ",IFERROR(VLOOKUP(AG17,Points!$A$2:$B$14,2,FALSE)," ")))</f>
        <v xml:space="preserve"> </v>
      </c>
      <c r="AJ17" s="97">
        <f>IF(Table6220273233341728543[[#This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IF(Table6220273233341728543[[#This Row],[Non-Member]]="X"," ",IF(AD18=" "," ",IFERROR(VLOOKUP(AC18,Points!$A$2:$B$14,2,FALSE)," ")))</f>
        <v xml:space="preserve"> </v>
      </c>
      <c r="AF18" s="92" t="str">
        <f t="shared" si="20"/>
        <v xml:space="preserve"> </v>
      </c>
      <c r="AG18" s="97" t="str">
        <f t="shared" si="18"/>
        <v xml:space="preserve"> </v>
      </c>
      <c r="AH18" s="97" t="str">
        <f t="shared" si="19"/>
        <v xml:space="preserve"> </v>
      </c>
      <c r="AI18" s="94" t="str">
        <f>IF(Table6220273233341728543[[#This Row],[Non-Member]]="X"," ",IF(AH18=" "," ",IFERROR(VLOOKUP(AG18,Points!$A$2:$B$14,2,FALSE)," ")))</f>
        <v xml:space="preserve"> </v>
      </c>
      <c r="AJ18" s="97">
        <f>IF(Table6220273233341728543[[#This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IF(Table6220273233341728543[[#This Row],[Non-Member]]="X"," ",IF(AD19=" "," ",IFERROR(VLOOKUP(AC19,Points!$A$2:$B$14,2,FALSE)," ")))</f>
        <v xml:space="preserve"> </v>
      </c>
      <c r="AF19" s="92" t="str">
        <f t="shared" si="20"/>
        <v xml:space="preserve"> </v>
      </c>
      <c r="AG19" s="93" t="str">
        <f t="shared" si="18"/>
        <v xml:space="preserve"> </v>
      </c>
      <c r="AH19" s="93" t="str">
        <f t="shared" si="19"/>
        <v xml:space="preserve"> </v>
      </c>
      <c r="AI19" s="94" t="str">
        <f>IF(Table6220273233341728543[[#This Row],[Non-Member]]="X"," ",IF(AH19=" "," ",IFERROR(VLOOKUP(AG19,Points!$A$2:$B$14,2,FALSE)," ")))</f>
        <v xml:space="preserve"> </v>
      </c>
      <c r="AJ19" s="93">
        <f>IF(Table6220273233341728543[[#This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IF(Table6220273233341728543[[#This Row],[Non-Member]]="X"," ",IF(AD20=" "," ",IFERROR(VLOOKUP(AC20,Points!$A$2:$B$14,2,FALSE)," ")))</f>
        <v xml:space="preserve"> </v>
      </c>
      <c r="AF20" s="92" t="str">
        <f t="shared" si="20"/>
        <v xml:space="preserve"> </v>
      </c>
      <c r="AG20" s="93" t="str">
        <f t="shared" si="18"/>
        <v xml:space="preserve"> </v>
      </c>
      <c r="AH20" s="93" t="str">
        <f t="shared" si="19"/>
        <v xml:space="preserve"> </v>
      </c>
      <c r="AI20" s="94" t="str">
        <f>IF(Table6220273233341728543[[#This Row],[Non-Member]]="X"," ",IF(AH20=" "," ",IFERROR(VLOOKUP(AG20,Points!$A$2:$B$14,2,FALSE)," ")))</f>
        <v xml:space="preserve"> </v>
      </c>
      <c r="AJ20" s="93">
        <f>IF(Table6220273233341728543[[#This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IF(Table6220273233341728543[[#This Row],[Non-Member]]="X"," ",IF(AD21=" "," ",IFERROR(VLOOKUP(AC21,Points!$A$2:$B$14,2,FALSE)," ")))</f>
        <v xml:space="preserve"> </v>
      </c>
      <c r="AF21" s="92" t="str">
        <f t="shared" si="20"/>
        <v xml:space="preserve"> </v>
      </c>
      <c r="AG21" s="93" t="str">
        <f t="shared" si="18"/>
        <v xml:space="preserve"> </v>
      </c>
      <c r="AH21" s="93" t="str">
        <f t="shared" si="19"/>
        <v xml:space="preserve"> </v>
      </c>
      <c r="AI21" s="94" t="str">
        <f>IF(Table6220273233341728543[[#This Row],[Non-Member]]="X"," ",IF(AH21=" "," ",IFERROR(VLOOKUP(AG21,Points!$A$2:$B$14,2,FALSE)," ")))</f>
        <v xml:space="preserve"> </v>
      </c>
      <c r="AJ21" s="93">
        <f>IF(Table6220273233341728543[[#This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IF(Table6220273233341728543[[#This Row],[Non-Member]]="X"," ",IF(AD22=" "," ",IFERROR(VLOOKUP(AC22,Points!$A$2:$B$14,2,FALSE)," ")))</f>
        <v xml:space="preserve"> </v>
      </c>
      <c r="AF22" s="92" t="str">
        <f t="shared" si="20"/>
        <v xml:space="preserve"> </v>
      </c>
      <c r="AG22" s="93" t="str">
        <f t="shared" si="18"/>
        <v xml:space="preserve"> </v>
      </c>
      <c r="AH22" s="93" t="str">
        <f t="shared" si="19"/>
        <v xml:space="preserve"> </v>
      </c>
      <c r="AI22" s="94" t="str">
        <f>IF(Table6220273233341728543[[#This Row],[Non-Member]]="X"," ",IF(AH22=" "," ",IFERROR(VLOOKUP(AG22,Points!$A$2:$B$14,2,FALSE)," ")))</f>
        <v xml:space="preserve"> </v>
      </c>
      <c r="AJ22" s="93">
        <f>IF(Table6220273233341728543[[#This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IF(Table6220273233341728543[[#This Row],[Non-Member]]="X"," ",IF(AD23=" "," ",IFERROR(VLOOKUP(AC23,Points!$A$2:$B$14,2,FALSE)," ")))</f>
        <v xml:space="preserve"> </v>
      </c>
      <c r="AF23" s="92" t="str">
        <f t="shared" si="20"/>
        <v xml:space="preserve"> </v>
      </c>
      <c r="AG23" s="93" t="str">
        <f t="shared" si="18"/>
        <v xml:space="preserve"> </v>
      </c>
      <c r="AH23" s="93" t="str">
        <f t="shared" si="19"/>
        <v xml:space="preserve"> </v>
      </c>
      <c r="AI23" s="94" t="str">
        <f>IF(Table6220273233341728543[[#This Row],[Non-Member]]="X"," ",IF(AH23=" "," ",IFERROR(VLOOKUP(AG23,Points!$A$2:$B$14,2,FALSE)," ")))</f>
        <v xml:space="preserve"> </v>
      </c>
      <c r="AJ23" s="93">
        <f>IF(Table6220273233341728543[[#This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IF(Table6220273233341728543[[#This Row],[Non-Member]]="X"," ",IF(AD24=" "," ",IFERROR(VLOOKUP(AC24,Points!$A$2:$B$14,2,FALSE)," ")))</f>
        <v xml:space="preserve"> </v>
      </c>
      <c r="AF24" s="102" t="str">
        <f t="shared" si="20"/>
        <v xml:space="preserve"> </v>
      </c>
      <c r="AG24" s="103" t="str">
        <f t="shared" si="18"/>
        <v xml:space="preserve"> </v>
      </c>
      <c r="AH24" s="103" t="str">
        <f t="shared" si="19"/>
        <v xml:space="preserve"> </v>
      </c>
      <c r="AI24" s="104" t="str">
        <f>IF(Table6220273233341728543[[#This Row],[Non-Member]]="X"," ",IF(AH24=" "," ",IFERROR(VLOOKUP(AG24,Points!$A$2:$B$14,2,FALSE)," ")))</f>
        <v xml:space="preserve"> </v>
      </c>
      <c r="AJ24" s="93">
        <f>IF(Table6220273233341728543[[#This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v6x29na0YH0e1QKVdw4Lzu+6L/iyFeQK3WmvUfxHZbHcpuO0VYHp1UC4NJVWsYXV2Yb25w5WCQj0B6mIiBxohg==" saltValue="AUwvXWU8/iDXRDbS4eybL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8">
    <tabColor theme="9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C36" sqref="C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127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224</v>
      </c>
      <c r="C5" s="118">
        <f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f>
        <v>18</v>
      </c>
      <c r="G5" s="88">
        <f t="shared" ref="G5:G24" si="2">IF(F5&gt;0,F5," ")</f>
        <v>18</v>
      </c>
      <c r="H5" s="84">
        <f t="shared" ref="H5:H24" si="3">IF(F5=0," ",RANK(F5,F$5:F$24,0))</f>
        <v>1</v>
      </c>
      <c r="I5" s="119">
        <f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f>
        <v>3</v>
      </c>
      <c r="J5" s="88">
        <f t="shared" ref="J5:J24" si="4">IF(I5&gt;0,I5," ")</f>
        <v>3</v>
      </c>
      <c r="K5" s="84">
        <f t="shared" ref="K5:K24" si="5">IF(I5=0," ",RANK(I5,I$5:I$24,0))</f>
        <v>7</v>
      </c>
      <c r="L5" s="119">
        <f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f>
        <v>33</v>
      </c>
      <c r="M5" s="88">
        <f t="shared" ref="M5:M24" si="6">IF(L5&gt;0,L5," ")</f>
        <v>33</v>
      </c>
      <c r="N5" s="84">
        <f t="shared" ref="N5:N24" si="7">IF(L5=0," ",RANK(L5,L$5:L$24,0))</f>
        <v>1</v>
      </c>
      <c r="O5" s="119">
        <f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9">
        <f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54</v>
      </c>
      <c r="AB5" s="88">
        <f t="shared" ref="AB5:AB24" si="16">IF(AA5&gt;0,AA5," ")</f>
        <v>54</v>
      </c>
      <c r="AC5" s="84">
        <f t="shared" ref="AC5:AC24" si="17">IF(AB5=" "," ",RANK(AB5,AB$5:AB$24))</f>
        <v>1</v>
      </c>
    </row>
    <row r="6" spans="2:29" x14ac:dyDescent="0.3">
      <c r="B6" s="152" t="s">
        <v>295</v>
      </c>
      <c r="C6" s="120">
        <f>IFERROR(IF(VLOOKUP($B6,'SR-Team Roping-Header'!$B$5:$N$24,3,FALSE)=" ",0,VLOOKUP($B6,'SR-Team Roping-Header'!$B$5:$N$24,3,FALSE)),0)+IFERROR(IF(VLOOKUP($B6,'SR-Team Roping-Heeler'!$B$5:$N$24,3,FALSE)=" ",0,VLOOKUP($B6,'SR-Team Roping-Heeler'!$B$5:$N$24,3,FALSE)),0)+IFERROR(IF(VLOOKUP($B6,'SR B-Calf Roping'!$B$5:$AI$24,6,FALSE)=" ",0,VLOOKUP($B6,'SR B-Calf Roping'!$B$5:$AI$24,6,FALSE)),0)+IFERROR(IF(VLOOKUP($B6,'SR B-Steer Wrestling'!$B$5:$AI$24,6,FALSE)=" ",0,VLOOKUP($B6,'SR B-Steer Wrestling'!$B$5:$AI$24,6,FALSE)),0)+IFERROR(IF(VLOOKUP($B6,'SR B-Chute Dogging'!$B$5:$AI$24,6,FALSE)=" ",0,VLOOKUP($B6,'SR B-Chute Dogging'!$B$5:$AI$24,6,FALSE)),0)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IFERROR(IF(VLOOKUP($B6,'SR-Team Roping-Header'!$B$5:$N$24,4,FALSE)=" ",0,VLOOKUP($B6,'SR-Team Roping-Header'!$B$5:$N$24,4,FALSE)),0)+IFERROR(IF(VLOOKUP($B6,'SR-Team Roping-Heeler'!$B$5:$N$24,4,FALSE)=" ",0,VLOOKUP($B6,'SR-Team Roping-Heeler'!$B$5:$N$24,4,FALSE)),0)+IFERROR(IF(VLOOKUP($B6,'SR B-Calf Roping'!$B$5:$AI$24,10,FALSE)=" ",0,VLOOKUP($B6,'SR B-Calf Roping'!$B$5:$AI$24,10,FALSE)),0)+IFERROR(IF(VLOOKUP($B6,'SR B-Steer Wrestling'!$B$5:$AI$24,10,FALSE)=" ",0,VLOOKUP($B6,'SR B-Steer Wrestling'!$B$5:$AI$24,10,FALSE)),0)+IFERROR(IF(VLOOKUP($B6,'SR B-Chute Dogging'!$B$5:$AI$24,10,FALSE)=" ",0,VLOOKUP($B6,'SR B-Chute Dogging'!$B$5:$AI$24,10,FALSE)),0)</f>
        <v>0</v>
      </c>
      <c r="G6" s="95" t="str">
        <f t="shared" si="2"/>
        <v xml:space="preserve"> </v>
      </c>
      <c r="H6" s="91" t="str">
        <f t="shared" si="3"/>
        <v xml:space="preserve"> </v>
      </c>
      <c r="I6" s="121">
        <f>IFERROR(IF(VLOOKUP($B6,'SR-Team Roping-Header'!$B$5:$N$24,5,FALSE)=" ",0,VLOOKUP($B6,'SR-Team Roping-Header'!$B$5:$N$24,5,FALSE)),0)+IFERROR(IF(VLOOKUP($B6,'SR-Team Roping-Heeler'!$B$5:$N$24,5,FALSE)=" ",0,VLOOKUP($B6,'SR-Team Roping-Heeler'!$B$5:$N$24,5,FALSE)),0)+IFERROR(IF(VLOOKUP($B6,'SR B-Calf Roping'!$B$5:$AI$24,14,FALSE)=" ",0,VLOOKUP($B6,'SR B-Calf Roping'!$B$5:$AI$24,14,FALSE)),0)+IFERROR(IF(VLOOKUP($B6,'SR B-Steer Wrestling'!$B$5:$AI$24,14,FALSE)=" ",0,VLOOKUP($B6,'SR B-Steer Wrestling'!$B$5:$AI$24,14,FALSE)),0)+IFERROR(IF(VLOOKUP($B6,'SR B-Chute Dogging'!$B$5:$AI$24,14,FALSE)=" ",0,VLOOKUP($B6,'SR B-Chute Dogging'!$B$5:$AI$24,14,FALSE)),0)</f>
        <v>42</v>
      </c>
      <c r="J6" s="95">
        <f t="shared" si="4"/>
        <v>42</v>
      </c>
      <c r="K6" s="91">
        <f t="shared" si="5"/>
        <v>1</v>
      </c>
      <c r="L6" s="121">
        <f>IFERROR(IF(VLOOKUP($B6,'SR-Team Roping-Header'!$B$5:$N$24,6,FALSE)=" ",0,VLOOKUP($B6,'SR-Team Roping-Header'!$B$5:$N$24,6,FALSE)),0)+IFERROR(IF(VLOOKUP($B6,'SR-Team Roping-Heeler'!$B$5:$N$24,6,FALSE)=" ",0,VLOOKUP($B6,'SR-Team Roping-Heeler'!$B$5:$N$24,6,FALSE)),0)+IFERROR(IF(VLOOKUP($B6,'SR B-Calf Roping'!$B$5:$AI$24,18,FALSE)=" ",0,VLOOKUP($B6,'SR B-Calf Roping'!$B$5:$AI$24,18,FALSE)),0)+IFERROR(IF(VLOOKUP($B6,'SR B-Steer Wrestling'!$B$5:$AI$24,18,FALSE)=" ",0,VLOOKUP($B6,'SR B-Steer Wrestling'!$B$5:$AI$24,18,FALSE)),0)+IFERROR(IF(VLOOKUP($B6,'SR B-Chute Dogging'!$B$5:$AI$24,18,FALSE)=" ",0,VLOOKUP($B6,'SR B-Chute Dogging'!$B$5:$AI$24,18,FALSE)),0)</f>
        <v>0</v>
      </c>
      <c r="M6" s="95" t="str">
        <f t="shared" si="6"/>
        <v xml:space="preserve"> </v>
      </c>
      <c r="N6" s="91" t="str">
        <f t="shared" si="7"/>
        <v xml:space="preserve"> </v>
      </c>
      <c r="O6" s="121">
        <f>IFERROR(IF(VLOOKUP($B6,'SR-Team Roping-Header'!$B$5:$N$24,7,FALSE)=" ",0,VLOOKUP($B6,'SR-Team Roping-Header'!$B$5:$N$24,7,FALSE)),0)+IFERROR(IF(VLOOKUP($B6,'SR-Team Roping-Heeler'!$B$5:$N$24,7,FALSE)=" ",0,VLOOKUP($B6,'SR-Team Roping-Heeler'!$B$5:$N$24,7,FALSE)),0)+IFERROR(IF(VLOOKUP($B6,'SR B-Calf Roping'!$B$5:$AI$24,22,FALSE)=" ",0,VLOOKUP($B6,'SR B-Calf Roping'!$B$5:$AI$24,22,FALSE)),0)+IFERROR(IF(VLOOKUP($B6,'SR B-Steer Wrestling'!$B$5:$AI$24,22,FALSE)=" ",0,VLOOKUP($B6,'SR B-Steer Wrestling'!$B$5:$AI$24,22,FALSE)),0)+IFERROR(IF(VLOOKUP($B6,'SR B-Chute Dogging'!$B$5:$AI$24,22,FALSE)=" ",0,VLOOKUP($B6,'SR B-Chute Dogging'!$B$5:$AI$24,22,FALSE)),0)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IFERROR(IF(VLOOKUP($B6,'SR-Team Roping-Header'!$B$5:$N$24,8,FALSE)=" ",0,VLOOKUP($B6,'SR-Team Roping-Header'!$B$5:$N$24,8,FALSE)),0)+IFERROR(IF(VLOOKUP($B6,'SR-Team Roping-Heeler'!$B$5:$N$24,8,FALSE)=" ",0,VLOOKUP($B6,'SR-Team Roping-Heeler'!$B$5:$N$24,8,FALSE)),0)+IFERROR(IF(VLOOKUP($B6,'SR B-Calf Roping'!$B$5:$AI$24,26,FALSE)=" ",0,VLOOKUP($B6,'SR B-Calf Roping'!$B$5:$AI$24,26,FALSE)),0)+IFERROR(IF(VLOOKUP($B6,'SR B-Steer Wrestling'!$B$5:$AI$24,26,FALSE)=" ",0,VLOOKUP($B6,'SR B-Steer Wrestling'!$B$5:$AI$24,26,FALSE)),0)+IFERROR(IF(VLOOKUP($B6,'SR B-Chute Dogging'!$B$5:$AI$24,26,FALSE)=" ",0,VLOOKUP($B6,'SR B-Chute Dogging'!$B$5:$AI$24,26,FALSE)),0)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IFERROR(IF(VLOOKUP($B6,'SR-Team Roping-Header'!$B$5:$N$24,9,FALSE)=" ",0,VLOOKUP($B6,'SR-Team Roping-Header'!$B$5:$N$24,9,FALSE)),0)+IFERROR(IF(VLOOKUP($B6,'SR-Team Roping-Heeler'!$B$5:$N$24,9,FALSE)=" ",0,VLOOKUP($B6,'SR-Team Roping-Heeler'!$B$5:$N$24,9,FALSE)),0)+IFERROR(IF(VLOOKUP($B6,'SR B-Calf Roping'!$B$5:$AI$24,30,FALSE)=" ",0,VLOOKUP($B6,'SR B-Calf Roping'!$B$5:$AI$24,30,FALSE)),0)+IFERROR(IF(VLOOKUP($B6,'SR B-Steer Wrestling'!$B$5:$AI$24,30,FALSE)=" ",0,VLOOKUP($B6,'SR B-Steer Wrestling'!$B$5:$AI$24,30,FALSE)),0)+IFERROR(IF(VLOOKUP($B6,'SR B-Chute Dogging'!$B$5:$AI$24,30,FALSE)=" ",0,VLOOKUP($B6,'SR B-Chute Dogging'!$B$5:$AI$24,30,FALSE)),0)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IFERROR(IF(VLOOKUP($B6,'SR-Team Roping-Header'!$B$5:$N$24,10,FALSE)=" ",0,VLOOKUP($B6,'SR-Team Roping-Header'!$B$5:$N$24,10,FALSE)),0)+IFERROR(IF(VLOOKUP($B6,'SR-Team Roping-Heeler'!$B$5:$N$24,10,FALSE)=" ",0,VLOOKUP($B6,'SR-Team Roping-Heeler'!$B$5:$N$24,10,FALSE)),0)+IFERROR(IF(VLOOKUP($B6,'SR B-Calf Roping'!$B$5:$AI$24,34,FALSE)=" ",0,VLOOKUP($B6,'SR B-Calf Roping'!$B$5:$AI$24,34,FALSE)),0)+IFERROR(IF(VLOOKUP($B6,'SR B-Steer Wrestling'!$B$5:$AI$24,34,FALSE)=" ",0,VLOOKUP($B6,'SR B-Steer Wrestling'!$B$5:$AI$24,34,FALSE)),0)+IFERROR(IF(VLOOKUP($B6,'SR B-Chute Dogging'!$B$5:$AI$24,34,FALSE)=" ",0,VLOOKUP($B6,'SR B-Chute Dogging'!$B$5:$AI$24,34,FALSE)),0)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42</v>
      </c>
      <c r="AB6" s="95">
        <f t="shared" si="16"/>
        <v>42</v>
      </c>
      <c r="AC6" s="91">
        <f t="shared" si="17"/>
        <v>2</v>
      </c>
    </row>
    <row r="7" spans="2:29" x14ac:dyDescent="0.3">
      <c r="B7" s="152" t="s">
        <v>153</v>
      </c>
      <c r="C7" s="120">
        <f>IFERROR(IF(VLOOKUP($B7,'SR-Team Roping-Header'!$B$5:$N$24,3,FALSE)=" ",0,VLOOKUP($B7,'SR-Team Roping-Header'!$B$5:$N$24,3,FALSE)),0)+IFERROR(IF(VLOOKUP($B7,'SR-Team Roping-Heeler'!$B$5:$N$24,3,FALSE)=" ",0,VLOOKUP($B7,'SR-Team Roping-Heeler'!$B$5:$N$24,3,FALSE)),0)+IFERROR(IF(VLOOKUP($B7,'SR B-Calf Roping'!$B$5:$AI$24,6,FALSE)=" ",0,VLOOKUP($B7,'SR B-Calf Roping'!$B$5:$AI$24,6,FALSE)),0)+IFERROR(IF(VLOOKUP($B7,'SR B-Steer Wrestling'!$B$5:$AI$24,6,FALSE)=" ",0,VLOOKUP($B7,'SR B-Steer Wrestling'!$B$5:$AI$24,6,FALSE)),0)+IFERROR(IF(VLOOKUP($B7,'SR B-Chute Dogging'!$B$5:$AI$24,6,FALSE)=" ",0,VLOOKUP($B7,'SR B-Chute Dogging'!$B$5:$AI$24,6,FALSE)),0)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IFERROR(IF(VLOOKUP($B7,'SR-Team Roping-Header'!$B$5:$N$24,4,FALSE)=" ",0,VLOOKUP($B7,'SR-Team Roping-Header'!$B$5:$N$24,4,FALSE)),0)+IFERROR(IF(VLOOKUP($B7,'SR-Team Roping-Heeler'!$B$5:$N$24,4,FALSE)=" ",0,VLOOKUP($B7,'SR-Team Roping-Heeler'!$B$5:$N$24,4,FALSE)),0)+IFERROR(IF(VLOOKUP($B7,'SR B-Calf Roping'!$B$5:$AI$24,10,FALSE)=" ",0,VLOOKUP($B7,'SR B-Calf Roping'!$B$5:$AI$24,10,FALSE)),0)+IFERROR(IF(VLOOKUP($B7,'SR B-Steer Wrestling'!$B$5:$AI$24,10,FALSE)=" ",0,VLOOKUP($B7,'SR B-Steer Wrestling'!$B$5:$AI$24,10,FALSE)),0)+IFERROR(IF(VLOOKUP($B7,'SR B-Chute Dogging'!$B$5:$AI$24,10,FALSE)=" ",0,VLOOKUP($B7,'SR B-Chute Dogging'!$B$5:$AI$24,10,FALSE)),0)</f>
        <v>0</v>
      </c>
      <c r="G7" s="95" t="str">
        <f t="shared" si="2"/>
        <v xml:space="preserve"> </v>
      </c>
      <c r="H7" s="91" t="str">
        <f t="shared" si="3"/>
        <v xml:space="preserve"> </v>
      </c>
      <c r="I7" s="121">
        <f>IFERROR(IF(VLOOKUP($B7,'SR-Team Roping-Header'!$B$5:$N$24,5,FALSE)=" ",0,VLOOKUP($B7,'SR-Team Roping-Header'!$B$5:$N$24,5,FALSE)),0)+IFERROR(IF(VLOOKUP($B7,'SR-Team Roping-Heeler'!$B$5:$N$24,5,FALSE)=" ",0,VLOOKUP($B7,'SR-Team Roping-Heeler'!$B$5:$N$24,5,FALSE)),0)+IFERROR(IF(VLOOKUP($B7,'SR B-Calf Roping'!$B$5:$AI$24,14,FALSE)=" ",0,VLOOKUP($B7,'SR B-Calf Roping'!$B$5:$AI$24,14,FALSE)),0)+IFERROR(IF(VLOOKUP($B7,'SR B-Steer Wrestling'!$B$5:$AI$24,14,FALSE)=" ",0,VLOOKUP($B7,'SR B-Steer Wrestling'!$B$5:$AI$24,14,FALSE)),0)+IFERROR(IF(VLOOKUP($B7,'SR B-Chute Dogging'!$B$5:$AI$24,14,FALSE)=" ",0,VLOOKUP($B7,'SR B-Chute Dogging'!$B$5:$AI$24,14,FALSE)),0)</f>
        <v>12</v>
      </c>
      <c r="J7" s="95">
        <f t="shared" si="4"/>
        <v>12</v>
      </c>
      <c r="K7" s="91">
        <f t="shared" si="5"/>
        <v>4</v>
      </c>
      <c r="L7" s="121">
        <f>IFERROR(IF(VLOOKUP($B7,'SR-Team Roping-Header'!$B$5:$N$24,6,FALSE)=" ",0,VLOOKUP($B7,'SR-Team Roping-Header'!$B$5:$N$24,6,FALSE)),0)+IFERROR(IF(VLOOKUP($B7,'SR-Team Roping-Heeler'!$B$5:$N$24,6,FALSE)=" ",0,VLOOKUP($B7,'SR-Team Roping-Heeler'!$B$5:$N$24,6,FALSE)),0)+IFERROR(IF(VLOOKUP($B7,'SR B-Calf Roping'!$B$5:$AI$24,18,FALSE)=" ",0,VLOOKUP($B7,'SR B-Calf Roping'!$B$5:$AI$24,18,FALSE)),0)+IFERROR(IF(VLOOKUP($B7,'SR B-Steer Wrestling'!$B$5:$AI$24,18,FALSE)=" ",0,VLOOKUP($B7,'SR B-Steer Wrestling'!$B$5:$AI$24,18,FALSE)),0)+IFERROR(IF(VLOOKUP($B7,'SR B-Chute Dogging'!$B$5:$AI$24,18,FALSE)=" ",0,VLOOKUP($B7,'SR B-Chute Dogging'!$B$5:$AI$24,18,FALSE)),0)</f>
        <v>24</v>
      </c>
      <c r="M7" s="95">
        <f t="shared" si="6"/>
        <v>24</v>
      </c>
      <c r="N7" s="91">
        <f t="shared" si="7"/>
        <v>2</v>
      </c>
      <c r="O7" s="121">
        <f>IFERROR(IF(VLOOKUP($B7,'SR-Team Roping-Header'!$B$5:$N$24,7,FALSE)=" ",0,VLOOKUP($B7,'SR-Team Roping-Header'!$B$5:$N$24,7,FALSE)),0)+IFERROR(IF(VLOOKUP($B7,'SR-Team Roping-Heeler'!$B$5:$N$24,7,FALSE)=" ",0,VLOOKUP($B7,'SR-Team Roping-Heeler'!$B$5:$N$24,7,FALSE)),0)+IFERROR(IF(VLOOKUP($B7,'SR B-Calf Roping'!$B$5:$AI$24,22,FALSE)=" ",0,VLOOKUP($B7,'SR B-Calf Roping'!$B$5:$AI$24,22,FALSE)),0)+IFERROR(IF(VLOOKUP($B7,'SR B-Steer Wrestling'!$B$5:$AI$24,22,FALSE)=" ",0,VLOOKUP($B7,'SR B-Steer Wrestling'!$B$5:$AI$24,22,FALSE)),0)+IFERROR(IF(VLOOKUP($B7,'SR B-Chute Dogging'!$B$5:$AI$24,22,FALSE)=" ",0,VLOOKUP($B7,'SR B-Chute Dogging'!$B$5:$AI$24,22,FALSE)),0)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IFERROR(IF(VLOOKUP($B7,'SR-Team Roping-Header'!$B$5:$N$24,8,FALSE)=" ",0,VLOOKUP($B7,'SR-Team Roping-Header'!$B$5:$N$24,8,FALSE)),0)+IFERROR(IF(VLOOKUP($B7,'SR-Team Roping-Heeler'!$B$5:$N$24,8,FALSE)=" ",0,VLOOKUP($B7,'SR-Team Roping-Heeler'!$B$5:$N$24,8,FALSE)),0)+IFERROR(IF(VLOOKUP($B7,'SR B-Calf Roping'!$B$5:$AI$24,26,FALSE)=" ",0,VLOOKUP($B7,'SR B-Calf Roping'!$B$5:$AI$24,26,FALSE)),0)+IFERROR(IF(VLOOKUP($B7,'SR B-Steer Wrestling'!$B$5:$AI$24,26,FALSE)=" ",0,VLOOKUP($B7,'SR B-Steer Wrestling'!$B$5:$AI$24,26,FALSE)),0)+IFERROR(IF(VLOOKUP($B7,'SR B-Chute Dogging'!$B$5:$AI$24,26,FALSE)=" ",0,VLOOKUP($B7,'SR B-Chute Dogging'!$B$5:$AI$24,26,FALSE)),0)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IFERROR(IF(VLOOKUP($B7,'SR-Team Roping-Header'!$B$5:$N$24,9,FALSE)=" ",0,VLOOKUP($B7,'SR-Team Roping-Header'!$B$5:$N$24,9,FALSE)),0)+IFERROR(IF(VLOOKUP($B7,'SR-Team Roping-Heeler'!$B$5:$N$24,9,FALSE)=" ",0,VLOOKUP($B7,'SR-Team Roping-Heeler'!$B$5:$N$24,9,FALSE)),0)+IFERROR(IF(VLOOKUP($B7,'SR B-Calf Roping'!$B$5:$AI$24,30,FALSE)=" ",0,VLOOKUP($B7,'SR B-Calf Roping'!$B$5:$AI$24,30,FALSE)),0)+IFERROR(IF(VLOOKUP($B7,'SR B-Steer Wrestling'!$B$5:$AI$24,30,FALSE)=" ",0,VLOOKUP($B7,'SR B-Steer Wrestling'!$B$5:$AI$24,30,FALSE)),0)+IFERROR(IF(VLOOKUP($B7,'SR B-Chute Dogging'!$B$5:$AI$24,30,FALSE)=" ",0,VLOOKUP($B7,'SR B-Chute Dogging'!$B$5:$AI$24,30,FALSE)),0)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IFERROR(IF(VLOOKUP($B7,'SR-Team Roping-Header'!$B$5:$N$24,10,FALSE)=" ",0,VLOOKUP($B7,'SR-Team Roping-Header'!$B$5:$N$24,10,FALSE)),0)+IFERROR(IF(VLOOKUP($B7,'SR-Team Roping-Heeler'!$B$5:$N$24,10,FALSE)=" ",0,VLOOKUP($B7,'SR-Team Roping-Heeler'!$B$5:$N$24,10,FALSE)),0)+IFERROR(IF(VLOOKUP($B7,'SR B-Calf Roping'!$B$5:$AI$24,34,FALSE)=" ",0,VLOOKUP($B7,'SR B-Calf Roping'!$B$5:$AI$24,34,FALSE)),0)+IFERROR(IF(VLOOKUP($B7,'SR B-Steer Wrestling'!$B$5:$AI$24,34,FALSE)=" ",0,VLOOKUP($B7,'SR B-Steer Wrestling'!$B$5:$AI$24,34,FALSE)),0)+IFERROR(IF(VLOOKUP($B7,'SR B-Chute Dogging'!$B$5:$AI$24,34,FALSE)=" ",0,VLOOKUP($B7,'SR B-Chute Dogging'!$B$5:$AI$24,34,FALSE)),0)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36</v>
      </c>
      <c r="AB7" s="95">
        <f t="shared" si="16"/>
        <v>36</v>
      </c>
      <c r="AC7" s="91">
        <f t="shared" si="17"/>
        <v>3</v>
      </c>
    </row>
    <row r="8" spans="2:29" x14ac:dyDescent="0.3">
      <c r="B8" s="141" t="s">
        <v>221</v>
      </c>
      <c r="C8" s="120">
        <f>IFERROR(IF(VLOOKUP($B8,'SR-Team Roping-Header'!$B$5:$N$24,3,FALSE)=" ",0,VLOOKUP($B8,'SR-Team Roping-Header'!$B$5:$N$24,3,FALSE)),0)+IFERROR(IF(VLOOKUP($B8,'SR-Team Roping-Heeler'!$B$5:$N$24,3,FALSE)=" ",0,VLOOKUP($B8,'SR-Team Roping-Heeler'!$B$5:$N$24,3,FALSE)),0)+IFERROR(IF(VLOOKUP($B8,'SR B-Calf Roping'!$B$5:$AI$24,6,FALSE)=" ",0,VLOOKUP($B8,'SR B-Calf Roping'!$B$5:$AI$24,6,FALSE)),0)+IFERROR(IF(VLOOKUP($B8,'SR B-Steer Wrestling'!$B$5:$AI$24,6,FALSE)=" ",0,VLOOKUP($B8,'SR B-Steer Wrestling'!$B$5:$AI$24,6,FALSE)),0)+IFERROR(IF(VLOOKUP($B8,'SR B-Chute Dogging'!$B$5:$AI$24,6,FALSE)=" ",0,VLOOKUP($B8,'SR B-Chute Dogging'!$B$5:$AI$24,6,FALSE)),0)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IFERROR(IF(VLOOKUP($B8,'SR-Team Roping-Header'!$B$5:$N$24,4,FALSE)=" ",0,VLOOKUP($B8,'SR-Team Roping-Header'!$B$5:$N$24,4,FALSE)),0)+IFERROR(IF(VLOOKUP($B8,'SR-Team Roping-Heeler'!$B$5:$N$24,4,FALSE)=" ",0,VLOOKUP($B8,'SR-Team Roping-Heeler'!$B$5:$N$24,4,FALSE)),0)+IFERROR(IF(VLOOKUP($B8,'SR B-Calf Roping'!$B$5:$AI$24,10,FALSE)=" ",0,VLOOKUP($B8,'SR B-Calf Roping'!$B$5:$AI$24,10,FALSE)),0)+IFERROR(IF(VLOOKUP($B8,'SR B-Steer Wrestling'!$B$5:$AI$24,10,FALSE)=" ",0,VLOOKUP($B8,'SR B-Steer Wrestling'!$B$5:$AI$24,10,FALSE)),0)+IFERROR(IF(VLOOKUP($B8,'SR B-Chute Dogging'!$B$5:$AI$24,10,FALSE)=" ",0,VLOOKUP($B8,'SR B-Chute Dogging'!$B$5:$AI$24,10,FALSE)),0)</f>
        <v>9</v>
      </c>
      <c r="G8" s="95">
        <f t="shared" si="2"/>
        <v>9</v>
      </c>
      <c r="H8" s="91">
        <f t="shared" si="3"/>
        <v>5</v>
      </c>
      <c r="I8" s="121">
        <f>IFERROR(IF(VLOOKUP($B8,'SR-Team Roping-Header'!$B$5:$N$24,5,FALSE)=" ",0,VLOOKUP($B8,'SR-Team Roping-Header'!$B$5:$N$24,5,FALSE)),0)+IFERROR(IF(VLOOKUP($B8,'SR-Team Roping-Heeler'!$B$5:$N$24,5,FALSE)=" ",0,VLOOKUP($B8,'SR-Team Roping-Heeler'!$B$5:$N$24,5,FALSE)),0)+IFERROR(IF(VLOOKUP($B8,'SR B-Calf Roping'!$B$5:$AI$24,14,FALSE)=" ",0,VLOOKUP($B8,'SR B-Calf Roping'!$B$5:$AI$24,14,FALSE)),0)+IFERROR(IF(VLOOKUP($B8,'SR B-Steer Wrestling'!$B$5:$AI$24,14,FALSE)=" ",0,VLOOKUP($B8,'SR B-Steer Wrestling'!$B$5:$AI$24,14,FALSE)),0)+IFERROR(IF(VLOOKUP($B8,'SR B-Chute Dogging'!$B$5:$AI$24,14,FALSE)=" ",0,VLOOKUP($B8,'SR B-Chute Dogging'!$B$5:$AI$24,14,FALSE)),0)</f>
        <v>18</v>
      </c>
      <c r="J8" s="95">
        <f t="shared" si="4"/>
        <v>18</v>
      </c>
      <c r="K8" s="91">
        <f t="shared" si="5"/>
        <v>2</v>
      </c>
      <c r="L8" s="121">
        <f>IFERROR(IF(VLOOKUP($B8,'SR-Team Roping-Header'!$B$5:$N$24,6,FALSE)=" ",0,VLOOKUP($B8,'SR-Team Roping-Header'!$B$5:$N$24,6,FALSE)),0)+IFERROR(IF(VLOOKUP($B8,'SR-Team Roping-Heeler'!$B$5:$N$24,6,FALSE)=" ",0,VLOOKUP($B8,'SR-Team Roping-Heeler'!$B$5:$N$24,6,FALSE)),0)+IFERROR(IF(VLOOKUP($B8,'SR B-Calf Roping'!$B$5:$AI$24,18,FALSE)=" ",0,VLOOKUP($B8,'SR B-Calf Roping'!$B$5:$AI$24,18,FALSE)),0)+IFERROR(IF(VLOOKUP($B8,'SR B-Steer Wrestling'!$B$5:$AI$24,18,FALSE)=" ",0,VLOOKUP($B8,'SR B-Steer Wrestling'!$B$5:$AI$24,18,FALSE)),0)+IFERROR(IF(VLOOKUP($B8,'SR B-Chute Dogging'!$B$5:$AI$24,18,FALSE)=" ",0,VLOOKUP($B8,'SR B-Chute Dogging'!$B$5:$AI$24,18,FALSE)),0)</f>
        <v>3</v>
      </c>
      <c r="M8" s="95">
        <f t="shared" si="6"/>
        <v>3</v>
      </c>
      <c r="N8" s="91">
        <f t="shared" si="7"/>
        <v>6</v>
      </c>
      <c r="O8" s="121">
        <f>IFERROR(IF(VLOOKUP($B8,'SR-Team Roping-Header'!$B$5:$N$24,7,FALSE)=" ",0,VLOOKUP($B8,'SR-Team Roping-Header'!$B$5:$N$24,7,FALSE)),0)+IFERROR(IF(VLOOKUP($B8,'SR-Team Roping-Heeler'!$B$5:$N$24,7,FALSE)=" ",0,VLOOKUP($B8,'SR-Team Roping-Heeler'!$B$5:$N$24,7,FALSE)),0)+IFERROR(IF(VLOOKUP($B8,'SR B-Calf Roping'!$B$5:$AI$24,22,FALSE)=" ",0,VLOOKUP($B8,'SR B-Calf Roping'!$B$5:$AI$24,22,FALSE)),0)+IFERROR(IF(VLOOKUP($B8,'SR B-Steer Wrestling'!$B$5:$AI$24,22,FALSE)=" ",0,VLOOKUP($B8,'SR B-Steer Wrestling'!$B$5:$AI$24,22,FALSE)),0)+IFERROR(IF(VLOOKUP($B8,'SR B-Chute Dogging'!$B$5:$AI$24,22,FALSE)=" ",0,VLOOKUP($B8,'SR B-Chute Dogging'!$B$5:$AI$24,22,FALSE)),0)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IFERROR(IF(VLOOKUP($B8,'SR-Team Roping-Header'!$B$5:$N$24,8,FALSE)=" ",0,VLOOKUP($B8,'SR-Team Roping-Header'!$B$5:$N$24,8,FALSE)),0)+IFERROR(IF(VLOOKUP($B8,'SR-Team Roping-Heeler'!$B$5:$N$24,8,FALSE)=" ",0,VLOOKUP($B8,'SR-Team Roping-Heeler'!$B$5:$N$24,8,FALSE)),0)+IFERROR(IF(VLOOKUP($B8,'SR B-Calf Roping'!$B$5:$AI$24,26,FALSE)=" ",0,VLOOKUP($B8,'SR B-Calf Roping'!$B$5:$AI$24,26,FALSE)),0)+IFERROR(IF(VLOOKUP($B8,'SR B-Steer Wrestling'!$B$5:$AI$24,26,FALSE)=" ",0,VLOOKUP($B8,'SR B-Steer Wrestling'!$B$5:$AI$24,26,FALSE)),0)+IFERROR(IF(VLOOKUP($B8,'SR B-Chute Dogging'!$B$5:$AI$24,26,FALSE)=" ",0,VLOOKUP($B8,'SR B-Chute Dogging'!$B$5:$AI$24,26,FALSE)),0)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IFERROR(IF(VLOOKUP($B8,'SR-Team Roping-Header'!$B$5:$N$24,9,FALSE)=" ",0,VLOOKUP($B8,'SR-Team Roping-Header'!$B$5:$N$24,9,FALSE)),0)+IFERROR(IF(VLOOKUP($B8,'SR-Team Roping-Heeler'!$B$5:$N$24,9,FALSE)=" ",0,VLOOKUP($B8,'SR-Team Roping-Heeler'!$B$5:$N$24,9,FALSE)),0)+IFERROR(IF(VLOOKUP($B8,'SR B-Calf Roping'!$B$5:$AI$24,30,FALSE)=" ",0,VLOOKUP($B8,'SR B-Calf Roping'!$B$5:$AI$24,30,FALSE)),0)+IFERROR(IF(VLOOKUP($B8,'SR B-Steer Wrestling'!$B$5:$AI$24,30,FALSE)=" ",0,VLOOKUP($B8,'SR B-Steer Wrestling'!$B$5:$AI$24,30,FALSE)),0)+IFERROR(IF(VLOOKUP($B8,'SR B-Chute Dogging'!$B$5:$AI$24,30,FALSE)=" ",0,VLOOKUP($B8,'SR B-Chute Dogging'!$B$5:$AI$24,30,FALSE)),0)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IFERROR(IF(VLOOKUP($B8,'SR-Team Roping-Header'!$B$5:$N$24,10,FALSE)=" ",0,VLOOKUP($B8,'SR-Team Roping-Header'!$B$5:$N$24,10,FALSE)),0)+IFERROR(IF(VLOOKUP($B8,'SR-Team Roping-Heeler'!$B$5:$N$24,10,FALSE)=" ",0,VLOOKUP($B8,'SR-Team Roping-Heeler'!$B$5:$N$24,10,FALSE)),0)+IFERROR(IF(VLOOKUP($B8,'SR B-Calf Roping'!$B$5:$AI$24,34,FALSE)=" ",0,VLOOKUP($B8,'SR B-Calf Roping'!$B$5:$AI$24,34,FALSE)),0)+IFERROR(IF(VLOOKUP($B8,'SR B-Steer Wrestling'!$B$5:$AI$24,34,FALSE)=" ",0,VLOOKUP($B8,'SR B-Steer Wrestling'!$B$5:$AI$24,34,FALSE)),0)+IFERROR(IF(VLOOKUP($B8,'SR B-Chute Dogging'!$B$5:$AI$24,34,FALSE)=" ",0,VLOOKUP($B8,'SR B-Chute Dogging'!$B$5:$AI$24,34,FALSE)),0)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30</v>
      </c>
      <c r="AB8" s="95">
        <f t="shared" si="16"/>
        <v>30</v>
      </c>
      <c r="AC8" s="91">
        <f t="shared" si="17"/>
        <v>4</v>
      </c>
    </row>
    <row r="9" spans="2:29" x14ac:dyDescent="0.3">
      <c r="B9" s="152" t="s">
        <v>199</v>
      </c>
      <c r="C9" s="120">
        <f>IFERROR(IF(VLOOKUP($B9,'SR-Team Roping-Header'!$B$5:$N$24,3,FALSE)=" ",0,VLOOKUP($B9,'SR-Team Roping-Header'!$B$5:$N$24,3,FALSE)),0)+IFERROR(IF(VLOOKUP($B9,'SR-Team Roping-Heeler'!$B$5:$N$24,3,FALSE)=" ",0,VLOOKUP($B9,'SR-Team Roping-Heeler'!$B$5:$N$24,3,FALSE)),0)+IFERROR(IF(VLOOKUP($B9,'SR B-Calf Roping'!$B$5:$AI$24,6,FALSE)=" ",0,VLOOKUP($B9,'SR B-Calf Roping'!$B$5:$AI$24,6,FALSE)),0)+IFERROR(IF(VLOOKUP($B9,'SR B-Steer Wrestling'!$B$5:$AI$24,6,FALSE)=" ",0,VLOOKUP($B9,'SR B-Steer Wrestling'!$B$5:$AI$24,6,FALSE)),0)+IFERROR(IF(VLOOKUP($B9,'SR B-Chute Dogging'!$B$5:$AI$24,6,FALSE)=" ",0,VLOOKUP($B9,'SR B-Chute Dogging'!$B$5:$AI$24,6,FALSE)),0)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IFERROR(IF(VLOOKUP($B9,'SR-Team Roping-Header'!$B$5:$N$24,4,FALSE)=" ",0,VLOOKUP($B9,'SR-Team Roping-Header'!$B$5:$N$24,4,FALSE)),0)+IFERROR(IF(VLOOKUP($B9,'SR-Team Roping-Heeler'!$B$5:$N$24,4,FALSE)=" ",0,VLOOKUP($B9,'SR-Team Roping-Heeler'!$B$5:$N$24,4,FALSE)),0)+IFERROR(IF(VLOOKUP($B9,'SR B-Calf Roping'!$B$5:$AI$24,10,FALSE)=" ",0,VLOOKUP($B9,'SR B-Calf Roping'!$B$5:$AI$24,10,FALSE)),0)+IFERROR(IF(VLOOKUP($B9,'SR B-Steer Wrestling'!$B$5:$AI$24,10,FALSE)=" ",0,VLOOKUP($B9,'SR B-Steer Wrestling'!$B$5:$AI$24,10,FALSE)),0)+IFERROR(IF(VLOOKUP($B9,'SR B-Chute Dogging'!$B$5:$AI$24,10,FALSE)=" ",0,VLOOKUP($B9,'SR B-Chute Dogging'!$B$5:$AI$24,10,FALSE)),0)</f>
        <v>12</v>
      </c>
      <c r="G9" s="95">
        <f t="shared" si="2"/>
        <v>12</v>
      </c>
      <c r="H9" s="91">
        <f t="shared" si="3"/>
        <v>4</v>
      </c>
      <c r="I9" s="121">
        <f>IFERROR(IF(VLOOKUP($B9,'SR-Team Roping-Header'!$B$5:$N$24,5,FALSE)=" ",0,VLOOKUP($B9,'SR-Team Roping-Header'!$B$5:$N$24,5,FALSE)),0)+IFERROR(IF(VLOOKUP($B9,'SR-Team Roping-Heeler'!$B$5:$N$24,5,FALSE)=" ",0,VLOOKUP($B9,'SR-Team Roping-Heeler'!$B$5:$N$24,5,FALSE)),0)+IFERROR(IF(VLOOKUP($B9,'SR B-Calf Roping'!$B$5:$AI$24,14,FALSE)=" ",0,VLOOKUP($B9,'SR B-Calf Roping'!$B$5:$AI$24,14,FALSE)),0)+IFERROR(IF(VLOOKUP($B9,'SR B-Steer Wrestling'!$B$5:$AI$24,14,FALSE)=" ",0,VLOOKUP($B9,'SR B-Steer Wrestling'!$B$5:$AI$24,14,FALSE)),0)+IFERROR(IF(VLOOKUP($B9,'SR B-Chute Dogging'!$B$5:$AI$24,14,FALSE)=" ",0,VLOOKUP($B9,'SR B-Chute Dogging'!$B$5:$AI$24,14,FALSE)),0)</f>
        <v>0</v>
      </c>
      <c r="J9" s="95" t="str">
        <f t="shared" si="4"/>
        <v xml:space="preserve"> </v>
      </c>
      <c r="K9" s="91" t="str">
        <f t="shared" si="5"/>
        <v xml:space="preserve"> </v>
      </c>
      <c r="L9" s="121">
        <f>IFERROR(IF(VLOOKUP($B9,'SR-Team Roping-Header'!$B$5:$N$24,6,FALSE)=" ",0,VLOOKUP($B9,'SR-Team Roping-Header'!$B$5:$N$24,6,FALSE)),0)+IFERROR(IF(VLOOKUP($B9,'SR-Team Roping-Heeler'!$B$5:$N$24,6,FALSE)=" ",0,VLOOKUP($B9,'SR-Team Roping-Heeler'!$B$5:$N$24,6,FALSE)),0)+IFERROR(IF(VLOOKUP($B9,'SR B-Calf Roping'!$B$5:$AI$24,18,FALSE)=" ",0,VLOOKUP($B9,'SR B-Calf Roping'!$B$5:$AI$24,18,FALSE)),0)+IFERROR(IF(VLOOKUP($B9,'SR B-Steer Wrestling'!$B$5:$AI$24,18,FALSE)=" ",0,VLOOKUP($B9,'SR B-Steer Wrestling'!$B$5:$AI$24,18,FALSE)),0)+IFERROR(IF(VLOOKUP($B9,'SR B-Chute Dogging'!$B$5:$AI$24,18,FALSE)=" ",0,VLOOKUP($B9,'SR B-Chute Dogging'!$B$5:$AI$24,18,FALSE)),0)</f>
        <v>18</v>
      </c>
      <c r="M9" s="95">
        <f t="shared" si="6"/>
        <v>18</v>
      </c>
      <c r="N9" s="91">
        <f t="shared" si="7"/>
        <v>3</v>
      </c>
      <c r="O9" s="121">
        <f>IFERROR(IF(VLOOKUP($B9,'SR-Team Roping-Header'!$B$5:$N$24,7,FALSE)=" ",0,VLOOKUP($B9,'SR-Team Roping-Header'!$B$5:$N$24,7,FALSE)),0)+IFERROR(IF(VLOOKUP($B9,'SR-Team Roping-Heeler'!$B$5:$N$24,7,FALSE)=" ",0,VLOOKUP($B9,'SR-Team Roping-Heeler'!$B$5:$N$24,7,FALSE)),0)+IFERROR(IF(VLOOKUP($B9,'SR B-Calf Roping'!$B$5:$AI$24,22,FALSE)=" ",0,VLOOKUP($B9,'SR B-Calf Roping'!$B$5:$AI$24,22,FALSE)),0)+IFERROR(IF(VLOOKUP($B9,'SR B-Steer Wrestling'!$B$5:$AI$24,22,FALSE)=" ",0,VLOOKUP($B9,'SR B-Steer Wrestling'!$B$5:$AI$24,22,FALSE)),0)+IFERROR(IF(VLOOKUP($B9,'SR B-Chute Dogging'!$B$5:$AI$24,22,FALSE)=" ",0,VLOOKUP($B9,'SR B-Chute Dogging'!$B$5:$AI$24,22,FALSE)),0)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IFERROR(IF(VLOOKUP($B9,'SR-Team Roping-Header'!$B$5:$N$24,8,FALSE)=" ",0,VLOOKUP($B9,'SR-Team Roping-Header'!$B$5:$N$24,8,FALSE)),0)+IFERROR(IF(VLOOKUP($B9,'SR-Team Roping-Heeler'!$B$5:$N$24,8,FALSE)=" ",0,VLOOKUP($B9,'SR-Team Roping-Heeler'!$B$5:$N$24,8,FALSE)),0)+IFERROR(IF(VLOOKUP($B9,'SR B-Calf Roping'!$B$5:$AI$24,26,FALSE)=" ",0,VLOOKUP($B9,'SR B-Calf Roping'!$B$5:$AI$24,26,FALSE)),0)+IFERROR(IF(VLOOKUP($B9,'SR B-Steer Wrestling'!$B$5:$AI$24,26,FALSE)=" ",0,VLOOKUP($B9,'SR B-Steer Wrestling'!$B$5:$AI$24,26,FALSE)),0)+IFERROR(IF(VLOOKUP($B9,'SR B-Chute Dogging'!$B$5:$AI$24,26,FALSE)=" ",0,VLOOKUP($B9,'SR B-Chute Dogging'!$B$5:$AI$24,26,FALSE)),0)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IFERROR(IF(VLOOKUP($B9,'SR-Team Roping-Header'!$B$5:$N$24,9,FALSE)=" ",0,VLOOKUP($B9,'SR-Team Roping-Header'!$B$5:$N$24,9,FALSE)),0)+IFERROR(IF(VLOOKUP($B9,'SR-Team Roping-Heeler'!$B$5:$N$24,9,FALSE)=" ",0,VLOOKUP($B9,'SR-Team Roping-Heeler'!$B$5:$N$24,9,FALSE)),0)+IFERROR(IF(VLOOKUP($B9,'SR B-Calf Roping'!$B$5:$AI$24,30,FALSE)=" ",0,VLOOKUP($B9,'SR B-Calf Roping'!$B$5:$AI$24,30,FALSE)),0)+IFERROR(IF(VLOOKUP($B9,'SR B-Steer Wrestling'!$B$5:$AI$24,30,FALSE)=" ",0,VLOOKUP($B9,'SR B-Steer Wrestling'!$B$5:$AI$24,30,FALSE)),0)+IFERROR(IF(VLOOKUP($B9,'SR B-Chute Dogging'!$B$5:$AI$24,30,FALSE)=" ",0,VLOOKUP($B9,'SR B-Chute Dogging'!$B$5:$AI$24,30,FALSE)),0)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IFERROR(IF(VLOOKUP($B9,'SR-Team Roping-Header'!$B$5:$N$24,10,FALSE)=" ",0,VLOOKUP($B9,'SR-Team Roping-Header'!$B$5:$N$24,10,FALSE)),0)+IFERROR(IF(VLOOKUP($B9,'SR-Team Roping-Heeler'!$B$5:$N$24,10,FALSE)=" ",0,VLOOKUP($B9,'SR-Team Roping-Heeler'!$B$5:$N$24,10,FALSE)),0)+IFERROR(IF(VLOOKUP($B9,'SR B-Calf Roping'!$B$5:$AI$24,34,FALSE)=" ",0,VLOOKUP($B9,'SR B-Calf Roping'!$B$5:$AI$24,34,FALSE)),0)+IFERROR(IF(VLOOKUP($B9,'SR B-Steer Wrestling'!$B$5:$AI$24,34,FALSE)=" ",0,VLOOKUP($B9,'SR B-Steer Wrestling'!$B$5:$AI$24,34,FALSE)),0)+IFERROR(IF(VLOOKUP($B9,'SR B-Chute Dogging'!$B$5:$AI$24,34,FALSE)=" ",0,VLOOKUP($B9,'SR B-Chute Dogging'!$B$5:$AI$24,34,FALSE)),0)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30</v>
      </c>
      <c r="AB9" s="95">
        <f t="shared" si="16"/>
        <v>30</v>
      </c>
      <c r="AC9" s="91">
        <f t="shared" si="17"/>
        <v>4</v>
      </c>
    </row>
    <row r="10" spans="2:29" x14ac:dyDescent="0.3">
      <c r="B10" s="152" t="s">
        <v>297</v>
      </c>
      <c r="C10" s="120">
        <f>IFERROR(IF(VLOOKUP($B10,'SR-Team Roping-Header'!$B$5:$N$24,3,FALSE)=" ",0,VLOOKUP($B10,'SR-Team Roping-Header'!$B$5:$N$24,3,FALSE)),0)+IFERROR(IF(VLOOKUP($B10,'SR-Team Roping-Heeler'!$B$5:$N$24,3,FALSE)=" ",0,VLOOKUP($B10,'SR-Team Roping-Heeler'!$B$5:$N$24,3,FALSE)),0)+IFERROR(IF(VLOOKUP($B10,'SR B-Calf Roping'!$B$5:$AI$24,6,FALSE)=" ",0,VLOOKUP($B10,'SR B-Calf Roping'!$B$5:$AI$24,6,FALSE)),0)+IFERROR(IF(VLOOKUP($B10,'SR B-Steer Wrestling'!$B$5:$AI$24,6,FALSE)=" ",0,VLOOKUP($B10,'SR B-Steer Wrestling'!$B$5:$AI$24,6,FALSE)),0)+IFERROR(IF(VLOOKUP($B10,'SR B-Chute Dogging'!$B$5:$AI$24,6,FALSE)=" ",0,VLOOKUP($B10,'SR B-Chute Dogging'!$B$5:$AI$24,6,FALSE)),0)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IFERROR(IF(VLOOKUP($B10,'SR-Team Roping-Header'!$B$5:$N$24,4,FALSE)=" ",0,VLOOKUP($B10,'SR-Team Roping-Header'!$B$5:$N$24,4,FALSE)),0)+IFERROR(IF(VLOOKUP($B10,'SR-Team Roping-Heeler'!$B$5:$N$24,4,FALSE)=" ",0,VLOOKUP($B10,'SR-Team Roping-Heeler'!$B$5:$N$24,4,FALSE)),0)+IFERROR(IF(VLOOKUP($B10,'SR B-Calf Roping'!$B$5:$AI$24,10,FALSE)=" ",0,VLOOKUP($B10,'SR B-Calf Roping'!$B$5:$AI$24,10,FALSE)),0)+IFERROR(IF(VLOOKUP($B10,'SR B-Steer Wrestling'!$B$5:$AI$24,10,FALSE)=" ",0,VLOOKUP($B10,'SR B-Steer Wrestling'!$B$5:$AI$24,10,FALSE)),0)+IFERROR(IF(VLOOKUP($B10,'SR B-Chute Dogging'!$B$5:$AI$24,10,FALSE)=" ",0,VLOOKUP($B10,'SR B-Chute Dogging'!$B$5:$AI$24,10,FALSE)),0)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IFERROR(IF(VLOOKUP($B10,'SR-Team Roping-Header'!$B$5:$N$24,5,FALSE)=" ",0,VLOOKUP($B10,'SR-Team Roping-Header'!$B$5:$N$24,5,FALSE)),0)+IFERROR(IF(VLOOKUP($B10,'SR-Team Roping-Heeler'!$B$5:$N$24,5,FALSE)=" ",0,VLOOKUP($B10,'SR-Team Roping-Heeler'!$B$5:$N$24,5,FALSE)),0)+IFERROR(IF(VLOOKUP($B10,'SR B-Calf Roping'!$B$5:$AI$24,14,FALSE)=" ",0,VLOOKUP($B10,'SR B-Calf Roping'!$B$5:$AI$24,14,FALSE)),0)+IFERROR(IF(VLOOKUP($B10,'SR B-Steer Wrestling'!$B$5:$AI$24,14,FALSE)=" ",0,VLOOKUP($B10,'SR B-Steer Wrestling'!$B$5:$AI$24,14,FALSE)),0)+IFERROR(IF(VLOOKUP($B10,'SR B-Chute Dogging'!$B$5:$AI$24,14,FALSE)=" ",0,VLOOKUP($B10,'SR B-Chute Dogging'!$B$5:$AI$24,14,FALSE)),0)</f>
        <v>15</v>
      </c>
      <c r="J10" s="95">
        <f t="shared" si="4"/>
        <v>15</v>
      </c>
      <c r="K10" s="91">
        <f t="shared" si="5"/>
        <v>3</v>
      </c>
      <c r="L10" s="121">
        <f>IFERROR(IF(VLOOKUP($B10,'SR-Team Roping-Header'!$B$5:$N$24,6,FALSE)=" ",0,VLOOKUP($B10,'SR-Team Roping-Header'!$B$5:$N$24,6,FALSE)),0)+IFERROR(IF(VLOOKUP($B10,'SR-Team Roping-Heeler'!$B$5:$N$24,6,FALSE)=" ",0,VLOOKUP($B10,'SR-Team Roping-Heeler'!$B$5:$N$24,6,FALSE)),0)+IFERROR(IF(VLOOKUP($B10,'SR B-Calf Roping'!$B$5:$AI$24,18,FALSE)=" ",0,VLOOKUP($B10,'SR B-Calf Roping'!$B$5:$AI$24,18,FALSE)),0)+IFERROR(IF(VLOOKUP($B10,'SR B-Steer Wrestling'!$B$5:$AI$24,18,FALSE)=" ",0,VLOOKUP($B10,'SR B-Steer Wrestling'!$B$5:$AI$24,18,FALSE)),0)+IFERROR(IF(VLOOKUP($B10,'SR B-Chute Dogging'!$B$5:$AI$24,18,FALSE)=" ",0,VLOOKUP($B10,'SR B-Chute Dogging'!$B$5:$AI$24,18,FALSE)),0)</f>
        <v>12</v>
      </c>
      <c r="M10" s="95">
        <f t="shared" si="6"/>
        <v>12</v>
      </c>
      <c r="N10" s="91">
        <f t="shared" si="7"/>
        <v>4</v>
      </c>
      <c r="O10" s="121">
        <f>IFERROR(IF(VLOOKUP($B10,'SR-Team Roping-Header'!$B$5:$N$24,7,FALSE)=" ",0,VLOOKUP($B10,'SR-Team Roping-Header'!$B$5:$N$24,7,FALSE)),0)+IFERROR(IF(VLOOKUP($B10,'SR-Team Roping-Heeler'!$B$5:$N$24,7,FALSE)=" ",0,VLOOKUP($B10,'SR-Team Roping-Heeler'!$B$5:$N$24,7,FALSE)),0)+IFERROR(IF(VLOOKUP($B10,'SR B-Calf Roping'!$B$5:$AI$24,22,FALSE)=" ",0,VLOOKUP($B10,'SR B-Calf Roping'!$B$5:$AI$24,22,FALSE)),0)+IFERROR(IF(VLOOKUP($B10,'SR B-Steer Wrestling'!$B$5:$AI$24,22,FALSE)=" ",0,VLOOKUP($B10,'SR B-Steer Wrestling'!$B$5:$AI$24,22,FALSE)),0)+IFERROR(IF(VLOOKUP($B10,'SR B-Chute Dogging'!$B$5:$AI$24,22,FALSE)=" ",0,VLOOKUP($B10,'SR B-Chute Dogging'!$B$5:$AI$24,22,FALSE)),0)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IFERROR(IF(VLOOKUP($B10,'SR-Team Roping-Header'!$B$5:$N$24,8,FALSE)=" ",0,VLOOKUP($B10,'SR-Team Roping-Header'!$B$5:$N$24,8,FALSE)),0)+IFERROR(IF(VLOOKUP($B10,'SR-Team Roping-Heeler'!$B$5:$N$24,8,FALSE)=" ",0,VLOOKUP($B10,'SR-Team Roping-Heeler'!$B$5:$N$24,8,FALSE)),0)+IFERROR(IF(VLOOKUP($B10,'SR B-Calf Roping'!$B$5:$AI$24,26,FALSE)=" ",0,VLOOKUP($B10,'SR B-Calf Roping'!$B$5:$AI$24,26,FALSE)),0)+IFERROR(IF(VLOOKUP($B10,'SR B-Steer Wrestling'!$B$5:$AI$24,26,FALSE)=" ",0,VLOOKUP($B10,'SR B-Steer Wrestling'!$B$5:$AI$24,26,FALSE)),0)+IFERROR(IF(VLOOKUP($B10,'SR B-Chute Dogging'!$B$5:$AI$24,26,FALSE)=" ",0,VLOOKUP($B10,'SR B-Chute Dogging'!$B$5:$AI$24,26,FALSE)),0)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IFERROR(IF(VLOOKUP($B10,'SR-Team Roping-Header'!$B$5:$N$24,9,FALSE)=" ",0,VLOOKUP($B10,'SR-Team Roping-Header'!$B$5:$N$24,9,FALSE)),0)+IFERROR(IF(VLOOKUP($B10,'SR-Team Roping-Heeler'!$B$5:$N$24,9,FALSE)=" ",0,VLOOKUP($B10,'SR-Team Roping-Heeler'!$B$5:$N$24,9,FALSE)),0)+IFERROR(IF(VLOOKUP($B10,'SR B-Calf Roping'!$B$5:$AI$24,30,FALSE)=" ",0,VLOOKUP($B10,'SR B-Calf Roping'!$B$5:$AI$24,30,FALSE)),0)+IFERROR(IF(VLOOKUP($B10,'SR B-Steer Wrestling'!$B$5:$AI$24,30,FALSE)=" ",0,VLOOKUP($B10,'SR B-Steer Wrestling'!$B$5:$AI$24,30,FALSE)),0)+IFERROR(IF(VLOOKUP($B10,'SR B-Chute Dogging'!$B$5:$AI$24,30,FALSE)=" ",0,VLOOKUP($B10,'SR B-Chute Dogging'!$B$5:$AI$24,30,FALSE)),0)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IFERROR(IF(VLOOKUP($B10,'SR-Team Roping-Header'!$B$5:$N$24,10,FALSE)=" ",0,VLOOKUP($B10,'SR-Team Roping-Header'!$B$5:$N$24,10,FALSE)),0)+IFERROR(IF(VLOOKUP($B10,'SR-Team Roping-Heeler'!$B$5:$N$24,10,FALSE)=" ",0,VLOOKUP($B10,'SR-Team Roping-Heeler'!$B$5:$N$24,10,FALSE)),0)+IFERROR(IF(VLOOKUP($B10,'SR B-Calf Roping'!$B$5:$AI$24,34,FALSE)=" ",0,VLOOKUP($B10,'SR B-Calf Roping'!$B$5:$AI$24,34,FALSE)),0)+IFERROR(IF(VLOOKUP($B10,'SR B-Steer Wrestling'!$B$5:$AI$24,34,FALSE)=" ",0,VLOOKUP($B10,'SR B-Steer Wrestling'!$B$5:$AI$24,34,FALSE)),0)+IFERROR(IF(VLOOKUP($B10,'SR B-Chute Dogging'!$B$5:$AI$24,34,FALSE)=" ",0,VLOOKUP($B10,'SR B-Chute Dogging'!$B$5:$AI$24,34,FALSE)),0)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27</v>
      </c>
      <c r="AB10" s="95">
        <f t="shared" si="16"/>
        <v>27</v>
      </c>
      <c r="AC10" s="91">
        <f t="shared" si="17"/>
        <v>6</v>
      </c>
    </row>
    <row r="11" spans="2:29" x14ac:dyDescent="0.3">
      <c r="B11" s="152" t="s">
        <v>296</v>
      </c>
      <c r="C11" s="120">
        <f>IFERROR(IF(VLOOKUP($B11,'SR-Team Roping-Header'!$B$5:$N$24,3,FALSE)=" ",0,VLOOKUP($B11,'SR-Team Roping-Header'!$B$5:$N$24,3,FALSE)),0)+IFERROR(IF(VLOOKUP($B11,'SR-Team Roping-Heeler'!$B$5:$N$24,3,FALSE)=" ",0,VLOOKUP($B11,'SR-Team Roping-Heeler'!$B$5:$N$24,3,FALSE)),0)+IFERROR(IF(VLOOKUP($B11,'SR B-Calf Roping'!$B$5:$AI$24,6,FALSE)=" ",0,VLOOKUP($B11,'SR B-Calf Roping'!$B$5:$AI$24,6,FALSE)),0)+IFERROR(IF(VLOOKUP($B11,'SR B-Steer Wrestling'!$B$5:$AI$24,6,FALSE)=" ",0,VLOOKUP($B11,'SR B-Steer Wrestling'!$B$5:$AI$24,6,FALSE)),0)+IFERROR(IF(VLOOKUP($B11,'SR B-Chute Dogging'!$B$5:$AI$24,6,FALSE)=" ",0,VLOOKUP($B11,'SR B-Chute Dogging'!$B$5:$AI$24,6,FALSE)),0)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IFERROR(IF(VLOOKUP($B11,'SR-Team Roping-Header'!$B$5:$N$24,4,FALSE)=" ",0,VLOOKUP($B11,'SR-Team Roping-Header'!$B$5:$N$24,4,FALSE)),0)+IFERROR(IF(VLOOKUP($B11,'SR-Team Roping-Heeler'!$B$5:$N$24,4,FALSE)=" ",0,VLOOKUP($B11,'SR-Team Roping-Heeler'!$B$5:$N$24,4,FALSE)),0)+IFERROR(IF(VLOOKUP($B11,'SR B-Calf Roping'!$B$5:$AI$24,10,FALSE)=" ",0,VLOOKUP($B11,'SR B-Calf Roping'!$B$5:$AI$24,10,FALSE)),0)+IFERROR(IF(VLOOKUP($B11,'SR B-Steer Wrestling'!$B$5:$AI$24,10,FALSE)=" ",0,VLOOKUP($B11,'SR B-Steer Wrestling'!$B$5:$AI$24,10,FALSE)),0)+IFERROR(IF(VLOOKUP($B11,'SR B-Chute Dogging'!$B$5:$AI$24,10,FALSE)=" ",0,VLOOKUP($B11,'SR B-Chute Dogging'!$B$5:$AI$24,10,FALSE)),0)</f>
        <v>0</v>
      </c>
      <c r="G11" s="95" t="str">
        <f t="shared" si="2"/>
        <v xml:space="preserve"> </v>
      </c>
      <c r="H11" s="91" t="str">
        <f t="shared" si="3"/>
        <v xml:space="preserve"> </v>
      </c>
      <c r="I11" s="121">
        <f>IFERROR(IF(VLOOKUP($B11,'SR-Team Roping-Header'!$B$5:$N$24,5,FALSE)=" ",0,VLOOKUP($B11,'SR-Team Roping-Header'!$B$5:$N$24,5,FALSE)),0)+IFERROR(IF(VLOOKUP($B11,'SR-Team Roping-Heeler'!$B$5:$N$24,5,FALSE)=" ",0,VLOOKUP($B11,'SR-Team Roping-Heeler'!$B$5:$N$24,5,FALSE)),0)+IFERROR(IF(VLOOKUP($B11,'SR B-Calf Roping'!$B$5:$AI$24,14,FALSE)=" ",0,VLOOKUP($B11,'SR B-Calf Roping'!$B$5:$AI$24,14,FALSE)),0)+IFERROR(IF(VLOOKUP($B11,'SR B-Steer Wrestling'!$B$5:$AI$24,14,FALSE)=" ",0,VLOOKUP($B11,'SR B-Steer Wrestling'!$B$5:$AI$24,14,FALSE)),0)+IFERROR(IF(VLOOKUP($B11,'SR B-Chute Dogging'!$B$5:$AI$24,14,FALSE)=" ",0,VLOOKUP($B11,'SR B-Chute Dogging'!$B$5:$AI$24,14,FALSE)),0)</f>
        <v>12</v>
      </c>
      <c r="J11" s="95">
        <f t="shared" si="4"/>
        <v>12</v>
      </c>
      <c r="K11" s="91">
        <f t="shared" si="5"/>
        <v>4</v>
      </c>
      <c r="L11" s="121">
        <f>IFERROR(IF(VLOOKUP($B11,'SR-Team Roping-Header'!$B$5:$N$24,6,FALSE)=" ",0,VLOOKUP($B11,'SR-Team Roping-Header'!$B$5:$N$24,6,FALSE)),0)+IFERROR(IF(VLOOKUP($B11,'SR-Team Roping-Heeler'!$B$5:$N$24,6,FALSE)=" ",0,VLOOKUP($B11,'SR-Team Roping-Heeler'!$B$5:$N$24,6,FALSE)),0)+IFERROR(IF(VLOOKUP($B11,'SR B-Calf Roping'!$B$5:$AI$24,18,FALSE)=" ",0,VLOOKUP($B11,'SR B-Calf Roping'!$B$5:$AI$24,18,FALSE)),0)+IFERROR(IF(VLOOKUP($B11,'SR B-Steer Wrestling'!$B$5:$AI$24,18,FALSE)=" ",0,VLOOKUP($B11,'SR B-Steer Wrestling'!$B$5:$AI$24,18,FALSE)),0)+IFERROR(IF(VLOOKUP($B11,'SR B-Chute Dogging'!$B$5:$AI$24,18,FALSE)=" ",0,VLOOKUP($B11,'SR B-Chute Dogging'!$B$5:$AI$24,18,FALSE)),0)</f>
        <v>9</v>
      </c>
      <c r="M11" s="95">
        <f t="shared" si="6"/>
        <v>9</v>
      </c>
      <c r="N11" s="91">
        <f t="shared" si="7"/>
        <v>5</v>
      </c>
      <c r="O11" s="121">
        <f>IFERROR(IF(VLOOKUP($B11,'SR-Team Roping-Header'!$B$5:$N$24,7,FALSE)=" ",0,VLOOKUP($B11,'SR-Team Roping-Header'!$B$5:$N$24,7,FALSE)),0)+IFERROR(IF(VLOOKUP($B11,'SR-Team Roping-Heeler'!$B$5:$N$24,7,FALSE)=" ",0,VLOOKUP($B11,'SR-Team Roping-Heeler'!$B$5:$N$24,7,FALSE)),0)+IFERROR(IF(VLOOKUP($B11,'SR B-Calf Roping'!$B$5:$AI$24,22,FALSE)=" ",0,VLOOKUP($B11,'SR B-Calf Roping'!$B$5:$AI$24,22,FALSE)),0)+IFERROR(IF(VLOOKUP($B11,'SR B-Steer Wrestling'!$B$5:$AI$24,22,FALSE)=" ",0,VLOOKUP($B11,'SR B-Steer Wrestling'!$B$5:$AI$24,22,FALSE)),0)+IFERROR(IF(VLOOKUP($B11,'SR B-Chute Dogging'!$B$5:$AI$24,22,FALSE)=" ",0,VLOOKUP($B11,'SR B-Chute Dogging'!$B$5:$AI$24,22,FALSE)),0)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IFERROR(IF(VLOOKUP($B11,'SR-Team Roping-Header'!$B$5:$N$24,8,FALSE)=" ",0,VLOOKUP($B11,'SR-Team Roping-Header'!$B$5:$N$24,8,FALSE)),0)+IFERROR(IF(VLOOKUP($B11,'SR-Team Roping-Heeler'!$B$5:$N$24,8,FALSE)=" ",0,VLOOKUP($B11,'SR-Team Roping-Heeler'!$B$5:$N$24,8,FALSE)),0)+IFERROR(IF(VLOOKUP($B11,'SR B-Calf Roping'!$B$5:$AI$24,26,FALSE)=" ",0,VLOOKUP($B11,'SR B-Calf Roping'!$B$5:$AI$24,26,FALSE)),0)+IFERROR(IF(VLOOKUP($B11,'SR B-Steer Wrestling'!$B$5:$AI$24,26,FALSE)=" ",0,VLOOKUP($B11,'SR B-Steer Wrestling'!$B$5:$AI$24,26,FALSE)),0)+IFERROR(IF(VLOOKUP($B11,'SR B-Chute Dogging'!$B$5:$AI$24,26,FALSE)=" ",0,VLOOKUP($B11,'SR B-Chute Dogging'!$B$5:$AI$24,26,FALSE)),0)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IFERROR(IF(VLOOKUP($B11,'SR-Team Roping-Header'!$B$5:$N$24,9,FALSE)=" ",0,VLOOKUP($B11,'SR-Team Roping-Header'!$B$5:$N$24,9,FALSE)),0)+IFERROR(IF(VLOOKUP($B11,'SR-Team Roping-Heeler'!$B$5:$N$24,9,FALSE)=" ",0,VLOOKUP($B11,'SR-Team Roping-Heeler'!$B$5:$N$24,9,FALSE)),0)+IFERROR(IF(VLOOKUP($B11,'SR B-Calf Roping'!$B$5:$AI$24,30,FALSE)=" ",0,VLOOKUP($B11,'SR B-Calf Roping'!$B$5:$AI$24,30,FALSE)),0)+IFERROR(IF(VLOOKUP($B11,'SR B-Steer Wrestling'!$B$5:$AI$24,30,FALSE)=" ",0,VLOOKUP($B11,'SR B-Steer Wrestling'!$B$5:$AI$24,30,FALSE)),0)+IFERROR(IF(VLOOKUP($B11,'SR B-Chute Dogging'!$B$5:$AI$24,30,FALSE)=" ",0,VLOOKUP($B11,'SR B-Chute Dogging'!$B$5:$AI$24,30,FALSE)),0)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IFERROR(IF(VLOOKUP($B11,'SR-Team Roping-Header'!$B$5:$N$24,10,FALSE)=" ",0,VLOOKUP($B11,'SR-Team Roping-Header'!$B$5:$N$24,10,FALSE)),0)+IFERROR(IF(VLOOKUP($B11,'SR-Team Roping-Heeler'!$B$5:$N$24,10,FALSE)=" ",0,VLOOKUP($B11,'SR-Team Roping-Heeler'!$B$5:$N$24,10,FALSE)),0)+IFERROR(IF(VLOOKUP($B11,'SR B-Calf Roping'!$B$5:$AI$24,34,FALSE)=" ",0,VLOOKUP($B11,'SR B-Calf Roping'!$B$5:$AI$24,34,FALSE)),0)+IFERROR(IF(VLOOKUP($B11,'SR B-Steer Wrestling'!$B$5:$AI$24,34,FALSE)=" ",0,VLOOKUP($B11,'SR B-Steer Wrestling'!$B$5:$AI$24,34,FALSE)),0)+IFERROR(IF(VLOOKUP($B11,'SR B-Chute Dogging'!$B$5:$AI$24,34,FALSE)=" ",0,VLOOKUP($B11,'SR B-Chute Dogging'!$B$5:$AI$24,34,FALSE)),0)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21</v>
      </c>
      <c r="AB11" s="95">
        <f t="shared" si="16"/>
        <v>21</v>
      </c>
      <c r="AC11" s="91">
        <f t="shared" si="17"/>
        <v>7</v>
      </c>
    </row>
    <row r="12" spans="2:29" x14ac:dyDescent="0.3">
      <c r="B12" s="141" t="s">
        <v>226</v>
      </c>
      <c r="C12" s="120">
        <f>IFERROR(IF(VLOOKUP($B12,'SR-Team Roping-Header'!$B$5:$N$24,3,FALSE)=" ",0,VLOOKUP($B12,'SR-Team Roping-Header'!$B$5:$N$24,3,FALSE)),0)+IFERROR(IF(VLOOKUP($B12,'SR-Team Roping-Heeler'!$B$5:$N$24,3,FALSE)=" ",0,VLOOKUP($B12,'SR-Team Roping-Heeler'!$B$5:$N$24,3,FALSE)),0)+IFERROR(IF(VLOOKUP($B12,'SR B-Calf Roping'!$B$5:$AI$24,6,FALSE)=" ",0,VLOOKUP($B12,'SR B-Calf Roping'!$B$5:$AI$24,6,FALSE)),0)+IFERROR(IF(VLOOKUP($B12,'SR B-Steer Wrestling'!$B$5:$AI$24,6,FALSE)=" ",0,VLOOKUP($B12,'SR B-Steer Wrestling'!$B$5:$AI$24,6,FALSE)),0)+IFERROR(IF(VLOOKUP($B12,'SR B-Chute Dogging'!$B$5:$AI$24,6,FALSE)=" ",0,VLOOKUP($B12,'SR B-Chute Dogging'!$B$5:$AI$24,6,FALSE)),0)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IFERROR(IF(VLOOKUP($B12,'SR-Team Roping-Header'!$B$5:$N$24,4,FALSE)=" ",0,VLOOKUP($B12,'SR-Team Roping-Header'!$B$5:$N$24,4,FALSE)),0)+IFERROR(IF(VLOOKUP($B12,'SR-Team Roping-Heeler'!$B$5:$N$24,4,FALSE)=" ",0,VLOOKUP($B12,'SR-Team Roping-Heeler'!$B$5:$N$24,4,FALSE)),0)+IFERROR(IF(VLOOKUP($B12,'SR B-Calf Roping'!$B$5:$AI$24,10,FALSE)=" ",0,VLOOKUP($B12,'SR B-Calf Roping'!$B$5:$AI$24,10,FALSE)),0)+IFERROR(IF(VLOOKUP($B12,'SR B-Steer Wrestling'!$B$5:$AI$24,10,FALSE)=" ",0,VLOOKUP($B12,'SR B-Steer Wrestling'!$B$5:$AI$24,10,FALSE)),0)+IFERROR(IF(VLOOKUP($B12,'SR B-Chute Dogging'!$B$5:$AI$24,10,FALSE)=" ",0,VLOOKUP($B12,'SR B-Chute Dogging'!$B$5:$AI$24,10,FALSE)),0)</f>
        <v>15</v>
      </c>
      <c r="G12" s="95">
        <f t="shared" si="2"/>
        <v>15</v>
      </c>
      <c r="H12" s="91">
        <f t="shared" si="3"/>
        <v>2</v>
      </c>
      <c r="I12" s="121">
        <f>IFERROR(IF(VLOOKUP($B12,'SR-Team Roping-Header'!$B$5:$N$24,5,FALSE)=" ",0,VLOOKUP($B12,'SR-Team Roping-Header'!$B$5:$N$24,5,FALSE)),0)+IFERROR(IF(VLOOKUP($B12,'SR-Team Roping-Heeler'!$B$5:$N$24,5,FALSE)=" ",0,VLOOKUP($B12,'SR-Team Roping-Heeler'!$B$5:$N$24,5,FALSE)),0)+IFERROR(IF(VLOOKUP($B12,'SR B-Calf Roping'!$B$5:$AI$24,14,FALSE)=" ",0,VLOOKUP($B12,'SR B-Calf Roping'!$B$5:$AI$24,14,FALSE)),0)+IFERROR(IF(VLOOKUP($B12,'SR B-Steer Wrestling'!$B$5:$AI$24,14,FALSE)=" ",0,VLOOKUP($B12,'SR B-Steer Wrestling'!$B$5:$AI$24,14,FALSE)),0)+IFERROR(IF(VLOOKUP($B12,'SR B-Chute Dogging'!$B$5:$AI$24,14,FALSE)=" ",0,VLOOKUP($B12,'SR B-Chute Dogging'!$B$5:$AI$24,14,FALSE)),0)</f>
        <v>6</v>
      </c>
      <c r="J12" s="95">
        <f t="shared" si="4"/>
        <v>6</v>
      </c>
      <c r="K12" s="91">
        <f t="shared" si="5"/>
        <v>6</v>
      </c>
      <c r="L12" s="121">
        <f>IFERROR(IF(VLOOKUP($B12,'SR-Team Roping-Header'!$B$5:$N$24,6,FALSE)=" ",0,VLOOKUP($B12,'SR-Team Roping-Header'!$B$5:$N$24,6,FALSE)),0)+IFERROR(IF(VLOOKUP($B12,'SR-Team Roping-Heeler'!$B$5:$N$24,6,FALSE)=" ",0,VLOOKUP($B12,'SR-Team Roping-Heeler'!$B$5:$N$24,6,FALSE)),0)+IFERROR(IF(VLOOKUP($B12,'SR B-Calf Roping'!$B$5:$AI$24,18,FALSE)=" ",0,VLOOKUP($B12,'SR B-Calf Roping'!$B$5:$AI$24,18,FALSE)),0)+IFERROR(IF(VLOOKUP($B12,'SR B-Steer Wrestling'!$B$5:$AI$24,18,FALSE)=" ",0,VLOOKUP($B12,'SR B-Steer Wrestling'!$B$5:$AI$24,18,FALSE)),0)+IFERROR(IF(VLOOKUP($B12,'SR B-Chute Dogging'!$B$5:$AI$24,18,FALSE)=" ",0,VLOOKUP($B12,'SR B-Chute Dogging'!$B$5:$AI$24,18,FALSE)),0)</f>
        <v>0</v>
      </c>
      <c r="M12" s="95" t="str">
        <f t="shared" si="6"/>
        <v xml:space="preserve"> </v>
      </c>
      <c r="N12" s="91" t="str">
        <f t="shared" si="7"/>
        <v xml:space="preserve"> </v>
      </c>
      <c r="O12" s="121">
        <f>IFERROR(IF(VLOOKUP($B12,'SR-Team Roping-Header'!$B$5:$N$24,7,FALSE)=" ",0,VLOOKUP($B12,'SR-Team Roping-Header'!$B$5:$N$24,7,FALSE)),0)+IFERROR(IF(VLOOKUP($B12,'SR-Team Roping-Heeler'!$B$5:$N$24,7,FALSE)=" ",0,VLOOKUP($B12,'SR-Team Roping-Heeler'!$B$5:$N$24,7,FALSE)),0)+IFERROR(IF(VLOOKUP($B12,'SR B-Calf Roping'!$B$5:$AI$24,22,FALSE)=" ",0,VLOOKUP($B12,'SR B-Calf Roping'!$B$5:$AI$24,22,FALSE)),0)+IFERROR(IF(VLOOKUP($B12,'SR B-Steer Wrestling'!$B$5:$AI$24,22,FALSE)=" ",0,VLOOKUP($B12,'SR B-Steer Wrestling'!$B$5:$AI$24,22,FALSE)),0)+IFERROR(IF(VLOOKUP($B12,'SR B-Chute Dogging'!$B$5:$AI$24,22,FALSE)=" ",0,VLOOKUP($B12,'SR B-Chute Dogging'!$B$5:$AI$24,22,FALSE)),0)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IFERROR(IF(VLOOKUP($B12,'SR-Team Roping-Header'!$B$5:$N$24,8,FALSE)=" ",0,VLOOKUP($B12,'SR-Team Roping-Header'!$B$5:$N$24,8,FALSE)),0)+IFERROR(IF(VLOOKUP($B12,'SR-Team Roping-Heeler'!$B$5:$N$24,8,FALSE)=" ",0,VLOOKUP($B12,'SR-Team Roping-Heeler'!$B$5:$N$24,8,FALSE)),0)+IFERROR(IF(VLOOKUP($B12,'SR B-Calf Roping'!$B$5:$AI$24,26,FALSE)=" ",0,VLOOKUP($B12,'SR B-Calf Roping'!$B$5:$AI$24,26,FALSE)),0)+IFERROR(IF(VLOOKUP($B12,'SR B-Steer Wrestling'!$B$5:$AI$24,26,FALSE)=" ",0,VLOOKUP($B12,'SR B-Steer Wrestling'!$B$5:$AI$24,26,FALSE)),0)+IFERROR(IF(VLOOKUP($B12,'SR B-Chute Dogging'!$B$5:$AI$24,26,FALSE)=" ",0,VLOOKUP($B12,'SR B-Chute Dogging'!$B$5:$AI$24,26,FALSE)),0)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IFERROR(IF(VLOOKUP($B12,'SR-Team Roping-Header'!$B$5:$N$24,9,FALSE)=" ",0,VLOOKUP($B12,'SR-Team Roping-Header'!$B$5:$N$24,9,FALSE)),0)+IFERROR(IF(VLOOKUP($B12,'SR-Team Roping-Heeler'!$B$5:$N$24,9,FALSE)=" ",0,VLOOKUP($B12,'SR-Team Roping-Heeler'!$B$5:$N$24,9,FALSE)),0)+IFERROR(IF(VLOOKUP($B12,'SR B-Calf Roping'!$B$5:$AI$24,30,FALSE)=" ",0,VLOOKUP($B12,'SR B-Calf Roping'!$B$5:$AI$24,30,FALSE)),0)+IFERROR(IF(VLOOKUP($B12,'SR B-Steer Wrestling'!$B$5:$AI$24,30,FALSE)=" ",0,VLOOKUP($B12,'SR B-Steer Wrestling'!$B$5:$AI$24,30,FALSE)),0)+IFERROR(IF(VLOOKUP($B12,'SR B-Chute Dogging'!$B$5:$AI$24,30,FALSE)=" ",0,VLOOKUP($B12,'SR B-Chute Dogging'!$B$5:$AI$24,30,FALSE)),0)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IFERROR(IF(VLOOKUP($B12,'SR-Team Roping-Header'!$B$5:$N$24,10,FALSE)=" ",0,VLOOKUP($B12,'SR-Team Roping-Header'!$B$5:$N$24,10,FALSE)),0)+IFERROR(IF(VLOOKUP($B12,'SR-Team Roping-Heeler'!$B$5:$N$24,10,FALSE)=" ",0,VLOOKUP($B12,'SR-Team Roping-Heeler'!$B$5:$N$24,10,FALSE)),0)+IFERROR(IF(VLOOKUP($B12,'SR B-Calf Roping'!$B$5:$AI$24,34,FALSE)=" ",0,VLOOKUP($B12,'SR B-Calf Roping'!$B$5:$AI$24,34,FALSE)),0)+IFERROR(IF(VLOOKUP($B12,'SR B-Steer Wrestling'!$B$5:$AI$24,34,FALSE)=" ",0,VLOOKUP($B12,'SR B-Steer Wrestling'!$B$5:$AI$24,34,FALSE)),0)+IFERROR(IF(VLOOKUP($B12,'SR B-Chute Dogging'!$B$5:$AI$24,34,FALSE)=" ",0,VLOOKUP($B12,'SR B-Chute Dogging'!$B$5:$AI$24,34,FALSE)),0)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21</v>
      </c>
      <c r="AB12" s="95">
        <f t="shared" si="16"/>
        <v>21</v>
      </c>
      <c r="AC12" s="91">
        <f t="shared" si="17"/>
        <v>7</v>
      </c>
    </row>
    <row r="13" spans="2:29" x14ac:dyDescent="0.3">
      <c r="B13" s="141" t="s">
        <v>227</v>
      </c>
      <c r="C13" s="120">
        <f>IFERROR(IF(VLOOKUP($B13,'SR-Team Roping-Header'!$B$5:$N$24,3,FALSE)=" ",0,VLOOKUP($B13,'SR-Team Roping-Header'!$B$5:$N$24,3,FALSE)),0)+IFERROR(IF(VLOOKUP($B13,'SR-Team Roping-Heeler'!$B$5:$N$24,3,FALSE)=" ",0,VLOOKUP($B13,'SR-Team Roping-Heeler'!$B$5:$N$24,3,FALSE)),0)+IFERROR(IF(VLOOKUP($B13,'SR B-Calf Roping'!$B$5:$AI$24,6,FALSE)=" ",0,VLOOKUP($B13,'SR B-Calf Roping'!$B$5:$AI$24,6,FALSE)),0)+IFERROR(IF(VLOOKUP($B13,'SR B-Steer Wrestling'!$B$5:$AI$24,6,FALSE)=" ",0,VLOOKUP($B13,'SR B-Steer Wrestling'!$B$5:$AI$24,6,FALSE)),0)+IFERROR(IF(VLOOKUP($B13,'SR B-Chute Dogging'!$B$5:$AI$24,6,FALSE)=" ",0,VLOOKUP($B13,'SR B-Chute Dogging'!$B$5:$AI$24,6,FALSE)),0)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IFERROR(IF(VLOOKUP($B13,'SR-Team Roping-Header'!$B$5:$N$24,4,FALSE)=" ",0,VLOOKUP($B13,'SR-Team Roping-Header'!$B$5:$N$24,4,FALSE)),0)+IFERROR(IF(VLOOKUP($B13,'SR-Team Roping-Heeler'!$B$5:$N$24,4,FALSE)=" ",0,VLOOKUP($B13,'SR-Team Roping-Heeler'!$B$5:$N$24,4,FALSE)),0)+IFERROR(IF(VLOOKUP($B13,'SR B-Calf Roping'!$B$5:$AI$24,10,FALSE)=" ",0,VLOOKUP($B13,'SR B-Calf Roping'!$B$5:$AI$24,10,FALSE)),0)+IFERROR(IF(VLOOKUP($B13,'SR B-Steer Wrestling'!$B$5:$AI$24,10,FALSE)=" ",0,VLOOKUP($B13,'SR B-Steer Wrestling'!$B$5:$AI$24,10,FALSE)),0)+IFERROR(IF(VLOOKUP($B13,'SR B-Chute Dogging'!$B$5:$AI$24,10,FALSE)=" ",0,VLOOKUP($B13,'SR B-Chute Dogging'!$B$5:$AI$24,10,FALSE)),0)</f>
        <v>15</v>
      </c>
      <c r="G13" s="95">
        <f t="shared" si="2"/>
        <v>15</v>
      </c>
      <c r="H13" s="91">
        <f t="shared" si="3"/>
        <v>2</v>
      </c>
      <c r="I13" s="121">
        <f>IFERROR(IF(VLOOKUP($B13,'SR-Team Roping-Header'!$B$5:$N$24,5,FALSE)=" ",0,VLOOKUP($B13,'SR-Team Roping-Header'!$B$5:$N$24,5,FALSE)),0)+IFERROR(IF(VLOOKUP($B13,'SR-Team Roping-Heeler'!$B$5:$N$24,5,FALSE)=" ",0,VLOOKUP($B13,'SR-Team Roping-Heeler'!$B$5:$N$24,5,FALSE)),0)+IFERROR(IF(VLOOKUP($B13,'SR B-Calf Roping'!$B$5:$AI$24,14,FALSE)=" ",0,VLOOKUP($B13,'SR B-Calf Roping'!$B$5:$AI$24,14,FALSE)),0)+IFERROR(IF(VLOOKUP($B13,'SR B-Steer Wrestling'!$B$5:$AI$24,14,FALSE)=" ",0,VLOOKUP($B13,'SR B-Steer Wrestling'!$B$5:$AI$24,14,FALSE)),0)+IFERROR(IF(VLOOKUP($B13,'SR B-Chute Dogging'!$B$5:$AI$24,14,FALSE)=" ",0,VLOOKUP($B13,'SR B-Chute Dogging'!$B$5:$AI$24,14,FALSE)),0)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IFERROR(IF(VLOOKUP($B13,'SR-Team Roping-Header'!$B$5:$N$24,6,FALSE)=" ",0,VLOOKUP($B13,'SR-Team Roping-Header'!$B$5:$N$24,6,FALSE)),0)+IFERROR(IF(VLOOKUP($B13,'SR-Team Roping-Heeler'!$B$5:$N$24,6,FALSE)=" ",0,VLOOKUP($B13,'SR-Team Roping-Heeler'!$B$5:$N$24,6,FALSE)),0)+IFERROR(IF(VLOOKUP($B13,'SR B-Calf Roping'!$B$5:$AI$24,18,FALSE)=" ",0,VLOOKUP($B13,'SR B-Calf Roping'!$B$5:$AI$24,18,FALSE)),0)+IFERROR(IF(VLOOKUP($B13,'SR B-Steer Wrestling'!$B$5:$AI$24,18,FALSE)=" ",0,VLOOKUP($B13,'SR B-Steer Wrestling'!$B$5:$AI$24,18,FALSE)),0)+IFERROR(IF(VLOOKUP($B13,'SR B-Chute Dogging'!$B$5:$AI$24,18,FALSE)=" ",0,VLOOKUP($B13,'SR B-Chute Dogging'!$B$5:$AI$24,18,FALSE)),0)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IFERROR(IF(VLOOKUP($B13,'SR-Team Roping-Header'!$B$5:$N$24,7,FALSE)=" ",0,VLOOKUP($B13,'SR-Team Roping-Header'!$B$5:$N$24,7,FALSE)),0)+IFERROR(IF(VLOOKUP($B13,'SR-Team Roping-Heeler'!$B$5:$N$24,7,FALSE)=" ",0,VLOOKUP($B13,'SR-Team Roping-Heeler'!$B$5:$N$24,7,FALSE)),0)+IFERROR(IF(VLOOKUP($B13,'SR B-Calf Roping'!$B$5:$AI$24,22,FALSE)=" ",0,VLOOKUP($B13,'SR B-Calf Roping'!$B$5:$AI$24,22,FALSE)),0)+IFERROR(IF(VLOOKUP($B13,'SR B-Steer Wrestling'!$B$5:$AI$24,22,FALSE)=" ",0,VLOOKUP($B13,'SR B-Steer Wrestling'!$B$5:$AI$24,22,FALSE)),0)+IFERROR(IF(VLOOKUP($B13,'SR B-Chute Dogging'!$B$5:$AI$24,22,FALSE)=" ",0,VLOOKUP($B13,'SR B-Chute Dogging'!$B$5:$AI$24,22,FALSE)),0)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IFERROR(IF(VLOOKUP($B13,'SR-Team Roping-Header'!$B$5:$N$24,8,FALSE)=" ",0,VLOOKUP($B13,'SR-Team Roping-Header'!$B$5:$N$24,8,FALSE)),0)+IFERROR(IF(VLOOKUP($B13,'SR-Team Roping-Heeler'!$B$5:$N$24,8,FALSE)=" ",0,VLOOKUP($B13,'SR-Team Roping-Heeler'!$B$5:$N$24,8,FALSE)),0)+IFERROR(IF(VLOOKUP($B13,'SR B-Calf Roping'!$B$5:$AI$24,26,FALSE)=" ",0,VLOOKUP($B13,'SR B-Calf Roping'!$B$5:$AI$24,26,FALSE)),0)+IFERROR(IF(VLOOKUP($B13,'SR B-Steer Wrestling'!$B$5:$AI$24,26,FALSE)=" ",0,VLOOKUP($B13,'SR B-Steer Wrestling'!$B$5:$AI$24,26,FALSE)),0)+IFERROR(IF(VLOOKUP($B13,'SR B-Chute Dogging'!$B$5:$AI$24,26,FALSE)=" ",0,VLOOKUP($B13,'SR B-Chute Dogging'!$B$5:$AI$24,26,FALSE)),0)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IFERROR(IF(VLOOKUP($B13,'SR-Team Roping-Header'!$B$5:$N$24,9,FALSE)=" ",0,VLOOKUP($B13,'SR-Team Roping-Header'!$B$5:$N$24,9,FALSE)),0)+IFERROR(IF(VLOOKUP($B13,'SR-Team Roping-Heeler'!$B$5:$N$24,9,FALSE)=" ",0,VLOOKUP($B13,'SR-Team Roping-Heeler'!$B$5:$N$24,9,FALSE)),0)+IFERROR(IF(VLOOKUP($B13,'SR B-Calf Roping'!$B$5:$AI$24,30,FALSE)=" ",0,VLOOKUP($B13,'SR B-Calf Roping'!$B$5:$AI$24,30,FALSE)),0)+IFERROR(IF(VLOOKUP($B13,'SR B-Steer Wrestling'!$B$5:$AI$24,30,FALSE)=" ",0,VLOOKUP($B13,'SR B-Steer Wrestling'!$B$5:$AI$24,30,FALSE)),0)+IFERROR(IF(VLOOKUP($B13,'SR B-Chute Dogging'!$B$5:$AI$24,30,FALSE)=" ",0,VLOOKUP($B13,'SR B-Chute Dogging'!$B$5:$AI$24,30,FALSE)),0)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IFERROR(IF(VLOOKUP($B13,'SR-Team Roping-Header'!$B$5:$N$24,10,FALSE)=" ",0,VLOOKUP($B13,'SR-Team Roping-Header'!$B$5:$N$24,10,FALSE)),0)+IFERROR(IF(VLOOKUP($B13,'SR-Team Roping-Heeler'!$B$5:$N$24,10,FALSE)=" ",0,VLOOKUP($B13,'SR-Team Roping-Heeler'!$B$5:$N$24,10,FALSE)),0)+IFERROR(IF(VLOOKUP($B13,'SR B-Calf Roping'!$B$5:$AI$24,34,FALSE)=" ",0,VLOOKUP($B13,'SR B-Calf Roping'!$B$5:$AI$24,34,FALSE)),0)+IFERROR(IF(VLOOKUP($B13,'SR B-Steer Wrestling'!$B$5:$AI$24,34,FALSE)=" ",0,VLOOKUP($B13,'SR B-Steer Wrestling'!$B$5:$AI$24,34,FALSE)),0)+IFERROR(IF(VLOOKUP($B13,'SR B-Chute Dogging'!$B$5:$AI$24,34,FALSE)=" ",0,VLOOKUP($B13,'SR B-Chute Dogging'!$B$5:$AI$24,34,FALSE)),0)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15</v>
      </c>
      <c r="AB13" s="95">
        <f t="shared" si="16"/>
        <v>15</v>
      </c>
      <c r="AC13" s="91">
        <f t="shared" si="17"/>
        <v>9</v>
      </c>
    </row>
    <row r="14" spans="2:29" x14ac:dyDescent="0.3">
      <c r="B14" s="141" t="s">
        <v>197</v>
      </c>
      <c r="C14" s="120">
        <f>IFERROR(IF(VLOOKUP($B14,'SR-Team Roping-Header'!$B$5:$N$24,3,FALSE)=" ",0,VLOOKUP($B14,'SR-Team Roping-Header'!$B$5:$N$24,3,FALSE)),0)+IFERROR(IF(VLOOKUP($B14,'SR-Team Roping-Heeler'!$B$5:$N$24,3,FALSE)=" ",0,VLOOKUP($B14,'SR-Team Roping-Heeler'!$B$5:$N$24,3,FALSE)),0)+IFERROR(IF(VLOOKUP($B14,'SR B-Calf Roping'!$B$5:$AI$24,6,FALSE)=" ",0,VLOOKUP($B14,'SR B-Calf Roping'!$B$5:$AI$24,6,FALSE)),0)+IFERROR(IF(VLOOKUP($B14,'SR B-Steer Wrestling'!$B$5:$AI$24,6,FALSE)=" ",0,VLOOKUP($B14,'SR B-Steer Wrestling'!$B$5:$AI$24,6,FALSE)),0)+IFERROR(IF(VLOOKUP($B14,'SR B-Chute Dogging'!$B$5:$AI$24,6,FALSE)=" ",0,VLOOKUP($B14,'SR B-Chute Dogging'!$B$5:$AI$24,6,FALSE)),0)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IFERROR(IF(VLOOKUP($B14,'SR-Team Roping-Header'!$B$5:$N$24,4,FALSE)=" ",0,VLOOKUP($B14,'SR-Team Roping-Header'!$B$5:$N$24,4,FALSE)),0)+IFERROR(IF(VLOOKUP($B14,'SR-Team Roping-Heeler'!$B$5:$N$24,4,FALSE)=" ",0,VLOOKUP($B14,'SR-Team Roping-Heeler'!$B$5:$N$24,4,FALSE)),0)+IFERROR(IF(VLOOKUP($B14,'SR B-Calf Roping'!$B$5:$AI$24,10,FALSE)=" ",0,VLOOKUP($B14,'SR B-Calf Roping'!$B$5:$AI$24,10,FALSE)),0)+IFERROR(IF(VLOOKUP($B14,'SR B-Steer Wrestling'!$B$5:$AI$24,10,FALSE)=" ",0,VLOOKUP($B14,'SR B-Steer Wrestling'!$B$5:$AI$24,10,FALSE)),0)+IFERROR(IF(VLOOKUP($B14,'SR B-Chute Dogging'!$B$5:$AI$24,10,FALSE)=" ",0,VLOOKUP($B14,'SR B-Chute Dogging'!$B$5:$AI$24,10,FALSE)),0)</f>
        <v>0</v>
      </c>
      <c r="G14" s="95" t="str">
        <f t="shared" si="2"/>
        <v xml:space="preserve"> </v>
      </c>
      <c r="H14" s="122" t="str">
        <f t="shared" si="3"/>
        <v xml:space="preserve"> </v>
      </c>
      <c r="I14" s="121">
        <f>IFERROR(IF(VLOOKUP($B14,'SR-Team Roping-Header'!$B$5:$N$24,5,FALSE)=" ",0,VLOOKUP($B14,'SR-Team Roping-Header'!$B$5:$N$24,5,FALSE)),0)+IFERROR(IF(VLOOKUP($B14,'SR-Team Roping-Heeler'!$B$5:$N$24,5,FALSE)=" ",0,VLOOKUP($B14,'SR-Team Roping-Heeler'!$B$5:$N$24,5,FALSE)),0)+IFERROR(IF(VLOOKUP($B14,'SR B-Calf Roping'!$B$5:$AI$24,14,FALSE)=" ",0,VLOOKUP($B14,'SR B-Calf Roping'!$B$5:$AI$24,14,FALSE)),0)+IFERROR(IF(VLOOKUP($B14,'SR B-Steer Wrestling'!$B$5:$AI$24,14,FALSE)=" ",0,VLOOKUP($B14,'SR B-Steer Wrestling'!$B$5:$AI$24,14,FALSE)),0)+IFERROR(IF(VLOOKUP($B14,'SR B-Chute Dogging'!$B$5:$AI$24,14,FALSE)=" ",0,VLOOKUP($B14,'SR B-Chute Dogging'!$B$5:$AI$24,14,FALSE)),0)</f>
        <v>0</v>
      </c>
      <c r="J14" s="95" t="str">
        <f t="shared" si="4"/>
        <v xml:space="preserve"> </v>
      </c>
      <c r="K14" s="122" t="str">
        <f t="shared" si="5"/>
        <v xml:space="preserve"> </v>
      </c>
      <c r="L14" s="121">
        <f>IFERROR(IF(VLOOKUP($B14,'SR-Team Roping-Header'!$B$5:$N$24,6,FALSE)=" ",0,VLOOKUP($B14,'SR-Team Roping-Header'!$B$5:$N$24,6,FALSE)),0)+IFERROR(IF(VLOOKUP($B14,'SR-Team Roping-Heeler'!$B$5:$N$24,6,FALSE)=" ",0,VLOOKUP($B14,'SR-Team Roping-Heeler'!$B$5:$N$24,6,FALSE)),0)+IFERROR(IF(VLOOKUP($B14,'SR B-Calf Roping'!$B$5:$AI$24,18,FALSE)=" ",0,VLOOKUP($B14,'SR B-Calf Roping'!$B$5:$AI$24,18,FALSE)),0)+IFERROR(IF(VLOOKUP($B14,'SR B-Steer Wrestling'!$B$5:$AI$24,18,FALSE)=" ",0,VLOOKUP($B14,'SR B-Steer Wrestling'!$B$5:$AI$24,18,FALSE)),0)+IFERROR(IF(VLOOKUP($B14,'SR B-Chute Dogging'!$B$5:$AI$24,18,FALSE)=" ",0,VLOOKUP($B14,'SR B-Chute Dogging'!$B$5:$AI$24,18,FALSE)),0)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IFERROR(IF(VLOOKUP($B14,'SR-Team Roping-Header'!$B$5:$N$24,7,FALSE)=" ",0,VLOOKUP($B14,'SR-Team Roping-Header'!$B$5:$N$24,7,FALSE)),0)+IFERROR(IF(VLOOKUP($B14,'SR-Team Roping-Heeler'!$B$5:$N$24,7,FALSE)=" ",0,VLOOKUP($B14,'SR-Team Roping-Heeler'!$B$5:$N$24,7,FALSE)),0)+IFERROR(IF(VLOOKUP($B14,'SR B-Calf Roping'!$B$5:$AI$24,22,FALSE)=" ",0,VLOOKUP($B14,'SR B-Calf Roping'!$B$5:$AI$24,22,FALSE)),0)+IFERROR(IF(VLOOKUP($B14,'SR B-Steer Wrestling'!$B$5:$AI$24,22,FALSE)=" ",0,VLOOKUP($B14,'SR B-Steer Wrestling'!$B$5:$AI$24,22,FALSE)),0)+IFERROR(IF(VLOOKUP($B14,'SR B-Chute Dogging'!$B$5:$AI$24,22,FALSE)=" ",0,VLOOKUP($B14,'SR B-Chute Dogging'!$B$5:$AI$24,22,FALSE)),0)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IFERROR(IF(VLOOKUP($B14,'SR-Team Roping-Header'!$B$5:$N$24,8,FALSE)=" ",0,VLOOKUP($B14,'SR-Team Roping-Header'!$B$5:$N$24,8,FALSE)),0)+IFERROR(IF(VLOOKUP($B14,'SR-Team Roping-Heeler'!$B$5:$N$24,8,FALSE)=" ",0,VLOOKUP($B14,'SR-Team Roping-Heeler'!$B$5:$N$24,8,FALSE)),0)+IFERROR(IF(VLOOKUP($B14,'SR B-Calf Roping'!$B$5:$AI$24,26,FALSE)=" ",0,VLOOKUP($B14,'SR B-Calf Roping'!$B$5:$AI$24,26,FALSE)),0)+IFERROR(IF(VLOOKUP($B14,'SR B-Steer Wrestling'!$B$5:$AI$24,26,FALSE)=" ",0,VLOOKUP($B14,'SR B-Steer Wrestling'!$B$5:$AI$24,26,FALSE)),0)+IFERROR(IF(VLOOKUP($B14,'SR B-Chute Dogging'!$B$5:$AI$24,26,FALSE)=" ",0,VLOOKUP($B14,'SR B-Chute Dogging'!$B$5:$AI$24,26,FALSE)),0)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IFERROR(IF(VLOOKUP($B14,'SR-Team Roping-Header'!$B$5:$N$24,9,FALSE)=" ",0,VLOOKUP($B14,'SR-Team Roping-Header'!$B$5:$N$24,9,FALSE)),0)+IFERROR(IF(VLOOKUP($B14,'SR-Team Roping-Heeler'!$B$5:$N$24,9,FALSE)=" ",0,VLOOKUP($B14,'SR-Team Roping-Heeler'!$B$5:$N$24,9,FALSE)),0)+IFERROR(IF(VLOOKUP($B14,'SR B-Calf Roping'!$B$5:$AI$24,30,FALSE)=" ",0,VLOOKUP($B14,'SR B-Calf Roping'!$B$5:$AI$24,30,FALSE)),0)+IFERROR(IF(VLOOKUP($B14,'SR B-Steer Wrestling'!$B$5:$AI$24,30,FALSE)=" ",0,VLOOKUP($B14,'SR B-Steer Wrestling'!$B$5:$AI$24,30,FALSE)),0)+IFERROR(IF(VLOOKUP($B14,'SR B-Chute Dogging'!$B$5:$AI$24,30,FALSE)=" ",0,VLOOKUP($B14,'SR B-Chute Dogging'!$B$5:$AI$24,30,FALSE)),0)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IFERROR(IF(VLOOKUP($B14,'SR-Team Roping-Header'!$B$5:$N$24,10,FALSE)=" ",0,VLOOKUP($B14,'SR-Team Roping-Header'!$B$5:$N$24,10,FALSE)),0)+IFERROR(IF(VLOOKUP($B14,'SR-Team Roping-Heeler'!$B$5:$N$24,10,FALSE)=" ",0,VLOOKUP($B14,'SR-Team Roping-Heeler'!$B$5:$N$24,10,FALSE)),0)+IFERROR(IF(VLOOKUP($B14,'SR B-Calf Roping'!$B$5:$AI$24,34,FALSE)=" ",0,VLOOKUP($B14,'SR B-Calf Roping'!$B$5:$AI$24,34,FALSE)),0)+IFERROR(IF(VLOOKUP($B14,'SR B-Steer Wrestling'!$B$5:$AI$24,34,FALSE)=" ",0,VLOOKUP($B14,'SR B-Steer Wrestling'!$B$5:$AI$24,34,FALSE)),0)+IFERROR(IF(VLOOKUP($B14,'SR B-Chute Dogging'!$B$5:$AI$24,34,FALSE)=" ",0,VLOOKUP($B14,'SR B-Chute Dogging'!$B$5:$AI$24,34,FALSE)),0)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4" s="95" t="str">
        <f t="shared" si="16"/>
        <v xml:space="preserve"> </v>
      </c>
      <c r="AC14" s="122" t="str">
        <f t="shared" si="17"/>
        <v xml:space="preserve"> </v>
      </c>
    </row>
    <row r="15" spans="2:29" x14ac:dyDescent="0.3">
      <c r="B15" s="140"/>
      <c r="C15" s="120">
        <f>IFERROR(IF(VLOOKUP($B15,'SR-Team Roping-Header'!$B$5:$N$24,3,FALSE)=" ",0,VLOOKUP($B15,'SR-Team Roping-Header'!$B$5:$N$24,3,FALSE)),0)+IFERROR(IF(VLOOKUP($B15,'SR-Team Roping-Heeler'!$B$5:$N$24,3,FALSE)=" ",0,VLOOKUP($B15,'SR-Team Roping-Heeler'!$B$5:$N$24,3,FALSE)),0)+IFERROR(IF(VLOOKUP($B15,'SR B-Calf Roping'!$B$5:$AI$24,6,FALSE)=" ",0,VLOOKUP($B15,'SR B-Calf Roping'!$B$5:$AI$24,6,FALSE)),0)+IFERROR(IF(VLOOKUP($B15,'SR B-Steer Wrestling'!$B$5:$AI$24,6,FALSE)=" ",0,VLOOKUP($B15,'SR B-Steer Wrestling'!$B$5:$AI$24,6,FALSE)),0)+IFERROR(IF(VLOOKUP($B15,'SR B-Chute Dogging'!$B$5:$AI$24,6,FALSE)=" ",0,VLOOKUP($B15,'SR B-Chute Dogging'!$B$5:$AI$24,6,FALSE)),0)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IFERROR(IF(VLOOKUP($B15,'SR-Team Roping-Header'!$B$5:$N$24,4,FALSE)=" ",0,VLOOKUP($B15,'SR-Team Roping-Header'!$B$5:$N$24,4,FALSE)),0)+IFERROR(IF(VLOOKUP($B15,'SR-Team Roping-Heeler'!$B$5:$N$24,4,FALSE)=" ",0,VLOOKUP($B15,'SR-Team Roping-Heeler'!$B$5:$N$24,4,FALSE)),0)+IFERROR(IF(VLOOKUP($B15,'SR B-Calf Roping'!$B$5:$AI$24,10,FALSE)=" ",0,VLOOKUP($B15,'SR B-Calf Roping'!$B$5:$AI$24,10,FALSE)),0)+IFERROR(IF(VLOOKUP($B15,'SR B-Steer Wrestling'!$B$5:$AI$24,10,FALSE)=" ",0,VLOOKUP($B15,'SR B-Steer Wrestling'!$B$5:$AI$24,10,FALSE)),0)+IFERROR(IF(VLOOKUP($B15,'SR B-Chute Dogging'!$B$5:$AI$24,10,FALSE)=" ",0,VLOOKUP($B15,'SR B-Chute Dogging'!$B$5:$AI$24,10,FALSE)),0)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IFERROR(IF(VLOOKUP($B15,'SR-Team Roping-Header'!$B$5:$N$24,5,FALSE)=" ",0,VLOOKUP($B15,'SR-Team Roping-Header'!$B$5:$N$24,5,FALSE)),0)+IFERROR(IF(VLOOKUP($B15,'SR-Team Roping-Heeler'!$B$5:$N$24,5,FALSE)=" ",0,VLOOKUP($B15,'SR-Team Roping-Heeler'!$B$5:$N$24,5,FALSE)),0)+IFERROR(IF(VLOOKUP($B15,'SR B-Calf Roping'!$B$5:$AI$24,14,FALSE)=" ",0,VLOOKUP($B15,'SR B-Calf Roping'!$B$5:$AI$24,14,FALSE)),0)+IFERROR(IF(VLOOKUP($B15,'SR B-Steer Wrestling'!$B$5:$AI$24,14,FALSE)=" ",0,VLOOKUP($B15,'SR B-Steer Wrestling'!$B$5:$AI$24,14,FALSE)),0)+IFERROR(IF(VLOOKUP($B15,'SR B-Chute Dogging'!$B$5:$AI$24,14,FALSE)=" ",0,VLOOKUP($B15,'SR B-Chute Dogging'!$B$5:$AI$24,14,FALSE)),0)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IFERROR(IF(VLOOKUP($B15,'SR-Team Roping-Header'!$B$5:$N$24,6,FALSE)=" ",0,VLOOKUP($B15,'SR-Team Roping-Header'!$B$5:$N$24,6,FALSE)),0)+IFERROR(IF(VLOOKUP($B15,'SR-Team Roping-Heeler'!$B$5:$N$24,6,FALSE)=" ",0,VLOOKUP($B15,'SR-Team Roping-Heeler'!$B$5:$N$24,6,FALSE)),0)+IFERROR(IF(VLOOKUP($B15,'SR B-Calf Roping'!$B$5:$AI$24,18,FALSE)=" ",0,VLOOKUP($B15,'SR B-Calf Roping'!$B$5:$AI$24,18,FALSE)),0)+IFERROR(IF(VLOOKUP($B15,'SR B-Steer Wrestling'!$B$5:$AI$24,18,FALSE)=" ",0,VLOOKUP($B15,'SR B-Steer Wrestling'!$B$5:$AI$24,18,FALSE)),0)+IFERROR(IF(VLOOKUP($B15,'SR B-Chute Dogging'!$B$5:$AI$24,18,FALSE)=" ",0,VLOOKUP($B15,'SR B-Chute Dogging'!$B$5:$AI$24,18,FALSE)),0)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IFERROR(IF(VLOOKUP($B15,'SR-Team Roping-Header'!$B$5:$N$24,7,FALSE)=" ",0,VLOOKUP($B15,'SR-Team Roping-Header'!$B$5:$N$24,7,FALSE)),0)+IFERROR(IF(VLOOKUP($B15,'SR-Team Roping-Heeler'!$B$5:$N$24,7,FALSE)=" ",0,VLOOKUP($B15,'SR-Team Roping-Heeler'!$B$5:$N$24,7,FALSE)),0)+IFERROR(IF(VLOOKUP($B15,'SR B-Calf Roping'!$B$5:$AI$24,22,FALSE)=" ",0,VLOOKUP($B15,'SR B-Calf Roping'!$B$5:$AI$24,22,FALSE)),0)+IFERROR(IF(VLOOKUP($B15,'SR B-Steer Wrestling'!$B$5:$AI$24,22,FALSE)=" ",0,VLOOKUP($B15,'SR B-Steer Wrestling'!$B$5:$AI$24,22,FALSE)),0)+IFERROR(IF(VLOOKUP($B15,'SR B-Chute Dogging'!$B$5:$AI$24,22,FALSE)=" ",0,VLOOKUP($B15,'SR B-Chute Dogging'!$B$5:$AI$24,22,FALSE)),0)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IFERROR(IF(VLOOKUP($B15,'SR-Team Roping-Header'!$B$5:$N$24,8,FALSE)=" ",0,VLOOKUP($B15,'SR-Team Roping-Header'!$B$5:$N$24,8,FALSE)),0)+IFERROR(IF(VLOOKUP($B15,'SR-Team Roping-Heeler'!$B$5:$N$24,8,FALSE)=" ",0,VLOOKUP($B15,'SR-Team Roping-Heeler'!$B$5:$N$24,8,FALSE)),0)+IFERROR(IF(VLOOKUP($B15,'SR B-Calf Roping'!$B$5:$AI$24,26,FALSE)=" ",0,VLOOKUP($B15,'SR B-Calf Roping'!$B$5:$AI$24,26,FALSE)),0)+IFERROR(IF(VLOOKUP($B15,'SR B-Steer Wrestling'!$B$5:$AI$24,26,FALSE)=" ",0,VLOOKUP($B15,'SR B-Steer Wrestling'!$B$5:$AI$24,26,FALSE)),0)+IFERROR(IF(VLOOKUP($B15,'SR B-Chute Dogging'!$B$5:$AI$24,26,FALSE)=" ",0,VLOOKUP($B15,'SR B-Chute Dogging'!$B$5:$AI$24,26,FALSE)),0)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IFERROR(IF(VLOOKUP($B15,'SR-Team Roping-Header'!$B$5:$N$24,9,FALSE)=" ",0,VLOOKUP($B15,'SR-Team Roping-Header'!$B$5:$N$24,9,FALSE)),0)+IFERROR(IF(VLOOKUP($B15,'SR-Team Roping-Heeler'!$B$5:$N$24,9,FALSE)=" ",0,VLOOKUP($B15,'SR-Team Roping-Heeler'!$B$5:$N$24,9,FALSE)),0)+IFERROR(IF(VLOOKUP($B15,'SR B-Calf Roping'!$B$5:$AI$24,30,FALSE)=" ",0,VLOOKUP($B15,'SR B-Calf Roping'!$B$5:$AI$24,30,FALSE)),0)+IFERROR(IF(VLOOKUP($B15,'SR B-Steer Wrestling'!$B$5:$AI$24,30,FALSE)=" ",0,VLOOKUP($B15,'SR B-Steer Wrestling'!$B$5:$AI$24,30,FALSE)),0)+IFERROR(IF(VLOOKUP($B15,'SR B-Chute Dogging'!$B$5:$AI$24,30,FALSE)=" ",0,VLOOKUP($B15,'SR B-Chute Dogging'!$B$5:$AI$24,30,FALSE)),0)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IFERROR(IF(VLOOKUP($B15,'SR-Team Roping-Header'!$B$5:$N$24,10,FALSE)=" ",0,VLOOKUP($B15,'SR-Team Roping-Header'!$B$5:$N$24,10,FALSE)),0)+IFERROR(IF(VLOOKUP($B15,'SR-Team Roping-Heeler'!$B$5:$N$24,10,FALSE)=" ",0,VLOOKUP($B15,'SR-Team Roping-Heeler'!$B$5:$N$24,10,FALSE)),0)+IFERROR(IF(VLOOKUP($B15,'SR B-Calf Roping'!$B$5:$AI$24,34,FALSE)=" ",0,VLOOKUP($B15,'SR B-Calf Roping'!$B$5:$AI$24,34,FALSE)),0)+IFERROR(IF(VLOOKUP($B15,'SR B-Steer Wrestling'!$B$5:$AI$24,34,FALSE)=" ",0,VLOOKUP($B15,'SR B-Steer Wrestling'!$B$5:$AI$24,34,FALSE)),0)+IFERROR(IF(VLOOKUP($B15,'SR B-Chute Dogging'!$B$5:$AI$24,34,FALSE)=" ",0,VLOOKUP($B15,'SR B-Chute Dogging'!$B$5:$AI$24,34,FALSE)),0)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5" s="95" t="str">
        <f t="shared" si="16"/>
        <v xml:space="preserve"> </v>
      </c>
      <c r="AC15" s="122" t="str">
        <f t="shared" si="17"/>
        <v xml:space="preserve"> </v>
      </c>
    </row>
    <row r="16" spans="2:29" x14ac:dyDescent="0.3">
      <c r="B16" s="140"/>
      <c r="C16" s="120">
        <f>IFERROR(IF(VLOOKUP($B16,'SR-Team Roping-Header'!$B$5:$N$24,3,FALSE)=" ",0,VLOOKUP($B16,'SR-Team Roping-Header'!$B$5:$N$24,3,FALSE)),0)+IFERROR(IF(VLOOKUP($B16,'SR-Team Roping-Heeler'!$B$5:$N$24,3,FALSE)=" ",0,VLOOKUP($B16,'SR-Team Roping-Heeler'!$B$5:$N$24,3,FALSE)),0)+IFERROR(IF(VLOOKUP($B16,'SR B-Calf Roping'!$B$5:$AI$24,6,FALSE)=" ",0,VLOOKUP($B16,'SR B-Calf Roping'!$B$5:$AI$24,6,FALSE)),0)+IFERROR(IF(VLOOKUP($B16,'SR B-Steer Wrestling'!$B$5:$AI$24,6,FALSE)=" ",0,VLOOKUP($B16,'SR B-Steer Wrestling'!$B$5:$AI$24,6,FALSE)),0)+IFERROR(IF(VLOOKUP($B16,'SR B-Chute Dogging'!$B$5:$AI$24,6,FALSE)=" ",0,VLOOKUP($B16,'SR B-Chute Dogging'!$B$5:$AI$24,6,FALSE)),0)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IFERROR(IF(VLOOKUP($B16,'SR-Team Roping-Header'!$B$5:$N$24,4,FALSE)=" ",0,VLOOKUP($B16,'SR-Team Roping-Header'!$B$5:$N$24,4,FALSE)),0)+IFERROR(IF(VLOOKUP($B16,'SR-Team Roping-Heeler'!$B$5:$N$24,4,FALSE)=" ",0,VLOOKUP($B16,'SR-Team Roping-Heeler'!$B$5:$N$24,4,FALSE)),0)+IFERROR(IF(VLOOKUP($B16,'SR B-Calf Roping'!$B$5:$AI$24,10,FALSE)=" ",0,VLOOKUP($B16,'SR B-Calf Roping'!$B$5:$AI$24,10,FALSE)),0)+IFERROR(IF(VLOOKUP($B16,'SR B-Steer Wrestling'!$B$5:$AI$24,10,FALSE)=" ",0,VLOOKUP($B16,'SR B-Steer Wrestling'!$B$5:$AI$24,10,FALSE)),0)+IFERROR(IF(VLOOKUP($B16,'SR B-Chute Dogging'!$B$5:$AI$24,10,FALSE)=" ",0,VLOOKUP($B16,'SR B-Chute Dogging'!$B$5:$AI$24,10,FALSE)),0)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IFERROR(IF(VLOOKUP($B16,'SR-Team Roping-Header'!$B$5:$N$24,5,FALSE)=" ",0,VLOOKUP($B16,'SR-Team Roping-Header'!$B$5:$N$24,5,FALSE)),0)+IFERROR(IF(VLOOKUP($B16,'SR-Team Roping-Heeler'!$B$5:$N$24,5,FALSE)=" ",0,VLOOKUP($B16,'SR-Team Roping-Heeler'!$B$5:$N$24,5,FALSE)),0)+IFERROR(IF(VLOOKUP($B16,'SR B-Calf Roping'!$B$5:$AI$24,14,FALSE)=" ",0,VLOOKUP($B16,'SR B-Calf Roping'!$B$5:$AI$24,14,FALSE)),0)+IFERROR(IF(VLOOKUP($B16,'SR B-Steer Wrestling'!$B$5:$AI$24,14,FALSE)=" ",0,VLOOKUP($B16,'SR B-Steer Wrestling'!$B$5:$AI$24,14,FALSE)),0)+IFERROR(IF(VLOOKUP($B16,'SR B-Chute Dogging'!$B$5:$AI$24,14,FALSE)=" ",0,VLOOKUP($B16,'SR B-Chute Dogging'!$B$5:$AI$24,14,FALSE)),0)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IFERROR(IF(VLOOKUP($B16,'SR-Team Roping-Header'!$B$5:$N$24,6,FALSE)=" ",0,VLOOKUP($B16,'SR-Team Roping-Header'!$B$5:$N$24,6,FALSE)),0)+IFERROR(IF(VLOOKUP($B16,'SR-Team Roping-Heeler'!$B$5:$N$24,6,FALSE)=" ",0,VLOOKUP($B16,'SR-Team Roping-Heeler'!$B$5:$N$24,6,FALSE)),0)+IFERROR(IF(VLOOKUP($B16,'SR B-Calf Roping'!$B$5:$AI$24,18,FALSE)=" ",0,VLOOKUP($B16,'SR B-Calf Roping'!$B$5:$AI$24,18,FALSE)),0)+IFERROR(IF(VLOOKUP($B16,'SR B-Steer Wrestling'!$B$5:$AI$24,18,FALSE)=" ",0,VLOOKUP($B16,'SR B-Steer Wrestling'!$B$5:$AI$24,18,FALSE)),0)+IFERROR(IF(VLOOKUP($B16,'SR B-Chute Dogging'!$B$5:$AI$24,18,FALSE)=" ",0,VLOOKUP($B16,'SR B-Chute Dogging'!$B$5:$AI$24,18,FALSE)),0)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IFERROR(IF(VLOOKUP($B16,'SR-Team Roping-Header'!$B$5:$N$24,7,FALSE)=" ",0,VLOOKUP($B16,'SR-Team Roping-Header'!$B$5:$N$24,7,FALSE)),0)+IFERROR(IF(VLOOKUP($B16,'SR-Team Roping-Heeler'!$B$5:$N$24,7,FALSE)=" ",0,VLOOKUP($B16,'SR-Team Roping-Heeler'!$B$5:$N$24,7,FALSE)),0)+IFERROR(IF(VLOOKUP($B16,'SR B-Calf Roping'!$B$5:$AI$24,22,FALSE)=" ",0,VLOOKUP($B16,'SR B-Calf Roping'!$B$5:$AI$24,22,FALSE)),0)+IFERROR(IF(VLOOKUP($B16,'SR B-Steer Wrestling'!$B$5:$AI$24,22,FALSE)=" ",0,VLOOKUP($B16,'SR B-Steer Wrestling'!$B$5:$AI$24,22,FALSE)),0)+IFERROR(IF(VLOOKUP($B16,'SR B-Chute Dogging'!$B$5:$AI$24,22,FALSE)=" ",0,VLOOKUP($B16,'SR B-Chute Dogging'!$B$5:$AI$24,22,FALSE)),0)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IFERROR(IF(VLOOKUP($B16,'SR-Team Roping-Header'!$B$5:$N$24,8,FALSE)=" ",0,VLOOKUP($B16,'SR-Team Roping-Header'!$B$5:$N$24,8,FALSE)),0)+IFERROR(IF(VLOOKUP($B16,'SR-Team Roping-Heeler'!$B$5:$N$24,8,FALSE)=" ",0,VLOOKUP($B16,'SR-Team Roping-Heeler'!$B$5:$N$24,8,FALSE)),0)+IFERROR(IF(VLOOKUP($B16,'SR B-Calf Roping'!$B$5:$AI$24,26,FALSE)=" ",0,VLOOKUP($B16,'SR B-Calf Roping'!$B$5:$AI$24,26,FALSE)),0)+IFERROR(IF(VLOOKUP($B16,'SR B-Steer Wrestling'!$B$5:$AI$24,26,FALSE)=" ",0,VLOOKUP($B16,'SR B-Steer Wrestling'!$B$5:$AI$24,26,FALSE)),0)+IFERROR(IF(VLOOKUP($B16,'SR B-Chute Dogging'!$B$5:$AI$24,26,FALSE)=" ",0,VLOOKUP($B16,'SR B-Chute Dogging'!$B$5:$AI$24,26,FALSE)),0)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IFERROR(IF(VLOOKUP($B16,'SR-Team Roping-Header'!$B$5:$N$24,9,FALSE)=" ",0,VLOOKUP($B16,'SR-Team Roping-Header'!$B$5:$N$24,9,FALSE)),0)+IFERROR(IF(VLOOKUP($B16,'SR-Team Roping-Heeler'!$B$5:$N$24,9,FALSE)=" ",0,VLOOKUP($B16,'SR-Team Roping-Heeler'!$B$5:$N$24,9,FALSE)),0)+IFERROR(IF(VLOOKUP($B16,'SR B-Calf Roping'!$B$5:$AI$24,30,FALSE)=" ",0,VLOOKUP($B16,'SR B-Calf Roping'!$B$5:$AI$24,30,FALSE)),0)+IFERROR(IF(VLOOKUP($B16,'SR B-Steer Wrestling'!$B$5:$AI$24,30,FALSE)=" ",0,VLOOKUP($B16,'SR B-Steer Wrestling'!$B$5:$AI$24,30,FALSE)),0)+IFERROR(IF(VLOOKUP($B16,'SR B-Chute Dogging'!$B$5:$AI$24,30,FALSE)=" ",0,VLOOKUP($B16,'SR B-Chute Dogging'!$B$5:$AI$24,30,FALSE)),0)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IFERROR(IF(VLOOKUP($B16,'SR-Team Roping-Header'!$B$5:$N$24,10,FALSE)=" ",0,VLOOKUP($B16,'SR-Team Roping-Header'!$B$5:$N$24,10,FALSE)),0)+IFERROR(IF(VLOOKUP($B16,'SR-Team Roping-Heeler'!$B$5:$N$24,10,FALSE)=" ",0,VLOOKUP($B16,'SR-Team Roping-Heeler'!$B$5:$N$24,10,FALSE)),0)+IFERROR(IF(VLOOKUP($B16,'SR B-Calf Roping'!$B$5:$AI$24,34,FALSE)=" ",0,VLOOKUP($B16,'SR B-Calf Roping'!$B$5:$AI$24,34,FALSE)),0)+IFERROR(IF(VLOOKUP($B16,'SR B-Steer Wrestling'!$B$5:$AI$24,34,FALSE)=" ",0,VLOOKUP($B16,'SR B-Steer Wrestling'!$B$5:$AI$24,34,FALSE)),0)+IFERROR(IF(VLOOKUP($B16,'SR B-Chute Dogging'!$B$5:$AI$24,34,FALSE)=" ",0,VLOOKUP($B16,'SR B-Chute Dogging'!$B$5:$AI$24,34,FALSE)),0)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3">
      <c r="B17" s="140"/>
      <c r="C17" s="120">
        <f>IFERROR(IF(VLOOKUP($B17,'SR-Team Roping-Header'!$B$5:$N$24,3,FALSE)=" ",0,VLOOKUP($B17,'SR-Team Roping-Header'!$B$5:$N$24,3,FALSE)),0)+IFERROR(IF(VLOOKUP($B17,'SR-Team Roping-Heeler'!$B$5:$N$24,3,FALSE)=" ",0,VLOOKUP($B17,'SR-Team Roping-Heeler'!$B$5:$N$24,3,FALSE)),0)+IFERROR(IF(VLOOKUP($B17,'SR B-Calf Roping'!$B$5:$AI$24,6,FALSE)=" ",0,VLOOKUP($B17,'SR B-Calf Roping'!$B$5:$AI$24,6,FALSE)),0)+IFERROR(IF(VLOOKUP($B17,'SR B-Steer Wrestling'!$B$5:$AI$24,6,FALSE)=" ",0,VLOOKUP($B17,'SR B-Steer Wrestling'!$B$5:$AI$24,6,FALSE)),0)+IFERROR(IF(VLOOKUP($B17,'SR B-Chute Dogging'!$B$5:$AI$24,6,FALSE)=" ",0,VLOOKUP($B17,'SR B-Chute Dogging'!$B$5:$AI$24,6,FALSE)),0)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IFERROR(IF(VLOOKUP($B17,'SR-Team Roping-Header'!$B$5:$N$24,4,FALSE)=" ",0,VLOOKUP($B17,'SR-Team Roping-Header'!$B$5:$N$24,4,FALSE)),0)+IFERROR(IF(VLOOKUP($B17,'SR-Team Roping-Heeler'!$B$5:$N$24,4,FALSE)=" ",0,VLOOKUP($B17,'SR-Team Roping-Heeler'!$B$5:$N$24,4,FALSE)),0)+IFERROR(IF(VLOOKUP($B17,'SR B-Calf Roping'!$B$5:$AI$24,10,FALSE)=" ",0,VLOOKUP($B17,'SR B-Calf Roping'!$B$5:$AI$24,10,FALSE)),0)+IFERROR(IF(VLOOKUP($B17,'SR B-Steer Wrestling'!$B$5:$AI$24,10,FALSE)=" ",0,VLOOKUP($B17,'SR B-Steer Wrestling'!$B$5:$AI$24,10,FALSE)),0)+IFERROR(IF(VLOOKUP($B17,'SR B-Chute Dogging'!$B$5:$AI$24,10,FALSE)=" ",0,VLOOKUP($B17,'SR B-Chute Dogging'!$B$5:$AI$24,10,FALSE)),0)</f>
        <v>0</v>
      </c>
      <c r="G17" s="95" t="str">
        <f t="shared" si="2"/>
        <v xml:space="preserve"> </v>
      </c>
      <c r="H17" s="122" t="str">
        <f t="shared" si="3"/>
        <v xml:space="preserve"> </v>
      </c>
      <c r="I17" s="121">
        <f>IFERROR(IF(VLOOKUP($B17,'SR-Team Roping-Header'!$B$5:$N$24,5,FALSE)=" ",0,VLOOKUP($B17,'SR-Team Roping-Header'!$B$5:$N$24,5,FALSE)),0)+IFERROR(IF(VLOOKUP($B17,'SR-Team Roping-Heeler'!$B$5:$N$24,5,FALSE)=" ",0,VLOOKUP($B17,'SR-Team Roping-Heeler'!$B$5:$N$24,5,FALSE)),0)+IFERROR(IF(VLOOKUP($B17,'SR B-Calf Roping'!$B$5:$AI$24,14,FALSE)=" ",0,VLOOKUP($B17,'SR B-Calf Roping'!$B$5:$AI$24,14,FALSE)),0)+IFERROR(IF(VLOOKUP($B17,'SR B-Steer Wrestling'!$B$5:$AI$24,14,FALSE)=" ",0,VLOOKUP($B17,'SR B-Steer Wrestling'!$B$5:$AI$24,14,FALSE)),0)+IFERROR(IF(VLOOKUP($B17,'SR B-Chute Dogging'!$B$5:$AI$24,14,FALSE)=" ",0,VLOOKUP($B17,'SR B-Chute Dogging'!$B$5:$AI$24,14,FALSE)),0)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IFERROR(IF(VLOOKUP($B17,'SR-Team Roping-Header'!$B$5:$N$24,6,FALSE)=" ",0,VLOOKUP($B17,'SR-Team Roping-Header'!$B$5:$N$24,6,FALSE)),0)+IFERROR(IF(VLOOKUP($B17,'SR-Team Roping-Heeler'!$B$5:$N$24,6,FALSE)=" ",0,VLOOKUP($B17,'SR-Team Roping-Heeler'!$B$5:$N$24,6,FALSE)),0)+IFERROR(IF(VLOOKUP($B17,'SR B-Calf Roping'!$B$5:$AI$24,18,FALSE)=" ",0,VLOOKUP($B17,'SR B-Calf Roping'!$B$5:$AI$24,18,FALSE)),0)+IFERROR(IF(VLOOKUP($B17,'SR B-Steer Wrestling'!$B$5:$AI$24,18,FALSE)=" ",0,VLOOKUP($B17,'SR B-Steer Wrestling'!$B$5:$AI$24,18,FALSE)),0)+IFERROR(IF(VLOOKUP($B17,'SR B-Chute Dogging'!$B$5:$AI$24,18,FALSE)=" ",0,VLOOKUP($B17,'SR B-Chute Dogging'!$B$5:$AI$24,18,FALSE)),0)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IFERROR(IF(VLOOKUP($B17,'SR-Team Roping-Header'!$B$5:$N$24,7,FALSE)=" ",0,VLOOKUP($B17,'SR-Team Roping-Header'!$B$5:$N$24,7,FALSE)),0)+IFERROR(IF(VLOOKUP($B17,'SR-Team Roping-Heeler'!$B$5:$N$24,7,FALSE)=" ",0,VLOOKUP($B17,'SR-Team Roping-Heeler'!$B$5:$N$24,7,FALSE)),0)+IFERROR(IF(VLOOKUP($B17,'SR B-Calf Roping'!$B$5:$AI$24,22,FALSE)=" ",0,VLOOKUP($B17,'SR B-Calf Roping'!$B$5:$AI$24,22,FALSE)),0)+IFERROR(IF(VLOOKUP($B17,'SR B-Steer Wrestling'!$B$5:$AI$24,22,FALSE)=" ",0,VLOOKUP($B17,'SR B-Steer Wrestling'!$B$5:$AI$24,22,FALSE)),0)+IFERROR(IF(VLOOKUP($B17,'SR B-Chute Dogging'!$B$5:$AI$24,22,FALSE)=" ",0,VLOOKUP($B17,'SR B-Chute Dogging'!$B$5:$AI$24,22,FALSE)),0)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IFERROR(IF(VLOOKUP($B17,'SR-Team Roping-Header'!$B$5:$N$24,8,FALSE)=" ",0,VLOOKUP($B17,'SR-Team Roping-Header'!$B$5:$N$24,8,FALSE)),0)+IFERROR(IF(VLOOKUP($B17,'SR-Team Roping-Heeler'!$B$5:$N$24,8,FALSE)=" ",0,VLOOKUP($B17,'SR-Team Roping-Heeler'!$B$5:$N$24,8,FALSE)),0)+IFERROR(IF(VLOOKUP($B17,'SR B-Calf Roping'!$B$5:$AI$24,26,FALSE)=" ",0,VLOOKUP($B17,'SR B-Calf Roping'!$B$5:$AI$24,26,FALSE)),0)+IFERROR(IF(VLOOKUP($B17,'SR B-Steer Wrestling'!$B$5:$AI$24,26,FALSE)=" ",0,VLOOKUP($B17,'SR B-Steer Wrestling'!$B$5:$AI$24,26,FALSE)),0)+IFERROR(IF(VLOOKUP($B17,'SR B-Chute Dogging'!$B$5:$AI$24,26,FALSE)=" ",0,VLOOKUP($B17,'SR B-Chute Dogging'!$B$5:$AI$24,26,FALSE)),0)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IFERROR(IF(VLOOKUP($B17,'SR-Team Roping-Header'!$B$5:$N$24,9,FALSE)=" ",0,VLOOKUP($B17,'SR-Team Roping-Header'!$B$5:$N$24,9,FALSE)),0)+IFERROR(IF(VLOOKUP($B17,'SR-Team Roping-Heeler'!$B$5:$N$24,9,FALSE)=" ",0,VLOOKUP($B17,'SR-Team Roping-Heeler'!$B$5:$N$24,9,FALSE)),0)+IFERROR(IF(VLOOKUP($B17,'SR B-Calf Roping'!$B$5:$AI$24,30,FALSE)=" ",0,VLOOKUP($B17,'SR B-Calf Roping'!$B$5:$AI$24,30,FALSE)),0)+IFERROR(IF(VLOOKUP($B17,'SR B-Steer Wrestling'!$B$5:$AI$24,30,FALSE)=" ",0,VLOOKUP($B17,'SR B-Steer Wrestling'!$B$5:$AI$24,30,FALSE)),0)+IFERROR(IF(VLOOKUP($B17,'SR B-Chute Dogging'!$B$5:$AI$24,30,FALSE)=" ",0,VLOOKUP($B17,'SR B-Chute Dogging'!$B$5:$AI$24,30,FALSE)),0)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IFERROR(IF(VLOOKUP($B17,'SR-Team Roping-Header'!$B$5:$N$24,10,FALSE)=" ",0,VLOOKUP($B17,'SR-Team Roping-Header'!$B$5:$N$24,10,FALSE)),0)+IFERROR(IF(VLOOKUP($B17,'SR-Team Roping-Heeler'!$B$5:$N$24,10,FALSE)=" ",0,VLOOKUP($B17,'SR-Team Roping-Heeler'!$B$5:$N$24,10,FALSE)),0)+IFERROR(IF(VLOOKUP($B17,'SR B-Calf Roping'!$B$5:$AI$24,34,FALSE)=" ",0,VLOOKUP($B17,'SR B-Calf Roping'!$B$5:$AI$24,34,FALSE)),0)+IFERROR(IF(VLOOKUP($B17,'SR B-Steer Wrestling'!$B$5:$AI$24,34,FALSE)=" ",0,VLOOKUP($B17,'SR B-Steer Wrestling'!$B$5:$AI$24,34,FALSE)),0)+IFERROR(IF(VLOOKUP($B17,'SR B-Chute Dogging'!$B$5:$AI$24,34,FALSE)=" ",0,VLOOKUP($B17,'SR B-Chute Dogging'!$B$5:$AI$24,34,FALSE)),0)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7" s="95" t="str">
        <f t="shared" si="16"/>
        <v xml:space="preserve"> </v>
      </c>
      <c r="AC17" s="122" t="str">
        <f t="shared" si="17"/>
        <v xml:space="preserve"> </v>
      </c>
    </row>
    <row r="18" spans="2:29" x14ac:dyDescent="0.3">
      <c r="B18" s="140"/>
      <c r="C18" s="120">
        <f>IFERROR(IF(VLOOKUP($B18,'SR-Team Roping-Header'!$B$5:$N$24,3,FALSE)=" ",0,VLOOKUP($B18,'SR-Team Roping-Header'!$B$5:$N$24,3,FALSE)),0)+IFERROR(IF(VLOOKUP($B18,'SR-Team Roping-Heeler'!$B$5:$N$24,3,FALSE)=" ",0,VLOOKUP($B18,'SR-Team Roping-Heeler'!$B$5:$N$24,3,FALSE)),0)+IFERROR(IF(VLOOKUP($B18,'SR B-Calf Roping'!$B$5:$AI$24,6,FALSE)=" ",0,VLOOKUP($B18,'SR B-Calf Roping'!$B$5:$AI$24,6,FALSE)),0)+IFERROR(IF(VLOOKUP($B18,'SR B-Steer Wrestling'!$B$5:$AI$24,6,FALSE)=" ",0,VLOOKUP($B18,'SR B-Steer Wrestling'!$B$5:$AI$24,6,FALSE)),0)+IFERROR(IF(VLOOKUP($B18,'SR B-Chute Dogging'!$B$5:$AI$24,6,FALSE)=" ",0,VLOOKUP($B18,'SR B-Chute Dogging'!$B$5:$AI$24,6,FALSE)),0)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IFERROR(IF(VLOOKUP($B18,'SR-Team Roping-Header'!$B$5:$N$24,4,FALSE)=" ",0,VLOOKUP($B18,'SR-Team Roping-Header'!$B$5:$N$24,4,FALSE)),0)+IFERROR(IF(VLOOKUP($B18,'SR-Team Roping-Heeler'!$B$5:$N$24,4,FALSE)=" ",0,VLOOKUP($B18,'SR-Team Roping-Heeler'!$B$5:$N$24,4,FALSE)),0)+IFERROR(IF(VLOOKUP($B18,'SR B-Calf Roping'!$B$5:$AI$24,10,FALSE)=" ",0,VLOOKUP($B18,'SR B-Calf Roping'!$B$5:$AI$24,10,FALSE)),0)+IFERROR(IF(VLOOKUP($B18,'SR B-Steer Wrestling'!$B$5:$AI$24,10,FALSE)=" ",0,VLOOKUP($B18,'SR B-Steer Wrestling'!$B$5:$AI$24,10,FALSE)),0)+IFERROR(IF(VLOOKUP($B18,'SR B-Chute Dogging'!$B$5:$AI$24,10,FALSE)=" ",0,VLOOKUP($B18,'SR B-Chute Dogging'!$B$5:$AI$24,10,FALSE)),0)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IFERROR(IF(VLOOKUP($B18,'SR-Team Roping-Header'!$B$5:$N$24,5,FALSE)=" ",0,VLOOKUP($B18,'SR-Team Roping-Header'!$B$5:$N$24,5,FALSE)),0)+IFERROR(IF(VLOOKUP($B18,'SR-Team Roping-Heeler'!$B$5:$N$24,5,FALSE)=" ",0,VLOOKUP($B18,'SR-Team Roping-Heeler'!$B$5:$N$24,5,FALSE)),0)+IFERROR(IF(VLOOKUP($B18,'SR B-Calf Roping'!$B$5:$AI$24,14,FALSE)=" ",0,VLOOKUP($B18,'SR B-Calf Roping'!$B$5:$AI$24,14,FALSE)),0)+IFERROR(IF(VLOOKUP($B18,'SR B-Steer Wrestling'!$B$5:$AI$24,14,FALSE)=" ",0,VLOOKUP($B18,'SR B-Steer Wrestling'!$B$5:$AI$24,14,FALSE)),0)+IFERROR(IF(VLOOKUP($B18,'SR B-Chute Dogging'!$B$5:$AI$24,14,FALSE)=" ",0,VLOOKUP($B18,'SR B-Chute Dogging'!$B$5:$AI$24,14,FALSE)),0)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IFERROR(IF(VLOOKUP($B18,'SR-Team Roping-Header'!$B$5:$N$24,6,FALSE)=" ",0,VLOOKUP($B18,'SR-Team Roping-Header'!$B$5:$N$24,6,FALSE)),0)+IFERROR(IF(VLOOKUP($B18,'SR-Team Roping-Heeler'!$B$5:$N$24,6,FALSE)=" ",0,VLOOKUP($B18,'SR-Team Roping-Heeler'!$B$5:$N$24,6,FALSE)),0)+IFERROR(IF(VLOOKUP($B18,'SR B-Calf Roping'!$B$5:$AI$24,18,FALSE)=" ",0,VLOOKUP($B18,'SR B-Calf Roping'!$B$5:$AI$24,18,FALSE)),0)+IFERROR(IF(VLOOKUP($B18,'SR B-Steer Wrestling'!$B$5:$AI$24,18,FALSE)=" ",0,VLOOKUP($B18,'SR B-Steer Wrestling'!$B$5:$AI$24,18,FALSE)),0)+IFERROR(IF(VLOOKUP($B18,'SR B-Chute Dogging'!$B$5:$AI$24,18,FALSE)=" ",0,VLOOKUP($B18,'SR B-Chute Dogging'!$B$5:$AI$24,18,FALSE)),0)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IFERROR(IF(VLOOKUP($B18,'SR-Team Roping-Header'!$B$5:$N$24,7,FALSE)=" ",0,VLOOKUP($B18,'SR-Team Roping-Header'!$B$5:$N$24,7,FALSE)),0)+IFERROR(IF(VLOOKUP($B18,'SR-Team Roping-Heeler'!$B$5:$N$24,7,FALSE)=" ",0,VLOOKUP($B18,'SR-Team Roping-Heeler'!$B$5:$N$24,7,FALSE)),0)+IFERROR(IF(VLOOKUP($B18,'SR B-Calf Roping'!$B$5:$AI$24,22,FALSE)=" ",0,VLOOKUP($B18,'SR B-Calf Roping'!$B$5:$AI$24,22,FALSE)),0)+IFERROR(IF(VLOOKUP($B18,'SR B-Steer Wrestling'!$B$5:$AI$24,22,FALSE)=" ",0,VLOOKUP($B18,'SR B-Steer Wrestling'!$B$5:$AI$24,22,FALSE)),0)+IFERROR(IF(VLOOKUP($B18,'SR B-Chute Dogging'!$B$5:$AI$24,22,FALSE)=" ",0,VLOOKUP($B18,'SR B-Chute Dogging'!$B$5:$AI$24,22,FALSE)),0)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IFERROR(IF(VLOOKUP($B18,'SR-Team Roping-Header'!$B$5:$N$24,8,FALSE)=" ",0,VLOOKUP($B18,'SR-Team Roping-Header'!$B$5:$N$24,8,FALSE)),0)+IFERROR(IF(VLOOKUP($B18,'SR-Team Roping-Heeler'!$B$5:$N$24,8,FALSE)=" ",0,VLOOKUP($B18,'SR-Team Roping-Heeler'!$B$5:$N$24,8,FALSE)),0)+IFERROR(IF(VLOOKUP($B18,'SR B-Calf Roping'!$B$5:$AI$24,26,FALSE)=" ",0,VLOOKUP($B18,'SR B-Calf Roping'!$B$5:$AI$24,26,FALSE)),0)+IFERROR(IF(VLOOKUP($B18,'SR B-Steer Wrestling'!$B$5:$AI$24,26,FALSE)=" ",0,VLOOKUP($B18,'SR B-Steer Wrestling'!$B$5:$AI$24,26,FALSE)),0)+IFERROR(IF(VLOOKUP($B18,'SR B-Chute Dogging'!$B$5:$AI$24,26,FALSE)=" ",0,VLOOKUP($B18,'SR B-Chute Dogging'!$B$5:$AI$24,26,FALSE)),0)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IFERROR(IF(VLOOKUP($B18,'SR-Team Roping-Header'!$B$5:$N$24,9,FALSE)=" ",0,VLOOKUP($B18,'SR-Team Roping-Header'!$B$5:$N$24,9,FALSE)),0)+IFERROR(IF(VLOOKUP($B18,'SR-Team Roping-Heeler'!$B$5:$N$24,9,FALSE)=" ",0,VLOOKUP($B18,'SR-Team Roping-Heeler'!$B$5:$N$24,9,FALSE)),0)+IFERROR(IF(VLOOKUP($B18,'SR B-Calf Roping'!$B$5:$AI$24,30,FALSE)=" ",0,VLOOKUP($B18,'SR B-Calf Roping'!$B$5:$AI$24,30,FALSE)),0)+IFERROR(IF(VLOOKUP($B18,'SR B-Steer Wrestling'!$B$5:$AI$24,30,FALSE)=" ",0,VLOOKUP($B18,'SR B-Steer Wrestling'!$B$5:$AI$24,30,FALSE)),0)+IFERROR(IF(VLOOKUP($B18,'SR B-Chute Dogging'!$B$5:$AI$24,30,FALSE)=" ",0,VLOOKUP($B18,'SR B-Chute Dogging'!$B$5:$AI$24,30,FALSE)),0)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IFERROR(IF(VLOOKUP($B18,'SR-Team Roping-Header'!$B$5:$N$24,10,FALSE)=" ",0,VLOOKUP($B18,'SR-Team Roping-Header'!$B$5:$N$24,10,FALSE)),0)+IFERROR(IF(VLOOKUP($B18,'SR-Team Roping-Heeler'!$B$5:$N$24,10,FALSE)=" ",0,VLOOKUP($B18,'SR-Team Roping-Heeler'!$B$5:$N$24,10,FALSE)),0)+IFERROR(IF(VLOOKUP($B18,'SR B-Calf Roping'!$B$5:$AI$24,34,FALSE)=" ",0,VLOOKUP($B18,'SR B-Calf Roping'!$B$5:$AI$24,34,FALSE)),0)+IFERROR(IF(VLOOKUP($B18,'SR B-Steer Wrestling'!$B$5:$AI$24,34,FALSE)=" ",0,VLOOKUP($B18,'SR B-Steer Wrestling'!$B$5:$AI$24,34,FALSE)),0)+IFERROR(IF(VLOOKUP($B18,'SR B-Chute Dogging'!$B$5:$AI$24,34,FALSE)=" ",0,VLOOKUP($B18,'SR B-Chute Dogging'!$B$5:$AI$24,34,FALSE)),0)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3">
      <c r="B19" s="140"/>
      <c r="C19" s="120">
        <f>IFERROR(IF(VLOOKUP($B19,'SR-Team Roping-Header'!$B$5:$N$24,3,FALSE)=" ",0,VLOOKUP($B19,'SR-Team Roping-Header'!$B$5:$N$24,3,FALSE)),0)+IFERROR(IF(VLOOKUP($B19,'SR-Team Roping-Heeler'!$B$5:$N$24,3,FALSE)=" ",0,VLOOKUP($B19,'SR-Team Roping-Heeler'!$B$5:$N$24,3,FALSE)),0)+IFERROR(IF(VLOOKUP($B19,'SR B-Calf Roping'!$B$5:$AI$24,6,FALSE)=" ",0,VLOOKUP($B19,'SR B-Calf Roping'!$B$5:$AI$24,6,FALSE)),0)+IFERROR(IF(VLOOKUP($B19,'SR B-Steer Wrestling'!$B$5:$AI$24,6,FALSE)=" ",0,VLOOKUP($B19,'SR B-Steer Wrestling'!$B$5:$AI$24,6,FALSE)),0)+IFERROR(IF(VLOOKUP($B19,'SR B-Chute Dogging'!$B$5:$AI$24,6,FALSE)=" ",0,VLOOKUP($B19,'SR B-Chute Dogging'!$B$5:$AI$24,6,FALSE)),0)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IFERROR(IF(VLOOKUP($B19,'SR-Team Roping-Header'!$B$5:$N$24,4,FALSE)=" ",0,VLOOKUP($B19,'SR-Team Roping-Header'!$B$5:$N$24,4,FALSE)),0)+IFERROR(IF(VLOOKUP($B19,'SR-Team Roping-Heeler'!$B$5:$N$24,4,FALSE)=" ",0,VLOOKUP($B19,'SR-Team Roping-Heeler'!$B$5:$N$24,4,FALSE)),0)+IFERROR(IF(VLOOKUP($B19,'SR B-Calf Roping'!$B$5:$AI$24,10,FALSE)=" ",0,VLOOKUP($B19,'SR B-Calf Roping'!$B$5:$AI$24,10,FALSE)),0)+IFERROR(IF(VLOOKUP($B19,'SR B-Steer Wrestling'!$B$5:$AI$24,10,FALSE)=" ",0,VLOOKUP($B19,'SR B-Steer Wrestling'!$B$5:$AI$24,10,FALSE)),0)+IFERROR(IF(VLOOKUP($B19,'SR B-Chute Dogging'!$B$5:$AI$24,10,FALSE)=" ",0,VLOOKUP($B19,'SR B-Chute Dogging'!$B$5:$AI$24,10,FALSE)),0)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IFERROR(IF(VLOOKUP($B19,'SR-Team Roping-Header'!$B$5:$N$24,5,FALSE)=" ",0,VLOOKUP($B19,'SR-Team Roping-Header'!$B$5:$N$24,5,FALSE)),0)+IFERROR(IF(VLOOKUP($B19,'SR-Team Roping-Heeler'!$B$5:$N$24,5,FALSE)=" ",0,VLOOKUP($B19,'SR-Team Roping-Heeler'!$B$5:$N$24,5,FALSE)),0)+IFERROR(IF(VLOOKUP($B19,'SR B-Calf Roping'!$B$5:$AI$24,14,FALSE)=" ",0,VLOOKUP($B19,'SR B-Calf Roping'!$B$5:$AI$24,14,FALSE)),0)+IFERROR(IF(VLOOKUP($B19,'SR B-Steer Wrestling'!$B$5:$AI$24,14,FALSE)=" ",0,VLOOKUP($B19,'SR B-Steer Wrestling'!$B$5:$AI$24,14,FALSE)),0)+IFERROR(IF(VLOOKUP($B19,'SR B-Chute Dogging'!$B$5:$AI$24,14,FALSE)=" ",0,VLOOKUP($B19,'SR B-Chute Dogging'!$B$5:$AI$24,14,FALSE)),0)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IFERROR(IF(VLOOKUP($B19,'SR-Team Roping-Header'!$B$5:$N$24,6,FALSE)=" ",0,VLOOKUP($B19,'SR-Team Roping-Header'!$B$5:$N$24,6,FALSE)),0)+IFERROR(IF(VLOOKUP($B19,'SR-Team Roping-Heeler'!$B$5:$N$24,6,FALSE)=" ",0,VLOOKUP($B19,'SR-Team Roping-Heeler'!$B$5:$N$24,6,FALSE)),0)+IFERROR(IF(VLOOKUP($B19,'SR B-Calf Roping'!$B$5:$AI$24,18,FALSE)=" ",0,VLOOKUP($B19,'SR B-Calf Roping'!$B$5:$AI$24,18,FALSE)),0)+IFERROR(IF(VLOOKUP($B19,'SR B-Steer Wrestling'!$B$5:$AI$24,18,FALSE)=" ",0,VLOOKUP($B19,'SR B-Steer Wrestling'!$B$5:$AI$24,18,FALSE)),0)+IFERROR(IF(VLOOKUP($B19,'SR B-Chute Dogging'!$B$5:$AI$24,18,FALSE)=" ",0,VLOOKUP($B19,'SR B-Chute Dogging'!$B$5:$AI$24,18,FALSE)),0)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IFERROR(IF(VLOOKUP($B19,'SR-Team Roping-Header'!$B$5:$N$24,7,FALSE)=" ",0,VLOOKUP($B19,'SR-Team Roping-Header'!$B$5:$N$24,7,FALSE)),0)+IFERROR(IF(VLOOKUP($B19,'SR-Team Roping-Heeler'!$B$5:$N$24,7,FALSE)=" ",0,VLOOKUP($B19,'SR-Team Roping-Heeler'!$B$5:$N$24,7,FALSE)),0)+IFERROR(IF(VLOOKUP($B19,'SR B-Calf Roping'!$B$5:$AI$24,22,FALSE)=" ",0,VLOOKUP($B19,'SR B-Calf Roping'!$B$5:$AI$24,22,FALSE)),0)+IFERROR(IF(VLOOKUP($B19,'SR B-Steer Wrestling'!$B$5:$AI$24,22,FALSE)=" ",0,VLOOKUP($B19,'SR B-Steer Wrestling'!$B$5:$AI$24,22,FALSE)),0)+IFERROR(IF(VLOOKUP($B19,'SR B-Chute Dogging'!$B$5:$AI$24,22,FALSE)=" ",0,VLOOKUP($B19,'SR B-Chute Dogging'!$B$5:$AI$24,22,FALSE)),0)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IFERROR(IF(VLOOKUP($B19,'SR-Team Roping-Header'!$B$5:$N$24,8,FALSE)=" ",0,VLOOKUP($B19,'SR-Team Roping-Header'!$B$5:$N$24,8,FALSE)),0)+IFERROR(IF(VLOOKUP($B19,'SR-Team Roping-Heeler'!$B$5:$N$24,8,FALSE)=" ",0,VLOOKUP($B19,'SR-Team Roping-Heeler'!$B$5:$N$24,8,FALSE)),0)+IFERROR(IF(VLOOKUP($B19,'SR B-Calf Roping'!$B$5:$AI$24,26,FALSE)=" ",0,VLOOKUP($B19,'SR B-Calf Roping'!$B$5:$AI$24,26,FALSE)),0)+IFERROR(IF(VLOOKUP($B19,'SR B-Steer Wrestling'!$B$5:$AI$24,26,FALSE)=" ",0,VLOOKUP($B19,'SR B-Steer Wrestling'!$B$5:$AI$24,26,FALSE)),0)+IFERROR(IF(VLOOKUP($B19,'SR B-Chute Dogging'!$B$5:$AI$24,26,FALSE)=" ",0,VLOOKUP($B19,'SR B-Chute Dogging'!$B$5:$AI$24,26,FALSE)),0)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IFERROR(IF(VLOOKUP($B19,'SR-Team Roping-Header'!$B$5:$N$24,9,FALSE)=" ",0,VLOOKUP($B19,'SR-Team Roping-Header'!$B$5:$N$24,9,FALSE)),0)+IFERROR(IF(VLOOKUP($B19,'SR-Team Roping-Heeler'!$B$5:$N$24,9,FALSE)=" ",0,VLOOKUP($B19,'SR-Team Roping-Heeler'!$B$5:$N$24,9,FALSE)),0)+IFERROR(IF(VLOOKUP($B19,'SR B-Calf Roping'!$B$5:$AI$24,30,FALSE)=" ",0,VLOOKUP($B19,'SR B-Calf Roping'!$B$5:$AI$24,30,FALSE)),0)+IFERROR(IF(VLOOKUP($B19,'SR B-Steer Wrestling'!$B$5:$AI$24,30,FALSE)=" ",0,VLOOKUP($B19,'SR B-Steer Wrestling'!$B$5:$AI$24,30,FALSE)),0)+IFERROR(IF(VLOOKUP($B19,'SR B-Chute Dogging'!$B$5:$AI$24,30,FALSE)=" ",0,VLOOKUP($B19,'SR B-Chute Dogging'!$B$5:$AI$24,30,FALSE)),0)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IFERROR(IF(VLOOKUP($B19,'SR-Team Roping-Header'!$B$5:$N$24,10,FALSE)=" ",0,VLOOKUP($B19,'SR-Team Roping-Header'!$B$5:$N$24,10,FALSE)),0)+IFERROR(IF(VLOOKUP($B19,'SR-Team Roping-Heeler'!$B$5:$N$24,10,FALSE)=" ",0,VLOOKUP($B19,'SR-Team Roping-Heeler'!$B$5:$N$24,10,FALSE)),0)+IFERROR(IF(VLOOKUP($B19,'SR B-Calf Roping'!$B$5:$AI$24,34,FALSE)=" ",0,VLOOKUP($B19,'SR B-Calf Roping'!$B$5:$AI$24,34,FALSE)),0)+IFERROR(IF(VLOOKUP($B19,'SR B-Steer Wrestling'!$B$5:$AI$24,34,FALSE)=" ",0,VLOOKUP($B19,'SR B-Steer Wrestling'!$B$5:$AI$24,34,FALSE)),0)+IFERROR(IF(VLOOKUP($B19,'SR B-Chute Dogging'!$B$5:$AI$24,34,FALSE)=" ",0,VLOOKUP($B19,'SR B-Chute Dogging'!$B$5:$AI$24,34,FALSE)),0)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40"/>
      <c r="C20" s="120">
        <f>IFERROR(IF(VLOOKUP($B20,'SR-Team Roping-Header'!$B$5:$N$24,3,FALSE)=" ",0,VLOOKUP($B20,'SR-Team Roping-Header'!$B$5:$N$24,3,FALSE)),0)+IFERROR(IF(VLOOKUP($B20,'SR-Team Roping-Heeler'!$B$5:$N$24,3,FALSE)=" ",0,VLOOKUP($B20,'SR-Team Roping-Heeler'!$B$5:$N$24,3,FALSE)),0)+IFERROR(IF(VLOOKUP($B20,'SR B-Calf Roping'!$B$5:$AI$24,6,FALSE)=" ",0,VLOOKUP($B20,'SR B-Calf Roping'!$B$5:$AI$24,6,FALSE)),0)+IFERROR(IF(VLOOKUP($B20,'SR B-Steer Wrestling'!$B$5:$AI$24,6,FALSE)=" ",0,VLOOKUP($B20,'SR B-Steer Wrestling'!$B$5:$AI$24,6,FALSE)),0)+IFERROR(IF(VLOOKUP($B20,'SR B-Chute Dogging'!$B$5:$AI$24,6,FALSE)=" ",0,VLOOKUP($B20,'SR B-Chute Dogging'!$B$5:$AI$24,6,FALSE)),0)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IFERROR(IF(VLOOKUP($B20,'SR-Team Roping-Header'!$B$5:$N$24,4,FALSE)=" ",0,VLOOKUP($B20,'SR-Team Roping-Header'!$B$5:$N$24,4,FALSE)),0)+IFERROR(IF(VLOOKUP($B20,'SR-Team Roping-Heeler'!$B$5:$N$24,4,FALSE)=" ",0,VLOOKUP($B20,'SR-Team Roping-Heeler'!$B$5:$N$24,4,FALSE)),0)+IFERROR(IF(VLOOKUP($B20,'SR B-Calf Roping'!$B$5:$AI$24,10,FALSE)=" ",0,VLOOKUP($B20,'SR B-Calf Roping'!$B$5:$AI$24,10,FALSE)),0)+IFERROR(IF(VLOOKUP($B20,'SR B-Steer Wrestling'!$B$5:$AI$24,10,FALSE)=" ",0,VLOOKUP($B20,'SR B-Steer Wrestling'!$B$5:$AI$24,10,FALSE)),0)+IFERROR(IF(VLOOKUP($B20,'SR B-Chute Dogging'!$B$5:$AI$24,10,FALSE)=" ",0,VLOOKUP($B20,'SR B-Chute Dogging'!$B$5:$AI$24,10,FALSE)),0)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IFERROR(IF(VLOOKUP($B20,'SR-Team Roping-Header'!$B$5:$N$24,5,FALSE)=" ",0,VLOOKUP($B20,'SR-Team Roping-Header'!$B$5:$N$24,5,FALSE)),0)+IFERROR(IF(VLOOKUP($B20,'SR-Team Roping-Heeler'!$B$5:$N$24,5,FALSE)=" ",0,VLOOKUP($B20,'SR-Team Roping-Heeler'!$B$5:$N$24,5,FALSE)),0)+IFERROR(IF(VLOOKUP($B20,'SR B-Calf Roping'!$B$5:$AI$24,14,FALSE)=" ",0,VLOOKUP($B20,'SR B-Calf Roping'!$B$5:$AI$24,14,FALSE)),0)+IFERROR(IF(VLOOKUP($B20,'SR B-Steer Wrestling'!$B$5:$AI$24,14,FALSE)=" ",0,VLOOKUP($B20,'SR B-Steer Wrestling'!$B$5:$AI$24,14,FALSE)),0)+IFERROR(IF(VLOOKUP($B20,'SR B-Chute Dogging'!$B$5:$AI$24,14,FALSE)=" ",0,VLOOKUP($B20,'SR B-Chute Dogging'!$B$5:$AI$24,14,FALSE)),0)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IFERROR(IF(VLOOKUP($B20,'SR-Team Roping-Header'!$B$5:$N$24,6,FALSE)=" ",0,VLOOKUP($B20,'SR-Team Roping-Header'!$B$5:$N$24,6,FALSE)),0)+IFERROR(IF(VLOOKUP($B20,'SR-Team Roping-Heeler'!$B$5:$N$24,6,FALSE)=" ",0,VLOOKUP($B20,'SR-Team Roping-Heeler'!$B$5:$N$24,6,FALSE)),0)+IFERROR(IF(VLOOKUP($B20,'SR B-Calf Roping'!$B$5:$AI$24,18,FALSE)=" ",0,VLOOKUP($B20,'SR B-Calf Roping'!$B$5:$AI$24,18,FALSE)),0)+IFERROR(IF(VLOOKUP($B20,'SR B-Steer Wrestling'!$B$5:$AI$24,18,FALSE)=" ",0,VLOOKUP($B20,'SR B-Steer Wrestling'!$B$5:$AI$24,18,FALSE)),0)+IFERROR(IF(VLOOKUP($B20,'SR B-Chute Dogging'!$B$5:$AI$24,18,FALSE)=" ",0,VLOOKUP($B20,'SR B-Chute Dogging'!$B$5:$AI$24,18,FALSE)),0)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IFERROR(IF(VLOOKUP($B20,'SR-Team Roping-Header'!$B$5:$N$24,7,FALSE)=" ",0,VLOOKUP($B20,'SR-Team Roping-Header'!$B$5:$N$24,7,FALSE)),0)+IFERROR(IF(VLOOKUP($B20,'SR-Team Roping-Heeler'!$B$5:$N$24,7,FALSE)=" ",0,VLOOKUP($B20,'SR-Team Roping-Heeler'!$B$5:$N$24,7,FALSE)),0)+IFERROR(IF(VLOOKUP($B20,'SR B-Calf Roping'!$B$5:$AI$24,22,FALSE)=" ",0,VLOOKUP($B20,'SR B-Calf Roping'!$B$5:$AI$24,22,FALSE)),0)+IFERROR(IF(VLOOKUP($B20,'SR B-Steer Wrestling'!$B$5:$AI$24,22,FALSE)=" ",0,VLOOKUP($B20,'SR B-Steer Wrestling'!$B$5:$AI$24,22,FALSE)),0)+IFERROR(IF(VLOOKUP($B20,'SR B-Chute Dogging'!$B$5:$AI$24,22,FALSE)=" ",0,VLOOKUP($B20,'SR B-Chute Dogging'!$B$5:$AI$24,22,FALSE)),0)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IFERROR(IF(VLOOKUP($B20,'SR-Team Roping-Header'!$B$5:$N$24,8,FALSE)=" ",0,VLOOKUP($B20,'SR-Team Roping-Header'!$B$5:$N$24,8,FALSE)),0)+IFERROR(IF(VLOOKUP($B20,'SR-Team Roping-Heeler'!$B$5:$N$24,8,FALSE)=" ",0,VLOOKUP($B20,'SR-Team Roping-Heeler'!$B$5:$N$24,8,FALSE)),0)+IFERROR(IF(VLOOKUP($B20,'SR B-Calf Roping'!$B$5:$AI$24,26,FALSE)=" ",0,VLOOKUP($B20,'SR B-Calf Roping'!$B$5:$AI$24,26,FALSE)),0)+IFERROR(IF(VLOOKUP($B20,'SR B-Steer Wrestling'!$B$5:$AI$24,26,FALSE)=" ",0,VLOOKUP($B20,'SR B-Steer Wrestling'!$B$5:$AI$24,26,FALSE)),0)+IFERROR(IF(VLOOKUP($B20,'SR B-Chute Dogging'!$B$5:$AI$24,26,FALSE)=" ",0,VLOOKUP($B20,'SR B-Chute Dogging'!$B$5:$AI$24,26,FALSE)),0)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IFERROR(IF(VLOOKUP($B20,'SR-Team Roping-Header'!$B$5:$N$24,9,FALSE)=" ",0,VLOOKUP($B20,'SR-Team Roping-Header'!$B$5:$N$24,9,FALSE)),0)+IFERROR(IF(VLOOKUP($B20,'SR-Team Roping-Heeler'!$B$5:$N$24,9,FALSE)=" ",0,VLOOKUP($B20,'SR-Team Roping-Heeler'!$B$5:$N$24,9,FALSE)),0)+IFERROR(IF(VLOOKUP($B20,'SR B-Calf Roping'!$B$5:$AI$24,30,FALSE)=" ",0,VLOOKUP($B20,'SR B-Calf Roping'!$B$5:$AI$24,30,FALSE)),0)+IFERROR(IF(VLOOKUP($B20,'SR B-Steer Wrestling'!$B$5:$AI$24,30,FALSE)=" ",0,VLOOKUP($B20,'SR B-Steer Wrestling'!$B$5:$AI$24,30,FALSE)),0)+IFERROR(IF(VLOOKUP($B20,'SR B-Chute Dogging'!$B$5:$AI$24,30,FALSE)=" ",0,VLOOKUP($B20,'SR B-Chute Dogging'!$B$5:$AI$24,30,FALSE)),0)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IFERROR(IF(VLOOKUP($B20,'SR-Team Roping-Header'!$B$5:$N$24,10,FALSE)=" ",0,VLOOKUP($B20,'SR-Team Roping-Header'!$B$5:$N$24,10,FALSE)),0)+IFERROR(IF(VLOOKUP($B20,'SR-Team Roping-Heeler'!$B$5:$N$24,10,FALSE)=" ",0,VLOOKUP($B20,'SR-Team Roping-Heeler'!$B$5:$N$24,10,FALSE)),0)+IFERROR(IF(VLOOKUP($B20,'SR B-Calf Roping'!$B$5:$AI$24,34,FALSE)=" ",0,VLOOKUP($B20,'SR B-Calf Roping'!$B$5:$AI$24,34,FALSE)),0)+IFERROR(IF(VLOOKUP($B20,'SR B-Steer Wrestling'!$B$5:$AI$24,34,FALSE)=" ",0,VLOOKUP($B20,'SR B-Steer Wrestling'!$B$5:$AI$24,34,FALSE)),0)+IFERROR(IF(VLOOKUP($B20,'SR B-Chute Dogging'!$B$5:$AI$24,34,FALSE)=" ",0,VLOOKUP($B20,'SR B-Chute Dogging'!$B$5:$AI$24,34,FALSE)),0)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0"/>
      <c r="C21" s="120">
        <f>IFERROR(IF(VLOOKUP($B21,'SR-Team Roping-Header'!$B$5:$N$24,3,FALSE)=" ",0,VLOOKUP($B21,'SR-Team Roping-Header'!$B$5:$N$24,3,FALSE)),0)+IFERROR(IF(VLOOKUP($B21,'SR-Team Roping-Heeler'!$B$5:$N$24,3,FALSE)=" ",0,VLOOKUP($B21,'SR-Team Roping-Heeler'!$B$5:$N$24,3,FALSE)),0)+IFERROR(IF(VLOOKUP($B21,'SR B-Calf Roping'!$B$5:$AI$24,6,FALSE)=" ",0,VLOOKUP($B21,'SR B-Calf Roping'!$B$5:$AI$24,6,FALSE)),0)+IFERROR(IF(VLOOKUP($B21,'SR B-Steer Wrestling'!$B$5:$AI$24,6,FALSE)=" ",0,VLOOKUP($B21,'SR B-Steer Wrestling'!$B$5:$AI$24,6,FALSE)),0)+IFERROR(IF(VLOOKUP($B21,'SR B-Chute Dogging'!$B$5:$AI$24,6,FALSE)=" ",0,VLOOKUP($B21,'SR B-Chute Dogging'!$B$5:$AI$24,6,FALSE)),0)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IFERROR(IF(VLOOKUP($B21,'SR-Team Roping-Header'!$B$5:$N$24,4,FALSE)=" ",0,VLOOKUP($B21,'SR-Team Roping-Header'!$B$5:$N$24,4,FALSE)),0)+IFERROR(IF(VLOOKUP($B21,'SR-Team Roping-Heeler'!$B$5:$N$24,4,FALSE)=" ",0,VLOOKUP($B21,'SR-Team Roping-Heeler'!$B$5:$N$24,4,FALSE)),0)+IFERROR(IF(VLOOKUP($B21,'SR B-Calf Roping'!$B$5:$AI$24,10,FALSE)=" ",0,VLOOKUP($B21,'SR B-Calf Roping'!$B$5:$AI$24,10,FALSE)),0)+IFERROR(IF(VLOOKUP($B21,'SR B-Steer Wrestling'!$B$5:$AI$24,10,FALSE)=" ",0,VLOOKUP($B21,'SR B-Steer Wrestling'!$B$5:$AI$24,10,FALSE)),0)+IFERROR(IF(VLOOKUP($B21,'SR B-Chute Dogging'!$B$5:$AI$24,10,FALSE)=" ",0,VLOOKUP($B21,'SR B-Chute Dogging'!$B$5:$AI$24,10,FALSE)),0)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IFERROR(IF(VLOOKUP($B21,'SR-Team Roping-Header'!$B$5:$N$24,5,FALSE)=" ",0,VLOOKUP($B21,'SR-Team Roping-Header'!$B$5:$N$24,5,FALSE)),0)+IFERROR(IF(VLOOKUP($B21,'SR-Team Roping-Heeler'!$B$5:$N$24,5,FALSE)=" ",0,VLOOKUP($B21,'SR-Team Roping-Heeler'!$B$5:$N$24,5,FALSE)),0)+IFERROR(IF(VLOOKUP($B21,'SR B-Calf Roping'!$B$5:$AI$24,14,FALSE)=" ",0,VLOOKUP($B21,'SR B-Calf Roping'!$B$5:$AI$24,14,FALSE)),0)+IFERROR(IF(VLOOKUP($B21,'SR B-Steer Wrestling'!$B$5:$AI$24,14,FALSE)=" ",0,VLOOKUP($B21,'SR B-Steer Wrestling'!$B$5:$AI$24,14,FALSE)),0)+IFERROR(IF(VLOOKUP($B21,'SR B-Chute Dogging'!$B$5:$AI$24,14,FALSE)=" ",0,VLOOKUP($B21,'SR B-Chute Dogging'!$B$5:$AI$24,14,FALSE)),0)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IFERROR(IF(VLOOKUP($B21,'SR-Team Roping-Header'!$B$5:$N$24,6,FALSE)=" ",0,VLOOKUP($B21,'SR-Team Roping-Header'!$B$5:$N$24,6,FALSE)),0)+IFERROR(IF(VLOOKUP($B21,'SR-Team Roping-Heeler'!$B$5:$N$24,6,FALSE)=" ",0,VLOOKUP($B21,'SR-Team Roping-Heeler'!$B$5:$N$24,6,FALSE)),0)+IFERROR(IF(VLOOKUP($B21,'SR B-Calf Roping'!$B$5:$AI$24,18,FALSE)=" ",0,VLOOKUP($B21,'SR B-Calf Roping'!$B$5:$AI$24,18,FALSE)),0)+IFERROR(IF(VLOOKUP($B21,'SR B-Steer Wrestling'!$B$5:$AI$24,18,FALSE)=" ",0,VLOOKUP($B21,'SR B-Steer Wrestling'!$B$5:$AI$24,18,FALSE)),0)+IFERROR(IF(VLOOKUP($B21,'SR B-Chute Dogging'!$B$5:$AI$24,18,FALSE)=" ",0,VLOOKUP($B21,'SR B-Chute Dogging'!$B$5:$AI$24,18,FALSE)),0)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IFERROR(IF(VLOOKUP($B21,'SR-Team Roping-Header'!$B$5:$N$24,7,FALSE)=" ",0,VLOOKUP($B21,'SR-Team Roping-Header'!$B$5:$N$24,7,FALSE)),0)+IFERROR(IF(VLOOKUP($B21,'SR-Team Roping-Heeler'!$B$5:$N$24,7,FALSE)=" ",0,VLOOKUP($B21,'SR-Team Roping-Heeler'!$B$5:$N$24,7,FALSE)),0)+IFERROR(IF(VLOOKUP($B21,'SR B-Calf Roping'!$B$5:$AI$24,22,FALSE)=" ",0,VLOOKUP($B21,'SR B-Calf Roping'!$B$5:$AI$24,22,FALSE)),0)+IFERROR(IF(VLOOKUP($B21,'SR B-Steer Wrestling'!$B$5:$AI$24,22,FALSE)=" ",0,VLOOKUP($B21,'SR B-Steer Wrestling'!$B$5:$AI$24,22,FALSE)),0)+IFERROR(IF(VLOOKUP($B21,'SR B-Chute Dogging'!$B$5:$AI$24,22,FALSE)=" ",0,VLOOKUP($B21,'SR B-Chute Dogging'!$B$5:$AI$24,22,FALSE)),0)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IFERROR(IF(VLOOKUP($B21,'SR-Team Roping-Header'!$B$5:$N$24,8,FALSE)=" ",0,VLOOKUP($B21,'SR-Team Roping-Header'!$B$5:$N$24,8,FALSE)),0)+IFERROR(IF(VLOOKUP($B21,'SR-Team Roping-Heeler'!$B$5:$N$24,8,FALSE)=" ",0,VLOOKUP($B21,'SR-Team Roping-Heeler'!$B$5:$N$24,8,FALSE)),0)+IFERROR(IF(VLOOKUP($B21,'SR B-Calf Roping'!$B$5:$AI$24,26,FALSE)=" ",0,VLOOKUP($B21,'SR B-Calf Roping'!$B$5:$AI$24,26,FALSE)),0)+IFERROR(IF(VLOOKUP($B21,'SR B-Steer Wrestling'!$B$5:$AI$24,26,FALSE)=" ",0,VLOOKUP($B21,'SR B-Steer Wrestling'!$B$5:$AI$24,26,FALSE)),0)+IFERROR(IF(VLOOKUP($B21,'SR B-Chute Dogging'!$B$5:$AI$24,26,FALSE)=" ",0,VLOOKUP($B21,'SR B-Chute Dogging'!$B$5:$AI$24,26,FALSE)),0)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IFERROR(IF(VLOOKUP($B21,'SR-Team Roping-Header'!$B$5:$N$24,9,FALSE)=" ",0,VLOOKUP($B21,'SR-Team Roping-Header'!$B$5:$N$24,9,FALSE)),0)+IFERROR(IF(VLOOKUP($B21,'SR-Team Roping-Heeler'!$B$5:$N$24,9,FALSE)=" ",0,VLOOKUP($B21,'SR-Team Roping-Heeler'!$B$5:$N$24,9,FALSE)),0)+IFERROR(IF(VLOOKUP($B21,'SR B-Calf Roping'!$B$5:$AI$24,30,FALSE)=" ",0,VLOOKUP($B21,'SR B-Calf Roping'!$B$5:$AI$24,30,FALSE)),0)+IFERROR(IF(VLOOKUP($B21,'SR B-Steer Wrestling'!$B$5:$AI$24,30,FALSE)=" ",0,VLOOKUP($B21,'SR B-Steer Wrestling'!$B$5:$AI$24,30,FALSE)),0)+IFERROR(IF(VLOOKUP($B21,'SR B-Chute Dogging'!$B$5:$AI$24,30,FALSE)=" ",0,VLOOKUP($B21,'SR B-Chute Dogging'!$B$5:$AI$24,30,FALSE)),0)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IFERROR(IF(VLOOKUP($B21,'SR-Team Roping-Header'!$B$5:$N$24,10,FALSE)=" ",0,VLOOKUP($B21,'SR-Team Roping-Header'!$B$5:$N$24,10,FALSE)),0)+IFERROR(IF(VLOOKUP($B21,'SR-Team Roping-Heeler'!$B$5:$N$24,10,FALSE)=" ",0,VLOOKUP($B21,'SR-Team Roping-Heeler'!$B$5:$N$24,10,FALSE)),0)+IFERROR(IF(VLOOKUP($B21,'SR B-Calf Roping'!$B$5:$AI$24,34,FALSE)=" ",0,VLOOKUP($B21,'SR B-Calf Roping'!$B$5:$AI$24,34,FALSE)),0)+IFERROR(IF(VLOOKUP($B21,'SR B-Steer Wrestling'!$B$5:$AI$24,34,FALSE)=" ",0,VLOOKUP($B21,'SR B-Steer Wrestling'!$B$5:$AI$24,34,FALSE)),0)+IFERROR(IF(VLOOKUP($B21,'SR B-Chute Dogging'!$B$5:$AI$24,34,FALSE)=" ",0,VLOOKUP($B21,'SR B-Chute Dogging'!$B$5:$AI$24,34,FALSE)),0)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IFERROR(IF(VLOOKUP($B22,'SR-Team Roping-Header'!$B$5:$N$24,3,FALSE)=" ",0,VLOOKUP($B22,'SR-Team Roping-Header'!$B$5:$N$24,3,FALSE)),0)+IFERROR(IF(VLOOKUP($B22,'SR-Team Roping-Heeler'!$B$5:$N$24,3,FALSE)=" ",0,VLOOKUP($B22,'SR-Team Roping-Heeler'!$B$5:$N$24,3,FALSE)),0)+IFERROR(IF(VLOOKUP($B22,'SR B-Calf Roping'!$B$5:$AI$24,6,FALSE)=" ",0,VLOOKUP($B22,'SR B-Calf Roping'!$B$5:$AI$24,6,FALSE)),0)+IFERROR(IF(VLOOKUP($B22,'SR B-Steer Wrestling'!$B$5:$AI$24,6,FALSE)=" ",0,VLOOKUP($B22,'SR B-Steer Wrestling'!$B$5:$AI$24,6,FALSE)),0)+IFERROR(IF(VLOOKUP($B22,'SR B-Chute Dogging'!$B$5:$AI$24,6,FALSE)=" ",0,VLOOKUP($B22,'SR B-Chute Dogging'!$B$5:$AI$24,6,FALSE)),0)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IFERROR(IF(VLOOKUP($B22,'SR-Team Roping-Header'!$B$5:$N$24,4,FALSE)=" ",0,VLOOKUP($B22,'SR-Team Roping-Header'!$B$5:$N$24,4,FALSE)),0)+IFERROR(IF(VLOOKUP($B22,'SR-Team Roping-Heeler'!$B$5:$N$24,4,FALSE)=" ",0,VLOOKUP($B22,'SR-Team Roping-Heeler'!$B$5:$N$24,4,FALSE)),0)+IFERROR(IF(VLOOKUP($B22,'SR B-Calf Roping'!$B$5:$AI$24,10,FALSE)=" ",0,VLOOKUP($B22,'SR B-Calf Roping'!$B$5:$AI$24,10,FALSE)),0)+IFERROR(IF(VLOOKUP($B22,'SR B-Steer Wrestling'!$B$5:$AI$24,10,FALSE)=" ",0,VLOOKUP($B22,'SR B-Steer Wrestling'!$B$5:$AI$24,10,FALSE)),0)+IFERROR(IF(VLOOKUP($B22,'SR B-Chute Dogging'!$B$5:$AI$24,10,FALSE)=" ",0,VLOOKUP($B22,'SR B-Chute Dogging'!$B$5:$AI$24,10,FALSE)),0)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IFERROR(IF(VLOOKUP($B22,'SR-Team Roping-Header'!$B$5:$N$24,5,FALSE)=" ",0,VLOOKUP($B22,'SR-Team Roping-Header'!$B$5:$N$24,5,FALSE)),0)+IFERROR(IF(VLOOKUP($B22,'SR-Team Roping-Heeler'!$B$5:$N$24,5,FALSE)=" ",0,VLOOKUP($B22,'SR-Team Roping-Heeler'!$B$5:$N$24,5,FALSE)),0)+IFERROR(IF(VLOOKUP($B22,'SR B-Calf Roping'!$B$5:$AI$24,14,FALSE)=" ",0,VLOOKUP($B22,'SR B-Calf Roping'!$B$5:$AI$24,14,FALSE)),0)+IFERROR(IF(VLOOKUP($B22,'SR B-Steer Wrestling'!$B$5:$AI$24,14,FALSE)=" ",0,VLOOKUP($B22,'SR B-Steer Wrestling'!$B$5:$AI$24,14,FALSE)),0)+IFERROR(IF(VLOOKUP($B22,'SR B-Chute Dogging'!$B$5:$AI$24,14,FALSE)=" ",0,VLOOKUP($B22,'SR B-Chute Dogging'!$B$5:$AI$24,14,FALSE)),0)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IFERROR(IF(VLOOKUP($B22,'SR-Team Roping-Header'!$B$5:$N$24,6,FALSE)=" ",0,VLOOKUP($B22,'SR-Team Roping-Header'!$B$5:$N$24,6,FALSE)),0)+IFERROR(IF(VLOOKUP($B22,'SR-Team Roping-Heeler'!$B$5:$N$24,6,FALSE)=" ",0,VLOOKUP($B22,'SR-Team Roping-Heeler'!$B$5:$N$24,6,FALSE)),0)+IFERROR(IF(VLOOKUP($B22,'SR B-Calf Roping'!$B$5:$AI$24,18,FALSE)=" ",0,VLOOKUP($B22,'SR B-Calf Roping'!$B$5:$AI$24,18,FALSE)),0)+IFERROR(IF(VLOOKUP($B22,'SR B-Steer Wrestling'!$B$5:$AI$24,18,FALSE)=" ",0,VLOOKUP($B22,'SR B-Steer Wrestling'!$B$5:$AI$24,18,FALSE)),0)+IFERROR(IF(VLOOKUP($B22,'SR B-Chute Dogging'!$B$5:$AI$24,18,FALSE)=" ",0,VLOOKUP($B22,'SR B-Chute Dogging'!$B$5:$AI$24,18,FALSE)),0)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IFERROR(IF(VLOOKUP($B22,'SR-Team Roping-Header'!$B$5:$N$24,7,FALSE)=" ",0,VLOOKUP($B22,'SR-Team Roping-Header'!$B$5:$N$24,7,FALSE)),0)+IFERROR(IF(VLOOKUP($B22,'SR-Team Roping-Heeler'!$B$5:$N$24,7,FALSE)=" ",0,VLOOKUP($B22,'SR-Team Roping-Heeler'!$B$5:$N$24,7,FALSE)),0)+IFERROR(IF(VLOOKUP($B22,'SR B-Calf Roping'!$B$5:$AI$24,22,FALSE)=" ",0,VLOOKUP($B22,'SR B-Calf Roping'!$B$5:$AI$24,22,FALSE)),0)+IFERROR(IF(VLOOKUP($B22,'SR B-Steer Wrestling'!$B$5:$AI$24,22,FALSE)=" ",0,VLOOKUP($B22,'SR B-Steer Wrestling'!$B$5:$AI$24,22,FALSE)),0)+IFERROR(IF(VLOOKUP($B22,'SR B-Chute Dogging'!$B$5:$AI$24,22,FALSE)=" ",0,VLOOKUP($B22,'SR B-Chute Dogging'!$B$5:$AI$24,22,FALSE)),0)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IFERROR(IF(VLOOKUP($B22,'SR-Team Roping-Header'!$B$5:$N$24,8,FALSE)=" ",0,VLOOKUP($B22,'SR-Team Roping-Header'!$B$5:$N$24,8,FALSE)),0)+IFERROR(IF(VLOOKUP($B22,'SR-Team Roping-Heeler'!$B$5:$N$24,8,FALSE)=" ",0,VLOOKUP($B22,'SR-Team Roping-Heeler'!$B$5:$N$24,8,FALSE)),0)+IFERROR(IF(VLOOKUP($B22,'SR B-Calf Roping'!$B$5:$AI$24,26,FALSE)=" ",0,VLOOKUP($B22,'SR B-Calf Roping'!$B$5:$AI$24,26,FALSE)),0)+IFERROR(IF(VLOOKUP($B22,'SR B-Steer Wrestling'!$B$5:$AI$24,26,FALSE)=" ",0,VLOOKUP($B22,'SR B-Steer Wrestling'!$B$5:$AI$24,26,FALSE)),0)+IFERROR(IF(VLOOKUP($B22,'SR B-Chute Dogging'!$B$5:$AI$24,26,FALSE)=" ",0,VLOOKUP($B22,'SR B-Chute Dogging'!$B$5:$AI$24,26,FALSE)),0)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IFERROR(IF(VLOOKUP($B22,'SR-Team Roping-Header'!$B$5:$N$24,9,FALSE)=" ",0,VLOOKUP($B22,'SR-Team Roping-Header'!$B$5:$N$24,9,FALSE)),0)+IFERROR(IF(VLOOKUP($B22,'SR-Team Roping-Heeler'!$B$5:$N$24,9,FALSE)=" ",0,VLOOKUP($B22,'SR-Team Roping-Heeler'!$B$5:$N$24,9,FALSE)),0)+IFERROR(IF(VLOOKUP($B22,'SR B-Calf Roping'!$B$5:$AI$24,30,FALSE)=" ",0,VLOOKUP($B22,'SR B-Calf Roping'!$B$5:$AI$24,30,FALSE)),0)+IFERROR(IF(VLOOKUP($B22,'SR B-Steer Wrestling'!$B$5:$AI$24,30,FALSE)=" ",0,VLOOKUP($B22,'SR B-Steer Wrestling'!$B$5:$AI$24,30,FALSE)),0)+IFERROR(IF(VLOOKUP($B22,'SR B-Chute Dogging'!$B$5:$AI$24,30,FALSE)=" ",0,VLOOKUP($B22,'SR B-Chute Dogging'!$B$5:$AI$24,30,FALSE)),0)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IFERROR(IF(VLOOKUP($B22,'SR-Team Roping-Header'!$B$5:$N$24,10,FALSE)=" ",0,VLOOKUP($B22,'SR-Team Roping-Header'!$B$5:$N$24,10,FALSE)),0)+IFERROR(IF(VLOOKUP($B22,'SR-Team Roping-Heeler'!$B$5:$N$24,10,FALSE)=" ",0,VLOOKUP($B22,'SR-Team Roping-Heeler'!$B$5:$N$24,10,FALSE)),0)+IFERROR(IF(VLOOKUP($B22,'SR B-Calf Roping'!$B$5:$AI$24,34,FALSE)=" ",0,VLOOKUP($B22,'SR B-Calf Roping'!$B$5:$AI$24,34,FALSE)),0)+IFERROR(IF(VLOOKUP($B22,'SR B-Steer Wrestling'!$B$5:$AI$24,34,FALSE)=" ",0,VLOOKUP($B22,'SR B-Steer Wrestling'!$B$5:$AI$24,34,FALSE)),0)+IFERROR(IF(VLOOKUP($B22,'SR B-Chute Dogging'!$B$5:$AI$24,34,FALSE)=" ",0,VLOOKUP($B22,'SR B-Chute Dogging'!$B$5:$AI$24,34,FALSE)),0)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IFERROR(IF(VLOOKUP($B23,'SR-Team Roping-Header'!$B$5:$N$24,3,FALSE)=" ",0,VLOOKUP($B23,'SR-Team Roping-Header'!$B$5:$N$24,3,FALSE)),0)+IFERROR(IF(VLOOKUP($B23,'SR-Team Roping-Heeler'!$B$5:$N$24,3,FALSE)=" ",0,VLOOKUP($B23,'SR-Team Roping-Heeler'!$B$5:$N$24,3,FALSE)),0)+IFERROR(IF(VLOOKUP($B23,'SR B-Calf Roping'!$B$5:$AI$24,6,FALSE)=" ",0,VLOOKUP($B23,'SR B-Calf Roping'!$B$5:$AI$24,6,FALSE)),0)+IFERROR(IF(VLOOKUP($B23,'SR B-Steer Wrestling'!$B$5:$AI$24,6,FALSE)=" ",0,VLOOKUP($B23,'SR B-Steer Wrestling'!$B$5:$AI$24,6,FALSE)),0)+IFERROR(IF(VLOOKUP($B23,'SR B-Chute Dogging'!$B$5:$AI$24,6,FALSE)=" ",0,VLOOKUP($B23,'SR B-Chute Dogging'!$B$5:$AI$24,6,FALSE)),0)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IFERROR(IF(VLOOKUP($B23,'SR-Team Roping-Header'!$B$5:$N$24,4,FALSE)=" ",0,VLOOKUP($B23,'SR-Team Roping-Header'!$B$5:$N$24,4,FALSE)),0)+IFERROR(IF(VLOOKUP($B23,'SR-Team Roping-Heeler'!$B$5:$N$24,4,FALSE)=" ",0,VLOOKUP($B23,'SR-Team Roping-Heeler'!$B$5:$N$24,4,FALSE)),0)+IFERROR(IF(VLOOKUP($B23,'SR B-Calf Roping'!$B$5:$AI$24,10,FALSE)=" ",0,VLOOKUP($B23,'SR B-Calf Roping'!$B$5:$AI$24,10,FALSE)),0)+IFERROR(IF(VLOOKUP($B23,'SR B-Steer Wrestling'!$B$5:$AI$24,10,FALSE)=" ",0,VLOOKUP($B23,'SR B-Steer Wrestling'!$B$5:$AI$24,10,FALSE)),0)+IFERROR(IF(VLOOKUP($B23,'SR B-Chute Dogging'!$B$5:$AI$24,10,FALSE)=" ",0,VLOOKUP($B23,'SR B-Chute Dogging'!$B$5:$AI$24,10,FALSE)),0)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IFERROR(IF(VLOOKUP($B23,'SR-Team Roping-Header'!$B$5:$N$24,5,FALSE)=" ",0,VLOOKUP($B23,'SR-Team Roping-Header'!$B$5:$N$24,5,FALSE)),0)+IFERROR(IF(VLOOKUP($B23,'SR-Team Roping-Heeler'!$B$5:$N$24,5,FALSE)=" ",0,VLOOKUP($B23,'SR-Team Roping-Heeler'!$B$5:$N$24,5,FALSE)),0)+IFERROR(IF(VLOOKUP($B23,'SR B-Calf Roping'!$B$5:$AI$24,14,FALSE)=" ",0,VLOOKUP($B23,'SR B-Calf Roping'!$B$5:$AI$24,14,FALSE)),0)+IFERROR(IF(VLOOKUP($B23,'SR B-Steer Wrestling'!$B$5:$AI$24,14,FALSE)=" ",0,VLOOKUP($B23,'SR B-Steer Wrestling'!$B$5:$AI$24,14,FALSE)),0)+IFERROR(IF(VLOOKUP($B23,'SR B-Chute Dogging'!$B$5:$AI$24,14,FALSE)=" ",0,VLOOKUP($B23,'SR B-Chute Dogging'!$B$5:$AI$24,14,FALSE)),0)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IFERROR(IF(VLOOKUP($B23,'SR-Team Roping-Header'!$B$5:$N$24,6,FALSE)=" ",0,VLOOKUP($B23,'SR-Team Roping-Header'!$B$5:$N$24,6,FALSE)),0)+IFERROR(IF(VLOOKUP($B23,'SR-Team Roping-Heeler'!$B$5:$N$24,6,FALSE)=" ",0,VLOOKUP($B23,'SR-Team Roping-Heeler'!$B$5:$N$24,6,FALSE)),0)+IFERROR(IF(VLOOKUP($B23,'SR B-Calf Roping'!$B$5:$AI$24,18,FALSE)=" ",0,VLOOKUP($B23,'SR B-Calf Roping'!$B$5:$AI$24,18,FALSE)),0)+IFERROR(IF(VLOOKUP($B23,'SR B-Steer Wrestling'!$B$5:$AI$24,18,FALSE)=" ",0,VLOOKUP($B23,'SR B-Steer Wrestling'!$B$5:$AI$24,18,FALSE)),0)+IFERROR(IF(VLOOKUP($B23,'SR B-Chute Dogging'!$B$5:$AI$24,18,FALSE)=" ",0,VLOOKUP($B23,'SR B-Chute Dogging'!$B$5:$AI$24,18,FALSE)),0)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IFERROR(IF(VLOOKUP($B23,'SR-Team Roping-Header'!$B$5:$N$24,7,FALSE)=" ",0,VLOOKUP($B23,'SR-Team Roping-Header'!$B$5:$N$24,7,FALSE)),0)+IFERROR(IF(VLOOKUP($B23,'SR-Team Roping-Heeler'!$B$5:$N$24,7,FALSE)=" ",0,VLOOKUP($B23,'SR-Team Roping-Heeler'!$B$5:$N$24,7,FALSE)),0)+IFERROR(IF(VLOOKUP($B23,'SR B-Calf Roping'!$B$5:$AI$24,22,FALSE)=" ",0,VLOOKUP($B23,'SR B-Calf Roping'!$B$5:$AI$24,22,FALSE)),0)+IFERROR(IF(VLOOKUP($B23,'SR B-Steer Wrestling'!$B$5:$AI$24,22,FALSE)=" ",0,VLOOKUP($B23,'SR B-Steer Wrestling'!$B$5:$AI$24,22,FALSE)),0)+IFERROR(IF(VLOOKUP($B23,'SR B-Chute Dogging'!$B$5:$AI$24,22,FALSE)=" ",0,VLOOKUP($B23,'SR B-Chute Dogging'!$B$5:$AI$24,22,FALSE)),0)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IFERROR(IF(VLOOKUP($B23,'SR-Team Roping-Header'!$B$5:$N$24,8,FALSE)=" ",0,VLOOKUP($B23,'SR-Team Roping-Header'!$B$5:$N$24,8,FALSE)),0)+IFERROR(IF(VLOOKUP($B23,'SR-Team Roping-Heeler'!$B$5:$N$24,8,FALSE)=" ",0,VLOOKUP($B23,'SR-Team Roping-Heeler'!$B$5:$N$24,8,FALSE)),0)+IFERROR(IF(VLOOKUP($B23,'SR B-Calf Roping'!$B$5:$AI$24,26,FALSE)=" ",0,VLOOKUP($B23,'SR B-Calf Roping'!$B$5:$AI$24,26,FALSE)),0)+IFERROR(IF(VLOOKUP($B23,'SR B-Steer Wrestling'!$B$5:$AI$24,26,FALSE)=" ",0,VLOOKUP($B23,'SR B-Steer Wrestling'!$B$5:$AI$24,26,FALSE)),0)+IFERROR(IF(VLOOKUP($B23,'SR B-Chute Dogging'!$B$5:$AI$24,26,FALSE)=" ",0,VLOOKUP($B23,'SR B-Chute Dogging'!$B$5:$AI$24,26,FALSE)),0)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IFERROR(IF(VLOOKUP($B23,'SR-Team Roping-Header'!$B$5:$N$24,9,FALSE)=" ",0,VLOOKUP($B23,'SR-Team Roping-Header'!$B$5:$N$24,9,FALSE)),0)+IFERROR(IF(VLOOKUP($B23,'SR-Team Roping-Heeler'!$B$5:$N$24,9,FALSE)=" ",0,VLOOKUP($B23,'SR-Team Roping-Heeler'!$B$5:$N$24,9,FALSE)),0)+IFERROR(IF(VLOOKUP($B23,'SR B-Calf Roping'!$B$5:$AI$24,30,FALSE)=" ",0,VLOOKUP($B23,'SR B-Calf Roping'!$B$5:$AI$24,30,FALSE)),0)+IFERROR(IF(VLOOKUP($B23,'SR B-Steer Wrestling'!$B$5:$AI$24,30,FALSE)=" ",0,VLOOKUP($B23,'SR B-Steer Wrestling'!$B$5:$AI$24,30,FALSE)),0)+IFERROR(IF(VLOOKUP($B23,'SR B-Chute Dogging'!$B$5:$AI$24,30,FALSE)=" ",0,VLOOKUP($B23,'SR B-Chute Dogging'!$B$5:$AI$24,30,FALSE)),0)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IFERROR(IF(VLOOKUP($B23,'SR-Team Roping-Header'!$B$5:$N$24,10,FALSE)=" ",0,VLOOKUP($B23,'SR-Team Roping-Header'!$B$5:$N$24,10,FALSE)),0)+IFERROR(IF(VLOOKUP($B23,'SR-Team Roping-Heeler'!$B$5:$N$24,10,FALSE)=" ",0,VLOOKUP($B23,'SR-Team Roping-Heeler'!$B$5:$N$24,10,FALSE)),0)+IFERROR(IF(VLOOKUP($B23,'SR B-Calf Roping'!$B$5:$AI$24,34,FALSE)=" ",0,VLOOKUP($B23,'SR B-Calf Roping'!$B$5:$AI$24,34,FALSE)),0)+IFERROR(IF(VLOOKUP($B23,'SR B-Steer Wrestling'!$B$5:$AI$24,34,FALSE)=" ",0,VLOOKUP($B23,'SR B-Steer Wrestling'!$B$5:$AI$24,34,FALSE)),0)+IFERROR(IF(VLOOKUP($B23,'SR B-Chute Dogging'!$B$5:$AI$24,34,FALSE)=" ",0,VLOOKUP($B23,'SR B-Chute Dogging'!$B$5:$AI$24,34,FALSE)),0)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IFERROR(IF(VLOOKUP($B24,'SR-Team Roping-Header'!$B$5:$N$24,3,FALSE)=" ",0,VLOOKUP($B24,'SR-Team Roping-Header'!$B$5:$N$24,3,FALSE)),0)+IFERROR(IF(VLOOKUP($B24,'SR-Team Roping-Heeler'!$B$5:$N$24,3,FALSE)=" ",0,VLOOKUP($B24,'SR-Team Roping-Heeler'!$B$5:$N$24,3,FALSE)),0)+IFERROR(IF(VLOOKUP($B24,'SR B-Calf Roping'!$B$5:$AI$24,6,FALSE)=" ",0,VLOOKUP($B24,'SR B-Calf Roping'!$B$5:$AI$24,6,FALSE)),0)+IFERROR(IF(VLOOKUP($B24,'SR B-Steer Wrestling'!$B$5:$AI$24,6,FALSE)=" ",0,VLOOKUP($B24,'SR B-Steer Wrestling'!$B$5:$AI$24,6,FALSE)),0)+IFERROR(IF(VLOOKUP($B24,'SR B-Chute Dogging'!$B$5:$AI$24,6,FALSE)=" ",0,VLOOKUP($B24,'SR B-Chute Dogging'!$B$5:$AI$24,6,FALSE)),0)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IFERROR(IF(VLOOKUP($B24,'SR-Team Roping-Header'!$B$5:$N$24,4,FALSE)=" ",0,VLOOKUP($B24,'SR-Team Roping-Header'!$B$5:$N$24,4,FALSE)),0)+IFERROR(IF(VLOOKUP($B24,'SR-Team Roping-Heeler'!$B$5:$N$24,4,FALSE)=" ",0,VLOOKUP($B24,'SR-Team Roping-Heeler'!$B$5:$N$24,4,FALSE)),0)+IFERROR(IF(VLOOKUP($B24,'SR B-Calf Roping'!$B$5:$AI$24,10,FALSE)=" ",0,VLOOKUP($B24,'SR B-Calf Roping'!$B$5:$AI$24,10,FALSE)),0)+IFERROR(IF(VLOOKUP($B24,'SR B-Steer Wrestling'!$B$5:$AI$24,10,FALSE)=" ",0,VLOOKUP($B24,'SR B-Steer Wrestling'!$B$5:$AI$24,10,FALSE)),0)+IFERROR(IF(VLOOKUP($B24,'SR B-Chute Dogging'!$B$5:$AI$24,10,FALSE)=" ",0,VLOOKUP($B24,'SR B-Chute Dogging'!$B$5:$AI$24,10,FALSE)),0)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IFERROR(IF(VLOOKUP($B24,'SR-Team Roping-Header'!$B$5:$N$24,5,FALSE)=" ",0,VLOOKUP($B24,'SR-Team Roping-Header'!$B$5:$N$24,5,FALSE)),0)+IFERROR(IF(VLOOKUP($B24,'SR-Team Roping-Heeler'!$B$5:$N$24,5,FALSE)=" ",0,VLOOKUP($B24,'SR-Team Roping-Heeler'!$B$5:$N$24,5,FALSE)),0)+IFERROR(IF(VLOOKUP($B24,'SR B-Calf Roping'!$B$5:$AI$24,14,FALSE)=" ",0,VLOOKUP($B24,'SR B-Calf Roping'!$B$5:$AI$24,14,FALSE)),0)+IFERROR(IF(VLOOKUP($B24,'SR B-Steer Wrestling'!$B$5:$AI$24,14,FALSE)=" ",0,VLOOKUP($B24,'SR B-Steer Wrestling'!$B$5:$AI$24,14,FALSE)),0)+IFERROR(IF(VLOOKUP($B24,'SR B-Chute Dogging'!$B$5:$AI$24,14,FALSE)=" ",0,VLOOKUP($B24,'SR B-Chute Dogging'!$B$5:$AI$24,14,FALSE)),0)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IFERROR(IF(VLOOKUP($B24,'SR-Team Roping-Header'!$B$5:$N$24,6,FALSE)=" ",0,VLOOKUP($B24,'SR-Team Roping-Header'!$B$5:$N$24,6,FALSE)),0)+IFERROR(IF(VLOOKUP($B24,'SR-Team Roping-Heeler'!$B$5:$N$24,6,FALSE)=" ",0,VLOOKUP($B24,'SR-Team Roping-Heeler'!$B$5:$N$24,6,FALSE)),0)+IFERROR(IF(VLOOKUP($B24,'SR B-Calf Roping'!$B$5:$AI$24,18,FALSE)=" ",0,VLOOKUP($B24,'SR B-Calf Roping'!$B$5:$AI$24,18,FALSE)),0)+IFERROR(IF(VLOOKUP($B24,'SR B-Steer Wrestling'!$B$5:$AI$24,18,FALSE)=" ",0,VLOOKUP($B24,'SR B-Steer Wrestling'!$B$5:$AI$24,18,FALSE)),0)+IFERROR(IF(VLOOKUP($B24,'SR B-Chute Dogging'!$B$5:$AI$24,18,FALSE)=" ",0,VLOOKUP($B24,'SR B-Chute Dogging'!$B$5:$AI$24,18,FALSE)),0)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IFERROR(IF(VLOOKUP($B24,'SR-Team Roping-Header'!$B$5:$N$24,7,FALSE)=" ",0,VLOOKUP($B24,'SR-Team Roping-Header'!$B$5:$N$24,7,FALSE)),0)+IFERROR(IF(VLOOKUP($B24,'SR-Team Roping-Heeler'!$B$5:$N$24,7,FALSE)=" ",0,VLOOKUP($B24,'SR-Team Roping-Heeler'!$B$5:$N$24,7,FALSE)),0)+IFERROR(IF(VLOOKUP($B24,'SR B-Calf Roping'!$B$5:$AI$24,22,FALSE)=" ",0,VLOOKUP($B24,'SR B-Calf Roping'!$B$5:$AI$24,22,FALSE)),0)+IFERROR(IF(VLOOKUP($B24,'SR B-Steer Wrestling'!$B$5:$AI$24,22,FALSE)=" ",0,VLOOKUP($B24,'SR B-Steer Wrestling'!$B$5:$AI$24,22,FALSE)),0)+IFERROR(IF(VLOOKUP($B24,'SR B-Chute Dogging'!$B$5:$AI$24,22,FALSE)=" ",0,VLOOKUP($B24,'SR B-Chute Dogging'!$B$5:$AI$24,22,FALSE)),0)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IFERROR(IF(VLOOKUP($B24,'SR-Team Roping-Header'!$B$5:$N$24,8,FALSE)=" ",0,VLOOKUP($B24,'SR-Team Roping-Header'!$B$5:$N$24,8,FALSE)),0)+IFERROR(IF(VLOOKUP($B24,'SR-Team Roping-Heeler'!$B$5:$N$24,8,FALSE)=" ",0,VLOOKUP($B24,'SR-Team Roping-Heeler'!$B$5:$N$24,8,FALSE)),0)+IFERROR(IF(VLOOKUP($B24,'SR B-Calf Roping'!$B$5:$AI$24,26,FALSE)=" ",0,VLOOKUP($B24,'SR B-Calf Roping'!$B$5:$AI$24,26,FALSE)),0)+IFERROR(IF(VLOOKUP($B24,'SR B-Steer Wrestling'!$B$5:$AI$24,26,FALSE)=" ",0,VLOOKUP($B24,'SR B-Steer Wrestling'!$B$5:$AI$24,26,FALSE)),0)+IFERROR(IF(VLOOKUP($B24,'SR B-Chute Dogging'!$B$5:$AI$24,26,FALSE)=" ",0,VLOOKUP($B24,'SR B-Chute Dogging'!$B$5:$AI$24,26,FALSE)),0)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IFERROR(IF(VLOOKUP($B24,'SR-Team Roping-Header'!$B$5:$N$24,9,FALSE)=" ",0,VLOOKUP($B24,'SR-Team Roping-Header'!$B$5:$N$24,9,FALSE)),0)+IFERROR(IF(VLOOKUP($B24,'SR-Team Roping-Heeler'!$B$5:$N$24,9,FALSE)=" ",0,VLOOKUP($B24,'SR-Team Roping-Heeler'!$B$5:$N$24,9,FALSE)),0)+IFERROR(IF(VLOOKUP($B24,'SR B-Calf Roping'!$B$5:$AI$24,30,FALSE)=" ",0,VLOOKUP($B24,'SR B-Calf Roping'!$B$5:$AI$24,30,FALSE)),0)+IFERROR(IF(VLOOKUP($B24,'SR B-Steer Wrestling'!$B$5:$AI$24,30,FALSE)=" ",0,VLOOKUP($B24,'SR B-Steer Wrestling'!$B$5:$AI$24,30,FALSE)),0)+IFERROR(IF(VLOOKUP($B24,'SR B-Chute Dogging'!$B$5:$AI$24,30,FALSE)=" ",0,VLOOKUP($B24,'SR B-Chute Dogging'!$B$5:$AI$24,30,FALSE)),0)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IFERROR(IF(VLOOKUP($B24,'SR-Team Roping-Header'!$B$5:$N$24,10,FALSE)=" ",0,VLOOKUP($B24,'SR-Team Roping-Header'!$B$5:$N$24,10,FALSE)),0)+IFERROR(IF(VLOOKUP($B24,'SR-Team Roping-Heeler'!$B$5:$N$24,10,FALSE)=" ",0,VLOOKUP($B24,'SR-Team Roping-Heeler'!$B$5:$N$24,10,FALSE)),0)+IFERROR(IF(VLOOKUP($B24,'SR B-Calf Roping'!$B$5:$AI$24,34,FALSE)=" ",0,VLOOKUP($B24,'SR B-Calf Roping'!$B$5:$AI$24,34,FALSE)),0)+IFERROR(IF(VLOOKUP($B24,'SR B-Steer Wrestling'!$B$5:$AI$24,34,FALSE)=" ",0,VLOOKUP($B24,'SR B-Steer Wrestling'!$B$5:$AI$24,34,FALSE)),0)+IFERROR(IF(VLOOKUP($B24,'SR B-Chute Dogging'!$B$5:$AI$24,34,FALSE)=" ",0,VLOOKUP($B24,'SR B-Chute Dogging'!$B$5:$AI$24,34,FALSE)),0)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WY8BAV+hLo6O1sqhPK3+m6r72WE/ZAJAh0vyYTO6hXaBN3dBvqDT+hqbcMSDW8lEAbJXUmXTsENbg3b+WGMu1g==" saltValue="bz46Ah7S22aj/evPDuwBW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3">
    <tabColor theme="8" tint="0.79998168889431442"/>
  </sheetPr>
  <dimension ref="B1:AL43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112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228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IF(Table6220273233372141[[#This Row],[Non-Member]]="X"," ",IF(F5=" "," ",IFERROR(VLOOKUP(E5,Points!$A$2:$B$14,2,FALSE)," ")))</f>
        <v xml:space="preserve"> </v>
      </c>
      <c r="H5" s="85">
        <v>18.026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IF(Table6220273233372141[[#This Row],[Non-Member]]="X"," ",IF(J5=" "," ",IFERROR(VLOOKUP(I5,Points!$A$2:$B$14,2,FALSE)," ")))</f>
        <v>18</v>
      </c>
      <c r="L5" s="85">
        <v>18.227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IF(Table6220273233372141[[#This Row],[Non-Member]]="X"," ",IF(N5=" "," ",IFERROR(VLOOKUP(M5,Points!$A$2:$B$14,2,FALSE)," ")))</f>
        <v>12</v>
      </c>
      <c r="P5" s="85">
        <v>18.657</v>
      </c>
      <c r="Q5" s="86">
        <f t="shared" ref="Q5:Q24" si="6">IF(P5=0," ",_xlfn.RANK.AVG(P5,P$5:P$24,1)-COUNTIF(P$5:P$24,0))</f>
        <v>4</v>
      </c>
      <c r="R5" s="86">
        <f t="shared" ref="R5:R24" si="7">IF(P5=0," ",IF((RANK(P5,P$5:P$24,1)-COUNTIF(P$5:P$24,0)&gt;6)," ",RANK(P5,P$5:P$24,1)-COUNTIF(P$5:P$24,0)))</f>
        <v>4</v>
      </c>
      <c r="S5" s="87">
        <f>IF(Table6220273233372141[[#This Row],[Non-Member]]="X"," ",IF(R5=" "," ",IFERROR(VLOOKUP(Q5,Points!$A$2:$B$14,2,FALSE)," ")))</f>
        <v>9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IF(Table6220273233372141[[#This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IF(Table6220273233372141[[#This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IF(Table6220273233372141[[#This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IF(Table6220273233372141[[#This Row],[Non-Member]]="X"," ",IF(AH5=" "," ",IFERROR(VLOOKUP(AG5,Points!$A$2:$B$14,2,FALSE)," ")))</f>
        <v xml:space="preserve"> </v>
      </c>
      <c r="AJ5" s="86">
        <f>IF(Table6220273233372141[[#This Row],[Non-Member]]="X"," ",((IF(G5=" ",0,G5))+(IF(K5=" ",0,K5))+(IF(O5=" ",0,O5))+(IF(S5=" ",0,S5))+(IF(W5=" ",0,W5))+(IF(AA5=" ",0,AA5))+(IF(AE5=" ",0,AE5))+(IF(AI5=" ",0,AI5))))</f>
        <v>39</v>
      </c>
      <c r="AK5" s="88">
        <f t="shared" ref="AK5:AK24" si="17">IF(AJ5=0," ",AJ5)</f>
        <v>39</v>
      </c>
      <c r="AL5" s="89">
        <f t="shared" ref="AL5:AL24" si="18">IF(AK5=" "," ",RANK(AK5,$AK$5:$AK$24))</f>
        <v>1</v>
      </c>
    </row>
    <row r="6" spans="2:38" x14ac:dyDescent="0.3">
      <c r="B6" s="90" t="s">
        <v>230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IF(Table6220273233372141[[#This Row],[Non-Member]]="X"," ",IF(F6=" "," ",IFERROR(VLOOKUP(E6,Points!$A$2:$B$14,2,FALSE)," ")))</f>
        <v xml:space="preserve"> </v>
      </c>
      <c r="H6" s="92">
        <v>23.876000000000001</v>
      </c>
      <c r="I6" s="93">
        <f t="shared" si="2"/>
        <v>16</v>
      </c>
      <c r="J6" s="93" t="str">
        <f t="shared" si="3"/>
        <v xml:space="preserve"> </v>
      </c>
      <c r="K6" s="94" t="str">
        <f>IF(Table6220273233372141[[#This Row],[Non-Member]]="X"," ",IF(J6=" "," ",IFERROR(VLOOKUP(I6,Points!$A$2:$B$14,2,FALSE)," ")))</f>
        <v xml:space="preserve"> </v>
      </c>
      <c r="L6" s="92">
        <v>17.863</v>
      </c>
      <c r="M6" s="93">
        <f t="shared" si="4"/>
        <v>1</v>
      </c>
      <c r="N6" s="93">
        <f t="shared" si="5"/>
        <v>1</v>
      </c>
      <c r="O6" s="94">
        <f>IF(Table6220273233372141[[#This Row],[Non-Member]]="X"," ",IF(N6=" "," ",IFERROR(VLOOKUP(M6,Points!$A$2:$B$14,2,FALSE)," ")))</f>
        <v>18</v>
      </c>
      <c r="P6" s="92">
        <v>17.902999999999999</v>
      </c>
      <c r="Q6" s="93">
        <f t="shared" si="6"/>
        <v>1</v>
      </c>
      <c r="R6" s="93">
        <f t="shared" si="7"/>
        <v>1</v>
      </c>
      <c r="S6" s="94">
        <f>IF(Table6220273233372141[[#This Row],[Non-Member]]="X"," ",IF(R6=" "," ",IFERROR(VLOOKUP(Q6,Points!$A$2:$B$14,2,FALSE)," ")))</f>
        <v>18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IF(Table6220273233372141[[#This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IF(Table6220273233372141[[#This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IF(Table6220273233372141[[#This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IF(Table6220273233372141[[#This Row],[Non-Member]]="X"," ",IF(AH6=" "," ",IFERROR(VLOOKUP(AG6,Points!$A$2:$B$14,2,FALSE)," ")))</f>
        <v xml:space="preserve"> </v>
      </c>
      <c r="AJ6" s="93">
        <f>IF(Table6220273233372141[[#This Row],[Non-Member]]="X"," ",((IF(G6=" ",0,G6))+(IF(K6=" ",0,K6))+(IF(O6=" ",0,O6))+(IF(S6=" ",0,S6))+(IF(W6=" ",0,W6))+(IF(AA6=" ",0,AA6))+(IF(AE6=" ",0,AE6))+(IF(AI6=" ",0,AI6))))</f>
        <v>36</v>
      </c>
      <c r="AK6" s="95">
        <f t="shared" si="17"/>
        <v>36</v>
      </c>
      <c r="AL6" s="96">
        <f t="shared" si="18"/>
        <v>2</v>
      </c>
    </row>
    <row r="7" spans="2:38" x14ac:dyDescent="0.3">
      <c r="B7" s="90" t="s">
        <v>149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IF(Table6220273233372141[[#This Row],[Non-Member]]="X"," ",IF(F7=" "," ",IFERROR(VLOOKUP(E7,Points!$A$2:$B$14,2,FALSE)," ")))</f>
        <v xml:space="preserve"> </v>
      </c>
      <c r="H7" s="92">
        <v>23.693000000000001</v>
      </c>
      <c r="I7" s="93">
        <f t="shared" si="2"/>
        <v>14</v>
      </c>
      <c r="J7" s="93" t="str">
        <f t="shared" si="3"/>
        <v xml:space="preserve"> </v>
      </c>
      <c r="K7" s="94" t="str">
        <f>IF(Table6220273233372141[[#This Row],[Non-Member]]="X"," ",IF(J7=" "," ",IFERROR(VLOOKUP(I7,Points!$A$2:$B$14,2,FALSE)," ")))</f>
        <v xml:space="preserve"> </v>
      </c>
      <c r="L7" s="92">
        <v>18.123999999999999</v>
      </c>
      <c r="M7" s="93">
        <f t="shared" si="4"/>
        <v>2</v>
      </c>
      <c r="N7" s="93">
        <f t="shared" si="5"/>
        <v>2</v>
      </c>
      <c r="O7" s="94">
        <f>IF(Table6220273233372141[[#This Row],[Non-Member]]="X"," ",IF(N7=" "," ",IFERROR(VLOOKUP(M7,Points!$A$2:$B$14,2,FALSE)," ")))</f>
        <v>15</v>
      </c>
      <c r="P7" s="92">
        <v>18.195</v>
      </c>
      <c r="Q7" s="93">
        <f t="shared" si="6"/>
        <v>2</v>
      </c>
      <c r="R7" s="93">
        <f t="shared" si="7"/>
        <v>2</v>
      </c>
      <c r="S7" s="94">
        <f>IF(Table6220273233372141[[#This Row],[Non-Member]]="X"," ",IF(R7=" "," ",IFERROR(VLOOKUP(Q7,Points!$A$2:$B$14,2,FALSE)," ")))</f>
        <v>15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IF(Table6220273233372141[[#This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IF(Table6220273233372141[[#This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IF(Table6220273233372141[[#This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IF(Table6220273233372141[[#This Row],[Non-Member]]="X"," ",IF(AH7=" "," ",IFERROR(VLOOKUP(AG7,Points!$A$2:$B$14,2,FALSE)," ")))</f>
        <v xml:space="preserve"> </v>
      </c>
      <c r="AJ7" s="93">
        <f>IF(Table6220273233372141[[#This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168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IF(Table6220273233372141[[#This Row],[Non-Member]]="X"," ",IF(F8=" "," ",IFERROR(VLOOKUP(E8,Points!$A$2:$B$14,2,FALSE)," ")))</f>
        <v xml:space="preserve"> </v>
      </c>
      <c r="H8" s="92">
        <v>23.466999999999999</v>
      </c>
      <c r="I8" s="93">
        <f t="shared" si="2"/>
        <v>13</v>
      </c>
      <c r="J8" s="93" t="str">
        <f t="shared" si="3"/>
        <v xml:space="preserve"> </v>
      </c>
      <c r="K8" s="94" t="str">
        <f>IF(Table6220273233372141[[#This Row],[Non-Member]]="X"," ",IF(J8=" "," ",IFERROR(VLOOKUP(I8,Points!$A$2:$B$14,2,FALSE)," ")))</f>
        <v xml:space="preserve"> </v>
      </c>
      <c r="L8" s="135">
        <v>18.288</v>
      </c>
      <c r="M8" s="93">
        <f t="shared" si="4"/>
        <v>4</v>
      </c>
      <c r="N8" s="93">
        <f t="shared" si="5"/>
        <v>4</v>
      </c>
      <c r="O8" s="94">
        <f>IF(Table6220273233372141[[#This Row],[Non-Member]]="X"," ",IF(N8=" "," ",IFERROR(VLOOKUP(M8,Points!$A$2:$B$14,2,FALSE)," ")))</f>
        <v>9</v>
      </c>
      <c r="P8" s="92">
        <v>18.521999999999998</v>
      </c>
      <c r="Q8" s="93">
        <f t="shared" si="6"/>
        <v>3</v>
      </c>
      <c r="R8" s="93">
        <f t="shared" si="7"/>
        <v>3</v>
      </c>
      <c r="S8" s="94">
        <f>IF(Table6220273233372141[[#This Row],[Non-Member]]="X"," ",IF(R8=" "," ",IFERROR(VLOOKUP(Q8,Points!$A$2:$B$14,2,FALSE)," ")))</f>
        <v>12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IF(Table6220273233372141[[#This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IF(Table6220273233372141[[#This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IF(Table6220273233372141[[#This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IF(Table6220273233372141[[#This Row],[Non-Member]]="X"," ",IF(AH8=" "," ",IFERROR(VLOOKUP(AG8,Points!$A$2:$B$14,2,FALSE)," ")))</f>
        <v xml:space="preserve"> </v>
      </c>
      <c r="AJ8" s="93">
        <f>IF(Table6220273233372141[[#This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6">
        <f t="shared" si="18"/>
        <v>4</v>
      </c>
    </row>
    <row r="9" spans="2:38" x14ac:dyDescent="0.3">
      <c r="B9" s="90" t="s">
        <v>166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IF(Table6220273233372141[[#This Row],[Non-Member]]="X"," ",IF(F9=" "," ",IFERROR(VLOOKUP(E9,Points!$A$2:$B$14,2,FALSE)," ")))</f>
        <v xml:space="preserve"> </v>
      </c>
      <c r="H9" s="92">
        <v>18.396999999999998</v>
      </c>
      <c r="I9" s="93">
        <f t="shared" si="2"/>
        <v>2</v>
      </c>
      <c r="J9" s="93">
        <f t="shared" si="3"/>
        <v>2</v>
      </c>
      <c r="K9" s="94">
        <f>IF(Table6220273233372141[[#This Row],[Non-Member]]="X"," ",IF(J9=" "," ",IFERROR(VLOOKUP(I9,Points!$A$2:$B$14,2,FALSE)," ")))</f>
        <v>15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IF(Table6220273233372141[[#This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IF(Table6220273233372141[[#This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IF(Table6220273233372141[[#This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IF(Table6220273233372141[[#This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IF(Table6220273233372141[[#This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IF(Table6220273233372141[[#This Row],[Non-Member]]="X"," ",IF(AH9=" "," ",IFERROR(VLOOKUP(AG9,Points!$A$2:$B$14,2,FALSE)," ")))</f>
        <v xml:space="preserve"> </v>
      </c>
      <c r="AJ9" s="93">
        <f>IF(Table6220273233372141[[#This Row],[Non-Member]]="X"," ",((IF(G9=" ",0,G9))+(IF(K9=" ",0,K9))+(IF(O9=" ",0,O9))+(IF(S9=" ",0,S9))+(IF(W9=" ",0,W9))+(IF(AA9=" ",0,AA9))+(IF(AE9=" ",0,AE9))+(IF(AI9=" ",0,AI9))))</f>
        <v>15</v>
      </c>
      <c r="AK9" s="95">
        <f t="shared" si="17"/>
        <v>15</v>
      </c>
      <c r="AL9" s="96">
        <f t="shared" si="18"/>
        <v>5</v>
      </c>
    </row>
    <row r="10" spans="2:38" x14ac:dyDescent="0.3">
      <c r="B10" s="90" t="s">
        <v>148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IF(Table6220273233372141[[#This Row],[Non-Member]]="X"," ",IF(F10=" "," ",IFERROR(VLOOKUP(E10,Points!$A$2:$B$14,2,FALSE)," ")))</f>
        <v xml:space="preserve"> </v>
      </c>
      <c r="H10" s="92">
        <v>19.03</v>
      </c>
      <c r="I10" s="93">
        <f t="shared" si="2"/>
        <v>6</v>
      </c>
      <c r="J10" s="93">
        <f t="shared" si="3"/>
        <v>6</v>
      </c>
      <c r="K10" s="94">
        <f>IF(Table6220273233372141[[#This Row],[Non-Member]]="X"," ",IF(J10=" "," ",IFERROR(VLOOKUP(I10,Points!$A$2:$B$14,2,FALSE)," ")))</f>
        <v>3</v>
      </c>
      <c r="L10" s="92">
        <v>18.861999999999998</v>
      </c>
      <c r="M10" s="93">
        <f t="shared" si="4"/>
        <v>5</v>
      </c>
      <c r="N10" s="93">
        <f t="shared" si="5"/>
        <v>5</v>
      </c>
      <c r="O10" s="94">
        <f>IF(Table6220273233372141[[#This Row],[Non-Member]]="X"," ",IF(N10=" "," ",IFERROR(VLOOKUP(M10,Points!$A$2:$B$14,2,FALSE)," ")))</f>
        <v>6</v>
      </c>
      <c r="P10" s="92">
        <v>18.802</v>
      </c>
      <c r="Q10" s="93">
        <f t="shared" si="6"/>
        <v>5</v>
      </c>
      <c r="R10" s="93">
        <f t="shared" si="7"/>
        <v>5</v>
      </c>
      <c r="S10" s="94">
        <f>IF(Table6220273233372141[[#This Row],[Non-Member]]="X"," ",IF(R10=" "," ",IFERROR(VLOOKUP(Q10,Points!$A$2:$B$14,2,FALSE)," ")))</f>
        <v>6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IF(Table6220273233372141[[#This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IF(Table6220273233372141[[#This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IF(Table6220273233372141[[#This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IF(Table6220273233372141[[#This Row],[Non-Member]]="X"," ",IF(AH10=" "," ",IFERROR(VLOOKUP(AG10,Points!$A$2:$B$14,2,FALSE)," ")))</f>
        <v xml:space="preserve"> </v>
      </c>
      <c r="AJ10" s="93">
        <f>IF(Table6220273233372141[[#This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5</v>
      </c>
    </row>
    <row r="11" spans="2:38" x14ac:dyDescent="0.3">
      <c r="B11" s="90" t="s">
        <v>169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IF(Table6220273233372141[[#This Row],[Non-Member]]="X"," ",IF(F11=" "," ",IFERROR(VLOOKUP(E11,Points!$A$2:$B$14,2,FALSE)," ")))</f>
        <v xml:space="preserve"> </v>
      </c>
      <c r="H11" s="92">
        <v>18.802</v>
      </c>
      <c r="I11" s="93">
        <f t="shared" si="2"/>
        <v>4</v>
      </c>
      <c r="J11" s="93">
        <f t="shared" si="3"/>
        <v>4</v>
      </c>
      <c r="K11" s="94">
        <f>IF(Table6220273233372141[[#This Row],[Non-Member]]="X"," ",IF(J11=" "," ",IFERROR(VLOOKUP(I11,Points!$A$2:$B$14,2,FALSE)," ")))</f>
        <v>9</v>
      </c>
      <c r="L11" s="92">
        <v>19.193000000000001</v>
      </c>
      <c r="M11" s="93">
        <f t="shared" si="4"/>
        <v>7</v>
      </c>
      <c r="N11" s="93" t="str">
        <f t="shared" si="5"/>
        <v xml:space="preserve"> </v>
      </c>
      <c r="O11" s="94" t="str">
        <f>IF(Table6220273233372141[[#This Row],[Non-Member]]="X"," ",IF(N11=" "," ",IFERROR(VLOOKUP(M11,Points!$A$2:$B$14,2,FALSE)," ")))</f>
        <v xml:space="preserve"> </v>
      </c>
      <c r="P11" s="92">
        <v>18.969000000000001</v>
      </c>
      <c r="Q11" s="93">
        <f t="shared" si="6"/>
        <v>6</v>
      </c>
      <c r="R11" s="93">
        <f t="shared" si="7"/>
        <v>6</v>
      </c>
      <c r="S11" s="94">
        <f>IF(Table6220273233372141[[#This Row],[Non-Member]]="X"," ",IF(R11=" "," ",IFERROR(VLOOKUP(Q11,Points!$A$2:$B$14,2,FALSE)," ")))</f>
        <v>3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IF(Table6220273233372141[[#This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IF(Table6220273233372141[[#This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IF(Table6220273233372141[[#This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IF(Table6220273233372141[[#This Row],[Non-Member]]="X"," ",IF(AH11=" "," ",IFERROR(VLOOKUP(AG11,Points!$A$2:$B$14,2,FALSE)," ")))</f>
        <v xml:space="preserve"> </v>
      </c>
      <c r="AJ11" s="93">
        <f>IF(Table6220273233372141[[#This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142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IF(Table6220273233372141[[#This Row],[Non-Member]]="X"," ",IF(F12=" "," ",IFERROR(VLOOKUP(E12,Points!$A$2:$B$14,2,FALSE)," ")))</f>
        <v xml:space="preserve"> </v>
      </c>
      <c r="H12" s="92">
        <v>18.71</v>
      </c>
      <c r="I12" s="93">
        <f t="shared" si="2"/>
        <v>3</v>
      </c>
      <c r="J12" s="93">
        <f t="shared" si="3"/>
        <v>3</v>
      </c>
      <c r="K12" s="94">
        <f>IF(Table6220273233372141[[#This Row],[Non-Member]]="X"," ",IF(J12=" "," ",IFERROR(VLOOKUP(I12,Points!$A$2:$B$14,2,FALSE)," ")))</f>
        <v>12</v>
      </c>
      <c r="L12" s="92">
        <v>20.271999999999998</v>
      </c>
      <c r="M12" s="93">
        <f t="shared" si="4"/>
        <v>9</v>
      </c>
      <c r="N12" s="93" t="str">
        <f t="shared" si="5"/>
        <v xml:space="preserve"> </v>
      </c>
      <c r="O12" s="94" t="str">
        <f>IF(Table6220273233372141[[#This Row],[Non-Member]]="X"," ",IF(N12=" "," ",IFERROR(VLOOKUP(M12,Points!$A$2:$B$14,2,FALSE)," ")))</f>
        <v xml:space="preserve"> </v>
      </c>
      <c r="P12" s="92">
        <v>19.91</v>
      </c>
      <c r="Q12" s="93">
        <f t="shared" si="6"/>
        <v>8</v>
      </c>
      <c r="R12" s="93" t="str">
        <f t="shared" si="7"/>
        <v xml:space="preserve"> </v>
      </c>
      <c r="S12" s="94" t="str">
        <f>IF(Table6220273233372141[[#This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IF(Table6220273233372141[[#This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IF(Table6220273233372141[[#This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IF(Table6220273233372141[[#This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IF(Table6220273233372141[[#This Row],[Non-Member]]="X"," ",IF(AH12=" "," ",IFERROR(VLOOKUP(AG12,Points!$A$2:$B$14,2,FALSE)," ")))</f>
        <v xml:space="preserve"> </v>
      </c>
      <c r="AJ12" s="93">
        <f>IF(Table6220273233372141[[#This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7</v>
      </c>
    </row>
    <row r="13" spans="2:38" x14ac:dyDescent="0.3">
      <c r="B13" s="90" t="s">
        <v>140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IF(Table6220273233372141[[#This Row],[Non-Member]]="X"," ",IF(F13=" "," ",IFERROR(VLOOKUP(E13,Points!$A$2:$B$14,2,FALSE)," ")))</f>
        <v xml:space="preserve"> </v>
      </c>
      <c r="H13" s="92">
        <v>18.972999999999999</v>
      </c>
      <c r="I13" s="93">
        <f t="shared" si="2"/>
        <v>5</v>
      </c>
      <c r="J13" s="93">
        <f t="shared" si="3"/>
        <v>5</v>
      </c>
      <c r="K13" s="94">
        <f>IF(Table6220273233372141[[#This Row],[Non-Member]]="X"," ",IF(J13=" "," ",IFERROR(VLOOKUP(I13,Points!$A$2:$B$14,2,FALSE)," ")))</f>
        <v>6</v>
      </c>
      <c r="L13" s="92">
        <v>19.637</v>
      </c>
      <c r="M13" s="93">
        <f t="shared" si="4"/>
        <v>8</v>
      </c>
      <c r="N13" s="93" t="str">
        <f t="shared" si="5"/>
        <v xml:space="preserve"> </v>
      </c>
      <c r="O13" s="94" t="str">
        <f>IF(Table6220273233372141[[#This Row],[Non-Member]]="X"," ",IF(N13=" "," ",IFERROR(VLOOKUP(M13,Points!$A$2:$B$14,2,FALSE)," ")))</f>
        <v xml:space="preserve"> </v>
      </c>
      <c r="P13" s="92">
        <v>19.219000000000001</v>
      </c>
      <c r="Q13" s="93">
        <f t="shared" si="6"/>
        <v>7</v>
      </c>
      <c r="R13" s="93" t="str">
        <f t="shared" si="7"/>
        <v xml:space="preserve"> </v>
      </c>
      <c r="S13" s="94" t="str">
        <f>IF(Table6220273233372141[[#This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IF(Table6220273233372141[[#This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IF(Table6220273233372141[[#This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IF(Table6220273233372141[[#This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IF(Table6220273233372141[[#This Row],[Non-Member]]="X"," ",IF(AH13=" "," ",IFERROR(VLOOKUP(AG13,Points!$A$2:$B$14,2,FALSE)," ")))</f>
        <v xml:space="preserve"> </v>
      </c>
      <c r="AJ13" s="93">
        <f>IF(Table6220273233372141[[#This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300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IF(Table6220273233372141[[#This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IF(Table6220273233372141[[#This Row],[Non-Member]]="X"," ",IF(J14=" "," ",IFERROR(VLOOKUP(I14,Points!$A$2:$B$14,2,FALSE)," ")))</f>
        <v xml:space="preserve"> </v>
      </c>
      <c r="L14" s="92">
        <v>19.161000000000001</v>
      </c>
      <c r="M14" s="93">
        <f t="shared" si="4"/>
        <v>6</v>
      </c>
      <c r="N14" s="93">
        <f t="shared" si="5"/>
        <v>6</v>
      </c>
      <c r="O14" s="94">
        <f>IF(Table6220273233372141[[#This Row],[Non-Member]]="X"," ",IF(N14=" "," ",IFERROR(VLOOKUP(M14,Points!$A$2:$B$14,2,FALSE)," ")))</f>
        <v>3</v>
      </c>
      <c r="P14" s="92">
        <v>23.648</v>
      </c>
      <c r="Q14" s="93">
        <f t="shared" si="6"/>
        <v>15</v>
      </c>
      <c r="R14" s="93" t="str">
        <f t="shared" si="7"/>
        <v xml:space="preserve"> </v>
      </c>
      <c r="S14" s="94" t="str">
        <f>IF(Table6220273233372141[[#This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IF(Table6220273233372141[[#This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IF(Table6220273233372141[[#This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IF(Table6220273233372141[[#This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IF(Table6220273233372141[[#This Row],[Non-Member]]="X"," ",IF(AH14=" "," ",IFERROR(VLOOKUP(AG14,Points!$A$2:$B$14,2,FALSE)," ")))</f>
        <v xml:space="preserve"> </v>
      </c>
      <c r="AJ14" s="93">
        <f>IF(Table6220273233372141[[#This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232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IF(Table6220273233372141[[#This Row],[Non-Member]]="X"," ",IF(F15=" "," ",IFERROR(VLOOKUP(E15,Points!$A$2:$B$14,2,FALSE)," ")))</f>
        <v xml:space="preserve"> </v>
      </c>
      <c r="H15" s="92">
        <v>19.315999999999999</v>
      </c>
      <c r="I15" s="97">
        <f t="shared" si="2"/>
        <v>7</v>
      </c>
      <c r="J15" s="97" t="str">
        <f t="shared" si="3"/>
        <v xml:space="preserve"> </v>
      </c>
      <c r="K15" s="94" t="str">
        <f>IF(Table6220273233372141[[#This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IF(Table6220273233372141[[#This Row],[Non-Member]]="X"," ",IF(N15=" "," ",IFERROR(VLOOKUP(M15,Points!$A$2:$B$14,2,FALSE)," ")))</f>
        <v xml:space="preserve"> </v>
      </c>
      <c r="P15" s="92">
        <v>21.457000000000001</v>
      </c>
      <c r="Q15" s="97">
        <f t="shared" si="6"/>
        <v>13</v>
      </c>
      <c r="R15" s="97" t="str">
        <f t="shared" si="7"/>
        <v xml:space="preserve"> </v>
      </c>
      <c r="S15" s="94" t="str">
        <f>IF(Table6220273233372141[[#This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IF(Table6220273233372141[[#This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IF(Table6220273233372141[[#This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IF(Table6220273233372141[[#This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IF(Table6220273233372141[[#This Row],[Non-Member]]="X"," ",IF(AH15=" "," ",IFERROR(VLOOKUP(AG15,Points!$A$2:$B$14,2,FALSE)," ")))</f>
        <v xml:space="preserve"> </v>
      </c>
      <c r="AJ15" s="97">
        <f>IF(Table6220273233372141[[#This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 t="s">
        <v>229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IF(Table6220273233372141[[#This Row],[Non-Member]]="X"," ",IF(F16=" "," ",IFERROR(VLOOKUP(E16,Points!$A$2:$B$14,2,FALSE)," ")))</f>
        <v xml:space="preserve"> </v>
      </c>
      <c r="H16" s="92">
        <v>19.7</v>
      </c>
      <c r="I16" s="93">
        <f t="shared" si="2"/>
        <v>8.5</v>
      </c>
      <c r="J16" s="93" t="str">
        <f t="shared" si="3"/>
        <v xml:space="preserve"> </v>
      </c>
      <c r="K16" s="94" t="str">
        <f>IF(Table6220273233372141[[#This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IF(Table6220273233372141[[#This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IF(Table6220273233372141[[#This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IF(Table6220273233372141[[#This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IF(Table6220273233372141[[#This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IF(Table6220273233372141[[#This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IF(Table6220273233372141[[#This Row],[Non-Member]]="X"," ",IF(AH16=" "," ",IFERROR(VLOOKUP(AG16,Points!$A$2:$B$14,2,FALSE)," ")))</f>
        <v xml:space="preserve"> </v>
      </c>
      <c r="AJ16" s="93" t="str">
        <f>IF(Table6220273233372141[[#This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141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IF(Table6220273233372141[[#This Row],[Non-Member]]="X"," ",IF(F17=" "," ",IFERROR(VLOOKUP(E17,Points!$A$2:$B$14,2,FALSE)," ")))</f>
        <v xml:space="preserve"> </v>
      </c>
      <c r="H17" s="92">
        <v>21.227</v>
      </c>
      <c r="I17" s="93">
        <f t="shared" si="2"/>
        <v>10</v>
      </c>
      <c r="J17" s="93" t="str">
        <f t="shared" si="3"/>
        <v xml:space="preserve"> </v>
      </c>
      <c r="K17" s="94" t="str">
        <f>IF(Table6220273233372141[[#This Row],[Non-Member]]="X"," ",IF(J17=" "," ",IFERROR(VLOOKUP(I17,Points!$A$2:$B$14,2,FALSE)," ")))</f>
        <v xml:space="preserve"> </v>
      </c>
      <c r="L17" s="92">
        <v>20.73</v>
      </c>
      <c r="M17" s="93">
        <f t="shared" si="4"/>
        <v>11</v>
      </c>
      <c r="N17" s="93" t="str">
        <f t="shared" si="5"/>
        <v xml:space="preserve"> </v>
      </c>
      <c r="O17" s="94" t="str">
        <f>IF(Table6220273233372141[[#This Row],[Non-Member]]="X"," ",IF(N17=" "," ",IFERROR(VLOOKUP(M17,Points!$A$2:$B$14,2,FALSE)," ")))</f>
        <v xml:space="preserve"> </v>
      </c>
      <c r="P17" s="92">
        <v>20.282</v>
      </c>
      <c r="Q17" s="93">
        <f t="shared" si="6"/>
        <v>11</v>
      </c>
      <c r="R17" s="93" t="str">
        <f t="shared" si="7"/>
        <v xml:space="preserve"> </v>
      </c>
      <c r="S17" s="94" t="str">
        <f>IF(Table6220273233372141[[#This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IF(Table6220273233372141[[#This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IF(Table6220273233372141[[#This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IF(Table6220273233372141[[#This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IF(Table6220273233372141[[#This Row],[Non-Member]]="X"," ",IF(AH17=" "," ",IFERROR(VLOOKUP(AG17,Points!$A$2:$B$14,2,FALSE)," ")))</f>
        <v xml:space="preserve"> </v>
      </c>
      <c r="AJ17" s="93">
        <f>IF(Table6220273233372141[[#This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301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IF(Table6220273233372141[[#This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IF(Table6220273233372141[[#This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IF(Table6220273233372141[[#This Row],[Non-Member]]="X"," ",IF(N18=" "," ",IFERROR(VLOOKUP(M18,Points!$A$2:$B$14,2,FALSE)," ")))</f>
        <v xml:space="preserve"> </v>
      </c>
      <c r="P18" s="92">
        <v>20.077000000000002</v>
      </c>
      <c r="Q18" s="93">
        <f t="shared" si="6"/>
        <v>9</v>
      </c>
      <c r="R18" s="93" t="str">
        <f t="shared" si="7"/>
        <v xml:space="preserve"> </v>
      </c>
      <c r="S18" s="94" t="str">
        <f>IF(Table6220273233372141[[#This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IF(Table6220273233372141[[#This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IF(Table6220273233372141[[#This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IF(Table6220273233372141[[#This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IF(Table6220273233372141[[#This Row],[Non-Member]]="X"," ",IF(AH18=" "," ",IFERROR(VLOOKUP(AG18,Points!$A$2:$B$14,2,FALSE)," ")))</f>
        <v xml:space="preserve"> </v>
      </c>
      <c r="AJ18" s="93">
        <f>IF(Table6220273233372141[[#This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147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IF(Table6220273233372141[[#This Row],[Non-Member]]="X"," ",IF(F19=" "," ",IFERROR(VLOOKUP(E19,Points!$A$2:$B$14,2,FALSE)," ")))</f>
        <v xml:space="preserve"> </v>
      </c>
      <c r="H19" s="92">
        <v>23.436</v>
      </c>
      <c r="I19" s="97">
        <f t="shared" si="2"/>
        <v>12</v>
      </c>
      <c r="J19" s="97" t="str">
        <f t="shared" si="3"/>
        <v xml:space="preserve"> </v>
      </c>
      <c r="K19" s="94" t="str">
        <f>IF(Table6220273233372141[[#This Row],[Non-Member]]="X"," ",IF(J19=" "," ",IFERROR(VLOOKUP(I19,Points!$A$2:$B$14,2,FALSE)," ")))</f>
        <v xml:space="preserve"> </v>
      </c>
      <c r="L19" s="92"/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IF(Table6220273233372141[[#This Row],[Non-Member]]="X"," ",IF(N19=" "," ",IFERROR(VLOOKUP(M19,Points!$A$2:$B$14,2,FALSE)," ")))</f>
        <v xml:space="preserve"> </v>
      </c>
      <c r="P19" s="92"/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IF(Table6220273233372141[[#This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IF(Table6220273233372141[[#This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IF(Table6220273233372141[[#This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IF(Table6220273233372141[[#This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7" t="str">
        <f t="shared" si="15"/>
        <v xml:space="preserve"> </v>
      </c>
      <c r="AH19" s="97" t="str">
        <f t="shared" si="16"/>
        <v xml:space="preserve"> </v>
      </c>
      <c r="AI19" s="94" t="str">
        <f>IF(Table6220273233372141[[#This Row],[Non-Member]]="X"," ",IF(AH19=" "," ",IFERROR(VLOOKUP(AG19,Points!$A$2:$B$14,2,FALSE)," ")))</f>
        <v xml:space="preserve"> </v>
      </c>
      <c r="AJ19" s="97">
        <f>IF(Table6220273233372141[[#This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150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IF(Table6220273233372141[[#This Row],[Non-Member]]="X"," ",IF(F20=" "," ",IFERROR(VLOOKUP(E20,Points!$A$2:$B$14,2,FALSE)," ")))</f>
        <v xml:space="preserve"> </v>
      </c>
      <c r="H20" s="92">
        <v>19.7</v>
      </c>
      <c r="I20" s="93">
        <f t="shared" si="2"/>
        <v>8.5</v>
      </c>
      <c r="J20" s="93" t="str">
        <f t="shared" si="3"/>
        <v xml:space="preserve"> </v>
      </c>
      <c r="K20" s="94" t="str">
        <f>IF(Table6220273233372141[[#This Row],[Non-Member]]="X"," ",IF(J20=" "," ",IFERROR(VLOOKUP(I20,Points!$A$2:$B$14,2,FALSE)," ")))</f>
        <v xml:space="preserve"> </v>
      </c>
      <c r="L20" s="92">
        <v>20.7</v>
      </c>
      <c r="M20" s="93">
        <f t="shared" si="4"/>
        <v>10</v>
      </c>
      <c r="N20" s="93" t="str">
        <f t="shared" si="5"/>
        <v xml:space="preserve"> </v>
      </c>
      <c r="O20" s="94" t="str">
        <f>IF(Table6220273233372141[[#This Row],[Non-Member]]="X"," ",IF(N20=" "," ",IFERROR(VLOOKUP(M20,Points!$A$2:$B$14,2,FALSE)," ")))</f>
        <v xml:space="preserve"> </v>
      </c>
      <c r="P20" s="92">
        <v>20.216999999999999</v>
      </c>
      <c r="Q20" s="93">
        <f t="shared" si="6"/>
        <v>10</v>
      </c>
      <c r="R20" s="93" t="str">
        <f t="shared" si="7"/>
        <v xml:space="preserve"> </v>
      </c>
      <c r="S20" s="94" t="str">
        <f>IF(Table6220273233372141[[#This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IF(Table6220273233372141[[#This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IF(Table6220273233372141[[#This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IF(Table6220273233372141[[#This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IF(Table6220273233372141[[#This Row],[Non-Member]]="X"," ",IF(AH20=" "," ",IFERROR(VLOOKUP(AG20,Points!$A$2:$B$14,2,FALSE)," ")))</f>
        <v xml:space="preserve"> </v>
      </c>
      <c r="AJ20" s="93">
        <f>IF(Table6220273233372141[[#This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173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IF(Table6220273233372141[[#This Row],[Non-Member]]="X"," ",IF(F21=" "," ",IFERROR(VLOOKUP(E21,Points!$A$2:$B$14,2,FALSE)," ")))</f>
        <v xml:space="preserve"> </v>
      </c>
      <c r="H21" s="92">
        <v>22.815000000000001</v>
      </c>
      <c r="I21" s="93">
        <f t="shared" si="2"/>
        <v>11</v>
      </c>
      <c r="J21" s="93" t="str">
        <f t="shared" si="3"/>
        <v xml:space="preserve"> </v>
      </c>
      <c r="K21" s="94" t="str">
        <f>IF(Table6220273233372141[[#This Row],[Non-Member]]="X"," ",IF(J21=" "," ",IFERROR(VLOOKUP(I21,Points!$A$2:$B$14,2,FALSE)," ")))</f>
        <v xml:space="preserve"> </v>
      </c>
      <c r="L21" s="92">
        <v>22.100999999999999</v>
      </c>
      <c r="M21" s="93">
        <f t="shared" si="4"/>
        <v>12</v>
      </c>
      <c r="N21" s="93" t="str">
        <f t="shared" si="5"/>
        <v xml:space="preserve"> </v>
      </c>
      <c r="O21" s="94" t="str">
        <f>IF(Table6220273233372141[[#This Row],[Non-Member]]="X"," ",IF(N21=" "," ",IFERROR(VLOOKUP(M21,Points!$A$2:$B$14,2,FALSE)," ")))</f>
        <v xml:space="preserve"> </v>
      </c>
      <c r="P21" s="92">
        <v>21.527000000000001</v>
      </c>
      <c r="Q21" s="93">
        <f t="shared" si="6"/>
        <v>14</v>
      </c>
      <c r="R21" s="93" t="str">
        <f t="shared" si="7"/>
        <v xml:space="preserve"> </v>
      </c>
      <c r="S21" s="94" t="str">
        <f>IF(Table6220273233372141[[#This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IF(Table6220273233372141[[#This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IF(Table6220273233372141[[#This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IF(Table6220273233372141[[#This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IF(Table6220273233372141[[#This Row],[Non-Member]]="X"," ",IF(AH21=" "," ",IFERROR(VLOOKUP(AG21,Points!$A$2:$B$14,2,FALSE)," ")))</f>
        <v xml:space="preserve"> </v>
      </c>
      <c r="AJ21" s="93">
        <f>IF(Table6220273233372141[[#This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143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IF(Table6220273233372141[[#This Row],[Non-Member]]="X"," ",IF(F22=" "," ",IFERROR(VLOOKUP(E22,Points!$A$2:$B$14,2,FALSE)," ")))</f>
        <v xml:space="preserve"> </v>
      </c>
      <c r="H22" s="92">
        <v>23.724</v>
      </c>
      <c r="I22" s="93">
        <f t="shared" si="2"/>
        <v>15</v>
      </c>
      <c r="J22" s="93" t="str">
        <f t="shared" si="3"/>
        <v xml:space="preserve"> </v>
      </c>
      <c r="K22" s="94" t="str">
        <f>IF(Table6220273233372141[[#This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IF(Table6220273233372141[[#This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IF(Table6220273233372141[[#This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IF(Table6220273233372141[[#This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IF(Table6220273233372141[[#This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IF(Table6220273233372141[[#This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IF(Table6220273233372141[[#This Row],[Non-Member]]="X"," ",IF(AH22=" "," ",IFERROR(VLOOKUP(AG22,Points!$A$2:$B$14,2,FALSE)," ")))</f>
        <v xml:space="preserve"> </v>
      </c>
      <c r="AJ22" s="93">
        <f>IF(Table6220273233372141[[#This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231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IF(Table6220273233372141[[#This Row],[Non-Member]]="X"," ",IF(F23=" "," ",IFERROR(VLOOKUP(E23,Points!$A$2:$B$14,2,FALSE)," ")))</f>
        <v xml:space="preserve"> </v>
      </c>
      <c r="H23" s="92">
        <v>0</v>
      </c>
      <c r="I23" s="97" t="str">
        <f t="shared" si="2"/>
        <v xml:space="preserve"> </v>
      </c>
      <c r="J23" s="97" t="str">
        <f t="shared" si="3"/>
        <v xml:space="preserve"> </v>
      </c>
      <c r="K23" s="94" t="str">
        <f>IF(Table6220273233372141[[#This Row],[Non-Member]]="X"," ",IF(J23=" "," ",IFERROR(VLOOKUP(I23,Points!$A$2:$B$14,2,FALSE)," ")))</f>
        <v xml:space="preserve"> </v>
      </c>
      <c r="L23" s="92"/>
      <c r="M23" s="97" t="str">
        <f t="shared" si="4"/>
        <v xml:space="preserve"> </v>
      </c>
      <c r="N23" s="97" t="str">
        <f t="shared" si="5"/>
        <v xml:space="preserve"> </v>
      </c>
      <c r="O23" s="94" t="str">
        <f>IF(Table6220273233372141[[#This Row],[Non-Member]]="X"," ",IF(N23=" "," ",IFERROR(VLOOKUP(M23,Points!$A$2:$B$14,2,FALSE)," ")))</f>
        <v xml:space="preserve"> </v>
      </c>
      <c r="P23" s="92">
        <v>21.45</v>
      </c>
      <c r="Q23" s="97">
        <f t="shared" si="6"/>
        <v>12</v>
      </c>
      <c r="R23" s="97" t="str">
        <f t="shared" si="7"/>
        <v xml:space="preserve"> </v>
      </c>
      <c r="S23" s="94" t="str">
        <f>IF(Table6220273233372141[[#This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IF(Table6220273233372141[[#This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IF(Table6220273233372141[[#This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IF(Table6220273233372141[[#This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IF(Table6220273233372141[[#This Row],[Non-Member]]="X"," ",IF(AH23=" "," ",IFERROR(VLOOKUP(AG23,Points!$A$2:$B$14,2,FALSE)," ")))</f>
        <v xml:space="preserve"> </v>
      </c>
      <c r="AJ23" s="97">
        <f>IF(Table6220273233372141[[#This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IF(Table6220273233372141[[#This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IF(Table6220273233372141[[#This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IF(Table6220273233372141[[#This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IF(Table6220273233372141[[#This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IF(Table6220273233372141[[#This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IF(Table6220273233372141[[#This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IF(Table6220273233372141[[#This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IF(Table6220273233372141[[#This Row],[Non-Member]]="X"," ",IF(AH24=" "," ",IFERROR(VLOOKUP(AG24,Points!$A$2:$B$14,2,FALSE)," ")))</f>
        <v xml:space="preserve"> </v>
      </c>
      <c r="AJ24" s="93">
        <f>IF(Table6220273233372141[[#This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  <row r="30" spans="2:38" x14ac:dyDescent="0.3">
      <c r="H30" s="108"/>
    </row>
    <row r="31" spans="2:38" x14ac:dyDescent="0.3">
      <c r="H31" s="108"/>
    </row>
    <row r="32" spans="2:38" x14ac:dyDescent="0.3">
      <c r="H32" s="108"/>
    </row>
    <row r="33" spans="8:8" x14ac:dyDescent="0.3">
      <c r="H33" s="108"/>
    </row>
    <row r="34" spans="8:8" x14ac:dyDescent="0.3">
      <c r="H34" s="108"/>
    </row>
    <row r="35" spans="8:8" x14ac:dyDescent="0.3">
      <c r="H35" s="108"/>
    </row>
    <row r="36" spans="8:8" x14ac:dyDescent="0.3">
      <c r="H36" s="108"/>
    </row>
    <row r="37" spans="8:8" x14ac:dyDescent="0.3">
      <c r="H37" s="108"/>
    </row>
    <row r="38" spans="8:8" x14ac:dyDescent="0.3">
      <c r="H38" s="108"/>
    </row>
    <row r="39" spans="8:8" x14ac:dyDescent="0.3">
      <c r="H39" s="108"/>
    </row>
    <row r="40" spans="8:8" x14ac:dyDescent="0.3">
      <c r="H40" s="108"/>
    </row>
    <row r="41" spans="8:8" x14ac:dyDescent="0.3">
      <c r="H41" s="108"/>
    </row>
    <row r="42" spans="8:8" x14ac:dyDescent="0.3">
      <c r="H42" s="108"/>
    </row>
    <row r="43" spans="8:8" x14ac:dyDescent="0.3">
      <c r="H43" s="108"/>
    </row>
  </sheetData>
  <sheetProtection algorithmName="SHA-512" hashValue="muLcvcfsM1wDDpRHhLO0iNsMySWX1b5y3aLAM6bwlzhJ74e2iSKj9hD7HkZqCEK56DBNm0ktlkKXxGZmtQctVw==" saltValue="rk15w97nVqQ0hzTHpBdE/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4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113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230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IF(Table622027323337382242[[#This Row],[Non-Member]]="X"," ",IF(F5=" "," ",IFERROR(VLOOKUP(E5,Points!$A$2:$B$14,2,FALSE)," ")))</f>
        <v xml:space="preserve"> </v>
      </c>
      <c r="H5" s="85">
        <v>21.231999999999999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IF(Table622027323337382242[[#This Row],[Non-Member]]="X"," ",IF(J5=" "," ",IFERROR(VLOOKUP(I5,Points!$A$2:$B$14,2,FALSE)," ")))</f>
        <v>18</v>
      </c>
      <c r="L5" s="85">
        <v>26.57</v>
      </c>
      <c r="M5" s="86">
        <f t="shared" ref="M5:M24" si="4">IF(L5=0," ",_xlfn.RANK.AVG(L5,L$5:L$24,1)-COUNTIF(L$5:L$24,0))</f>
        <v>6</v>
      </c>
      <c r="N5" s="86">
        <f t="shared" ref="N5:N24" si="5">IF(L5=0," ",IF((RANK(L5,L$5:L$24,1)-COUNTIF(L$5:L$24,0)&gt;6)," ",RANK(L5,L$5:L$24,1)-COUNTIF(L$5:L$24,0)))</f>
        <v>6</v>
      </c>
      <c r="O5" s="87">
        <f>IF(Table622027323337382242[[#This Row],[Non-Member]]="X"," ",IF(N5=" "," ",IFERROR(VLOOKUP(M5,Points!$A$2:$B$14,2,FALSE)," ")))</f>
        <v>3</v>
      </c>
      <c r="P5" s="85">
        <v>25.91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IF(Table622027323337382242[[#This Row],[Non-Member]]="X"," ",IF(R5=" "," ",IFERROR(VLOOKUP(Q5,Points!$A$2:$B$14,2,FALSE)," ")))</f>
        <v>12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IF(Table622027323337382242[[#This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IF(Table622027323337382242[[#This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IF(Table622027323337382242[[#This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IF(Table622027323337382242[[#This Row],[Non-Member]]="X"," ",IF(AH5=" "," ",IFERROR(VLOOKUP(AG5,Points!$A$2:$B$14,2,FALSE)," ")))</f>
        <v xml:space="preserve"> </v>
      </c>
      <c r="AJ5" s="86">
        <f>IF(Table622027323337382242[[#This Row],[Non-Member]]="X"," ",((IF(G5=" ",0,G5))+(IF(K5=" ",0,K5))+(IF(O5=" ",0,O5))+(IF(S5=" ",0,S5))+(IF(W5=" ",0,W5))+(IF(AA5=" ",0,AA5))+(IF(AE5=" ",0,AE5))+(IF(AI5=" ",0,AI5))))</f>
        <v>33</v>
      </c>
      <c r="AK5" s="88">
        <f t="shared" ref="AK5:AK24" si="17">IF(AJ5=0," ",AJ5)</f>
        <v>33</v>
      </c>
      <c r="AL5" s="89">
        <f t="shared" ref="AL5:AL24" si="18">IF(AK5=" "," ",RANK(AK5,$AK$5:$AK$24))</f>
        <v>1</v>
      </c>
    </row>
    <row r="6" spans="2:38" x14ac:dyDescent="0.3">
      <c r="B6" s="90" t="s">
        <v>148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IF(Table622027323337382242[[#This Row],[Non-Member]]="X"," ",IF(F6=" "," ",IFERROR(VLOOKUP(E6,Points!$A$2:$B$14,2,FALSE)," ")))</f>
        <v xml:space="preserve"> </v>
      </c>
      <c r="H6" s="92">
        <v>34.055999999999997</v>
      </c>
      <c r="I6" s="93">
        <f t="shared" si="2"/>
        <v>13</v>
      </c>
      <c r="J6" s="93" t="str">
        <f t="shared" si="3"/>
        <v xml:space="preserve"> </v>
      </c>
      <c r="K6" s="94" t="str">
        <f>IF(Table622027323337382242[[#This Row],[Non-Member]]="X"," ",IF(J6=" "," ",IFERROR(VLOOKUP(I6,Points!$A$2:$B$14,2,FALSE)," ")))</f>
        <v xml:space="preserve"> </v>
      </c>
      <c r="L6" s="92">
        <v>24.5</v>
      </c>
      <c r="M6" s="93">
        <f t="shared" si="4"/>
        <v>3</v>
      </c>
      <c r="N6" s="93">
        <f t="shared" si="5"/>
        <v>3</v>
      </c>
      <c r="O6" s="94">
        <f>IF(Table622027323337382242[[#This Row],[Non-Member]]="X"," ",IF(N6=" "," ",IFERROR(VLOOKUP(M6,Points!$A$2:$B$14,2,FALSE)," ")))</f>
        <v>12</v>
      </c>
      <c r="P6" s="92">
        <v>23.48</v>
      </c>
      <c r="Q6" s="93">
        <f t="shared" si="6"/>
        <v>1</v>
      </c>
      <c r="R6" s="93">
        <f t="shared" si="7"/>
        <v>1</v>
      </c>
      <c r="S6" s="94">
        <f>IF(Table622027323337382242[[#This Row],[Non-Member]]="X"," ",IF(R6=" "," ",IFERROR(VLOOKUP(Q6,Points!$A$2:$B$14,2,FALSE)," ")))</f>
        <v>18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IF(Table622027323337382242[[#This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IF(Table622027323337382242[[#This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IF(Table622027323337382242[[#This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IF(Table622027323337382242[[#This Row],[Non-Member]]="X"," ",IF(AH6=" "," ",IFERROR(VLOOKUP(AG6,Points!$A$2:$B$14,2,FALSE)," ")))</f>
        <v xml:space="preserve"> </v>
      </c>
      <c r="AJ6" s="93">
        <f>IF(Table622027323337382242[[#This Row],[Non-Member]]="X"," ",((IF(G6=" ",0,G6))+(IF(K6=" ",0,K6))+(IF(O6=" ",0,O6))+(IF(S6=" ",0,S6))+(IF(W6=" ",0,W6))+(IF(AA6=" ",0,AA6))+(IF(AE6=" ",0,AE6))+(IF(AI6=" ",0,AI6))))</f>
        <v>30</v>
      </c>
      <c r="AK6" s="95">
        <f t="shared" si="17"/>
        <v>30</v>
      </c>
      <c r="AL6" s="96">
        <f t="shared" si="18"/>
        <v>2</v>
      </c>
    </row>
    <row r="7" spans="2:38" x14ac:dyDescent="0.3">
      <c r="B7" s="90" t="s">
        <v>142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IF(Table622027323337382242[[#This Row],[Non-Member]]="X"," ",IF(F7=" "," ",IFERROR(VLOOKUP(E7,Points!$A$2:$B$14,2,FALSE)," ")))</f>
        <v xml:space="preserve"> </v>
      </c>
      <c r="H7" s="92">
        <v>27.699000000000002</v>
      </c>
      <c r="I7" s="93">
        <f t="shared" si="2"/>
        <v>10</v>
      </c>
      <c r="J7" s="93" t="str">
        <f t="shared" si="3"/>
        <v xml:space="preserve"> </v>
      </c>
      <c r="K7" s="94" t="str">
        <f>IF(Table622027323337382242[[#This Row],[Non-Member]]="X"," ",IF(J7=" "," ",IFERROR(VLOOKUP(I7,Points!$A$2:$B$14,2,FALSE)," ")))</f>
        <v xml:space="preserve"> </v>
      </c>
      <c r="L7" s="92">
        <v>22.57</v>
      </c>
      <c r="M7" s="93">
        <f t="shared" si="4"/>
        <v>1</v>
      </c>
      <c r="N7" s="93">
        <f t="shared" si="5"/>
        <v>1</v>
      </c>
      <c r="O7" s="94">
        <f>IF(Table622027323337382242[[#This Row],[Non-Member]]="X"," ",IF(N7=" "," ",IFERROR(VLOOKUP(M7,Points!$A$2:$B$14,2,FALSE)," ")))</f>
        <v>18</v>
      </c>
      <c r="P7" s="92">
        <v>26.79</v>
      </c>
      <c r="Q7" s="93">
        <f t="shared" si="6"/>
        <v>4</v>
      </c>
      <c r="R7" s="93">
        <f t="shared" si="7"/>
        <v>4</v>
      </c>
      <c r="S7" s="94">
        <f>IF(Table622027323337382242[[#This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IF(Table622027323337382242[[#This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IF(Table622027323337382242[[#This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IF(Table622027323337382242[[#This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IF(Table622027323337382242[[#This Row],[Non-Member]]="X"," ",IF(AH7=" "," ",IFERROR(VLOOKUP(AG7,Points!$A$2:$B$14,2,FALSE)," ")))</f>
        <v xml:space="preserve"> </v>
      </c>
      <c r="AJ7" s="93">
        <f>IF(Table622027323337382242[[#This Row],[Non-Member]]="X"," ",((IF(G7=" ",0,G7))+(IF(K7=" ",0,K7))+(IF(O7=" ",0,O7))+(IF(S7=" ",0,S7))+(IF(W7=" ",0,W7))+(IF(AA7=" ",0,AA7))+(IF(AE7=" ",0,AE7))+(IF(AI7=" ",0,AI7))))</f>
        <v>27</v>
      </c>
      <c r="AK7" s="95">
        <f t="shared" si="17"/>
        <v>27</v>
      </c>
      <c r="AL7" s="96">
        <f t="shared" si="18"/>
        <v>3</v>
      </c>
    </row>
    <row r="8" spans="2:38" x14ac:dyDescent="0.3">
      <c r="B8" s="90" t="s">
        <v>150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IF(Table622027323337382242[[#This Row],[Non-Member]]="X"," ",IF(F8=" "," ",IFERROR(VLOOKUP(E8,Points!$A$2:$B$14,2,FALSE)," ")))</f>
        <v xml:space="preserve"> </v>
      </c>
      <c r="H8" s="92">
        <v>23.308</v>
      </c>
      <c r="I8" s="93">
        <f t="shared" si="2"/>
        <v>6</v>
      </c>
      <c r="J8" s="93">
        <f t="shared" si="3"/>
        <v>6</v>
      </c>
      <c r="K8" s="94">
        <f>IF(Table622027323337382242[[#This Row],[Non-Member]]="X"," ",IF(J8=" "," ",IFERROR(VLOOKUP(I8,Points!$A$2:$B$14,2,FALSE)," ")))</f>
        <v>3</v>
      </c>
      <c r="L8" s="92">
        <v>24.92</v>
      </c>
      <c r="M8" s="93">
        <f t="shared" si="4"/>
        <v>5</v>
      </c>
      <c r="N8" s="93">
        <f t="shared" si="5"/>
        <v>5</v>
      </c>
      <c r="O8" s="94">
        <f>IF(Table622027323337382242[[#This Row],[Non-Member]]="X"," ",IF(N8=" "," ",IFERROR(VLOOKUP(M8,Points!$A$2:$B$14,2,FALSE)," ")))</f>
        <v>6</v>
      </c>
      <c r="P8" s="92">
        <v>23.74</v>
      </c>
      <c r="Q8" s="93">
        <f t="shared" si="6"/>
        <v>2</v>
      </c>
      <c r="R8" s="93">
        <f t="shared" si="7"/>
        <v>2</v>
      </c>
      <c r="S8" s="94">
        <f>IF(Table622027323337382242[[#This Row],[Non-Member]]="X"," ",IF(R8=" "," ",IFERROR(VLOOKUP(Q8,Points!$A$2:$B$14,2,FALSE)," ")))</f>
        <v>15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IF(Table622027323337382242[[#This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IF(Table622027323337382242[[#This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IF(Table622027323337382242[[#This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IF(Table622027323337382242[[#This Row],[Non-Member]]="X"," ",IF(AH8=" "," ",IFERROR(VLOOKUP(AG8,Points!$A$2:$B$14,2,FALSE)," ")))</f>
        <v xml:space="preserve"> </v>
      </c>
      <c r="AJ8" s="93">
        <f>IF(Table622027323337382242[[#This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6">
        <f t="shared" si="18"/>
        <v>4</v>
      </c>
    </row>
    <row r="9" spans="2:38" x14ac:dyDescent="0.3">
      <c r="B9" s="90" t="s">
        <v>169</v>
      </c>
      <c r="C9" s="91" t="s">
        <v>214</v>
      </c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IF(Table622027323337382242[[#This Row],[Non-Member]]="X"," ",IF(F9=" "," ",IFERROR(VLOOKUP(E9,Points!$A$2:$B$14,2,FALSE)," ")))</f>
        <v xml:space="preserve"> </v>
      </c>
      <c r="H9" s="92">
        <v>22.106999999999999</v>
      </c>
      <c r="I9" s="93">
        <f t="shared" si="2"/>
        <v>3</v>
      </c>
      <c r="J9" s="93">
        <f t="shared" si="3"/>
        <v>3</v>
      </c>
      <c r="K9" s="94">
        <f>IF(Table622027323337382242[[#This Row],[Non-Member]]="X"," ",IF(J9=" "," ",IFERROR(VLOOKUP(I9,Points!$A$2:$B$14,2,FALSE)," ")))</f>
        <v>12</v>
      </c>
      <c r="L9" s="92">
        <v>27.44</v>
      </c>
      <c r="M9" s="93">
        <f t="shared" si="4"/>
        <v>7</v>
      </c>
      <c r="N9" s="93" t="str">
        <f t="shared" si="5"/>
        <v xml:space="preserve"> </v>
      </c>
      <c r="O9" s="94" t="str">
        <f>IF(Table622027323337382242[[#This Row],[Non-Member]]="X"," ",IF(N9=" "," ",IFERROR(VLOOKUP(M9,Points!$A$2:$B$14,2,FALSE)," ")))</f>
        <v xml:space="preserve"> </v>
      </c>
      <c r="P9" s="92">
        <v>27.23</v>
      </c>
      <c r="Q9" s="93">
        <f t="shared" si="6"/>
        <v>5</v>
      </c>
      <c r="R9" s="93">
        <f t="shared" si="7"/>
        <v>5</v>
      </c>
      <c r="S9" s="94">
        <f>IF(Table622027323337382242[[#This Row],[Non-Member]]="X"," ",IF(R9=" "," ",IFERROR(VLOOKUP(Q9,Points!$A$2:$B$14,2,FALSE)," ")))</f>
        <v>6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IF(Table622027323337382242[[#This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IF(Table622027323337382242[[#This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IF(Table622027323337382242[[#This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IF(Table622027323337382242[[#This Row],[Non-Member]]="X"," ",IF(AH9=" "," ",IFERROR(VLOOKUP(AG9,Points!$A$2:$B$14,2,FALSE)," ")))</f>
        <v xml:space="preserve"> </v>
      </c>
      <c r="AJ9" s="93">
        <f>IF(Table622027323337382242[[#This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149</v>
      </c>
      <c r="C10" s="91"/>
      <c r="D10" s="135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IF(Table622027323337382242[[#This Row],[Non-Member]]="X"," ",IF(F10=" "," ",IFERROR(VLOOKUP(E10,Points!$A$2:$B$14,2,FALSE)," ")))</f>
        <v xml:space="preserve"> </v>
      </c>
      <c r="H10" s="92">
        <v>29.227</v>
      </c>
      <c r="I10" s="93">
        <f t="shared" si="2"/>
        <v>11</v>
      </c>
      <c r="J10" s="93" t="str">
        <f t="shared" si="3"/>
        <v xml:space="preserve"> </v>
      </c>
      <c r="K10" s="94" t="str">
        <f>IF(Table622027323337382242[[#This Row],[Non-Member]]="X"," ",IF(J10=" "," ",IFERROR(VLOOKUP(I10,Points!$A$2:$B$14,2,FALSE)," ")))</f>
        <v xml:space="preserve"> </v>
      </c>
      <c r="L10" s="92">
        <v>23.3</v>
      </c>
      <c r="M10" s="93">
        <f t="shared" si="4"/>
        <v>2</v>
      </c>
      <c r="N10" s="93">
        <f t="shared" si="5"/>
        <v>2</v>
      </c>
      <c r="O10" s="94">
        <f>IF(Table622027323337382242[[#This Row],[Non-Member]]="X"," ",IF(N10=" "," ",IFERROR(VLOOKUP(M10,Points!$A$2:$B$14,2,FALSE)," ")))</f>
        <v>15</v>
      </c>
      <c r="P10" s="92">
        <v>27.58</v>
      </c>
      <c r="Q10" s="93">
        <f t="shared" si="6"/>
        <v>7</v>
      </c>
      <c r="R10" s="93" t="str">
        <f t="shared" si="7"/>
        <v xml:space="preserve"> </v>
      </c>
      <c r="S10" s="94" t="str">
        <f>IF(Table622027323337382242[[#This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IF(Table622027323337382242[[#This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IF(Table622027323337382242[[#This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IF(Table622027323337382242[[#This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IF(Table622027323337382242[[#This Row],[Non-Member]]="X"," ",IF(AH10=" "," ",IFERROR(VLOOKUP(AG10,Points!$A$2:$B$14,2,FALSE)," ")))</f>
        <v xml:space="preserve"> </v>
      </c>
      <c r="AJ10" s="93">
        <f>IF(Table622027323337382242[[#This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143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IF(Table622027323337382242[[#This Row],[Non-Member]]="X"," ",IF(F11=" "," ",IFERROR(VLOOKUP(E11,Points!$A$2:$B$14,2,FALSE)," ")))</f>
        <v xml:space="preserve"> </v>
      </c>
      <c r="H11" s="92">
        <v>21.814</v>
      </c>
      <c r="I11" s="93">
        <f t="shared" si="2"/>
        <v>2</v>
      </c>
      <c r="J11" s="93">
        <f t="shared" si="3"/>
        <v>2</v>
      </c>
      <c r="K11" s="94">
        <f>IF(Table622027323337382242[[#This Row],[Non-Member]]="X"," ",IF(J11=" "," ",IFERROR(VLOOKUP(I11,Points!$A$2:$B$14,2,FALSE)," ")))</f>
        <v>15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IF(Table622027323337382242[[#This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IF(Table622027323337382242[[#This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IF(Table622027323337382242[[#This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IF(Table622027323337382242[[#This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IF(Table622027323337382242[[#This Row],[Non-Member]]="X"," ",IF(AH11=" "," ",IFERROR(VLOOKUP(AG11,Points!$A$2:$B$14,2,FALSE)," ")))</f>
        <v xml:space="preserve"> </v>
      </c>
      <c r="AJ11" s="93">
        <f>IF(Table622027323337382242[[#This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6</v>
      </c>
    </row>
    <row r="12" spans="2:38" x14ac:dyDescent="0.3">
      <c r="B12" s="90" t="s">
        <v>300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IF(Table622027323337382242[[#This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IF(Table622027323337382242[[#This Row],[Non-Member]]="X"," ",IF(J12=" "," ",IFERROR(VLOOKUP(I12,Points!$A$2:$B$14,2,FALSE)," ")))</f>
        <v xml:space="preserve"> </v>
      </c>
      <c r="L12" s="92">
        <v>24.66</v>
      </c>
      <c r="M12" s="93">
        <f t="shared" si="4"/>
        <v>4</v>
      </c>
      <c r="N12" s="93">
        <f t="shared" si="5"/>
        <v>4</v>
      </c>
      <c r="O12" s="94">
        <f>IF(Table622027323337382242[[#This Row],[Non-Member]]="X"," ",IF(N12=" "," ",IFERROR(VLOOKUP(M12,Points!$A$2:$B$14,2,FALSE)," ")))</f>
        <v>9</v>
      </c>
      <c r="P12" s="92">
        <v>28.86</v>
      </c>
      <c r="Q12" s="93">
        <f t="shared" si="6"/>
        <v>10</v>
      </c>
      <c r="R12" s="93" t="str">
        <f t="shared" si="7"/>
        <v xml:space="preserve"> </v>
      </c>
      <c r="S12" s="94" t="str">
        <f>IF(Table622027323337382242[[#This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IF(Table622027323337382242[[#This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IF(Table622027323337382242[[#This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IF(Table622027323337382242[[#This Row],[Non-Member]]="X"," ",IF(AH12=" "," ",IFERROR(VLOOKUP(AG12,Points!$A$2:$B$14,2,FALSE)," ")))</f>
        <v xml:space="preserve"> </v>
      </c>
      <c r="AJ12" s="93">
        <f>IF(Table622027323337382242[[#This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228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IF(Table622027323337382242[[#This Row],[Non-Member]]="X"," ",IF(F13=" "," ",IFERROR(VLOOKUP(E13,Points!$A$2:$B$14,2,FALSE)," ")))</f>
        <v xml:space="preserve"> </v>
      </c>
      <c r="H13" s="92">
        <v>22.978999999999999</v>
      </c>
      <c r="I13" s="97">
        <f t="shared" si="2"/>
        <v>4</v>
      </c>
      <c r="J13" s="97">
        <f t="shared" si="3"/>
        <v>4</v>
      </c>
      <c r="K13" s="94">
        <f>IF(Table622027323337382242[[#This Row],[Non-Member]]="X"," ",IF(J13=" "," ",IFERROR(VLOOKUP(I13,Points!$A$2:$B$14,2,FALSE)," ")))</f>
        <v>9</v>
      </c>
      <c r="L13" s="92">
        <v>38.82</v>
      </c>
      <c r="M13" s="97">
        <f t="shared" si="4"/>
        <v>12</v>
      </c>
      <c r="N13" s="97" t="str">
        <f t="shared" si="5"/>
        <v xml:space="preserve"> </v>
      </c>
      <c r="O13" s="94" t="str">
        <f>IF(Table622027323337382242[[#This Row],[Non-Member]]="X"," ",IF(N13=" "," ",IFERROR(VLOOKUP(M13,Points!$A$2:$B$14,2,FALSE)," ")))</f>
        <v xml:space="preserve"> </v>
      </c>
      <c r="P13" s="135">
        <v>32.74</v>
      </c>
      <c r="Q13" s="97">
        <f t="shared" si="6"/>
        <v>13</v>
      </c>
      <c r="R13" s="97" t="str">
        <f t="shared" si="7"/>
        <v xml:space="preserve"> </v>
      </c>
      <c r="S13" s="94" t="str">
        <f>IF(Table622027323337382242[[#This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IF(Table622027323337382242[[#This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IF(Table622027323337382242[[#This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IF(Table622027323337382242[[#This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IF(Table622027323337382242[[#This Row],[Non-Member]]="X"," ",IF(AH13=" "," ",IFERROR(VLOOKUP(AG13,Points!$A$2:$B$14,2,FALSE)," ")))</f>
        <v xml:space="preserve"> </v>
      </c>
      <c r="AJ13" s="97">
        <f>IF(Table622027323337382242[[#This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8">
        <f t="shared" si="18"/>
        <v>8</v>
      </c>
    </row>
    <row r="14" spans="2:38" x14ac:dyDescent="0.3">
      <c r="B14" s="90" t="s">
        <v>140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IF(Table622027323337382242[[#This Row],[Non-Member]]="X"," ",IF(F14=" "," ",IFERROR(VLOOKUP(E14,Points!$A$2:$B$14,2,FALSE)," ")))</f>
        <v xml:space="preserve"> </v>
      </c>
      <c r="H14" s="92">
        <v>23.068000000000001</v>
      </c>
      <c r="I14" s="93">
        <f t="shared" si="2"/>
        <v>5</v>
      </c>
      <c r="J14" s="93">
        <f t="shared" si="3"/>
        <v>5</v>
      </c>
      <c r="K14" s="94">
        <f>IF(Table622027323337382242[[#This Row],[Non-Member]]="X"," ",IF(J14=" "," ",IFERROR(VLOOKUP(I14,Points!$A$2:$B$14,2,FALSE)," ")))</f>
        <v>6</v>
      </c>
      <c r="L14" s="92">
        <v>28.19</v>
      </c>
      <c r="M14" s="93">
        <f t="shared" si="4"/>
        <v>10</v>
      </c>
      <c r="N14" s="93" t="str">
        <f t="shared" si="5"/>
        <v xml:space="preserve"> </v>
      </c>
      <c r="O14" s="94" t="str">
        <f>IF(Table622027323337382242[[#This Row],[Non-Member]]="X"," ",IF(N14=" "," ",IFERROR(VLOOKUP(M14,Points!$A$2:$B$14,2,FALSE)," ")))</f>
        <v xml:space="preserve"> </v>
      </c>
      <c r="P14" s="92">
        <v>27.65</v>
      </c>
      <c r="Q14" s="93">
        <f t="shared" si="6"/>
        <v>8</v>
      </c>
      <c r="R14" s="93" t="str">
        <f t="shared" si="7"/>
        <v xml:space="preserve"> </v>
      </c>
      <c r="S14" s="94" t="str">
        <f>IF(Table622027323337382242[[#This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IF(Table622027323337382242[[#This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IF(Table622027323337382242[[#This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IF(Table622027323337382242[[#This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IF(Table622027323337382242[[#This Row],[Non-Member]]="X"," ",IF(AH14=" "," ",IFERROR(VLOOKUP(AG14,Points!$A$2:$B$14,2,FALSE)," ")))</f>
        <v xml:space="preserve"> </v>
      </c>
      <c r="AJ14" s="93">
        <f>IF(Table622027323337382242[[#This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10</v>
      </c>
    </row>
    <row r="15" spans="2:38" x14ac:dyDescent="0.3">
      <c r="B15" s="90" t="s">
        <v>141</v>
      </c>
      <c r="C15" s="91"/>
      <c r="D15" s="135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IF(Table622027323337382242[[#This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IF(Table622027323337382242[[#This Row],[Non-Member]]="X"," ",IF(J15=" "," ",IFERROR(VLOOKUP(I15,Points!$A$2:$B$14,2,FALSE)," ")))</f>
        <v xml:space="preserve"> </v>
      </c>
      <c r="L15" s="92">
        <v>27.54</v>
      </c>
      <c r="M15" s="93">
        <f t="shared" si="4"/>
        <v>8</v>
      </c>
      <c r="N15" s="93" t="str">
        <f t="shared" si="5"/>
        <v xml:space="preserve"> </v>
      </c>
      <c r="O15" s="94" t="str">
        <f>IF(Table622027323337382242[[#This Row],[Non-Member]]="X"," ",IF(N15=" "," ",IFERROR(VLOOKUP(M15,Points!$A$2:$B$14,2,FALSE)," ")))</f>
        <v xml:space="preserve"> </v>
      </c>
      <c r="P15" s="92">
        <v>27.39</v>
      </c>
      <c r="Q15" s="93">
        <f t="shared" si="6"/>
        <v>6</v>
      </c>
      <c r="R15" s="93">
        <f t="shared" si="7"/>
        <v>6</v>
      </c>
      <c r="S15" s="94">
        <f>IF(Table622027323337382242[[#This Row],[Non-Member]]="X"," ",IF(R15=" "," ",IFERROR(VLOOKUP(Q15,Points!$A$2:$B$14,2,FALSE)," ")))</f>
        <v>3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IF(Table622027323337382242[[#This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IF(Table622027323337382242[[#This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IF(Table622027323337382242[[#This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IF(Table622027323337382242[[#This Row],[Non-Member]]="X"," ",IF(AH15=" "," ",IFERROR(VLOOKUP(AG15,Points!$A$2:$B$14,2,FALSE)," ")))</f>
        <v xml:space="preserve"> </v>
      </c>
      <c r="AJ15" s="93">
        <f>IF(Table622027323337382242[[#This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11</v>
      </c>
    </row>
    <row r="16" spans="2:38" x14ac:dyDescent="0.3">
      <c r="B16" s="90" t="s">
        <v>232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IF(Table622027323337382242[[#This Row],[Non-Member]]="X"," ",IF(F16=" "," ",IFERROR(VLOOKUP(E16,Points!$A$2:$B$14,2,FALSE)," ")))</f>
        <v xml:space="preserve"> </v>
      </c>
      <c r="H16" s="92">
        <v>24.533000000000001</v>
      </c>
      <c r="I16" s="97">
        <f t="shared" si="2"/>
        <v>8</v>
      </c>
      <c r="J16" s="97" t="str">
        <f t="shared" si="3"/>
        <v xml:space="preserve"> </v>
      </c>
      <c r="K16" s="94" t="str">
        <f>IF(Table622027323337382242[[#This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IF(Table622027323337382242[[#This Row],[Non-Member]]="X"," ",IF(N16=" "," ",IFERROR(VLOOKUP(M16,Points!$A$2:$B$14,2,FALSE)," ")))</f>
        <v xml:space="preserve"> </v>
      </c>
      <c r="P16" s="92">
        <v>30.98</v>
      </c>
      <c r="Q16" s="97">
        <f t="shared" si="6"/>
        <v>12</v>
      </c>
      <c r="R16" s="97" t="str">
        <f t="shared" si="7"/>
        <v xml:space="preserve"> </v>
      </c>
      <c r="S16" s="94" t="str">
        <f>IF(Table622027323337382242[[#This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IF(Table622027323337382242[[#This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IF(Table622027323337382242[[#This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IF(Table622027323337382242[[#This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IF(Table622027323337382242[[#This Row],[Non-Member]]="X"," ",IF(AH16=" "," ",IFERROR(VLOOKUP(AG16,Points!$A$2:$B$14,2,FALSE)," ")))</f>
        <v xml:space="preserve"> </v>
      </c>
      <c r="AJ16" s="97">
        <f>IF(Table622027323337382242[[#This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229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IF(Table622027323337382242[[#This Row],[Non-Member]]="X"," ",IF(F17=" "," ",IFERROR(VLOOKUP(E17,Points!$A$2:$B$14,2,FALSE)," ")))</f>
        <v xml:space="preserve"> </v>
      </c>
      <c r="H17" s="92">
        <v>37.048999999999999</v>
      </c>
      <c r="I17" s="93">
        <f t="shared" si="2"/>
        <v>14</v>
      </c>
      <c r="J17" s="93" t="str">
        <f t="shared" si="3"/>
        <v xml:space="preserve"> </v>
      </c>
      <c r="K17" s="94" t="str">
        <f>IF(Table622027323337382242[[#This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IF(Table622027323337382242[[#This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IF(Table622027323337382242[[#This Row],[Non-Member]]="X"," ",IF(AH17=" "," ",IFERROR(VLOOKUP(AG17,Points!$A$2:$B$14,2,FALSE)," ")))</f>
        <v xml:space="preserve"> </v>
      </c>
      <c r="AJ17" s="93" t="str">
        <f>IF(Table622027323337382242[[#This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166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IF(Table622027323337382242[[#This Row],[Non-Member]]="X"," ",IF(F18=" "," ",IFERROR(VLOOKUP(E18,Points!$A$2:$B$14,2,FALSE)," ")))</f>
        <v xml:space="preserve"> </v>
      </c>
      <c r="H18" s="92">
        <v>29.416</v>
      </c>
      <c r="I18" s="93">
        <f t="shared" si="2"/>
        <v>12</v>
      </c>
      <c r="J18" s="93" t="str">
        <f t="shared" si="3"/>
        <v xml:space="preserve"> </v>
      </c>
      <c r="K18" s="94" t="str">
        <f>IF(Table622027323337382242[[#This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IF(Table622027323337382242[[#This Row],[Non-Member]]="X"," ",IF(AH18=" "," ",IFERROR(VLOOKUP(AG18,Points!$A$2:$B$14,2,FALSE)," ")))</f>
        <v xml:space="preserve"> </v>
      </c>
      <c r="AJ18" s="93">
        <f>IF(Table622027323337382242[[#This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168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IF(Table622027323337382242[[#This Row],[Non-Member]]="X"," ",IF(F19=" "," ",IFERROR(VLOOKUP(E19,Points!$A$2:$B$14,2,FALSE)," ")))</f>
        <v xml:space="preserve"> </v>
      </c>
      <c r="H19" s="92">
        <v>24.193999999999999</v>
      </c>
      <c r="I19" s="93">
        <f t="shared" si="2"/>
        <v>7</v>
      </c>
      <c r="J19" s="93" t="str">
        <f t="shared" si="3"/>
        <v xml:space="preserve"> </v>
      </c>
      <c r="K19" s="94" t="str">
        <f>IF(Table622027323337382242[[#This Row],[Non-Member]]="X"," ",IF(J19=" "," ",IFERROR(VLOOKUP(I19,Points!$A$2:$B$14,2,FALSE)," ")))</f>
        <v xml:space="preserve"> </v>
      </c>
      <c r="L19" s="92">
        <v>35.229999999999997</v>
      </c>
      <c r="M19" s="93">
        <f t="shared" si="4"/>
        <v>11</v>
      </c>
      <c r="N19" s="93" t="str">
        <f t="shared" si="5"/>
        <v xml:space="preserve"> </v>
      </c>
      <c r="O19" s="94" t="str">
        <f>IF(Table622027323337382242[[#This Row],[Non-Member]]="X"," ",IF(N19=" "," ",IFERROR(VLOOKUP(M19,Points!$A$2:$B$14,2,FALSE)," ")))</f>
        <v xml:space="preserve"> </v>
      </c>
      <c r="P19" s="92">
        <v>37.97</v>
      </c>
      <c r="Q19" s="93">
        <f t="shared" si="6"/>
        <v>14</v>
      </c>
      <c r="R19" s="93" t="str">
        <f t="shared" si="7"/>
        <v xml:space="preserve"> </v>
      </c>
      <c r="S19" s="94" t="str">
        <f>IF(Table622027323337382242[[#This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IF(Table622027323337382242[[#This Row],[Non-Member]]="X"," ",IF(AH19=" "," ",IFERROR(VLOOKUP(AG19,Points!$A$2:$B$14,2,FALSE)," ")))</f>
        <v xml:space="preserve"> </v>
      </c>
      <c r="AJ19" s="93">
        <f>IF(Table622027323337382242[[#This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147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IF(Table622027323337382242[[#This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IF(Table622027323337382242[[#This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IF(Table622027323337382242[[#This Row],[Non-Member]]="X"," ",IF(AH20=" "," ",IFERROR(VLOOKUP(AG20,Points!$A$2:$B$14,2,FALSE)," ")))</f>
        <v xml:space="preserve"> </v>
      </c>
      <c r="AJ20" s="93">
        <f>IF(Table622027323337382242[[#This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173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IF(Table622027323337382242[[#This Row],[Non-Member]]="X"," ",IF(F21=" "," ",IFERROR(VLOOKUP(E21,Points!$A$2:$B$14,2,FALSE)," ")))</f>
        <v xml:space="preserve"> </v>
      </c>
      <c r="H21" s="92">
        <v>27.221</v>
      </c>
      <c r="I21" s="93">
        <f t="shared" si="2"/>
        <v>9</v>
      </c>
      <c r="J21" s="93" t="str">
        <f t="shared" si="3"/>
        <v xml:space="preserve"> </v>
      </c>
      <c r="K21" s="94" t="str">
        <f>IF(Table622027323337382242[[#This Row],[Non-Member]]="X"," ",IF(J21=" "," ",IFERROR(VLOOKUP(I21,Points!$A$2:$B$14,2,FALSE)," ")))</f>
        <v xml:space="preserve"> </v>
      </c>
      <c r="L21" s="92">
        <v>28</v>
      </c>
      <c r="M21" s="93">
        <f t="shared" si="4"/>
        <v>9</v>
      </c>
      <c r="N21" s="93" t="str">
        <f t="shared" si="5"/>
        <v xml:space="preserve"> </v>
      </c>
      <c r="O21" s="94" t="str">
        <f>IF(Table622027323337382242[[#This Row],[Non-Member]]="X"," ",IF(N21=" "," ",IFERROR(VLOOKUP(M21,Points!$A$2:$B$14,2,FALSE)," ")))</f>
        <v xml:space="preserve"> </v>
      </c>
      <c r="P21" s="92">
        <v>28.06</v>
      </c>
      <c r="Q21" s="93">
        <f t="shared" si="6"/>
        <v>9</v>
      </c>
      <c r="R21" s="93" t="str">
        <f t="shared" si="7"/>
        <v xml:space="preserve"> </v>
      </c>
      <c r="S21" s="94" t="str">
        <f>IF(Table622027323337382242[[#This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IF(Table622027323337382242[[#This Row],[Non-Member]]="X"," ",IF(AH21=" "," ",IFERROR(VLOOKUP(AG21,Points!$A$2:$B$14,2,FALSE)," ")))</f>
        <v xml:space="preserve"> </v>
      </c>
      <c r="AJ21" s="93">
        <f>IF(Table622027323337382242[[#This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231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IF(Table622027323337382242[[#This Row],[Non-Member]]="X"," ",IF(F22=" "," ",IFERROR(VLOOKUP(E22,Points!$A$2:$B$14,2,FALSE)," ")))</f>
        <v xml:space="preserve"> </v>
      </c>
      <c r="H22" s="92">
        <v>0</v>
      </c>
      <c r="I22" s="97" t="str">
        <f t="shared" si="2"/>
        <v xml:space="preserve"> </v>
      </c>
      <c r="J22" s="97" t="str">
        <f t="shared" si="3"/>
        <v xml:space="preserve"> </v>
      </c>
      <c r="K22" s="94" t="str">
        <f>IF(Table622027323337382242[[#This Row],[Non-Member]]="X"," ",IF(J22=" "," ",IFERROR(VLOOKUP(I22,Points!$A$2:$B$14,2,FALSE)," ")))</f>
        <v xml:space="preserve"> </v>
      </c>
      <c r="L22" s="92"/>
      <c r="M22" s="97" t="str">
        <f t="shared" si="4"/>
        <v xml:space="preserve"> </v>
      </c>
      <c r="N22" s="97" t="str">
        <f t="shared" si="5"/>
        <v xml:space="preserve"> </v>
      </c>
      <c r="O22" s="94" t="str">
        <f>IF(Table622027323337382242[[#This Row],[Non-Member]]="X"," ",IF(N22=" "," ",IFERROR(VLOOKUP(M22,Points!$A$2:$B$14,2,FALSE)," ")))</f>
        <v xml:space="preserve"> </v>
      </c>
      <c r="P22" s="92">
        <v>29.73</v>
      </c>
      <c r="Q22" s="97">
        <f t="shared" si="6"/>
        <v>11</v>
      </c>
      <c r="R22" s="97" t="str">
        <f t="shared" si="7"/>
        <v xml:space="preserve"> </v>
      </c>
      <c r="S22" s="94" t="str">
        <f>IF(Table622027323337382242[[#This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IF(Table622027323337382242[[#This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IF(Table622027323337382242[[#This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IF(Table622027323337382242[[#This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7" t="str">
        <f t="shared" si="15"/>
        <v xml:space="preserve"> </v>
      </c>
      <c r="AH22" s="97" t="str">
        <f t="shared" si="16"/>
        <v xml:space="preserve"> </v>
      </c>
      <c r="AI22" s="94" t="str">
        <f>IF(Table622027323337382242[[#This Row],[Non-Member]]="X"," ",IF(AH22=" "," ",IFERROR(VLOOKUP(AG22,Points!$A$2:$B$14,2,FALSE)," ")))</f>
        <v xml:space="preserve"> </v>
      </c>
      <c r="AJ22" s="97">
        <f>IF(Table622027323337382242[[#This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IF(Table622027323337382242[[#This Row],[Non-Member]]="X"," ",IF(AH23=" "," ",IFERROR(VLOOKUP(AG23,Points!$A$2:$B$14,2,FALSE)," ")))</f>
        <v xml:space="preserve"> </v>
      </c>
      <c r="AJ23" s="93">
        <f>IF(Table622027323337382242[[#This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IF(Table622027323337382242[[#This Row],[Non-Member]]="X"," ",IF(AH24=" "," ",IFERROR(VLOOKUP(AG24,Points!$A$2:$B$14,2,FALSE)," ")))</f>
        <v xml:space="preserve"> </v>
      </c>
      <c r="AJ24" s="93">
        <f>IF(Table622027323337382242[[#This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gjbiZRWRJtBIPPUUZ0XRQXoM2DejAl8uNo5CoDI0RTwPBS560VT0VBIekTeRNPZq1LZnULltcfKCi/GvOGQ8Qw==" saltValue="87r/ngTeOkhDDY/GhnP13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5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114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148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IF(Table62202732333738392343[[#This Row],[Non-Member]]="X"," ",IF(F5=" "," ",IFERROR(VLOOKUP(E5,Points!$A$2:$B$14,2,FALSE)," ")))</f>
        <v xml:space="preserve"> </v>
      </c>
      <c r="H5" s="85">
        <v>9.67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IF(Table62202732333738392343[[#This Row],[Non-Member]]="X"," ",IF(J5=" "," ",IFERROR(VLOOKUP(I5,Points!$A$2:$B$14,2,FALSE)," ")))</f>
        <v>18</v>
      </c>
      <c r="L5" s="85">
        <v>7.65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IF(Table62202732333738392343[[#This Row],[Non-Member]]="X"," ",IF(N5=" "," ",IFERROR(VLOOKUP(M5,Points!$A$2:$B$14,2,FALSE)," ")))</f>
        <v>18</v>
      </c>
      <c r="P5" s="85">
        <v>10.64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IF(Table62202732333738392343[[#This Row],[Non-Member]]="X"," ",IF(R5=" "," ",IFERROR(VLOOKUP(Q5,Points!$A$2:$B$14,2,FALSE)," ")))</f>
        <v>12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IF(Table62202732333738392343[[#This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IF(Table62202732333738392343[[#This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IF(Table62202732333738392343[[#This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IF(Table62202732333738392343[[#This Row],[Non-Member]]="X"," ",IF(AH5=" "," ",IFERROR(VLOOKUP(AG5,Points!$A$2:$B$14,2,FALSE)," ")))</f>
        <v xml:space="preserve"> </v>
      </c>
      <c r="AJ5" s="86">
        <f>IF(Table62202732333738392343[[#This Row],[Non-Member]]="X"," ",((IF(G5=" ",0,G5))+(IF(K5=" ",0,K5))+(IF(O5=" ",0,O5))+(IF(S5=" ",0,S5))+(IF(W5=" ",0,W5))+(IF(AA5=" ",0,AA5))+(IF(AE5=" ",0,AE5))+(IF(AI5=" ",0,AI5))))</f>
        <v>48</v>
      </c>
      <c r="AK5" s="88">
        <f t="shared" ref="AK5:AK24" si="17">IF(AJ5=0," ",AJ5)</f>
        <v>48</v>
      </c>
      <c r="AL5" s="89">
        <f t="shared" ref="AL5:AL24" si="18">IF(AK5=" "," ",RANK(AK5,$AK$5:$AK$24))</f>
        <v>1</v>
      </c>
    </row>
    <row r="6" spans="2:38" x14ac:dyDescent="0.3">
      <c r="B6" s="90" t="s">
        <v>149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IF(Table62202732333738392343[[#This Row],[Non-Member]]="X"," ",IF(F6=" "," ",IFERROR(VLOOKUP(E6,Points!$A$2:$B$14,2,FALSE)," ")))</f>
        <v xml:space="preserve"> </v>
      </c>
      <c r="H6" s="92">
        <v>11.02</v>
      </c>
      <c r="I6" s="97">
        <f t="shared" si="2"/>
        <v>2</v>
      </c>
      <c r="J6" s="97">
        <f t="shared" si="3"/>
        <v>2</v>
      </c>
      <c r="K6" s="94">
        <f>IF(Table62202732333738392343[[#This Row],[Non-Member]]="X"," ",IF(J6=" "," ",IFERROR(VLOOKUP(I6,Points!$A$2:$B$14,2,FALSE)," ")))</f>
        <v>15</v>
      </c>
      <c r="L6" s="92">
        <v>17.3</v>
      </c>
      <c r="M6" s="97">
        <f t="shared" si="4"/>
        <v>11</v>
      </c>
      <c r="N6" s="97" t="str">
        <f t="shared" si="5"/>
        <v xml:space="preserve"> </v>
      </c>
      <c r="O6" s="94" t="str">
        <f>IF(Table62202732333738392343[[#This Row],[Non-Member]]="X"," ",IF(N6=" "," ",IFERROR(VLOOKUP(M6,Points!$A$2:$B$14,2,FALSE)," ")))</f>
        <v xml:space="preserve"> </v>
      </c>
      <c r="P6" s="92">
        <v>9.75</v>
      </c>
      <c r="Q6" s="97">
        <f t="shared" si="6"/>
        <v>1</v>
      </c>
      <c r="R6" s="97">
        <f t="shared" si="7"/>
        <v>1</v>
      </c>
      <c r="S6" s="94">
        <f>IF(Table62202732333738392343[[#This Row],[Non-Member]]="X"," ",IF(R6=" "," ",IFERROR(VLOOKUP(Q6,Points!$A$2:$B$14,2,FALSE)," ")))</f>
        <v>18</v>
      </c>
      <c r="T6" s="92"/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IF(Table62202732333738392343[[#This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IF(Table62202732333738392343[[#This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IF(Table62202732333738392343[[#This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7" t="str">
        <f t="shared" si="15"/>
        <v xml:space="preserve"> </v>
      </c>
      <c r="AH6" s="97" t="str">
        <f t="shared" si="16"/>
        <v xml:space="preserve"> </v>
      </c>
      <c r="AI6" s="94" t="str">
        <f>IF(Table62202732333738392343[[#This Row],[Non-Member]]="X"," ",IF(AH6=" "," ",IFERROR(VLOOKUP(AG6,Points!$A$2:$B$14,2,FALSE)," ")))</f>
        <v xml:space="preserve"> </v>
      </c>
      <c r="AJ6" s="97">
        <f>IF(Table62202732333738392343[[#This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8">
        <f t="shared" si="18"/>
        <v>2</v>
      </c>
    </row>
    <row r="7" spans="2:38" x14ac:dyDescent="0.3">
      <c r="B7" s="90" t="s">
        <v>168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IF(Table62202732333738392343[[#This Row],[Non-Member]]="X"," ",IF(F7=" "," ",IFERROR(VLOOKUP(E7,Points!$A$2:$B$14,2,FALSE)," ")))</f>
        <v xml:space="preserve"> </v>
      </c>
      <c r="H7" s="92">
        <v>12.99</v>
      </c>
      <c r="I7" s="93">
        <f t="shared" si="2"/>
        <v>6</v>
      </c>
      <c r="J7" s="93">
        <f t="shared" si="3"/>
        <v>6</v>
      </c>
      <c r="K7" s="94">
        <f>IF(Table62202732333738392343[[#This Row],[Non-Member]]="X"," ",IF(J7=" "," ",IFERROR(VLOOKUP(I7,Points!$A$2:$B$14,2,FALSE)," ")))</f>
        <v>3</v>
      </c>
      <c r="L7" s="92">
        <v>11.16</v>
      </c>
      <c r="M7" s="93">
        <f t="shared" si="4"/>
        <v>3</v>
      </c>
      <c r="N7" s="93">
        <f t="shared" si="5"/>
        <v>3</v>
      </c>
      <c r="O7" s="94">
        <f>IF(Table62202732333738392343[[#This Row],[Non-Member]]="X"," ",IF(N7=" "," ",IFERROR(VLOOKUP(M7,Points!$A$2:$B$14,2,FALSE)," ")))</f>
        <v>12</v>
      </c>
      <c r="P7" s="92">
        <v>10.18</v>
      </c>
      <c r="Q7" s="93">
        <f t="shared" si="6"/>
        <v>2</v>
      </c>
      <c r="R7" s="93">
        <f t="shared" si="7"/>
        <v>2</v>
      </c>
      <c r="S7" s="94">
        <f>IF(Table62202732333738392343[[#This Row],[Non-Member]]="X"," ",IF(R7=" "," ",IFERROR(VLOOKUP(Q7,Points!$A$2:$B$14,2,FALSE)," ")))</f>
        <v>15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IF(Table62202732333738392343[[#This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IF(Table62202732333738392343[[#This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IF(Table62202732333738392343[[#This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IF(Table62202732333738392343[[#This Row],[Non-Member]]="X"," ",IF(AH7=" "," ",IFERROR(VLOOKUP(AG7,Points!$A$2:$B$14,2,FALSE)," ")))</f>
        <v xml:space="preserve"> </v>
      </c>
      <c r="AJ7" s="93">
        <f>IF(Table62202732333738392343[[#This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300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IF(Table62202732333738392343[[#This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IF(Table62202732333738392343[[#This Row],[Non-Member]]="X"," ",IF(J8=" "," ",IFERROR(VLOOKUP(I8,Points!$A$2:$B$14,2,FALSE)," ")))</f>
        <v xml:space="preserve"> </v>
      </c>
      <c r="L8" s="92">
        <v>9.4</v>
      </c>
      <c r="M8" s="93">
        <f t="shared" si="4"/>
        <v>2</v>
      </c>
      <c r="N8" s="93">
        <f t="shared" si="5"/>
        <v>2</v>
      </c>
      <c r="O8" s="94">
        <f>IF(Table62202732333738392343[[#This Row],[Non-Member]]="X"," ",IF(N8=" "," ",IFERROR(VLOOKUP(M8,Points!$A$2:$B$14,2,FALSE)," ")))</f>
        <v>15</v>
      </c>
      <c r="P8" s="92">
        <v>11.97</v>
      </c>
      <c r="Q8" s="93">
        <f t="shared" si="6"/>
        <v>7</v>
      </c>
      <c r="R8" s="93" t="str">
        <f t="shared" si="7"/>
        <v xml:space="preserve"> </v>
      </c>
      <c r="S8" s="94" t="str">
        <f>IF(Table62202732333738392343[[#This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IF(Table62202732333738392343[[#This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IF(Table62202732333738392343[[#This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IF(Table62202732333738392343[[#This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IF(Table62202732333738392343[[#This Row],[Non-Member]]="X"," ",IF(AH8=" "," ",IFERROR(VLOOKUP(AG8,Points!$A$2:$B$14,2,FALSE)," ")))</f>
        <v xml:space="preserve"> </v>
      </c>
      <c r="AJ8" s="93">
        <f>IF(Table62202732333738392343[[#This Row],[Non-Member]]="X"," ",((IF(G8=" ",0,G8))+(IF(K8=" ",0,K8))+(IF(O8=" ",0,O8))+(IF(S8=" ",0,S8))+(IF(W8=" ",0,W8))+(IF(AA8=" ",0,AA8))+(IF(AE8=" ",0,AE8))+(IF(AI8=" ",0,AI8))))</f>
        <v>15</v>
      </c>
      <c r="AK8" s="95">
        <f t="shared" si="17"/>
        <v>15</v>
      </c>
      <c r="AL8" s="96">
        <f t="shared" si="18"/>
        <v>4</v>
      </c>
    </row>
    <row r="9" spans="2:38" x14ac:dyDescent="0.3">
      <c r="B9" s="90" t="s">
        <v>142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IF(Table62202732333738392343[[#This Row],[Non-Member]]="X"," ",IF(F9=" "," ",IFERROR(VLOOKUP(E9,Points!$A$2:$B$14,2,FALSE)," ")))</f>
        <v xml:space="preserve"> </v>
      </c>
      <c r="H9" s="92">
        <v>14.02</v>
      </c>
      <c r="I9" s="93">
        <f t="shared" si="2"/>
        <v>9</v>
      </c>
      <c r="J9" s="93" t="str">
        <f t="shared" si="3"/>
        <v xml:space="preserve"> </v>
      </c>
      <c r="K9" s="94" t="str">
        <f>IF(Table62202732333738392343[[#This Row],[Non-Member]]="X"," ",IF(J9=" "," ",IFERROR(VLOOKUP(I9,Points!$A$2:$B$14,2,FALSE)," ")))</f>
        <v xml:space="preserve"> </v>
      </c>
      <c r="L9" s="92">
        <v>11.73</v>
      </c>
      <c r="M9" s="93">
        <f t="shared" si="4"/>
        <v>5</v>
      </c>
      <c r="N9" s="93">
        <f t="shared" si="5"/>
        <v>5</v>
      </c>
      <c r="O9" s="94">
        <f>IF(Table62202732333738392343[[#This Row],[Non-Member]]="X"," ",IF(N9=" "," ",IFERROR(VLOOKUP(M9,Points!$A$2:$B$14,2,FALSE)," ")))</f>
        <v>6</v>
      </c>
      <c r="P9" s="92">
        <v>11.42</v>
      </c>
      <c r="Q9" s="93">
        <f t="shared" si="6"/>
        <v>4</v>
      </c>
      <c r="R9" s="93">
        <f t="shared" si="7"/>
        <v>4</v>
      </c>
      <c r="S9" s="94">
        <f>IF(Table62202732333738392343[[#This Row],[Non-Member]]="X"," ",IF(R9=" "," ",IFERROR(VLOOKUP(Q9,Points!$A$2:$B$14,2,FALSE)," ")))</f>
        <v>9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IF(Table62202732333738392343[[#This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IF(Table62202732333738392343[[#This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IF(Table62202732333738392343[[#This Row],[Non-Member]]="X"," ",IF(AH9=" "," ",IFERROR(VLOOKUP(AG9,Points!$A$2:$B$14,2,FALSE)," ")))</f>
        <v xml:space="preserve"> </v>
      </c>
      <c r="AJ9" s="93">
        <f>IF(Table62202732333738392343[[#This Row],[Non-Member]]="X"," ",((IF(G9=" ",0,G9))+(IF(K9=" ",0,K9))+(IF(O9=" ",0,O9))+(IF(S9=" ",0,S9))+(IF(W9=" ",0,W9))+(IF(AA9=" ",0,AA9))+(IF(AE9=" ",0,AE9))+(IF(AI9=" ",0,AI9))))</f>
        <v>15</v>
      </c>
      <c r="AK9" s="95">
        <f t="shared" si="17"/>
        <v>15</v>
      </c>
      <c r="AL9" s="96">
        <f t="shared" si="18"/>
        <v>4</v>
      </c>
    </row>
    <row r="10" spans="2:38" x14ac:dyDescent="0.3">
      <c r="B10" s="90" t="s">
        <v>140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IF(Table62202732333738392343[[#This Row],[Non-Member]]="X"," ",IF(F10=" "," ",IFERROR(VLOOKUP(E10,Points!$A$2:$B$14,2,FALSE)," ")))</f>
        <v xml:space="preserve"> </v>
      </c>
      <c r="H10" s="92">
        <v>13.15</v>
      </c>
      <c r="I10" s="93">
        <f t="shared" si="2"/>
        <v>7</v>
      </c>
      <c r="J10" s="93" t="str">
        <f t="shared" si="3"/>
        <v xml:space="preserve"> </v>
      </c>
      <c r="K10" s="94" t="str">
        <f>IF(Table62202732333738392343[[#This Row],[Non-Member]]="X"," ",IF(J10=" "," ",IFERROR(VLOOKUP(I10,Points!$A$2:$B$14,2,FALSE)," ")))</f>
        <v xml:space="preserve"> </v>
      </c>
      <c r="L10" s="92">
        <v>11.97</v>
      </c>
      <c r="M10" s="93">
        <f t="shared" si="4"/>
        <v>6</v>
      </c>
      <c r="N10" s="93">
        <f t="shared" si="5"/>
        <v>6</v>
      </c>
      <c r="O10" s="94">
        <f>IF(Table62202732333738392343[[#This Row],[Non-Member]]="X"," ",IF(N10=" "," ",IFERROR(VLOOKUP(M10,Points!$A$2:$B$14,2,FALSE)," ")))</f>
        <v>3</v>
      </c>
      <c r="P10" s="92">
        <v>11.58</v>
      </c>
      <c r="Q10" s="93">
        <f t="shared" si="6"/>
        <v>5</v>
      </c>
      <c r="R10" s="93">
        <f t="shared" si="7"/>
        <v>5</v>
      </c>
      <c r="S10" s="94">
        <f>IF(Table62202732333738392343[[#This Row],[Non-Member]]="X"," ",IF(R10=" "," ",IFERROR(VLOOKUP(Q10,Points!$A$2:$B$14,2,FALSE)," ")))</f>
        <v>6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IF(Table62202732333738392343[[#This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IF(Table62202732333738392343[[#This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IF(Table62202732333738392343[[#This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IF(Table62202732333738392343[[#This Row],[Non-Member]]="X"," ",IF(AH10=" "," ",IFERROR(VLOOKUP(AG10,Points!$A$2:$B$14,2,FALSE)," ")))</f>
        <v xml:space="preserve"> </v>
      </c>
      <c r="AJ10" s="93">
        <f>IF(Table62202732333738392343[[#This Row],[Non-Member]]="X"," ",((IF(G10=" ",0,G10))+(IF(K10=" ",0,K10))+(IF(O10=" ",0,O10))+(IF(S10=" ",0,S10))+(IF(W10=" ",0,W10))+(IF(AA10=" ",0,AA10))+(IF(AE10=" ",0,AE10))+(IF(AI10=" ",0,AI10))))</f>
        <v>9</v>
      </c>
      <c r="AK10" s="95">
        <f t="shared" si="17"/>
        <v>9</v>
      </c>
      <c r="AL10" s="96">
        <f t="shared" si="18"/>
        <v>6</v>
      </c>
    </row>
    <row r="11" spans="2:38" x14ac:dyDescent="0.3">
      <c r="B11" s="90" t="s">
        <v>228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IF(Table62202732333738392343[[#This Row],[Non-Member]]="X"," ",IF(F11=" "," ",IFERROR(VLOOKUP(E11,Points!$A$2:$B$14,2,FALSE)," ")))</f>
        <v xml:space="preserve"> </v>
      </c>
      <c r="H11" s="92">
        <v>12.08</v>
      </c>
      <c r="I11" s="93">
        <f t="shared" si="2"/>
        <v>4</v>
      </c>
      <c r="J11" s="93">
        <f t="shared" si="3"/>
        <v>4</v>
      </c>
      <c r="K11" s="94">
        <f>IF(Table62202732333738392343[[#This Row],[Non-Member]]="X"," ",IF(J11=" "," ",IFERROR(VLOOKUP(I11,Points!$A$2:$B$14,2,FALSE)," ")))</f>
        <v>9</v>
      </c>
      <c r="L11" s="137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IF(Table62202732333738392343[[#This Row],[Non-Member]]="X"," ",IF(N11=" "," ",IFERROR(VLOOKUP(M11,Points!$A$2:$B$14,2,FALSE)," ")))</f>
        <v xml:space="preserve"> </v>
      </c>
      <c r="P11" s="92">
        <v>12.76</v>
      </c>
      <c r="Q11" s="93">
        <f t="shared" si="6"/>
        <v>10</v>
      </c>
      <c r="R11" s="93" t="str">
        <f t="shared" si="7"/>
        <v xml:space="preserve"> </v>
      </c>
      <c r="S11" s="94" t="str">
        <f>IF(Table62202732333738392343[[#This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IF(Table62202732333738392343[[#This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IF(Table62202732333738392343[[#This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IF(Table62202732333738392343[[#This Row],[Non-Member]]="X"," ",IF(AH11=" "," ",IFERROR(VLOOKUP(AG11,Points!$A$2:$B$14,2,FALSE)," ")))</f>
        <v xml:space="preserve"> </v>
      </c>
      <c r="AJ11" s="93">
        <f>IF(Table62202732333738392343[[#This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7"/>
        <v>9</v>
      </c>
      <c r="AL11" s="96">
        <f t="shared" si="18"/>
        <v>6</v>
      </c>
    </row>
    <row r="12" spans="2:38" x14ac:dyDescent="0.3">
      <c r="B12" s="90" t="s">
        <v>230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IF(Table62202732333738392343[[#This Row],[Non-Member]]="X"," ",IF(F12=" "," ",IFERROR(VLOOKUP(E12,Points!$A$2:$B$14,2,FALSE)," ")))</f>
        <v xml:space="preserve"> </v>
      </c>
      <c r="H12" s="92">
        <v>13.45</v>
      </c>
      <c r="I12" s="93">
        <f t="shared" si="2"/>
        <v>8</v>
      </c>
      <c r="J12" s="93" t="str">
        <f t="shared" si="3"/>
        <v xml:space="preserve"> </v>
      </c>
      <c r="K12" s="94" t="str">
        <f>IF(Table62202732333738392343[[#This Row],[Non-Member]]="X"," ",IF(J12=" "," ",IFERROR(VLOOKUP(I12,Points!$A$2:$B$14,2,FALSE)," ")))</f>
        <v xml:space="preserve"> </v>
      </c>
      <c r="L12" s="92">
        <v>11.67</v>
      </c>
      <c r="M12" s="93">
        <f t="shared" si="4"/>
        <v>4</v>
      </c>
      <c r="N12" s="93">
        <f t="shared" si="5"/>
        <v>4</v>
      </c>
      <c r="O12" s="94">
        <f>IF(Table62202732333738392343[[#This Row],[Non-Member]]="X"," ",IF(N12=" "," ",IFERROR(VLOOKUP(M12,Points!$A$2:$B$14,2,FALSE)," ")))</f>
        <v>9</v>
      </c>
      <c r="P12" s="92">
        <v>12.29</v>
      </c>
      <c r="Q12" s="93">
        <f t="shared" si="6"/>
        <v>8</v>
      </c>
      <c r="R12" s="93" t="str">
        <f t="shared" si="7"/>
        <v xml:space="preserve"> </v>
      </c>
      <c r="S12" s="94" t="str">
        <f>IF(Table62202732333738392343[[#This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IF(Table62202732333738392343[[#This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IF(Table62202732333738392343[[#This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IF(Table62202732333738392343[[#This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IF(Table62202732333738392343[[#This Row],[Non-Member]]="X"," ",IF(AH12=" "," ",IFERROR(VLOOKUP(AG12,Points!$A$2:$B$14,2,FALSE)," ")))</f>
        <v xml:space="preserve"> </v>
      </c>
      <c r="AJ12" s="93">
        <f>IF(Table62202732333738392343[[#This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6</v>
      </c>
    </row>
    <row r="13" spans="2:38" x14ac:dyDescent="0.3">
      <c r="B13" s="90" t="s">
        <v>147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IF(Table62202732333738392343[[#This Row],[Non-Member]]="X"," ",IF(F13=" "," ",IFERROR(VLOOKUP(E13,Points!$A$2:$B$14,2,FALSE)," ")))</f>
        <v xml:space="preserve"> </v>
      </c>
      <c r="H13" s="92">
        <v>12.63</v>
      </c>
      <c r="I13" s="93">
        <f t="shared" si="2"/>
        <v>5</v>
      </c>
      <c r="J13" s="93">
        <f t="shared" si="3"/>
        <v>5</v>
      </c>
      <c r="K13" s="94">
        <f>IF(Table62202732333738392343[[#This Row],[Non-Member]]="X"," ",IF(J13=" "," ",IFERROR(VLOOKUP(I13,Points!$A$2:$B$14,2,FALSE)," ")))</f>
        <v>6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IF(Table62202732333738392343[[#This Row],[Non-Member]]="X"," ",IF(AH13=" "," ",IFERROR(VLOOKUP(AG13,Points!$A$2:$B$14,2,FALSE)," ")))</f>
        <v xml:space="preserve"> </v>
      </c>
      <c r="AJ13" s="93">
        <f>IF(Table62202732333738392343[[#This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169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IF(Table62202732333738392343[[#This Row],[Non-Member]]="X"," ",IF(F14=" "," ",IFERROR(VLOOKUP(E14,Points!$A$2:$B$14,2,FALSE)," ")))</f>
        <v xml:space="preserve"> </v>
      </c>
      <c r="H14" s="92">
        <v>17.690000000000001</v>
      </c>
      <c r="I14" s="97">
        <f t="shared" si="2"/>
        <v>15</v>
      </c>
      <c r="J14" s="97" t="str">
        <f t="shared" si="3"/>
        <v xml:space="preserve"> </v>
      </c>
      <c r="K14" s="94" t="str">
        <f>IF(Table62202732333738392343[[#This Row],[Non-Member]]="X"," ",IF(J14=" "," ",IFERROR(VLOOKUP(I14,Points!$A$2:$B$14,2,FALSE)," ")))</f>
        <v xml:space="preserve"> </v>
      </c>
      <c r="L14" s="135">
        <v>14.26</v>
      </c>
      <c r="M14" s="97">
        <f t="shared" si="4"/>
        <v>9</v>
      </c>
      <c r="N14" s="97" t="str">
        <f t="shared" si="5"/>
        <v xml:space="preserve"> </v>
      </c>
      <c r="O14" s="94" t="str">
        <f>IF(Table62202732333738392343[[#This Row],[Non-Member]]="X"," ",IF(N14=" "," ",IFERROR(VLOOKUP(M14,Points!$A$2:$B$14,2,FALSE)," ")))</f>
        <v xml:space="preserve"> </v>
      </c>
      <c r="P14" s="92">
        <v>11.79</v>
      </c>
      <c r="Q14" s="97">
        <f t="shared" si="6"/>
        <v>6</v>
      </c>
      <c r="R14" s="97">
        <f t="shared" si="7"/>
        <v>6</v>
      </c>
      <c r="S14" s="94">
        <f>IF(Table62202732333738392343[[#This Row],[Non-Member]]="X"," ",IF(R14=" "," ",IFERROR(VLOOKUP(Q14,Points!$A$2:$B$14,2,FALSE)," ")))</f>
        <v>3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IF(Table62202732333738392343[[#This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IF(Table62202732333738392343[[#This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IF(Table62202732333738392343[[#This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IF(Table62202732333738392343[[#This Row],[Non-Member]]="X"," ",IF(AH14=" "," ",IFERROR(VLOOKUP(AG14,Points!$A$2:$B$14,2,FALSE)," ")))</f>
        <v xml:space="preserve"> </v>
      </c>
      <c r="AJ14" s="97">
        <f>IF(Table62202732333738392343[[#This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8">
        <f t="shared" si="18"/>
        <v>10</v>
      </c>
    </row>
    <row r="15" spans="2:38" x14ac:dyDescent="0.3">
      <c r="B15" s="90" t="s">
        <v>232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IF(Table62202732333738392343[[#This Row],[Non-Member]]="X"," ",IF(F15=" "," ",IFERROR(VLOOKUP(E15,Points!$A$2:$B$14,2,FALSE)," ")))</f>
        <v xml:space="preserve"> </v>
      </c>
      <c r="H15" s="92">
        <v>33.03</v>
      </c>
      <c r="I15" s="93">
        <f t="shared" si="2"/>
        <v>16</v>
      </c>
      <c r="J15" s="93" t="str">
        <f t="shared" si="3"/>
        <v xml:space="preserve"> </v>
      </c>
      <c r="K15" s="94" t="str">
        <f>IF(Table62202732333738392343[[#This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IF(Table62202732333738392343[[#This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IF(Table62202732333738392343[[#This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IF(Table62202732333738392343[[#This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IF(Table62202732333738392343[[#This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IF(Table62202732333738392343[[#This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IF(Table62202732333738392343[[#This Row],[Non-Member]]="X"," ",IF(AH15=" "," ",IFERROR(VLOOKUP(AG15,Points!$A$2:$B$14,2,FALSE)," ")))</f>
        <v xml:space="preserve"> </v>
      </c>
      <c r="AJ15" s="93">
        <f>IF(Table62202732333738392343[[#This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200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IF(Table62202732333738392343[[#This Row],[Non-Member]]="X"," ",IF(F16=" "," ",IFERROR(VLOOKUP(E16,Points!$A$2:$B$14,2,FALSE)," ")))</f>
        <v xml:space="preserve"> </v>
      </c>
      <c r="H16" s="92">
        <v>15.18</v>
      </c>
      <c r="I16" s="93">
        <f t="shared" si="2"/>
        <v>10</v>
      </c>
      <c r="J16" s="93" t="str">
        <f t="shared" si="3"/>
        <v xml:space="preserve"> </v>
      </c>
      <c r="K16" s="94" t="str">
        <f>IF(Table62202732333738392343[[#This Row],[Non-Member]]="X"," ",IF(J16=" "," ",IFERROR(VLOOKUP(I16,Points!$A$2:$B$14,2,FALSE)," ")))</f>
        <v xml:space="preserve"> </v>
      </c>
      <c r="L16" s="92">
        <v>13.24</v>
      </c>
      <c r="M16" s="93">
        <f t="shared" si="4"/>
        <v>8</v>
      </c>
      <c r="N16" s="93" t="str">
        <f t="shared" si="5"/>
        <v xml:space="preserve"> </v>
      </c>
      <c r="O16" s="94" t="str">
        <f>IF(Table62202732333738392343[[#This Row],[Non-Member]]="X"," ",IF(N16=" "," ",IFERROR(VLOOKUP(M16,Points!$A$2:$B$14,2,FALSE)," ")))</f>
        <v xml:space="preserve"> </v>
      </c>
      <c r="P16" s="92">
        <v>14.91</v>
      </c>
      <c r="Q16" s="93">
        <f t="shared" si="6"/>
        <v>11</v>
      </c>
      <c r="R16" s="93" t="str">
        <f t="shared" si="7"/>
        <v xml:space="preserve"> </v>
      </c>
      <c r="S16" s="94" t="str">
        <f>IF(Table62202732333738392343[[#This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IF(Table62202732333738392343[[#This Row],[Non-Member]]="X"," ",IF(AH16=" "," ",IFERROR(VLOOKUP(AG16,Points!$A$2:$B$14,2,FALSE)," ")))</f>
        <v xml:space="preserve"> </v>
      </c>
      <c r="AJ16" s="93">
        <f>IF(Table62202732333738392343[[#This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229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IF(Table62202732333738392343[[#This Row],[Non-Member]]="X"," ",IF(F17=" "," ",IFERROR(VLOOKUP(E17,Points!$A$2:$B$14,2,FALSE)," ")))</f>
        <v xml:space="preserve"> </v>
      </c>
      <c r="H17" s="92">
        <v>11.28</v>
      </c>
      <c r="I17" s="93">
        <f t="shared" si="2"/>
        <v>3</v>
      </c>
      <c r="J17" s="93">
        <f t="shared" si="3"/>
        <v>3</v>
      </c>
      <c r="K17" s="94" t="str">
        <f>IF(Table62202732333738392343[[#This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IF(Table62202732333738392343[[#This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IF(Table62202732333738392343[[#This Row],[Non-Member]]="X"," ",IF(AH17=" "," ",IFERROR(VLOOKUP(AG17,Points!$A$2:$B$14,2,FALSE)," ")))</f>
        <v xml:space="preserve"> </v>
      </c>
      <c r="AJ17" s="93" t="str">
        <f>IF(Table62202732333738392343[[#This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166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IF(Table62202732333738392343[[#This Row],[Non-Member]]="X"," ",IF(F18=" "," ",IFERROR(VLOOKUP(E18,Points!$A$2:$B$14,2,FALSE)," ")))</f>
        <v xml:space="preserve"> </v>
      </c>
      <c r="H18" s="92">
        <v>15.44</v>
      </c>
      <c r="I18" s="93">
        <f t="shared" si="2"/>
        <v>11</v>
      </c>
      <c r="J18" s="93" t="str">
        <f t="shared" si="3"/>
        <v xml:space="preserve"> </v>
      </c>
      <c r="K18" s="94" t="str">
        <f>IF(Table62202732333738392343[[#This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IF(Table62202732333738392343[[#This Row],[Non-Member]]="X"," ",IF(AH18=" "," ",IFERROR(VLOOKUP(AG18,Points!$A$2:$B$14,2,FALSE)," ")))</f>
        <v xml:space="preserve"> </v>
      </c>
      <c r="AJ18" s="93">
        <f>IF(Table62202732333738392343[[#This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141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IF(Table62202732333738392343[[#This Row],[Non-Member]]="X"," ",IF(F19=" "," ",IFERROR(VLOOKUP(E19,Points!$A$2:$B$14,2,FALSE)," ")))</f>
        <v xml:space="preserve"> </v>
      </c>
      <c r="H19" s="92">
        <v>15.65</v>
      </c>
      <c r="I19" s="97">
        <f t="shared" si="2"/>
        <v>12</v>
      </c>
      <c r="J19" s="97" t="str">
        <f t="shared" si="3"/>
        <v xml:space="preserve"> </v>
      </c>
      <c r="K19" s="94" t="str">
        <f>IF(Table62202732333738392343[[#This Row],[Non-Member]]="X"," ",IF(J19=" "," ",IFERROR(VLOOKUP(I19,Points!$A$2:$B$14,2,FALSE)," ")))</f>
        <v xml:space="preserve"> </v>
      </c>
      <c r="L19" s="92">
        <v>12</v>
      </c>
      <c r="M19" s="97">
        <f t="shared" si="4"/>
        <v>7</v>
      </c>
      <c r="N19" s="97" t="str">
        <f t="shared" si="5"/>
        <v xml:space="preserve"> </v>
      </c>
      <c r="O19" s="94" t="str">
        <f>IF(Table62202732333738392343[[#This Row],[Non-Member]]="X"," ",IF(N19=" "," ",IFERROR(VLOOKUP(M19,Points!$A$2:$B$14,2,FALSE)," ")))</f>
        <v xml:space="preserve"> </v>
      </c>
      <c r="P19" s="92">
        <v>17.02</v>
      </c>
      <c r="Q19" s="97">
        <f t="shared" si="6"/>
        <v>13</v>
      </c>
      <c r="R19" s="97" t="str">
        <f t="shared" si="7"/>
        <v xml:space="preserve"> </v>
      </c>
      <c r="S19" s="94" t="str">
        <f>IF(Table62202732333738392343[[#This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IF(Table62202732333738392343[[#This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IF(Table62202732333738392343[[#This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IF(Table62202732333738392343[[#This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7" t="str">
        <f t="shared" si="15"/>
        <v xml:space="preserve"> </v>
      </c>
      <c r="AH19" s="97" t="str">
        <f t="shared" si="16"/>
        <v xml:space="preserve"> </v>
      </c>
      <c r="AI19" s="94" t="str">
        <f>IF(Table62202732333738392343[[#This Row],[Non-Member]]="X"," ",IF(AH19=" "," ",IFERROR(VLOOKUP(AG19,Points!$A$2:$B$14,2,FALSE)," ")))</f>
        <v xml:space="preserve"> </v>
      </c>
      <c r="AJ19" s="97">
        <f>IF(Table62202732333738392343[[#This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150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IF(Table62202732333738392343[[#This Row],[Non-Member]]="X"," ",IF(F20=" "," ",IFERROR(VLOOKUP(E20,Points!$A$2:$B$14,2,FALSE)," ")))</f>
        <v xml:space="preserve"> </v>
      </c>
      <c r="H20" s="92">
        <v>17.68</v>
      </c>
      <c r="I20" s="93">
        <f t="shared" si="2"/>
        <v>14</v>
      </c>
      <c r="J20" s="93" t="str">
        <f t="shared" si="3"/>
        <v xml:space="preserve"> </v>
      </c>
      <c r="K20" s="94" t="str">
        <f>IF(Table62202732333738392343[[#This Row],[Non-Member]]="X"," ",IF(J20=" "," ",IFERROR(VLOOKUP(I20,Points!$A$2:$B$14,2,FALSE)," ")))</f>
        <v xml:space="preserve"> </v>
      </c>
      <c r="L20" s="92">
        <v>15.11</v>
      </c>
      <c r="M20" s="93">
        <f t="shared" si="4"/>
        <v>10</v>
      </c>
      <c r="N20" s="93" t="str">
        <f t="shared" si="5"/>
        <v xml:space="preserve"> </v>
      </c>
      <c r="O20" s="94" t="str">
        <f>IF(Table62202732333738392343[[#This Row],[Non-Member]]="X"," ",IF(N20=" "," ",IFERROR(VLOOKUP(M20,Points!$A$2:$B$14,2,FALSE)," ")))</f>
        <v xml:space="preserve"> </v>
      </c>
      <c r="P20" s="92">
        <v>15.53</v>
      </c>
      <c r="Q20" s="93">
        <f t="shared" si="6"/>
        <v>12</v>
      </c>
      <c r="R20" s="93" t="str">
        <f t="shared" si="7"/>
        <v xml:space="preserve"> </v>
      </c>
      <c r="S20" s="94" t="str">
        <f>IF(Table62202732333738392343[[#This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IF(Table62202732333738392343[[#This Row],[Non-Member]]="X"," ",IF(AH20=" "," ",IFERROR(VLOOKUP(AG20,Points!$A$2:$B$14,2,FALSE)," ")))</f>
        <v xml:space="preserve"> </v>
      </c>
      <c r="AJ20" s="93">
        <f>IF(Table62202732333738392343[[#This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231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IF(Table62202732333738392343[[#This Row],[Non-Member]]="X"," ",IF(F21=" "," ",IFERROR(VLOOKUP(E21,Points!$A$2:$B$14,2,FALSE)," ")))</f>
        <v xml:space="preserve"> </v>
      </c>
      <c r="H21" s="92">
        <v>17.64</v>
      </c>
      <c r="I21" s="93">
        <f t="shared" si="2"/>
        <v>13</v>
      </c>
      <c r="J21" s="93" t="str">
        <f t="shared" si="3"/>
        <v xml:space="preserve"> </v>
      </c>
      <c r="K21" s="94" t="str">
        <f>IF(Table62202732333738392343[[#This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IF(Table62202732333738392343[[#This Row],[Non-Member]]="X"," ",IF(N21=" "," ",IFERROR(VLOOKUP(M21,Points!$A$2:$B$14,2,FALSE)," ")))</f>
        <v xml:space="preserve"> </v>
      </c>
      <c r="P21" s="92">
        <v>12.44</v>
      </c>
      <c r="Q21" s="93">
        <f t="shared" si="6"/>
        <v>9</v>
      </c>
      <c r="R21" s="93" t="str">
        <f t="shared" si="7"/>
        <v xml:space="preserve"> </v>
      </c>
      <c r="S21" s="94" t="str">
        <f>IF(Table62202732333738392343[[#This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IF(Table62202732333738392343[[#This Row],[Non-Member]]="X"," ",IF(AH21=" "," ",IFERROR(VLOOKUP(AG21,Points!$A$2:$B$14,2,FALSE)," ")))</f>
        <v xml:space="preserve"> </v>
      </c>
      <c r="AJ21" s="93">
        <f>IF(Table62202732333738392343[[#This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IF(Table62202732333738392343[[#This Row],[Non-Member]]="X"," ",IF(AH22=" "," ",IFERROR(VLOOKUP(AG22,Points!$A$2:$B$14,2,FALSE)," ")))</f>
        <v xml:space="preserve"> </v>
      </c>
      <c r="AJ22" s="93">
        <f>IF(Table62202732333738392343[[#This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IF(Table62202732333738392343[[#This Row],[Non-Member]]="X"," ",IF(AH23=" "," ",IFERROR(VLOOKUP(AG23,Points!$A$2:$B$14,2,FALSE)," ")))</f>
        <v xml:space="preserve"> </v>
      </c>
      <c r="AJ23" s="93">
        <f>IF(Table62202732333738392343[[#This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IF(Table62202732333738392343[[#This Row],[Non-Member]]="X"," ",IF(AH24=" "," ",IFERROR(VLOOKUP(AG24,Points!$A$2:$B$14,2,FALSE)," ")))</f>
        <v xml:space="preserve"> </v>
      </c>
      <c r="AJ24" s="93">
        <f>IF(Table62202732333738392343[[#This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yJ6WIWNqLIeUM6ky0EGCL5h1bvnGe73CS6CIwXmzIVRwoz3oLPaYyxtfIgGF6NS2he3CVc7uOvKNQKYZKW/tJQ==" saltValue="JZCrVqGFT2t6GGkFgY2mB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6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115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75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149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IF(Table6220273233373839232444[[#This Row],[Non-Member]]="X"," ",IF(F5=" "," ",IFERROR(VLOOKUP(E5,Points!$A$2:$B$14,2,FALSE)," ")))</f>
        <v xml:space="preserve"> </v>
      </c>
      <c r="H5" s="85">
        <v>3.96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IF(Table6220273233373839232444[[#This Row],[Non-Member]]="X"," ",IF(J5=" "," ",IFERROR(VLOOKUP(I5,Points!$A$2:$B$14,2,FALSE)," ")))</f>
        <v>18</v>
      </c>
      <c r="L5" s="85">
        <v>5.37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IF(Table6220273233373839232444[[#This Row],[Non-Member]]="X"," ",IF(N5=" "," ",IFERROR(VLOOKUP(M5,Points!$A$2:$B$14,2,FALSE)," ")))</f>
        <v>18</v>
      </c>
      <c r="P5" s="136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IF(Table6220273233373839232444[[#This Row],[Non-Member]]="X"," ",IF(R5=" "," ",IFERROR(VLOOKUP(Q5,Points!$A$2:$B$14,2,FALSE)," ")))</f>
        <v xml:space="preserve"> 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IF(Table6220273233373839232444[[#This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IF(Table6220273233373839232444[[#This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IF(Table6220273233373839232444[[#This Row],[Non-Member]]="X"," ",IF(AD5=" "," ",IFERROR(VLOOKUP(AC5,Points!$A$2:$B$14,2,FALSE)," ")))</f>
        <v xml:space="preserve"> </v>
      </c>
      <c r="AF5" s="161"/>
      <c r="AG5" s="86"/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IF(Table6220273233373839232444[[#This Row],[Non-Member]]="X"," ",IF(AH5=" "," ",IFERROR(VLOOKUP(AG5,Points!$A$2:$B$14,2,FALSE)," ")))</f>
        <v xml:space="preserve"> </v>
      </c>
      <c r="AJ5" s="86">
        <f>IF(Table6220273233373839232444[[#This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5">IF(AJ5=0," ",AJ5)</f>
        <v>36</v>
      </c>
      <c r="AL5" s="89">
        <f t="shared" ref="AL5:AL24" si="16">IF(AK5=" "," ",RANK(AK5,$AK$5:$AK$24))</f>
        <v>1</v>
      </c>
    </row>
    <row r="6" spans="2:38" x14ac:dyDescent="0.3">
      <c r="B6" s="90" t="s">
        <v>140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IF(Table6220273233373839232444[[#This Row],[Non-Member]]="X"," ",IF(F6=" "," ",IFERROR(VLOOKUP(E6,Points!$A$2:$B$14,2,FALSE)," ")))</f>
        <v xml:space="preserve"> </v>
      </c>
      <c r="H6" s="92">
        <v>5.78</v>
      </c>
      <c r="I6" s="93">
        <f t="shared" si="2"/>
        <v>2</v>
      </c>
      <c r="J6" s="93">
        <f t="shared" si="3"/>
        <v>2</v>
      </c>
      <c r="K6" s="94">
        <f>IF(Table6220273233373839232444[[#This Row],[Non-Member]]="X"," ",IF(J6=" "," ",IFERROR(VLOOKUP(I6,Points!$A$2:$B$14,2,FALSE)," ")))</f>
        <v>15</v>
      </c>
      <c r="L6" s="92">
        <v>6.59</v>
      </c>
      <c r="M6" s="93">
        <f t="shared" si="4"/>
        <v>3</v>
      </c>
      <c r="N6" s="93">
        <f t="shared" si="5"/>
        <v>3</v>
      </c>
      <c r="O6" s="94">
        <f>IF(Table6220273233373839232444[[#This Row],[Non-Member]]="X"," ",IF(N6=" "," ",IFERROR(VLOOKUP(M6,Points!$A$2:$B$14,2,FALSE)," ")))</f>
        <v>12</v>
      </c>
      <c r="P6" s="135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IF(Table6220273233373839232444[[#This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IF(Table6220273233373839232444[[#This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 t="shared" ref="AG6:AG11" si="17">IF(OR(AF6=0,AF6=" ")," ",_xlfn.RANK.AVG(AF6,AF$5:AF$24,1)-COUNTIF(AF$5:AF$24,0))</f>
        <v xml:space="preserve"> </v>
      </c>
      <c r="AH6" s="93" t="str">
        <f t="shared" si="14"/>
        <v xml:space="preserve"> </v>
      </c>
      <c r="AI6" s="94" t="str">
        <f>IF(Table6220273233373839232444[[#This Row],[Non-Member]]="X"," ",IF(AH6=" "," ",IFERROR(VLOOKUP(AG6,Points!$A$2:$B$14,2,FALSE)," ")))</f>
        <v xml:space="preserve"> </v>
      </c>
      <c r="AJ6" s="93">
        <f>IF(Table6220273233373839232444[[#This Row],[Non-Member]]="X"," ",((IF(G6=" ",0,G6))+(IF(K6=" ",0,K6))+(IF(O6=" ",0,O6))+(IF(S6=" ",0,S6))+(IF(W6=" ",0,W6))+(IF(AA6=" ",0,AA6))+(IF(AE6=" ",0,AE6))+(IF(AI6=" ",0,AI6))))</f>
        <v>27</v>
      </c>
      <c r="AK6" s="95">
        <f t="shared" si="15"/>
        <v>27</v>
      </c>
      <c r="AL6" s="96">
        <f t="shared" si="16"/>
        <v>2</v>
      </c>
    </row>
    <row r="7" spans="2:38" x14ac:dyDescent="0.3">
      <c r="B7" s="90" t="s">
        <v>150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IF(Table6220273233373839232444[[#This Row],[Non-Member]]="X"," ",IF(J7=" "," ",IFERROR(VLOOKUP(I7,Points!$A$2:$B$14,2,FALSE)," ")))</f>
        <v xml:space="preserve"> </v>
      </c>
      <c r="L7" s="92">
        <v>8.86</v>
      </c>
      <c r="M7" s="93">
        <f t="shared" si="4"/>
        <v>4</v>
      </c>
      <c r="N7" s="93">
        <f t="shared" si="5"/>
        <v>4</v>
      </c>
      <c r="O7" s="94">
        <f>IF(Table6220273233373839232444[[#This Row],[Non-Member]]="X"," ",IF(N7=" "," ",IFERROR(VLOOKUP(M7,Points!$A$2:$B$14,2,FALSE)," ")))</f>
        <v>9</v>
      </c>
      <c r="P7" s="135">
        <v>5.0599999999999996</v>
      </c>
      <c r="Q7" s="93">
        <f t="shared" si="6"/>
        <v>1</v>
      </c>
      <c r="R7" s="93">
        <f t="shared" si="7"/>
        <v>1</v>
      </c>
      <c r="S7" s="94">
        <f>IF(Table6220273233373839232444[[#This Row],[Non-Member]]="X"," ",IF(R7=" "," ",IFERROR(VLOOKUP(Q7,Points!$A$2:$B$14,2,FALSE)," ")))</f>
        <v>18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IF(Table6220273233373839232444[[#This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 t="shared" si="17"/>
        <v xml:space="preserve"> </v>
      </c>
      <c r="AH7" s="93" t="str">
        <f t="shared" si="14"/>
        <v xml:space="preserve"> </v>
      </c>
      <c r="AI7" s="94" t="str">
        <f>IF(Table6220273233373839232444[[#This Row],[Non-Member]]="X"," ",IF(AH7=" "," ",IFERROR(VLOOKUP(AG7,Points!$A$2:$B$14,2,FALSE)," ")))</f>
        <v xml:space="preserve"> </v>
      </c>
      <c r="AJ7" s="93">
        <f>IF(Table6220273233373839232444[[#This Row],[Non-Member]]="X"," ",((IF(G7=" ",0,G7))+(IF(K7=" ",0,K7))+(IF(O7=" ",0,O7))+(IF(S7=" ",0,S7))+(IF(W7=" ",0,W7))+(IF(AA7=" ",0,AA7))+(IF(AE7=" ",0,AE7))+(IF(AI7=" ",0,AI7))))</f>
        <v>27</v>
      </c>
      <c r="AK7" s="95">
        <f t="shared" si="15"/>
        <v>27</v>
      </c>
      <c r="AL7" s="96">
        <f t="shared" si="16"/>
        <v>2</v>
      </c>
    </row>
    <row r="8" spans="2:38" x14ac:dyDescent="0.3">
      <c r="B8" s="90" t="s">
        <v>141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IF(Table6220273233373839232444[[#This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IF(Table6220273233373839232444[[#This Row],[Non-Member]]="X"," ",IF(J8=" "," ",IFERROR(VLOOKUP(I8,Points!$A$2:$B$14,2,FALSE)," ")))</f>
        <v xml:space="preserve"> </v>
      </c>
      <c r="L8" s="92">
        <v>6.43</v>
      </c>
      <c r="M8" s="93">
        <f t="shared" si="4"/>
        <v>2</v>
      </c>
      <c r="N8" s="93">
        <f t="shared" si="5"/>
        <v>2</v>
      </c>
      <c r="O8" s="94">
        <f>IF(Table6220273233373839232444[[#This Row],[Non-Member]]="X"," ",IF(N8=" "," ",IFERROR(VLOOKUP(M8,Points!$A$2:$B$14,2,FALSE)," ")))</f>
        <v>15</v>
      </c>
      <c r="P8" s="135">
        <v>7</v>
      </c>
      <c r="Q8" s="93">
        <f t="shared" si="6"/>
        <v>4</v>
      </c>
      <c r="R8" s="93">
        <f t="shared" si="7"/>
        <v>4</v>
      </c>
      <c r="S8" s="94">
        <f>IF(Table6220273233373839232444[[#This Row],[Non-Member]]="X"," ",IF(R8=" "," ",IFERROR(VLOOKUP(Q8,Points!$A$2:$B$14,2,FALSE)," ")))</f>
        <v>9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IF(Table6220273233373839232444[[#This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IF(Table6220273233373839232444[[#This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IF(Table6220273233373839232444[[#This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 t="shared" si="17"/>
        <v xml:space="preserve"> </v>
      </c>
      <c r="AH8" s="93" t="str">
        <f t="shared" si="14"/>
        <v xml:space="preserve"> </v>
      </c>
      <c r="AI8" s="94" t="str">
        <f>IF(Table6220273233373839232444[[#This Row],[Non-Member]]="X"," ",IF(AH8=" "," ",IFERROR(VLOOKUP(AG8,Points!$A$2:$B$14,2,FALSE)," ")))</f>
        <v xml:space="preserve"> </v>
      </c>
      <c r="AJ8" s="93">
        <f>IF(Table6220273233373839232444[[#This Row],[Non-Member]]="X"," ",((IF(G8=" ",0,G8))+(IF(K8=" ",0,K8))+(IF(O8=" ",0,O8))+(IF(S8=" ",0,S8))+(IF(W8=" ",0,W8))+(IF(AA8=" ",0,AA8))+(IF(AE8=" ",0,AE8))+(IF(AI8=" ",0,AI8))))</f>
        <v>24</v>
      </c>
      <c r="AK8" s="95">
        <f t="shared" si="15"/>
        <v>24</v>
      </c>
      <c r="AL8" s="96">
        <f t="shared" si="16"/>
        <v>4</v>
      </c>
    </row>
    <row r="9" spans="2:38" x14ac:dyDescent="0.3">
      <c r="B9" s="90" t="s">
        <v>200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IF(Table6220273233373839232444[[#This Row],[Non-Member]]="X"," ",IF(N9=" "," ",IFERROR(VLOOKUP(M9,Points!$A$2:$B$14,2,FALSE)," ")))</f>
        <v xml:space="preserve"> </v>
      </c>
      <c r="P9" s="135">
        <v>6.31</v>
      </c>
      <c r="Q9" s="93">
        <f t="shared" si="6"/>
        <v>2</v>
      </c>
      <c r="R9" s="93">
        <f t="shared" si="7"/>
        <v>2</v>
      </c>
      <c r="S9" s="94">
        <f>IF(Table6220273233373839232444[[#This Row],[Non-Member]]="X"," ",IF(R9=" "," ",IFERROR(VLOOKUP(Q9,Points!$A$2:$B$14,2,FALSE)," ")))</f>
        <v>15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IF(Table6220273233373839232444[[#This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IF(Table6220273233373839232444[[#This Row],[Non-Member]]="X"," ",IF(AD9=" "," ",IFERROR(VLOOKUP(AC9,Points!$A$2:$B$14,2,FALSE)," ")))</f>
        <v xml:space="preserve"> </v>
      </c>
      <c r="AF9" s="92"/>
      <c r="AG9" s="93" t="str">
        <f t="shared" si="17"/>
        <v xml:space="preserve"> </v>
      </c>
      <c r="AH9" s="93" t="str">
        <f t="shared" si="14"/>
        <v xml:space="preserve"> </v>
      </c>
      <c r="AI9" s="94" t="str">
        <f>IF(Table6220273233373839232444[[#This Row],[Non-Member]]="X"," ",IF(AH9=" "," ",IFERROR(VLOOKUP(AG9,Points!$A$2:$B$14,2,FALSE)," ")))</f>
        <v xml:space="preserve"> </v>
      </c>
      <c r="AJ9" s="93">
        <f>IF(Table6220273233373839232444[[#This Row],[Non-Member]]="X"," ",((IF(G9=" ",0,G9))+(IF(K9=" ",0,K9))+(IF(O9=" ",0,O9))+(IF(S9=" ",0,S9))+(IF(W9=" ",0,W9))+(IF(AA9=" ",0,AA9))+(IF(AE9=" ",0,AE9))+(IF(AI9=" ",0,AI9))))</f>
        <v>15</v>
      </c>
      <c r="AK9" s="95">
        <f t="shared" si="15"/>
        <v>15</v>
      </c>
      <c r="AL9" s="96">
        <f t="shared" si="16"/>
        <v>5</v>
      </c>
    </row>
    <row r="10" spans="2:38" x14ac:dyDescent="0.3">
      <c r="B10" s="90" t="s">
        <v>142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IF(Table6220273233373839232444[[#This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IF(Table6220273233373839232444[[#This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IF(Table6220273233373839232444[[#This Row],[Non-Member]]="X"," ",IF(N10=" "," ",IFERROR(VLOOKUP(M10,Points!$A$2:$B$14,2,FALSE)," ")))</f>
        <v xml:space="preserve"> </v>
      </c>
      <c r="P10" s="135">
        <v>6.66</v>
      </c>
      <c r="Q10" s="93">
        <f t="shared" si="6"/>
        <v>3</v>
      </c>
      <c r="R10" s="93">
        <f t="shared" si="7"/>
        <v>3</v>
      </c>
      <c r="S10" s="94">
        <f>IF(Table6220273233373839232444[[#This Row],[Non-Member]]="X"," ",IF(R10=" "," ",IFERROR(VLOOKUP(Q10,Points!$A$2:$B$14,2,FALSE)," ")))</f>
        <v>12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IF(Table6220273233373839232444[[#This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IF(Table6220273233373839232444[[#This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IF(Table6220273233373839232444[[#This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 t="shared" si="17"/>
        <v xml:space="preserve"> </v>
      </c>
      <c r="AH10" s="93" t="str">
        <f t="shared" si="14"/>
        <v xml:space="preserve"> </v>
      </c>
      <c r="AI10" s="94" t="str">
        <f>IF(Table6220273233373839232444[[#This Row],[Non-Member]]="X"," ",IF(AH10=" "," ",IFERROR(VLOOKUP(AG10,Points!$A$2:$B$14,2,FALSE)," ")))</f>
        <v xml:space="preserve"> </v>
      </c>
      <c r="AJ10" s="93">
        <f>IF(Table6220273233373839232444[[#This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5"/>
        <v>12</v>
      </c>
      <c r="AL10" s="96">
        <f t="shared" si="16"/>
        <v>6</v>
      </c>
    </row>
    <row r="11" spans="2:38" x14ac:dyDescent="0.3">
      <c r="B11" s="90" t="s">
        <v>300</v>
      </c>
      <c r="C11" s="91"/>
      <c r="D11" s="135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IF(Table6220273233373839232444[[#This Row],[Non-Member]]="X"," ",IF(F11=" "," ",IFERROR(VLOOKUP(E11,Points!$A$2:$B$14,2,FALSE)," ")))</f>
        <v xml:space="preserve"> </v>
      </c>
      <c r="H11" s="92"/>
      <c r="I11" s="97" t="str">
        <f t="shared" si="2"/>
        <v xml:space="preserve"> </v>
      </c>
      <c r="J11" s="97" t="str">
        <f t="shared" si="3"/>
        <v xml:space="preserve"> </v>
      </c>
      <c r="K11" s="94" t="str">
        <f>IF(Table6220273233373839232444[[#This Row],[Non-Member]]="X"," ",IF(J11=" "," ",IFERROR(VLOOKUP(I11,Points!$A$2:$B$14,2,FALSE)," ")))</f>
        <v xml:space="preserve"> </v>
      </c>
      <c r="L11" s="92">
        <v>18.05</v>
      </c>
      <c r="M11" s="97">
        <f t="shared" si="4"/>
        <v>5</v>
      </c>
      <c r="N11" s="97">
        <f t="shared" si="5"/>
        <v>5</v>
      </c>
      <c r="O11" s="94">
        <f>IF(Table6220273233373839232444[[#This Row],[Non-Member]]="X"," ",IF(N11=" "," ",IFERROR(VLOOKUP(M11,Points!$A$2:$B$14,2,FALSE)," ")))</f>
        <v>6</v>
      </c>
      <c r="P11" s="135">
        <v>0</v>
      </c>
      <c r="Q11" s="97" t="str">
        <f t="shared" si="6"/>
        <v xml:space="preserve"> </v>
      </c>
      <c r="R11" s="97" t="str">
        <f t="shared" si="7"/>
        <v xml:space="preserve"> </v>
      </c>
      <c r="S11" s="94" t="str">
        <f>IF(Table6220273233373839232444[[#This Row],[Non-Member]]="X"," ",IF(R11=" "," ",IFERROR(VLOOKUP(Q11,Points!$A$2:$B$14,2,FALSE)," ")))</f>
        <v xml:space="preserve"> </v>
      </c>
      <c r="T11" s="92"/>
      <c r="U11" s="97" t="str">
        <f t="shared" si="8"/>
        <v xml:space="preserve"> </v>
      </c>
      <c r="V11" s="97" t="str">
        <f t="shared" si="9"/>
        <v xml:space="preserve"> </v>
      </c>
      <c r="W11" s="94" t="str">
        <f>IF(Table6220273233373839232444[[#This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IF(Table6220273233373839232444[[#This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IF(Table6220273233373839232444[[#This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7" t="str">
        <f t="shared" si="17"/>
        <v xml:space="preserve"> </v>
      </c>
      <c r="AH11" s="97" t="str">
        <f t="shared" si="14"/>
        <v xml:space="preserve"> </v>
      </c>
      <c r="AI11" s="94" t="str">
        <f>IF(Table6220273233373839232444[[#This Row],[Non-Member]]="X"," ",IF(AH11=" "," ",IFERROR(VLOOKUP(AG11,Points!$A$2:$B$14,2,FALSE)," ")))</f>
        <v xml:space="preserve"> </v>
      </c>
      <c r="AJ11" s="97">
        <f>IF(Table6220273233373839232444[[#This Row],[Non-Member]]="X"," ",((IF(G11=" ",0,G11))+(IF(K11=" ",0,K11))+(IF(O11=" ",0,O11))+(IF(S11=" ",0,S11))+(IF(W11=" ",0,W11))+(IF(AA11=" ",0,AA11))+(IF(AE11=" ",0,AE11))+(IF(AI11=" ",0,AI11))))</f>
        <v>6</v>
      </c>
      <c r="AK11" s="95">
        <f t="shared" si="15"/>
        <v>6</v>
      </c>
      <c r="AL11" s="98">
        <f t="shared" si="16"/>
        <v>7</v>
      </c>
    </row>
    <row r="12" spans="2:38" x14ac:dyDescent="0.3">
      <c r="B12" s="90" t="s">
        <v>148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IF(Table6220273233373839232444[[#This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IF(Table6220273233373839232444[[#This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IF(Table6220273233373839232444[[#This Row],[Non-Member]]="X"," ",IF(N12=" "," ",IFERROR(VLOOKUP(M12,Points!$A$2:$B$14,2,FALSE)," ")))</f>
        <v xml:space="preserve"> </v>
      </c>
      <c r="P12" s="135">
        <v>7.11</v>
      </c>
      <c r="Q12" s="93">
        <f t="shared" si="6"/>
        <v>5</v>
      </c>
      <c r="R12" s="93">
        <f t="shared" si="7"/>
        <v>5</v>
      </c>
      <c r="S12" s="94">
        <f>IF(Table6220273233373839232444[[#This Row],[Non-Member]]="X"," ",IF(R12=" "," ",IFERROR(VLOOKUP(Q12,Points!$A$2:$B$14,2,FALSE)," ")))</f>
        <v>6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IF(Table6220273233373839232444[[#This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IF(Table6220273233373839232444[[#This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IF(Table6220273233373839232444[[#This Row],[Non-Member]]="X"," ",IF(AD12=" "," ",IFERROR(VLOOKUP(AC12,Points!$A$2:$B$14,2,FALSE)," ")))</f>
        <v xml:space="preserve"> </v>
      </c>
      <c r="AF12" s="160"/>
      <c r="AG12" s="93"/>
      <c r="AH12" s="93" t="str">
        <f t="shared" si="14"/>
        <v xml:space="preserve"> </v>
      </c>
      <c r="AI12" s="94" t="str">
        <f>IF(Table6220273233373839232444[[#This Row],[Non-Member]]="X"," ",IF(AH12=" "," ",IFERROR(VLOOKUP(AG12,Points!$A$2:$B$14,2,FALSE)," ")))</f>
        <v xml:space="preserve"> </v>
      </c>
      <c r="AJ12" s="93">
        <f>IF(Table6220273233373839232444[[#This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5"/>
        <v>6</v>
      </c>
      <c r="AL12" s="96">
        <f t="shared" si="16"/>
        <v>7</v>
      </c>
    </row>
    <row r="13" spans="2:38" x14ac:dyDescent="0.3">
      <c r="B13" s="90" t="s">
        <v>169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IF(Table6220273233373839232444[[#This Row],[Non-Member]]="X"," ",IF(N13=" "," ",IFERROR(VLOOKUP(M13,Points!$A$2:$B$14,2,FALSE)," ")))</f>
        <v xml:space="preserve"> </v>
      </c>
      <c r="P13" s="135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IF(Table6220273233373839232444[[#This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IF(Table6220273233373839232444[[#This Row],[Non-Member]]="X"," ",IF(AD13=" "," ",IFERROR(VLOOKUP(AC13,Points!$A$2:$B$14,2,FALSE)," ")))</f>
        <v xml:space="preserve"> </v>
      </c>
      <c r="AF13" s="160"/>
      <c r="AG13" s="93"/>
      <c r="AH13" s="93" t="str">
        <f t="shared" si="14"/>
        <v xml:space="preserve"> </v>
      </c>
      <c r="AI13" s="94" t="str">
        <f>IF(Table6220273233373839232444[[#This Row],[Non-Member]]="X"," ",IF(AH13=" "," ",IFERROR(VLOOKUP(AG13,Points!$A$2:$B$14,2,FALSE)," ")))</f>
        <v xml:space="preserve"> </v>
      </c>
      <c r="AJ13" s="93">
        <f>IF(Table6220273233373839232444[[#This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5"/>
        <v xml:space="preserve"> </v>
      </c>
      <c r="AL13" s="96" t="str">
        <f t="shared" si="16"/>
        <v xml:space="preserve"> </v>
      </c>
    </row>
    <row r="14" spans="2:38" x14ac:dyDescent="0.3">
      <c r="B14" s="90" t="s">
        <v>229</v>
      </c>
      <c r="C14" s="91" t="s">
        <v>325</v>
      </c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IF(Table6220273233373839232444[[#This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IF(Table6220273233373839232444[[#This Row],[Non-Member]]="X"," ",IF(J14=" "," ",IFERROR(VLOOKUP(I14,Points!$A$2:$B$14,2,FALSE)," ")))</f>
        <v xml:space="preserve"> </v>
      </c>
      <c r="L14" s="92"/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IF(Table6220273233373839232444[[#This Row],[Non-Member]]="X"," ",IF(N14=" "," ",IFERROR(VLOOKUP(M14,Points!$A$2:$B$14,2,FALSE)," ")))</f>
        <v xml:space="preserve"> </v>
      </c>
      <c r="P14" s="135"/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IF(Table6220273233373839232444[[#This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IF(Table6220273233373839232444[[#This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IF(Table6220273233373839232444[[#This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IF(Table6220273233373839232444[[#This Row],[Non-Member]]="X"," ",IF(AD14=" "," ",IFERROR(VLOOKUP(AC14,Points!$A$2:$B$14,2,FALSE)," ")))</f>
        <v xml:space="preserve"> </v>
      </c>
      <c r="AF14" s="160"/>
      <c r="AG14" s="97"/>
      <c r="AH14" s="97" t="str">
        <f t="shared" si="14"/>
        <v xml:space="preserve"> </v>
      </c>
      <c r="AI14" s="94" t="str">
        <f>IF(Table6220273233373839232444[[#This Row],[Non-Member]]="X"," ",IF(AH14=" "," ",IFERROR(VLOOKUP(AG14,Points!$A$2:$B$14,2,FALSE)," ")))</f>
        <v xml:space="preserve"> </v>
      </c>
      <c r="AJ14" s="97" t="str">
        <f>IF(Table6220273233373839232444[[#This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5"/>
        <v xml:space="preserve"> </v>
      </c>
      <c r="AL14" s="98" t="str">
        <f t="shared" si="16"/>
        <v xml:space="preserve"> </v>
      </c>
    </row>
    <row r="15" spans="2:38" x14ac:dyDescent="0.3">
      <c r="B15" s="90" t="s">
        <v>166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IF(Table6220273233373839232444[[#This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IF(Table6220273233373839232444[[#This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IF(Table6220273233373839232444[[#This Row],[Non-Member]]="X"," ",IF(N15=" "," ",IFERROR(VLOOKUP(M15,Points!$A$2:$B$14,2,FALSE)," ")))</f>
        <v xml:space="preserve"> </v>
      </c>
      <c r="P15" s="135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IF(Table6220273233373839232444[[#This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IF(Table6220273233373839232444[[#This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IF(Table6220273233373839232444[[#This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IF(Table6220273233373839232444[[#This Row],[Non-Member]]="X"," ",IF(AD15=" "," ",IFERROR(VLOOKUP(AC15,Points!$A$2:$B$14,2,FALSE)," ")))</f>
        <v xml:space="preserve"> </v>
      </c>
      <c r="AF15" s="92"/>
      <c r="AG15" s="93"/>
      <c r="AH15" s="93" t="str">
        <f t="shared" si="14"/>
        <v xml:space="preserve"> </v>
      </c>
      <c r="AI15" s="94" t="str">
        <f>IF(Table6220273233373839232444[[#This Row],[Non-Member]]="X"," ",IF(AH15=" "," ",IFERROR(VLOOKUP(AG15,Points!$A$2:$B$14,2,FALSE)," ")))</f>
        <v xml:space="preserve"> </v>
      </c>
      <c r="AJ15" s="93">
        <f>IF(Table6220273233373839232444[[#This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6" t="str">
        <f t="shared" si="16"/>
        <v xml:space="preserve"> </v>
      </c>
    </row>
    <row r="16" spans="2:38" x14ac:dyDescent="0.3">
      <c r="B16" s="90" t="s">
        <v>168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IF(Table6220273233373839232444[[#This Row],[Non-Member]]="X"," ",IF(N16=" "," ",IFERROR(VLOOKUP(M16,Points!$A$2:$B$14,2,FALSE)," ")))</f>
        <v xml:space="preserve"> </v>
      </c>
      <c r="P16" s="135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 t="shared" ref="AG16:AG24" si="18">IF(OR(AF16=0,AF16=" ")," ",_xlfn.RANK.AVG(AF16,AF$5:AF$24,1)-COUNTIF(AF$5:AF$24,0))</f>
        <v xml:space="preserve"> </v>
      </c>
      <c r="AH16" s="93" t="str">
        <f t="shared" si="14"/>
        <v xml:space="preserve"> </v>
      </c>
      <c r="AI16" s="94" t="str">
        <f>IF(Table6220273233373839232444[[#This Row],[Non-Member]]="X"," ",IF(AH16=" "," ",IFERROR(VLOOKUP(AG16,Points!$A$2:$B$14,2,FALSE)," ")))</f>
        <v xml:space="preserve"> </v>
      </c>
      <c r="AJ16" s="93">
        <f>IF(Table6220273233373839232444[[#This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147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IF(Table6220273233373839232444[[#This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IF(Table6220273233373839232444[[#This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IF(Table6220273233373839232444[[#This Row],[Non-Member]]="X"," ",IF(N17=" "," ",IFERROR(VLOOKUP(M17,Points!$A$2:$B$14,2,FALSE)," ")))</f>
        <v xml:space="preserve"> </v>
      </c>
      <c r="P17" s="135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IF(Table6220273233373839232444[[#This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IF(Table6220273233373839232444[[#This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IF(Table6220273233373839232444[[#This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IF(Table6220273233373839232444[[#This Row],[Non-Member]]="X"," ",IF(AD17=" "," ",IFERROR(VLOOKUP(AC17,Points!$A$2:$B$14,2,FALSE)," ")))</f>
        <v xml:space="preserve"> </v>
      </c>
      <c r="AF17" s="92"/>
      <c r="AG17" s="93" t="str">
        <f t="shared" si="18"/>
        <v xml:space="preserve"> </v>
      </c>
      <c r="AH17" s="93" t="str">
        <f t="shared" si="14"/>
        <v xml:space="preserve"> </v>
      </c>
      <c r="AI17" s="94" t="str">
        <f>IF(Table6220273233373839232444[[#This Row],[Non-Member]]="X"," ",IF(AH17=" "," ",IFERROR(VLOOKUP(AG17,Points!$A$2:$B$14,2,FALSE)," ")))</f>
        <v xml:space="preserve"> </v>
      </c>
      <c r="AJ17" s="93">
        <f>IF(Table6220273233373839232444[[#This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IF(Table6220273233373839232444[[#This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IF(Table6220273233373839232444[[#This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IF(Table6220273233373839232444[[#This Row],[Non-Member]]="X"," ",IF(N18=" "," ",IFERROR(VLOOKUP(M18,Points!$A$2:$B$14,2,FALSE)," ")))</f>
        <v xml:space="preserve"> </v>
      </c>
      <c r="P18" s="135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IF(Table6220273233373839232444[[#This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IF(Table6220273233373839232444[[#This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IF(Table6220273233373839232444[[#This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IF(Table6220273233373839232444[[#This Row],[Non-Member]]="X"," ",IF(AD18=" "," ",IFERROR(VLOOKUP(AC18,Points!$A$2:$B$14,2,FALSE)," ")))</f>
        <v xml:space="preserve"> </v>
      </c>
      <c r="AF18" s="92" t="str">
        <f t="shared" ref="AF18:AF24" si="19">IF(OR(X18=0,AB18=0)," ",X18+AB18)</f>
        <v xml:space="preserve"> </v>
      </c>
      <c r="AG18" s="97" t="str">
        <f t="shared" si="18"/>
        <v xml:space="preserve"> </v>
      </c>
      <c r="AH18" s="97" t="str">
        <f t="shared" si="14"/>
        <v xml:space="preserve"> </v>
      </c>
      <c r="AI18" s="94" t="str">
        <f>IF(Table6220273233373839232444[[#This Row],[Non-Member]]="X"," ",IF(AH18=" "," ",IFERROR(VLOOKUP(AG18,Points!$A$2:$B$14,2,FALSE)," ")))</f>
        <v xml:space="preserve"> </v>
      </c>
      <c r="AJ18" s="97">
        <f>IF(Table6220273233373839232444[[#This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8" t="str">
        <f t="shared" si="16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IF(Table6220273233373839232444[[#This Row],[Non-Member]]="X"," ",IF(N19=" "," ",IFERROR(VLOOKUP(M19,Points!$A$2:$B$14,2,FALSE)," ")))</f>
        <v xml:space="preserve"> </v>
      </c>
      <c r="P19" s="13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IF(Table6220273233373839232444[[#This Row],[Non-Member]]="X"," ",IF(AD19=" "," ",IFERROR(VLOOKUP(AC19,Points!$A$2:$B$14,2,FALSE)," ")))</f>
        <v xml:space="preserve"> </v>
      </c>
      <c r="AF19" s="92" t="str">
        <f t="shared" si="19"/>
        <v xml:space="preserve"> </v>
      </c>
      <c r="AG19" s="93" t="str">
        <f t="shared" si="18"/>
        <v xml:space="preserve"> </v>
      </c>
      <c r="AH19" s="93" t="str">
        <f t="shared" si="14"/>
        <v xml:space="preserve"> </v>
      </c>
      <c r="AI19" s="94" t="str">
        <f>IF(Table6220273233373839232444[[#This Row],[Non-Member]]="X"," ",IF(AH19=" "," ",IFERROR(VLOOKUP(AG19,Points!$A$2:$B$14,2,FALSE)," ")))</f>
        <v xml:space="preserve"> </v>
      </c>
      <c r="AJ19" s="93">
        <f>IF(Table6220273233373839232444[[#This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IF(Table6220273233373839232444[[#This Row],[Non-Member]]="X"," ",IF(N20=" "," ",IFERROR(VLOOKUP(M20,Points!$A$2:$B$14,2,FALSE)," ")))</f>
        <v xml:space="preserve"> </v>
      </c>
      <c r="P20" s="13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IF(Table6220273233373839232444[[#This Row],[Non-Member]]="X"," ",IF(AD20=" "," ",IFERROR(VLOOKUP(AC20,Points!$A$2:$B$14,2,FALSE)," ")))</f>
        <v xml:space="preserve"> </v>
      </c>
      <c r="AF20" s="92" t="str">
        <f t="shared" si="19"/>
        <v xml:space="preserve"> </v>
      </c>
      <c r="AG20" s="93" t="str">
        <f t="shared" si="18"/>
        <v xml:space="preserve"> </v>
      </c>
      <c r="AH20" s="93" t="str">
        <f t="shared" si="14"/>
        <v xml:space="preserve"> </v>
      </c>
      <c r="AI20" s="94" t="str">
        <f>IF(Table6220273233373839232444[[#This Row],[Non-Member]]="X"," ",IF(AH20=" "," ",IFERROR(VLOOKUP(AG20,Points!$A$2:$B$14,2,FALSE)," ")))</f>
        <v xml:space="preserve"> </v>
      </c>
      <c r="AJ20" s="93">
        <f>IF(Table6220273233373839232444[[#This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IF(Table6220273233373839232444[[#This Row],[Non-Member]]="X"," ",IF(AD21=" "," ",IFERROR(VLOOKUP(AC21,Points!$A$2:$B$14,2,FALSE)," ")))</f>
        <v xml:space="preserve"> </v>
      </c>
      <c r="AF21" s="92" t="str">
        <f t="shared" si="19"/>
        <v xml:space="preserve"> </v>
      </c>
      <c r="AG21" s="93" t="str">
        <f t="shared" si="18"/>
        <v xml:space="preserve"> </v>
      </c>
      <c r="AH21" s="93" t="str">
        <f t="shared" si="14"/>
        <v xml:space="preserve"> </v>
      </c>
      <c r="AI21" s="94" t="str">
        <f>IF(Table6220273233373839232444[[#This Row],[Non-Member]]="X"," ",IF(AH21=" "," ",IFERROR(VLOOKUP(AG21,Points!$A$2:$B$14,2,FALSE)," ")))</f>
        <v xml:space="preserve"> </v>
      </c>
      <c r="AJ21" s="93">
        <f>IF(Table6220273233373839232444[[#This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IF(Table6220273233373839232444[[#This Row],[Non-Member]]="X"," ",IF(AD22=" "," ",IFERROR(VLOOKUP(AC22,Points!$A$2:$B$14,2,FALSE)," ")))</f>
        <v xml:space="preserve"> </v>
      </c>
      <c r="AF22" s="92" t="str">
        <f t="shared" si="19"/>
        <v xml:space="preserve"> </v>
      </c>
      <c r="AG22" s="93" t="str">
        <f t="shared" si="18"/>
        <v xml:space="preserve"> </v>
      </c>
      <c r="AH22" s="93" t="str">
        <f t="shared" si="14"/>
        <v xml:space="preserve"> </v>
      </c>
      <c r="AI22" s="94" t="str">
        <f>IF(Table6220273233373839232444[[#This Row],[Non-Member]]="X"," ",IF(AH22=" "," ",IFERROR(VLOOKUP(AG22,Points!$A$2:$B$14,2,FALSE)," ")))</f>
        <v xml:space="preserve"> </v>
      </c>
      <c r="AJ22" s="93">
        <f>IF(Table6220273233373839232444[[#This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IF(Table6220273233373839232444[[#This Row],[Non-Member]]="X"," ",IF(AD23=" "," ",IFERROR(VLOOKUP(AC23,Points!$A$2:$B$14,2,FALSE)," ")))</f>
        <v xml:space="preserve"> </v>
      </c>
      <c r="AF23" s="92" t="str">
        <f t="shared" si="19"/>
        <v xml:space="preserve"> </v>
      </c>
      <c r="AG23" s="93" t="str">
        <f t="shared" si="18"/>
        <v xml:space="preserve"> </v>
      </c>
      <c r="AH23" s="93" t="str">
        <f t="shared" si="14"/>
        <v xml:space="preserve"> </v>
      </c>
      <c r="AI23" s="94" t="str">
        <f>IF(Table6220273233373839232444[[#This Row],[Non-Member]]="X"," ",IF(AH23=" "," ",IFERROR(VLOOKUP(AG23,Points!$A$2:$B$14,2,FALSE)," ")))</f>
        <v xml:space="preserve"> </v>
      </c>
      <c r="AJ23" s="93">
        <f>IF(Table6220273233373839232444[[#This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IF(Table6220273233373839232444[[#This Row],[Non-Member]]="X"," ",IF(AD24=" "," ",IFERROR(VLOOKUP(AC24,Points!$A$2:$B$14,2,FALSE)," ")))</f>
        <v xml:space="preserve"> </v>
      </c>
      <c r="AF24" s="102" t="str">
        <f t="shared" si="19"/>
        <v xml:space="preserve"> </v>
      </c>
      <c r="AG24" s="103" t="str">
        <f t="shared" si="18"/>
        <v xml:space="preserve"> </v>
      </c>
      <c r="AH24" s="103" t="str">
        <f t="shared" si="14"/>
        <v xml:space="preserve"> </v>
      </c>
      <c r="AI24" s="104" t="str">
        <f>IF(Table6220273233373839232444[[#This Row],[Non-Member]]="X"," ",IF(AH24=" "," ",IFERROR(VLOOKUP(AG24,Points!$A$2:$B$14,2,FALSE)," ")))</f>
        <v xml:space="preserve"> </v>
      </c>
      <c r="AJ24" s="93">
        <f>IF(Table6220273233373839232444[[#This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7JOWDPShmnPziBl4Zl+Y2qSYnkhTvYcWcw0BIfa/7i4y7QwJOP0KrChWJ8nv5suwR2k5sppVqqn20imO2i1W3g==" saltValue="znMuqM7GPmNjf+FkmO5rc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9">
    <tabColor theme="9" tint="0.79998168889431442"/>
    <pageSetUpPr fitToPage="1"/>
  </sheetPr>
  <dimension ref="B1:AL29"/>
  <sheetViews>
    <sheetView showGridLines="0" tabSelected="1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118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279</v>
      </c>
      <c r="C5" s="84"/>
      <c r="D5" s="85"/>
      <c r="E5" s="86" t="str">
        <f>IF(D5=0," ",_xlfn.RANK.AVG(D5,D$5:D$24,1)-COUNTIF(D$5:D$24,0))</f>
        <v xml:space="preserve"> </v>
      </c>
      <c r="F5" s="86" t="str">
        <f>IF(D5=0," ",IF((RANK(D5,D$5:D$24,1)-COUNTIF(D$5:D$24,0)&gt;6)," ",RANK(D5,D$5:D$24,1)-COUNTIF(D$5:D$24,0)))</f>
        <v xml:space="preserve"> </v>
      </c>
      <c r="G5" s="87" t="str">
        <f>IF(Table622027323337214147[[#This Row],[Non-Member]]="X"," ",IF(F5=" "," ",IFERROR(VLOOKUP(E5,Points!$A$2:$B$14,2,FALSE)," ")))</f>
        <v xml:space="preserve"> </v>
      </c>
      <c r="H5" s="85"/>
      <c r="I5" s="86" t="str">
        <f t="shared" ref="I5:I24" si="0">IF(H5=0," ",_xlfn.RANK.AVG(H5,H$5:H$24,1)-COUNTIF(H$5:H$24,0))</f>
        <v xml:space="preserve"> </v>
      </c>
      <c r="J5" s="86" t="str">
        <f t="shared" ref="J5:J24" si="1">IF(H5=0," ",IF((RANK(H5,H$5:H$24,1)-COUNTIF(H$5:H$24,0)&gt;6)," ",RANK(H5,H$5:H$24,1)-COUNTIF(H$5:H$24,0)))</f>
        <v xml:space="preserve"> </v>
      </c>
      <c r="K5" s="87" t="str">
        <f>IF(Table622027323337214147[[#This Row],[Non-Member]]="X"," ",IF(J5=" "," ",IFERROR(VLOOKUP(I5,Points!$A$2:$B$14,2,FALSE)," ")))</f>
        <v xml:space="preserve"> </v>
      </c>
      <c r="L5" s="85">
        <v>18.314</v>
      </c>
      <c r="M5" s="86">
        <f t="shared" ref="M5:M24" si="2">IF(L5=0," ",_xlfn.RANK.AVG(L5,L$5:L$24,1)-COUNTIF(L$5:L$24,0))</f>
        <v>1</v>
      </c>
      <c r="N5" s="86">
        <f t="shared" ref="N5:N24" si="3">IF(L5=0," ",IF((RANK(L5,L$5:L$24,1)-COUNTIF(L$5:L$24,0)&gt;6)," ",RANK(L5,L$5:L$24,1)-COUNTIF(L$5:L$24,0)))</f>
        <v>1</v>
      </c>
      <c r="O5" s="87">
        <f>IF(Table622027323337214147[[#This Row],[Non-Member]]="X"," ",IF(N5=" "," ",IFERROR(VLOOKUP(M5,Points!$A$2:$B$14,2,FALSE)," ")))</f>
        <v>18</v>
      </c>
      <c r="P5" s="85">
        <v>18.431000000000001</v>
      </c>
      <c r="Q5" s="86">
        <f t="shared" ref="Q5:Q24" si="4">IF(P5=0," ",_xlfn.RANK.AVG(P5,P$5:P$24,1)-COUNTIF(P$5:P$24,0))</f>
        <v>1</v>
      </c>
      <c r="R5" s="86">
        <f t="shared" ref="R5:R24" si="5">IF(P5=0," ",IF((RANK(P5,P$5:P$24,1)-COUNTIF(P$5:P$24,0)&gt;6)," ",RANK(P5,P$5:P$24,1)-COUNTIF(P$5:P$24,0)))</f>
        <v>1</v>
      </c>
      <c r="S5" s="87">
        <f>IF(Table622027323337214147[[#This Row],[Non-Member]]="X"," ",IF(R5=" "," ",IFERROR(VLOOKUP(Q5,Points!$A$2:$B$14,2,FALSE)," ")))</f>
        <v>18</v>
      </c>
      <c r="T5" s="85"/>
      <c r="U5" s="86" t="str">
        <f t="shared" ref="U5:U24" si="6">IF(T5=0," ",_xlfn.RANK.AVG(T5,T$5:T$24,1)-COUNTIF(T$5:T$24,0))</f>
        <v xml:space="preserve"> </v>
      </c>
      <c r="V5" s="86" t="str">
        <f t="shared" ref="V5:V24" si="7">IF(T5=0," ",IF((RANK(T5,T$5:T$24,1)-COUNTIF(T$5:T$24,0)&gt;6)," ",RANK(T5,T$5:T$24,1)-COUNTIF(T$5:T$24,0)))</f>
        <v xml:space="preserve"> </v>
      </c>
      <c r="W5" s="87" t="str">
        <f>IF(Table622027323337214147[[#This Row],[Non-Member]]="X"," ",IF(V5=" "," ",IFERROR(VLOOKUP(U5,Points!$A$2:$B$14,2,FALSE)," ")))</f>
        <v xml:space="preserve"> </v>
      </c>
      <c r="X5" s="85"/>
      <c r="Y5" s="86" t="str">
        <f t="shared" ref="Y5:Y24" si="8">IF(X5=0," ",_xlfn.RANK.AVG(X5,X$5:X$24,1)-COUNTIF(X$5:X$24,0))</f>
        <v xml:space="preserve"> </v>
      </c>
      <c r="Z5" s="86" t="str">
        <f t="shared" ref="Z5:Z24" si="9">IF(X5=0," ",IF((RANK(X5,X$5:X$24,1)-COUNTIF(X$5:X$24,0)&gt;6)," ",RANK(X5,X$5:X$24,1)-COUNTIF(X$5:X$24,0)))</f>
        <v xml:space="preserve"> </v>
      </c>
      <c r="AA5" s="87" t="str">
        <f>IF(Table622027323337214147[[#This Row],[Non-Member]]="X"," ",IF(Z5=" "," ",IFERROR(VLOOKUP(Y5,Points!$A$2:$B$14,2,FALSE)," ")))</f>
        <v xml:space="preserve"> </v>
      </c>
      <c r="AB5" s="85"/>
      <c r="AC5" s="86" t="str">
        <f t="shared" ref="AC5:AC24" si="10">IF(AB5=0," ",_xlfn.RANK.AVG(AB5,AB$5:AB$24,1)-COUNTIF(AB$5:AB$24,0))</f>
        <v xml:space="preserve"> </v>
      </c>
      <c r="AD5" s="86" t="str">
        <f t="shared" ref="AD5:AD24" si="11">IF(AB5=0," ",IF((RANK(AB5,AB$5:AB$24,1)-COUNTIF(AB$5:AB$24,0)&gt;6)," ",RANK(AB5,AB$5:AB$24,1)-COUNTIF(AB$5:AB$24,0)))</f>
        <v xml:space="preserve"> </v>
      </c>
      <c r="AE5" s="87" t="str">
        <f>IF(Table622027323337214147[[#This Row],[Non-Member]]="X"," ",IF(AD5=" "," ",IFERROR(VLOOKUP(AC5,Points!$A$2:$B$14,2,FALSE)," ")))</f>
        <v xml:space="preserve"> </v>
      </c>
      <c r="AF5" s="85" t="str">
        <f t="shared" ref="AF5:AF24" si="12">IF(OR(X5=0,AB5=0)," ",X5+AB5)</f>
        <v xml:space="preserve"> </v>
      </c>
      <c r="AG5" s="86" t="str">
        <f t="shared" ref="AG5:AG24" si="13">IF(OR(AF5=0,AF5=" ")," ",_xlfn.RANK.AVG(AF5,AF$5:AF$24,1)-COUNTIF(AF$5:AF$24,0))</f>
        <v xml:space="preserve"> </v>
      </c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IF(Table622027323337214147[[#This Row],[Non-Member]]="X"," ",IF(AH5=" "," ",IFERROR(VLOOKUP(AG5,Points!$A$2:$B$14,2,FALSE)," ")))</f>
        <v xml:space="preserve"> </v>
      </c>
      <c r="AJ5" s="86">
        <f>IF(Table622027323337214147[[#This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5">IF(AJ5=0," ",AJ5)</f>
        <v>36</v>
      </c>
      <c r="AL5" s="89">
        <f t="shared" ref="AL5:AL24" si="16">IF(AK5=" "," ",RANK(AK5,$AK$5:$AK$24))</f>
        <v>1</v>
      </c>
    </row>
    <row r="6" spans="2:38" x14ac:dyDescent="0.3">
      <c r="B6" s="90" t="s">
        <v>167</v>
      </c>
      <c r="C6" s="91"/>
      <c r="D6" s="92"/>
      <c r="E6" s="93" t="str">
        <f>IF(D6=0," ",_xlfn.RANK.AVG(D6,D$5:D$24,1)-COUNTIF(D$5:D$24,0))</f>
        <v xml:space="preserve"> </v>
      </c>
      <c r="F6" s="93" t="str">
        <f>IF(D6=0," ",IF((RANK(D6,D$5:D$24,1)-COUNTIF(D$5:D$24,0)&gt;6)," ",RANK(D6,D$5:D$24,1)-COUNTIF(D$5:D$24,0)))</f>
        <v xml:space="preserve"> </v>
      </c>
      <c r="G6" s="94" t="str">
        <f>IF(Table622027323337214147[[#This Row],[Non-Member]]="X"," ",IF(F6=" "," ",IFERROR(VLOOKUP(E6,Points!$A$2:$B$14,2,FALSE)," ")))</f>
        <v xml:space="preserve"> </v>
      </c>
      <c r="H6" s="92">
        <v>18.004999999999999</v>
      </c>
      <c r="I6" s="93">
        <f t="shared" si="0"/>
        <v>1</v>
      </c>
      <c r="J6" s="93">
        <f t="shared" si="1"/>
        <v>1</v>
      </c>
      <c r="K6" s="94">
        <f>IF(Table622027323337214147[[#This Row],[Non-Member]]="X"," ",IF(J6=" "," ",IFERROR(VLOOKUP(I6,Points!$A$2:$B$14,2,FALSE)," ")))</f>
        <v>18</v>
      </c>
      <c r="L6" s="92">
        <v>20.428999999999998</v>
      </c>
      <c r="M6" s="93">
        <f t="shared" si="2"/>
        <v>5</v>
      </c>
      <c r="N6" s="93">
        <f t="shared" si="3"/>
        <v>5</v>
      </c>
      <c r="O6" s="94">
        <f>IF(Table622027323337214147[[#This Row],[Non-Member]]="X"," ",IF(N6=" "," ",IFERROR(VLOOKUP(M6,Points!$A$2:$B$14,2,FALSE)," ")))</f>
        <v>6</v>
      </c>
      <c r="P6" s="92">
        <v>19.658999999999999</v>
      </c>
      <c r="Q6" s="93">
        <f t="shared" si="4"/>
        <v>5</v>
      </c>
      <c r="R6" s="93">
        <f t="shared" si="5"/>
        <v>5</v>
      </c>
      <c r="S6" s="94">
        <f>IF(Table622027323337214147[[#This Row],[Non-Member]]="X"," ",IF(R6=" "," ",IFERROR(VLOOKUP(Q6,Points!$A$2:$B$14,2,FALSE)," ")))</f>
        <v>6</v>
      </c>
      <c r="T6" s="92"/>
      <c r="U6" s="93" t="str">
        <f t="shared" si="6"/>
        <v xml:space="preserve"> </v>
      </c>
      <c r="V6" s="93" t="str">
        <f t="shared" si="7"/>
        <v xml:space="preserve"> </v>
      </c>
      <c r="W6" s="94" t="str">
        <f>IF(Table622027323337214147[[#This Row],[Non-Member]]="X"," ",IF(V6=" "," ",IFERROR(VLOOKUP(U6,Points!$A$2:$B$14,2,FALSE)," ")))</f>
        <v xml:space="preserve"> </v>
      </c>
      <c r="X6" s="92"/>
      <c r="Y6" s="93" t="str">
        <f t="shared" si="8"/>
        <v xml:space="preserve"> </v>
      </c>
      <c r="Z6" s="93" t="str">
        <f t="shared" si="9"/>
        <v xml:space="preserve"> </v>
      </c>
      <c r="AA6" s="94" t="str">
        <f>IF(Table622027323337214147[[#This Row],[Non-Member]]="X"," ",IF(Z6=" "," ",IFERROR(VLOOKUP(Y6,Points!$A$2:$B$14,2,FALSE)," ")))</f>
        <v xml:space="preserve"> </v>
      </c>
      <c r="AB6" s="92"/>
      <c r="AC6" s="93" t="str">
        <f t="shared" si="10"/>
        <v xml:space="preserve"> </v>
      </c>
      <c r="AD6" s="93" t="str">
        <f t="shared" si="11"/>
        <v xml:space="preserve"> </v>
      </c>
      <c r="AE6" s="94" t="str">
        <f>IF(Table622027323337214147[[#This Row],[Non-Member]]="X"," ",IF(AD6=" "," ",IFERROR(VLOOKUP(AC6,Points!$A$2:$B$14,2,FALSE)," ")))</f>
        <v xml:space="preserve"> </v>
      </c>
      <c r="AF6" s="92" t="str">
        <f t="shared" si="12"/>
        <v xml:space="preserve"> </v>
      </c>
      <c r="AG6" s="93" t="str">
        <f t="shared" si="13"/>
        <v xml:space="preserve"> </v>
      </c>
      <c r="AH6" s="93" t="str">
        <f t="shared" si="14"/>
        <v xml:space="preserve"> </v>
      </c>
      <c r="AI6" s="94" t="str">
        <f>IF(Table622027323337214147[[#This Row],[Non-Member]]="X"," ",IF(AH6=" "," ",IFERROR(VLOOKUP(AG6,Points!$A$2:$B$14,2,FALSE)," ")))</f>
        <v xml:space="preserve"> </v>
      </c>
      <c r="AJ6" s="93">
        <f>IF(Table622027323337214147[[#This Row],[Non-Member]]="X"," ",((IF(G6=" ",0,G6))+(IF(K6=" ",0,K6))+(IF(O6=" ",0,O6))+(IF(S6=" ",0,S6))+(IF(W6=" ",0,W6))+(IF(AA6=" ",0,AA6))+(IF(AE6=" ",0,AE6))+(IF(AI6=" ",0,AI6))))</f>
        <v>30</v>
      </c>
      <c r="AK6" s="95">
        <f t="shared" si="15"/>
        <v>30</v>
      </c>
      <c r="AL6" s="96">
        <f t="shared" si="16"/>
        <v>2</v>
      </c>
    </row>
    <row r="7" spans="2:38" x14ac:dyDescent="0.3">
      <c r="B7" s="90" t="s">
        <v>280</v>
      </c>
      <c r="C7" s="91"/>
      <c r="D7" s="92"/>
      <c r="E7" s="97" t="str">
        <f>IF(D7=0," ",_xlfn.RANK.AVG(D7,D$5:D$24,1)-COUNTIF(D$5:D$24,0))</f>
        <v xml:space="preserve"> </v>
      </c>
      <c r="F7" s="97" t="str">
        <f>IF(D7=0," ",IF((RANK(D7,D$5:D$24,1)-COUNTIF(D$5:D$24,0)&gt;6)," ",RANK(D7,D$5:D$24,1)-COUNTIF(D$5:D$24,0)))</f>
        <v xml:space="preserve"> </v>
      </c>
      <c r="G7" s="94" t="str">
        <f>IF(Table622027323337214147[[#This Row],[Non-Member]]="X"," ",IF(F7=" "," ",IFERROR(VLOOKUP(E7,Points!$A$2:$B$14,2,FALSE)," ")))</f>
        <v xml:space="preserve"> </v>
      </c>
      <c r="H7" s="92"/>
      <c r="I7" s="97" t="str">
        <f t="shared" si="0"/>
        <v xml:space="preserve"> </v>
      </c>
      <c r="J7" s="97" t="str">
        <f t="shared" si="1"/>
        <v xml:space="preserve"> </v>
      </c>
      <c r="K7" s="94" t="str">
        <f>IF(Table622027323337214147[[#This Row],[Non-Member]]="X"," ",IF(J7=" "," ",IFERROR(VLOOKUP(I7,Points!$A$2:$B$14,2,FALSE)," ")))</f>
        <v xml:space="preserve"> </v>
      </c>
      <c r="L7" s="92">
        <v>19.260999999999999</v>
      </c>
      <c r="M7" s="97">
        <f t="shared" si="2"/>
        <v>4</v>
      </c>
      <c r="N7" s="97">
        <f t="shared" si="3"/>
        <v>4</v>
      </c>
      <c r="O7" s="94">
        <f>IF(Table622027323337214147[[#This Row],[Non-Member]]="X"," ",IF(N7=" "," ",IFERROR(VLOOKUP(M7,Points!$A$2:$B$14,2,FALSE)," ")))</f>
        <v>9</v>
      </c>
      <c r="P7" s="92">
        <v>18.673999999999999</v>
      </c>
      <c r="Q7" s="97">
        <f t="shared" si="4"/>
        <v>2</v>
      </c>
      <c r="R7" s="97">
        <f t="shared" si="5"/>
        <v>2</v>
      </c>
      <c r="S7" s="94">
        <f>IF(Table622027323337214147[[#This Row],[Non-Member]]="X"," ",IF(R7=" "," ",IFERROR(VLOOKUP(Q7,Points!$A$2:$B$14,2,FALSE)," ")))</f>
        <v>15</v>
      </c>
      <c r="T7" s="92"/>
      <c r="U7" s="97" t="str">
        <f t="shared" si="6"/>
        <v xml:space="preserve"> </v>
      </c>
      <c r="V7" s="97" t="str">
        <f t="shared" si="7"/>
        <v xml:space="preserve"> </v>
      </c>
      <c r="W7" s="94" t="str">
        <f>IF(Table622027323337214147[[#This Row],[Non-Member]]="X"," ",IF(V7=" "," ",IFERROR(VLOOKUP(U7,Points!$A$2:$B$14,2,FALSE)," ")))</f>
        <v xml:space="preserve"> </v>
      </c>
      <c r="X7" s="92"/>
      <c r="Y7" s="97" t="str">
        <f t="shared" si="8"/>
        <v xml:space="preserve"> </v>
      </c>
      <c r="Z7" s="97" t="str">
        <f t="shared" si="9"/>
        <v xml:space="preserve"> </v>
      </c>
      <c r="AA7" s="94" t="str">
        <f>IF(Table622027323337214147[[#This Row],[Non-Member]]="X"," ",IF(Z7=" "," ",IFERROR(VLOOKUP(Y7,Points!$A$2:$B$14,2,FALSE)," ")))</f>
        <v xml:space="preserve"> </v>
      </c>
      <c r="AB7" s="92"/>
      <c r="AC7" s="97" t="str">
        <f t="shared" si="10"/>
        <v xml:space="preserve"> </v>
      </c>
      <c r="AD7" s="97" t="str">
        <f t="shared" si="11"/>
        <v xml:space="preserve"> </v>
      </c>
      <c r="AE7" s="94" t="str">
        <f>IF(Table622027323337214147[[#This Row],[Non-Member]]="X"," ",IF(AD7=" "," ",IFERROR(VLOOKUP(AC7,Points!$A$2:$B$14,2,FALSE)," ")))</f>
        <v xml:space="preserve"> </v>
      </c>
      <c r="AF7" s="92" t="str">
        <f t="shared" si="12"/>
        <v xml:space="preserve"> </v>
      </c>
      <c r="AG7" s="97" t="str">
        <f t="shared" si="13"/>
        <v xml:space="preserve"> </v>
      </c>
      <c r="AH7" s="97" t="str">
        <f t="shared" si="14"/>
        <v xml:space="preserve"> </v>
      </c>
      <c r="AI7" s="94" t="str">
        <f>IF(Table622027323337214147[[#This Row],[Non-Member]]="X"," ",IF(AH7=" "," ",IFERROR(VLOOKUP(AG7,Points!$A$2:$B$14,2,FALSE)," ")))</f>
        <v xml:space="preserve"> </v>
      </c>
      <c r="AJ7" s="97">
        <f>IF(Table622027323337214147[[#This Row],[Non-Member]]="X"," ",((IF(G7=" ",0,G7))+(IF(K7=" ",0,K7))+(IF(O7=" ",0,O7))+(IF(S7=" ",0,S7))+(IF(W7=" ",0,W7))+(IF(AA7=" ",0,AA7))+(IF(AE7=" ",0,AE7))+(IF(AI7=" ",0,AI7))))</f>
        <v>24</v>
      </c>
      <c r="AK7" s="95">
        <f t="shared" si="15"/>
        <v>24</v>
      </c>
      <c r="AL7" s="98">
        <f t="shared" si="16"/>
        <v>3</v>
      </c>
    </row>
    <row r="8" spans="2:38" x14ac:dyDescent="0.3">
      <c r="B8" s="90" t="s">
        <v>164</v>
      </c>
      <c r="C8" s="91"/>
      <c r="D8" s="92"/>
      <c r="E8" s="93"/>
      <c r="F8" s="93"/>
      <c r="G8" s="94"/>
      <c r="H8" s="92">
        <v>29.786000000000001</v>
      </c>
      <c r="I8" s="93">
        <f t="shared" si="0"/>
        <v>11</v>
      </c>
      <c r="J8" s="93" t="str">
        <f t="shared" si="1"/>
        <v xml:space="preserve"> </v>
      </c>
      <c r="K8" s="94" t="str">
        <f>IF(Table622027323337214147[[#This Row],[Non-Member]]="X"," ",IF(J8=" "," ",IFERROR(VLOOKUP(I8,Points!$A$2:$B$14,2,FALSE)," ")))</f>
        <v xml:space="preserve"> </v>
      </c>
      <c r="L8" s="92">
        <v>18.792999999999999</v>
      </c>
      <c r="M8" s="93">
        <f t="shared" si="2"/>
        <v>2</v>
      </c>
      <c r="N8" s="93">
        <f t="shared" si="3"/>
        <v>2</v>
      </c>
      <c r="O8" s="94">
        <f>IF(Table622027323337214147[[#This Row],[Non-Member]]="X"," ",IF(N8=" "," ",IFERROR(VLOOKUP(M8,Points!$A$2:$B$14,2,FALSE)," ")))</f>
        <v>15</v>
      </c>
      <c r="P8" s="92">
        <v>18.97</v>
      </c>
      <c r="Q8" s="93">
        <f t="shared" si="4"/>
        <v>4</v>
      </c>
      <c r="R8" s="93">
        <f t="shared" si="5"/>
        <v>4</v>
      </c>
      <c r="S8" s="94">
        <f>IF(Table622027323337214147[[#This Row],[Non-Member]]="X"," ",IF(R8=" "," ",IFERROR(VLOOKUP(Q8,Points!$A$2:$B$14,2,FALSE)," ")))</f>
        <v>9</v>
      </c>
      <c r="T8" s="92"/>
      <c r="U8" s="93" t="str">
        <f t="shared" si="6"/>
        <v xml:space="preserve"> </v>
      </c>
      <c r="V8" s="93" t="str">
        <f t="shared" si="7"/>
        <v xml:space="preserve"> </v>
      </c>
      <c r="W8" s="94" t="str">
        <f>IF(Table622027323337214147[[#This Row],[Non-Member]]="X"," ",IF(V8=" "," ",IFERROR(VLOOKUP(U8,Points!$A$2:$B$14,2,FALSE)," ")))</f>
        <v xml:space="preserve"> </v>
      </c>
      <c r="X8" s="92"/>
      <c r="Y8" s="93" t="str">
        <f t="shared" si="8"/>
        <v xml:space="preserve"> </v>
      </c>
      <c r="Z8" s="93" t="str">
        <f t="shared" si="9"/>
        <v xml:space="preserve"> </v>
      </c>
      <c r="AA8" s="94" t="str">
        <f>IF(Table622027323337214147[[#This Row],[Non-Member]]="X"," ",IF(Z8=" "," ",IFERROR(VLOOKUP(Y8,Points!$A$2:$B$14,2,FALSE)," ")))</f>
        <v xml:space="preserve"> </v>
      </c>
      <c r="AB8" s="92"/>
      <c r="AC8" s="93" t="str">
        <f t="shared" si="10"/>
        <v xml:space="preserve"> </v>
      </c>
      <c r="AD8" s="93" t="str">
        <f t="shared" si="11"/>
        <v xml:space="preserve"> </v>
      </c>
      <c r="AE8" s="94" t="str">
        <f>IF(Table622027323337214147[[#This Row],[Non-Member]]="X"," ",IF(AD8=" "," ",IFERROR(VLOOKUP(AC8,Points!$A$2:$B$14,2,FALSE)," ")))</f>
        <v xml:space="preserve"> </v>
      </c>
      <c r="AF8" s="92" t="str">
        <f t="shared" si="12"/>
        <v xml:space="preserve"> </v>
      </c>
      <c r="AG8" s="93" t="str">
        <f t="shared" si="13"/>
        <v xml:space="preserve"> </v>
      </c>
      <c r="AH8" s="93" t="str">
        <f t="shared" si="14"/>
        <v xml:space="preserve"> </v>
      </c>
      <c r="AI8" s="94" t="str">
        <f>IF(Table622027323337214147[[#This Row],[Non-Member]]="X"," ",IF(AH8=" "," ",IFERROR(VLOOKUP(AG8,Points!$A$2:$B$14,2,FALSE)," ")))</f>
        <v xml:space="preserve"> </v>
      </c>
      <c r="AJ8" s="93">
        <f>IF(Table622027323337214147[[#This Row],[Non-Member]]="X"," ",((IF(G8=" ",0,G8))+(IF(K8=" ",0,K8))+(IF(O8=" ",0,O8))+(IF(S8=" ",0,S8))+(IF(W8=" ",0,W8))+(IF(AA8=" ",0,AA8))+(IF(AE8=" ",0,AE8))+(IF(AI8=" ",0,AI8))))</f>
        <v>24</v>
      </c>
      <c r="AK8" s="95">
        <f t="shared" si="15"/>
        <v>24</v>
      </c>
      <c r="AL8" s="96">
        <f t="shared" si="16"/>
        <v>3</v>
      </c>
    </row>
    <row r="9" spans="2:38" x14ac:dyDescent="0.3">
      <c r="B9" s="90" t="s">
        <v>163</v>
      </c>
      <c r="C9" s="91"/>
      <c r="D9" s="92"/>
      <c r="E9" s="93" t="str">
        <f t="shared" ref="E9:E24" si="17">IF(D9=0," ",_xlfn.RANK.AVG(D9,D$5:D$24,1)-COUNTIF(D$5:D$24,0))</f>
        <v xml:space="preserve"> </v>
      </c>
      <c r="F9" s="93" t="str">
        <f t="shared" ref="F9:F24" si="18">IF(D9=0," ",IF((RANK(D9,D$5:D$24,1)-COUNTIF(D$5:D$24,0)&gt;6)," ",RANK(D9,D$5:D$24,1)-COUNTIF(D$5:D$24,0)))</f>
        <v xml:space="preserve"> </v>
      </c>
      <c r="G9" s="94" t="str">
        <f>IF(Table622027323337214147[[#This Row],[Non-Member]]="X"," ",IF(F9=" "," ",IFERROR(VLOOKUP(E9,Points!$A$2:$B$14,2,FALSE)," ")))</f>
        <v xml:space="preserve"> </v>
      </c>
      <c r="H9" s="137">
        <v>0</v>
      </c>
      <c r="I9" s="93" t="str">
        <f t="shared" si="0"/>
        <v xml:space="preserve"> </v>
      </c>
      <c r="J9" s="93" t="str">
        <f t="shared" si="1"/>
        <v xml:space="preserve"> </v>
      </c>
      <c r="K9" s="94" t="str">
        <f>IF(Table622027323337214147[[#This Row],[Non-Member]]="X"," ",IF(J9=" "," ",IFERROR(VLOOKUP(I9,Points!$A$2:$B$14,2,FALSE)," ")))</f>
        <v xml:space="preserve"> </v>
      </c>
      <c r="L9" s="92">
        <v>19.042000000000002</v>
      </c>
      <c r="M9" s="93">
        <f t="shared" si="2"/>
        <v>3</v>
      </c>
      <c r="N9" s="93">
        <f t="shared" si="3"/>
        <v>3</v>
      </c>
      <c r="O9" s="94">
        <f>IF(Table622027323337214147[[#This Row],[Non-Member]]="X"," ",IF(N9=" "," ",IFERROR(VLOOKUP(M9,Points!$A$2:$B$14,2,FALSE)," ")))</f>
        <v>12</v>
      </c>
      <c r="P9" s="92">
        <v>18.795999999999999</v>
      </c>
      <c r="Q9" s="93">
        <f t="shared" si="4"/>
        <v>3</v>
      </c>
      <c r="R9" s="93">
        <f t="shared" si="5"/>
        <v>3</v>
      </c>
      <c r="S9" s="94">
        <f>IF(Table622027323337214147[[#This Row],[Non-Member]]="X"," ",IF(R9=" "," ",IFERROR(VLOOKUP(Q9,Points!$A$2:$B$14,2,FALSE)," ")))</f>
        <v>12</v>
      </c>
      <c r="T9" s="92"/>
      <c r="U9" s="93" t="str">
        <f t="shared" si="6"/>
        <v xml:space="preserve"> </v>
      </c>
      <c r="V9" s="93" t="str">
        <f t="shared" si="7"/>
        <v xml:space="preserve"> </v>
      </c>
      <c r="W9" s="99" t="str">
        <f>IF(Table622027323337214147[[#This Row],[Non-Member]]="X"," ",IF(V9=" "," ",IFERROR(VLOOKUP(U9,Points!$A$2:$B$14,2,FALSE)," ")))</f>
        <v xml:space="preserve"> </v>
      </c>
      <c r="X9" s="92"/>
      <c r="Y9" s="93" t="str">
        <f t="shared" si="8"/>
        <v xml:space="preserve"> </v>
      </c>
      <c r="Z9" s="93" t="str">
        <f t="shared" si="9"/>
        <v xml:space="preserve"> </v>
      </c>
      <c r="AA9" s="94" t="str">
        <f>IF(Table622027323337214147[[#This Row],[Non-Member]]="X"," ",IF(Z9=" "," ",IFERROR(VLOOKUP(Y9,Points!$A$2:$B$14,2,FALSE)," ")))</f>
        <v xml:space="preserve"> </v>
      </c>
      <c r="AB9" s="92"/>
      <c r="AC9" s="93" t="str">
        <f t="shared" si="10"/>
        <v xml:space="preserve"> </v>
      </c>
      <c r="AD9" s="93" t="str">
        <f t="shared" si="11"/>
        <v xml:space="preserve"> </v>
      </c>
      <c r="AE9" s="94" t="str">
        <f>IF(Table622027323337214147[[#This Row],[Non-Member]]="X"," ",IF(AD9=" "," ",IFERROR(VLOOKUP(AC9,Points!$A$2:$B$14,2,FALSE)," ")))</f>
        <v xml:space="preserve"> </v>
      </c>
      <c r="AF9" s="92" t="str">
        <f t="shared" si="12"/>
        <v xml:space="preserve"> </v>
      </c>
      <c r="AG9" s="93" t="str">
        <f t="shared" si="13"/>
        <v xml:space="preserve"> </v>
      </c>
      <c r="AH9" s="93" t="str">
        <f t="shared" si="14"/>
        <v xml:space="preserve"> </v>
      </c>
      <c r="AI9" s="94" t="str">
        <f>IF(Table622027323337214147[[#This Row],[Non-Member]]="X"," ",IF(AH9=" "," ",IFERROR(VLOOKUP(AG9,Points!$A$2:$B$14,2,FALSE)," ")))</f>
        <v xml:space="preserve"> </v>
      </c>
      <c r="AJ9" s="93">
        <f>IF(Table622027323337214147[[#This Row],[Non-Member]]="X"," ",((IF(G9=" ",0,G9))+(IF(K9=" ",0,K9))+(IF(O9=" ",0,O9))+(IF(S9=" ",0,S9))+(IF(W9=" ",0,W9))+(IF(AA9=" ",0,AA9))+(IF(AE9=" ",0,AE9))+(IF(AI9=" ",0,AI9))))</f>
        <v>24</v>
      </c>
      <c r="AK9" s="95">
        <f t="shared" si="15"/>
        <v>24</v>
      </c>
      <c r="AL9" s="96">
        <f t="shared" si="16"/>
        <v>3</v>
      </c>
    </row>
    <row r="10" spans="2:38" x14ac:dyDescent="0.3">
      <c r="B10" s="90" t="s">
        <v>207</v>
      </c>
      <c r="C10" s="91"/>
      <c r="D10" s="92"/>
      <c r="E10" s="97" t="str">
        <f t="shared" si="17"/>
        <v xml:space="preserve"> </v>
      </c>
      <c r="F10" s="97" t="str">
        <f t="shared" si="18"/>
        <v xml:space="preserve"> </v>
      </c>
      <c r="G10" s="94" t="str">
        <f>IF(Table622027323337214147[[#This Row],[Non-Member]]="X"," ",IF(F10=" "," ",IFERROR(VLOOKUP(E10,Points!$A$2:$B$14,2,FALSE)," ")))</f>
        <v xml:space="preserve"> </v>
      </c>
      <c r="H10" s="92">
        <v>18.181000000000001</v>
      </c>
      <c r="I10" s="97">
        <f t="shared" si="0"/>
        <v>2</v>
      </c>
      <c r="J10" s="97">
        <f t="shared" si="1"/>
        <v>2</v>
      </c>
      <c r="K10" s="94">
        <f>IF(Table622027323337214147[[#This Row],[Non-Member]]="X"," ",IF(J10=" "," ",IFERROR(VLOOKUP(I10,Points!$A$2:$B$14,2,FALSE)," ")))</f>
        <v>15</v>
      </c>
      <c r="L10" s="92">
        <v>0</v>
      </c>
      <c r="M10" s="97" t="str">
        <f t="shared" si="2"/>
        <v xml:space="preserve"> </v>
      </c>
      <c r="N10" s="97" t="str">
        <f t="shared" si="3"/>
        <v xml:space="preserve"> </v>
      </c>
      <c r="O10" s="94" t="str">
        <f>IF(Table622027323337214147[[#This Row],[Non-Member]]="X"," ",IF(N10=" "," ",IFERROR(VLOOKUP(M10,Points!$A$2:$B$14,2,FALSE)," ")))</f>
        <v xml:space="preserve"> </v>
      </c>
      <c r="P10" s="92">
        <v>25.06</v>
      </c>
      <c r="Q10" s="97">
        <f t="shared" si="4"/>
        <v>8</v>
      </c>
      <c r="R10" s="97" t="str">
        <f t="shared" si="5"/>
        <v xml:space="preserve"> </v>
      </c>
      <c r="S10" s="94" t="str">
        <f>IF(Table622027323337214147[[#This Row],[Non-Member]]="X"," ",IF(R10=" "," ",IFERROR(VLOOKUP(Q10,Points!$A$2:$B$14,2,FALSE)," ")))</f>
        <v xml:space="preserve"> </v>
      </c>
      <c r="T10" s="92"/>
      <c r="U10" s="97" t="str">
        <f t="shared" si="6"/>
        <v xml:space="preserve"> </v>
      </c>
      <c r="V10" s="97" t="str">
        <f t="shared" si="7"/>
        <v xml:space="preserve"> </v>
      </c>
      <c r="W10" s="94" t="str">
        <f>IF(Table622027323337214147[[#This Row],[Non-Member]]="X"," ",IF(V10=" "," ",IFERROR(VLOOKUP(U10,Points!$A$2:$B$14,2,FALSE)," ")))</f>
        <v xml:space="preserve"> </v>
      </c>
      <c r="X10" s="92"/>
      <c r="Y10" s="97" t="str">
        <f t="shared" si="8"/>
        <v xml:space="preserve"> </v>
      </c>
      <c r="Z10" s="97" t="str">
        <f t="shared" si="9"/>
        <v xml:space="preserve"> </v>
      </c>
      <c r="AA10" s="94" t="str">
        <f>IF(Table622027323337214147[[#This Row],[Non-Member]]="X"," ",IF(Z10=" "," ",IFERROR(VLOOKUP(Y10,Points!$A$2:$B$14,2,FALSE)," ")))</f>
        <v xml:space="preserve"> </v>
      </c>
      <c r="AB10" s="92"/>
      <c r="AC10" s="97" t="str">
        <f t="shared" si="10"/>
        <v xml:space="preserve"> </v>
      </c>
      <c r="AD10" s="97" t="str">
        <f t="shared" si="11"/>
        <v xml:space="preserve"> </v>
      </c>
      <c r="AE10" s="94" t="str">
        <f>IF(Table622027323337214147[[#This Row],[Non-Member]]="X"," ",IF(AD10=" "," ",IFERROR(VLOOKUP(AC10,Points!$A$2:$B$14,2,FALSE)," ")))</f>
        <v xml:space="preserve"> </v>
      </c>
      <c r="AF10" s="92" t="str">
        <f t="shared" si="12"/>
        <v xml:space="preserve"> </v>
      </c>
      <c r="AG10" s="97" t="str">
        <f t="shared" si="13"/>
        <v xml:space="preserve"> </v>
      </c>
      <c r="AH10" s="97" t="str">
        <f t="shared" si="14"/>
        <v xml:space="preserve"> </v>
      </c>
      <c r="AI10" s="94" t="str">
        <f>IF(Table622027323337214147[[#This Row],[Non-Member]]="X"," ",IF(AH10=" "," ",IFERROR(VLOOKUP(AG10,Points!$A$2:$B$14,2,FALSE)," ")))</f>
        <v xml:space="preserve"> </v>
      </c>
      <c r="AJ10" s="97">
        <f>IF(Table622027323337214147[[#This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5"/>
        <v>15</v>
      </c>
      <c r="AL10" s="98">
        <f t="shared" si="16"/>
        <v>6</v>
      </c>
    </row>
    <row r="11" spans="2:38" x14ac:dyDescent="0.3">
      <c r="B11" s="90" t="s">
        <v>213</v>
      </c>
      <c r="C11" s="91"/>
      <c r="D11" s="92"/>
      <c r="E11" s="97" t="str">
        <f t="shared" si="17"/>
        <v xml:space="preserve"> </v>
      </c>
      <c r="F11" s="97" t="str">
        <f t="shared" si="18"/>
        <v xml:space="preserve"> </v>
      </c>
      <c r="G11" s="94" t="str">
        <f>IF(Table622027323337214147[[#This Row],[Non-Member]]="X"," ",IF(F11=" "," ",IFERROR(VLOOKUP(E11,Points!$A$2:$B$14,2,FALSE)," ")))</f>
        <v xml:space="preserve"> </v>
      </c>
      <c r="H11" s="92">
        <v>18.241</v>
      </c>
      <c r="I11" s="97">
        <f t="shared" si="0"/>
        <v>3</v>
      </c>
      <c r="J11" s="97">
        <f t="shared" si="1"/>
        <v>3</v>
      </c>
      <c r="K11" s="94">
        <f>IF(Table622027323337214147[[#This Row],[Non-Member]]="X"," ",IF(J11=" "," ",IFERROR(VLOOKUP(I11,Points!$A$2:$B$14,2,FALSE)," ")))</f>
        <v>12</v>
      </c>
      <c r="L11" s="92"/>
      <c r="M11" s="97" t="str">
        <f t="shared" si="2"/>
        <v xml:space="preserve"> </v>
      </c>
      <c r="N11" s="97" t="str">
        <f t="shared" si="3"/>
        <v xml:space="preserve"> </v>
      </c>
      <c r="O11" s="94" t="str">
        <f>IF(Table622027323337214147[[#This Row],[Non-Member]]="X"," ",IF(N11=" "," ",IFERROR(VLOOKUP(M11,Points!$A$2:$B$14,2,FALSE)," ")))</f>
        <v xml:space="preserve"> </v>
      </c>
      <c r="P11" s="92"/>
      <c r="Q11" s="97" t="str">
        <f t="shared" si="4"/>
        <v xml:space="preserve"> </v>
      </c>
      <c r="R11" s="97" t="str">
        <f t="shared" si="5"/>
        <v xml:space="preserve"> </v>
      </c>
      <c r="S11" s="94" t="str">
        <f>IF(Table622027323337214147[[#This Row],[Non-Member]]="X"," ",IF(R11=" "," ",IFERROR(VLOOKUP(Q11,Points!$A$2:$B$14,2,FALSE)," ")))</f>
        <v xml:space="preserve"> </v>
      </c>
      <c r="T11" s="92"/>
      <c r="U11" s="97" t="str">
        <f t="shared" si="6"/>
        <v xml:space="preserve"> </v>
      </c>
      <c r="V11" s="97" t="str">
        <f t="shared" si="7"/>
        <v xml:space="preserve"> </v>
      </c>
      <c r="W11" s="94" t="str">
        <f>IF(Table622027323337214147[[#This Row],[Non-Member]]="X"," ",IF(V11=" "," ",IFERROR(VLOOKUP(U11,Points!$A$2:$B$14,2,FALSE)," ")))</f>
        <v xml:space="preserve"> </v>
      </c>
      <c r="X11" s="92"/>
      <c r="Y11" s="97" t="str">
        <f t="shared" si="8"/>
        <v xml:space="preserve"> </v>
      </c>
      <c r="Z11" s="97" t="str">
        <f t="shared" si="9"/>
        <v xml:space="preserve"> </v>
      </c>
      <c r="AA11" s="94" t="str">
        <f>IF(Table622027323337214147[[#This Row],[Non-Member]]="X"," ",IF(Z11=" "," ",IFERROR(VLOOKUP(Y11,Points!$A$2:$B$14,2,FALSE)," ")))</f>
        <v xml:space="preserve"> </v>
      </c>
      <c r="AB11" s="92"/>
      <c r="AC11" s="97" t="str">
        <f t="shared" si="10"/>
        <v xml:space="preserve"> </v>
      </c>
      <c r="AD11" s="97" t="str">
        <f t="shared" si="11"/>
        <v xml:space="preserve"> </v>
      </c>
      <c r="AE11" s="94" t="str">
        <f>IF(Table622027323337214147[[#This Row],[Non-Member]]="X"," ",IF(AD11=" "," ",IFERROR(VLOOKUP(AC11,Points!$A$2:$B$14,2,FALSE)," ")))</f>
        <v xml:space="preserve"> </v>
      </c>
      <c r="AF11" s="92" t="str">
        <f t="shared" si="12"/>
        <v xml:space="preserve"> </v>
      </c>
      <c r="AG11" s="97" t="str">
        <f t="shared" si="13"/>
        <v xml:space="preserve"> </v>
      </c>
      <c r="AH11" s="97" t="str">
        <f t="shared" si="14"/>
        <v xml:space="preserve"> </v>
      </c>
      <c r="AI11" s="94" t="str">
        <f>IF(Table622027323337214147[[#This Row],[Non-Member]]="X"," ",IF(AH11=" "," ",IFERROR(VLOOKUP(AG11,Points!$A$2:$B$14,2,FALSE)," ")))</f>
        <v xml:space="preserve"> </v>
      </c>
      <c r="AJ11" s="97">
        <f>IF(Table622027323337214147[[#This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5"/>
        <v>12</v>
      </c>
      <c r="AL11" s="98">
        <f t="shared" si="16"/>
        <v>7</v>
      </c>
    </row>
    <row r="12" spans="2:38" x14ac:dyDescent="0.3">
      <c r="B12" s="90" t="s">
        <v>210</v>
      </c>
      <c r="C12" s="91"/>
      <c r="D12" s="92"/>
      <c r="E12" s="93" t="str">
        <f t="shared" si="17"/>
        <v xml:space="preserve"> </v>
      </c>
      <c r="F12" s="93" t="str">
        <f t="shared" si="18"/>
        <v xml:space="preserve"> </v>
      </c>
      <c r="G12" s="94" t="str">
        <f>IF(Table622027323337214147[[#This Row],[Non-Member]]="X"," ",IF(F12=" "," ",IFERROR(VLOOKUP(E12,Points!$A$2:$B$14,2,FALSE)," ")))</f>
        <v xml:space="preserve"> </v>
      </c>
      <c r="H12" s="92">
        <v>19.081</v>
      </c>
      <c r="I12" s="93">
        <f t="shared" si="0"/>
        <v>4</v>
      </c>
      <c r="J12" s="93">
        <f t="shared" si="1"/>
        <v>4</v>
      </c>
      <c r="K12" s="94">
        <f>IF(Table622027323337214147[[#This Row],[Non-Member]]="X"," ",IF(J12=" "," ",IFERROR(VLOOKUP(I12,Points!$A$2:$B$14,2,FALSE)," ")))</f>
        <v>9</v>
      </c>
      <c r="L12" s="92"/>
      <c r="M12" s="93" t="str">
        <f t="shared" si="2"/>
        <v xml:space="preserve"> </v>
      </c>
      <c r="N12" s="93" t="str">
        <f t="shared" si="3"/>
        <v xml:space="preserve"> </v>
      </c>
      <c r="O12" s="94" t="str">
        <f>IF(Table622027323337214147[[#This Row],[Non-Member]]="X"," ",IF(N12=" "," ",IFERROR(VLOOKUP(M12,Points!$A$2:$B$14,2,FALSE)," ")))</f>
        <v xml:space="preserve"> </v>
      </c>
      <c r="P12" s="92"/>
      <c r="Q12" s="93" t="str">
        <f t="shared" si="4"/>
        <v xml:space="preserve"> </v>
      </c>
      <c r="R12" s="93" t="str">
        <f t="shared" si="5"/>
        <v xml:space="preserve"> </v>
      </c>
      <c r="S12" s="94" t="str">
        <f>IF(Table622027323337214147[[#This Row],[Non-Member]]="X"," ",IF(R12=" "," ",IFERROR(VLOOKUP(Q12,Points!$A$2:$B$14,2,FALSE)," ")))</f>
        <v xml:space="preserve"> </v>
      </c>
      <c r="T12" s="92"/>
      <c r="U12" s="93" t="str">
        <f t="shared" si="6"/>
        <v xml:space="preserve"> </v>
      </c>
      <c r="V12" s="93" t="str">
        <f t="shared" si="7"/>
        <v xml:space="preserve"> </v>
      </c>
      <c r="W12" s="94" t="str">
        <f>IF(Table622027323337214147[[#This Row],[Non-Member]]="X"," ",IF(V12=" "," ",IFERROR(VLOOKUP(U12,Points!$A$2:$B$14,2,FALSE)," ")))</f>
        <v xml:space="preserve"> </v>
      </c>
      <c r="X12" s="92"/>
      <c r="Y12" s="93" t="str">
        <f t="shared" si="8"/>
        <v xml:space="preserve"> </v>
      </c>
      <c r="Z12" s="93" t="str">
        <f t="shared" si="9"/>
        <v xml:space="preserve"> </v>
      </c>
      <c r="AA12" s="94" t="str">
        <f>IF(Table622027323337214147[[#This Row],[Non-Member]]="X"," ",IF(Z12=" "," ",IFERROR(VLOOKUP(Y12,Points!$A$2:$B$14,2,FALSE)," ")))</f>
        <v xml:space="preserve"> </v>
      </c>
      <c r="AB12" s="92"/>
      <c r="AC12" s="93" t="str">
        <f t="shared" si="10"/>
        <v xml:space="preserve"> </v>
      </c>
      <c r="AD12" s="93" t="str">
        <f t="shared" si="11"/>
        <v xml:space="preserve"> </v>
      </c>
      <c r="AE12" s="94" t="str">
        <f>IF(Table622027323337214147[[#This Row],[Non-Member]]="X"," ",IF(AD12=" "," ",IFERROR(VLOOKUP(AC12,Points!$A$2:$B$14,2,FALSE)," ")))</f>
        <v xml:space="preserve"> </v>
      </c>
      <c r="AF12" s="92" t="str">
        <f t="shared" si="12"/>
        <v xml:space="preserve"> </v>
      </c>
      <c r="AG12" s="93" t="str">
        <f t="shared" si="13"/>
        <v xml:space="preserve"> </v>
      </c>
      <c r="AH12" s="93" t="str">
        <f t="shared" si="14"/>
        <v xml:space="preserve"> </v>
      </c>
      <c r="AI12" s="94" t="str">
        <f>IF(Table622027323337214147[[#This Row],[Non-Member]]="X"," ",IF(AH12=" "," ",IFERROR(VLOOKUP(AG12,Points!$A$2:$B$14,2,FALSE)," ")))</f>
        <v xml:space="preserve"> </v>
      </c>
      <c r="AJ12" s="93">
        <f>IF(Table622027323337214147[[#This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5"/>
        <v>9</v>
      </c>
      <c r="AL12" s="96">
        <f t="shared" si="16"/>
        <v>8</v>
      </c>
    </row>
    <row r="13" spans="2:38" x14ac:dyDescent="0.3">
      <c r="B13" s="90" t="s">
        <v>196</v>
      </c>
      <c r="C13" s="91"/>
      <c r="D13" s="92"/>
      <c r="E13" s="93" t="str">
        <f t="shared" si="17"/>
        <v xml:space="preserve"> </v>
      </c>
      <c r="F13" s="93" t="str">
        <f t="shared" si="18"/>
        <v xml:space="preserve"> </v>
      </c>
      <c r="G13" s="94" t="str">
        <f>IF(Table622027323337214147[[#This Row],[Non-Member]]="X"," ",IF(F13=" "," ",IFERROR(VLOOKUP(E13,Points!$A$2:$B$14,2,FALSE)," ")))</f>
        <v xml:space="preserve"> </v>
      </c>
      <c r="H13" s="92">
        <v>19.567</v>
      </c>
      <c r="I13" s="93">
        <f t="shared" si="0"/>
        <v>5</v>
      </c>
      <c r="J13" s="93">
        <f t="shared" si="1"/>
        <v>5</v>
      </c>
      <c r="K13" s="94">
        <f>IF(Table622027323337214147[[#This Row],[Non-Member]]="X"," ",IF(J13=" "," ",IFERROR(VLOOKUP(I13,Points!$A$2:$B$14,2,FALSE)," ")))</f>
        <v>6</v>
      </c>
      <c r="L13" s="92"/>
      <c r="M13" s="93" t="str">
        <f t="shared" si="2"/>
        <v xml:space="preserve"> </v>
      </c>
      <c r="N13" s="93" t="str">
        <f t="shared" si="3"/>
        <v xml:space="preserve"> </v>
      </c>
      <c r="O13" s="94" t="str">
        <f>IF(Table622027323337214147[[#This Row],[Non-Member]]="X"," ",IF(N13=" "," ",IFERROR(VLOOKUP(M13,Points!$A$2:$B$14,2,FALSE)," ")))</f>
        <v xml:space="preserve"> </v>
      </c>
      <c r="P13" s="92">
        <v>20.995999999999999</v>
      </c>
      <c r="Q13" s="93">
        <f t="shared" si="4"/>
        <v>6</v>
      </c>
      <c r="R13" s="93">
        <f t="shared" si="5"/>
        <v>6</v>
      </c>
      <c r="S13" s="94">
        <f>IF(Table622027323337214147[[#This Row],[Non-Member]]="X"," ",IF(R13=" "," ",IFERROR(VLOOKUP(Q13,Points!$A$2:$B$14,2,FALSE)," ")))</f>
        <v>3</v>
      </c>
      <c r="T13" s="92"/>
      <c r="U13" s="93" t="str">
        <f t="shared" si="6"/>
        <v xml:space="preserve"> </v>
      </c>
      <c r="V13" s="93" t="str">
        <f t="shared" si="7"/>
        <v xml:space="preserve"> </v>
      </c>
      <c r="W13" s="94" t="str">
        <f>IF(Table622027323337214147[[#This Row],[Non-Member]]="X"," ",IF(V13=" "," ",IFERROR(VLOOKUP(U13,Points!$A$2:$B$14,2,FALSE)," ")))</f>
        <v xml:space="preserve"> </v>
      </c>
      <c r="X13" s="92"/>
      <c r="Y13" s="93" t="str">
        <f t="shared" si="8"/>
        <v xml:space="preserve"> </v>
      </c>
      <c r="Z13" s="93" t="str">
        <f t="shared" si="9"/>
        <v xml:space="preserve"> </v>
      </c>
      <c r="AA13" s="94" t="str">
        <f>IF(Table622027323337214147[[#This Row],[Non-Member]]="X"," ",IF(Z13=" "," ",IFERROR(VLOOKUP(Y13,Points!$A$2:$B$14,2,FALSE)," ")))</f>
        <v xml:space="preserve"> </v>
      </c>
      <c r="AB13" s="92"/>
      <c r="AC13" s="93" t="str">
        <f t="shared" si="10"/>
        <v xml:space="preserve"> </v>
      </c>
      <c r="AD13" s="93" t="str">
        <f t="shared" si="11"/>
        <v xml:space="preserve"> </v>
      </c>
      <c r="AE13" s="94" t="str">
        <f>IF(Table622027323337214147[[#This Row],[Non-Member]]="X"," ",IF(AD13=" "," ",IFERROR(VLOOKUP(AC13,Points!$A$2:$B$14,2,FALSE)," ")))</f>
        <v xml:space="preserve"> </v>
      </c>
      <c r="AF13" s="92" t="str">
        <f t="shared" si="12"/>
        <v xml:space="preserve"> </v>
      </c>
      <c r="AG13" s="93" t="str">
        <f t="shared" si="13"/>
        <v xml:space="preserve"> </v>
      </c>
      <c r="AH13" s="93" t="str">
        <f t="shared" si="14"/>
        <v xml:space="preserve"> </v>
      </c>
      <c r="AI13" s="94" t="str">
        <f>IF(Table622027323337214147[[#This Row],[Non-Member]]="X"," ",IF(AH13=" "," ",IFERROR(VLOOKUP(AG13,Points!$A$2:$B$14,2,FALSE)," ")))</f>
        <v xml:space="preserve"> </v>
      </c>
      <c r="AJ13" s="93">
        <f>IF(Table622027323337214147[[#This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5"/>
        <v>9</v>
      </c>
      <c r="AL13" s="96">
        <f t="shared" si="16"/>
        <v>8</v>
      </c>
    </row>
    <row r="14" spans="2:38" x14ac:dyDescent="0.3">
      <c r="B14" s="90" t="s">
        <v>151</v>
      </c>
      <c r="C14" s="91" t="s">
        <v>325</v>
      </c>
      <c r="D14" s="92"/>
      <c r="E14" s="93" t="str">
        <f t="shared" si="17"/>
        <v xml:space="preserve"> </v>
      </c>
      <c r="F14" s="93" t="str">
        <f t="shared" si="18"/>
        <v xml:space="preserve"> </v>
      </c>
      <c r="G14" s="94" t="str">
        <f>IF(Table622027323337214147[[#This Row],[Non-Member]]="X"," ",IF(F14=" "," ",IFERROR(VLOOKUP(E14,Points!$A$2:$B$14,2,FALSE)," ")))</f>
        <v xml:space="preserve"> </v>
      </c>
      <c r="H14" s="92">
        <v>25.503</v>
      </c>
      <c r="I14" s="93">
        <f t="shared" si="0"/>
        <v>9</v>
      </c>
      <c r="J14" s="93" t="str">
        <f t="shared" si="1"/>
        <v xml:space="preserve"> </v>
      </c>
      <c r="K14" s="94" t="str">
        <f>IF(Table622027323337214147[[#This Row],[Non-Member]]="X"," ",IF(J14=" "," ",IFERROR(VLOOKUP(I14,Points!$A$2:$B$14,2,FALSE)," ")))</f>
        <v xml:space="preserve"> </v>
      </c>
      <c r="L14" s="92"/>
      <c r="M14" s="93" t="str">
        <f t="shared" si="2"/>
        <v xml:space="preserve"> </v>
      </c>
      <c r="N14" s="93" t="str">
        <f t="shared" si="3"/>
        <v xml:space="preserve"> </v>
      </c>
      <c r="O14" s="94" t="str">
        <f>IF(Table622027323337214147[[#This Row],[Non-Member]]="X"," ",IF(N14=" "," ",IFERROR(VLOOKUP(M14,Points!$A$2:$B$14,2,FALSE)," ")))</f>
        <v xml:space="preserve"> </v>
      </c>
      <c r="P14" s="92"/>
      <c r="Q14" s="93" t="str">
        <f t="shared" si="4"/>
        <v xml:space="preserve"> </v>
      </c>
      <c r="R14" s="93" t="str">
        <f t="shared" si="5"/>
        <v xml:space="preserve"> </v>
      </c>
      <c r="S14" s="94" t="str">
        <f>IF(Table622027323337214147[[#This Row],[Non-Member]]="X"," ",IF(R14=" "," ",IFERROR(VLOOKUP(Q14,Points!$A$2:$B$14,2,FALSE)," ")))</f>
        <v xml:space="preserve"> </v>
      </c>
      <c r="T14" s="92"/>
      <c r="U14" s="93" t="str">
        <f t="shared" si="6"/>
        <v xml:space="preserve"> </v>
      </c>
      <c r="V14" s="93" t="str">
        <f t="shared" si="7"/>
        <v xml:space="preserve"> </v>
      </c>
      <c r="W14" s="94" t="str">
        <f>IF(Table622027323337214147[[#This Row],[Non-Member]]="X"," ",IF(V14=" "," ",IFERROR(VLOOKUP(U14,Points!$A$2:$B$14,2,FALSE)," ")))</f>
        <v xml:space="preserve"> </v>
      </c>
      <c r="X14" s="92"/>
      <c r="Y14" s="93" t="str">
        <f t="shared" si="8"/>
        <v xml:space="preserve"> </v>
      </c>
      <c r="Z14" s="93" t="str">
        <f t="shared" si="9"/>
        <v xml:space="preserve"> </v>
      </c>
      <c r="AA14" s="94" t="str">
        <f>IF(Table622027323337214147[[#This Row],[Non-Member]]="X"," ",IF(Z14=" "," ",IFERROR(VLOOKUP(Y14,Points!$A$2:$B$14,2,FALSE)," ")))</f>
        <v xml:space="preserve"> </v>
      </c>
      <c r="AB14" s="92"/>
      <c r="AC14" s="93" t="str">
        <f t="shared" si="10"/>
        <v xml:space="preserve"> </v>
      </c>
      <c r="AD14" s="93" t="str">
        <f t="shared" si="11"/>
        <v xml:space="preserve"> </v>
      </c>
      <c r="AE14" s="94" t="str">
        <f>IF(Table622027323337214147[[#This Row],[Non-Member]]="X"," ",IF(AD14=" "," ",IFERROR(VLOOKUP(AC14,Points!$A$2:$B$14,2,FALSE)," ")))</f>
        <v xml:space="preserve"> </v>
      </c>
      <c r="AF14" s="92" t="str">
        <f t="shared" si="12"/>
        <v xml:space="preserve"> </v>
      </c>
      <c r="AG14" s="93" t="str">
        <f t="shared" si="13"/>
        <v xml:space="preserve"> </v>
      </c>
      <c r="AH14" s="93" t="str">
        <f t="shared" si="14"/>
        <v xml:space="preserve"> </v>
      </c>
      <c r="AI14" s="94" t="str">
        <f>IF(Table622027323337214147[[#This Row],[Non-Member]]="X"," ",IF(AH14=" "," ",IFERROR(VLOOKUP(AG14,Points!$A$2:$B$14,2,FALSE)," ")))</f>
        <v xml:space="preserve"> </v>
      </c>
      <c r="AJ14" s="93" t="str">
        <f>IF(Table622027323337214147[[#This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5"/>
        <v xml:space="preserve"> </v>
      </c>
      <c r="AL14" s="96" t="str">
        <f t="shared" si="16"/>
        <v xml:space="preserve"> </v>
      </c>
    </row>
    <row r="15" spans="2:38" x14ac:dyDescent="0.3">
      <c r="B15" s="90" t="s">
        <v>211</v>
      </c>
      <c r="C15" s="91"/>
      <c r="D15" s="92"/>
      <c r="E15" s="93" t="str">
        <f t="shared" si="17"/>
        <v xml:space="preserve"> </v>
      </c>
      <c r="F15" s="93" t="str">
        <f t="shared" si="18"/>
        <v xml:space="preserve"> </v>
      </c>
      <c r="G15" s="94" t="str">
        <f>IF(Table622027323337214147[[#This Row],[Non-Member]]="X"," ",IF(F15=" "," ",IFERROR(VLOOKUP(E15,Points!$A$2:$B$14,2,FALSE)," ")))</f>
        <v xml:space="preserve"> </v>
      </c>
      <c r="H15" s="92">
        <v>28.027999999999999</v>
      </c>
      <c r="I15" s="93">
        <f t="shared" si="0"/>
        <v>10</v>
      </c>
      <c r="J15" s="93" t="str">
        <f t="shared" si="1"/>
        <v xml:space="preserve"> </v>
      </c>
      <c r="K15" s="94" t="str">
        <f>IF(Table622027323337214147[[#This Row],[Non-Member]]="X"," ",IF(J15=" "," ",IFERROR(VLOOKUP(I15,Points!$A$2:$B$14,2,FALSE)," ")))</f>
        <v xml:space="preserve"> </v>
      </c>
      <c r="L15" s="92"/>
      <c r="M15" s="93" t="str">
        <f t="shared" si="2"/>
        <v xml:space="preserve"> </v>
      </c>
      <c r="N15" s="93" t="str">
        <f t="shared" si="3"/>
        <v xml:space="preserve"> </v>
      </c>
      <c r="O15" s="94" t="str">
        <f>IF(Table622027323337214147[[#This Row],[Non-Member]]="X"," ",IF(N15=" "," ",IFERROR(VLOOKUP(M15,Points!$A$2:$B$14,2,FALSE)," ")))</f>
        <v xml:space="preserve"> </v>
      </c>
      <c r="P15" s="92">
        <v>24.152999999999999</v>
      </c>
      <c r="Q15" s="93">
        <f t="shared" si="4"/>
        <v>7</v>
      </c>
      <c r="R15" s="93" t="str">
        <f t="shared" si="5"/>
        <v xml:space="preserve"> </v>
      </c>
      <c r="S15" s="94" t="str">
        <f>IF(Table622027323337214147[[#This Row],[Non-Member]]="X"," ",IF(R15=" "," ",IFERROR(VLOOKUP(Q15,Points!$A$2:$B$14,2,FALSE)," ")))</f>
        <v xml:space="preserve"> </v>
      </c>
      <c r="T15" s="92"/>
      <c r="U15" s="93" t="str">
        <f t="shared" si="6"/>
        <v xml:space="preserve"> </v>
      </c>
      <c r="V15" s="93" t="str">
        <f t="shared" si="7"/>
        <v xml:space="preserve"> </v>
      </c>
      <c r="W15" s="94" t="str">
        <f>IF(Table622027323337214147[[#This Row],[Non-Member]]="X"," ",IF(V15=" "," ",IFERROR(VLOOKUP(U15,Points!$A$2:$B$14,2,FALSE)," ")))</f>
        <v xml:space="preserve"> </v>
      </c>
      <c r="X15" s="92"/>
      <c r="Y15" s="93" t="str">
        <f t="shared" si="8"/>
        <v xml:space="preserve"> </v>
      </c>
      <c r="Z15" s="93" t="str">
        <f t="shared" si="9"/>
        <v xml:space="preserve"> </v>
      </c>
      <c r="AA15" s="94" t="str">
        <f>IF(Table622027323337214147[[#This Row],[Non-Member]]="X"," ",IF(Z15=" "," ",IFERROR(VLOOKUP(Y15,Points!$A$2:$B$14,2,FALSE)," ")))</f>
        <v xml:space="preserve"> </v>
      </c>
      <c r="AB15" s="92"/>
      <c r="AC15" s="93" t="str">
        <f t="shared" si="10"/>
        <v xml:space="preserve"> </v>
      </c>
      <c r="AD15" s="93" t="str">
        <f t="shared" si="11"/>
        <v xml:space="preserve"> </v>
      </c>
      <c r="AE15" s="94" t="str">
        <f>IF(Table622027323337214147[[#This Row],[Non-Member]]="X"," ",IF(AD15=" "," ",IFERROR(VLOOKUP(AC15,Points!$A$2:$B$14,2,FALSE)," ")))</f>
        <v xml:space="preserve"> </v>
      </c>
      <c r="AF15" s="92" t="str">
        <f t="shared" si="12"/>
        <v xml:space="preserve"> </v>
      </c>
      <c r="AG15" s="93" t="str">
        <f t="shared" si="13"/>
        <v xml:space="preserve"> </v>
      </c>
      <c r="AH15" s="93" t="str">
        <f t="shared" si="14"/>
        <v xml:space="preserve"> </v>
      </c>
      <c r="AI15" s="94" t="str">
        <f>IF(Table622027323337214147[[#This Row],[Non-Member]]="X"," ",IF(AH15=" "," ",IFERROR(VLOOKUP(AG15,Points!$A$2:$B$14,2,FALSE)," ")))</f>
        <v xml:space="preserve"> </v>
      </c>
      <c r="AJ15" s="93">
        <f>IF(Table622027323337214147[[#This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6" t="str">
        <f t="shared" si="16"/>
        <v xml:space="preserve"> </v>
      </c>
    </row>
    <row r="16" spans="2:38" x14ac:dyDescent="0.3">
      <c r="B16" s="90" t="s">
        <v>208</v>
      </c>
      <c r="C16" s="91"/>
      <c r="D16" s="92"/>
      <c r="E16" s="93" t="str">
        <f t="shared" si="17"/>
        <v xml:space="preserve"> </v>
      </c>
      <c r="F16" s="93" t="str">
        <f t="shared" si="18"/>
        <v xml:space="preserve"> </v>
      </c>
      <c r="G16" s="94" t="str">
        <f>IF(Table622027323337214147[[#This Row],[Non-Member]]="X"," ",IF(F16=" "," ",IFERROR(VLOOKUP(E16,Points!$A$2:$B$14,2,FALSE)," ")))</f>
        <v xml:space="preserve"> </v>
      </c>
      <c r="H16" s="92">
        <v>0</v>
      </c>
      <c r="I16" s="93" t="str">
        <f t="shared" si="0"/>
        <v xml:space="preserve"> </v>
      </c>
      <c r="J16" s="93" t="str">
        <f t="shared" si="1"/>
        <v xml:space="preserve"> </v>
      </c>
      <c r="K16" s="94" t="str">
        <f>IF(Table622027323337214147[[#This Row],[Non-Member]]="X"," ",IF(J16=" "," ",IFERROR(VLOOKUP(I16,Points!$A$2:$B$14,2,FALSE)," ")))</f>
        <v xml:space="preserve"> </v>
      </c>
      <c r="L16" s="92"/>
      <c r="M16" s="93" t="str">
        <f t="shared" si="2"/>
        <v xml:space="preserve"> </v>
      </c>
      <c r="N16" s="93" t="str">
        <f t="shared" si="3"/>
        <v xml:space="preserve"> </v>
      </c>
      <c r="O16" s="94" t="str">
        <f>IF(Table622027323337214147[[#This Row],[Non-Member]]="X"," ",IF(N16=" "," ",IFERROR(VLOOKUP(M16,Points!$A$2:$B$14,2,FALSE)," ")))</f>
        <v xml:space="preserve"> </v>
      </c>
      <c r="P16" s="92"/>
      <c r="Q16" s="93" t="str">
        <f t="shared" si="4"/>
        <v xml:space="preserve"> </v>
      </c>
      <c r="R16" s="93" t="str">
        <f t="shared" si="5"/>
        <v xml:space="preserve"> </v>
      </c>
      <c r="S16" s="94" t="str">
        <f>IF(Table622027323337214147[[#This Row],[Non-Member]]="X"," ",IF(R16=" "," ",IFERROR(VLOOKUP(Q16,Points!$A$2:$B$14,2,FALSE)," ")))</f>
        <v xml:space="preserve"> </v>
      </c>
      <c r="T16" s="92"/>
      <c r="U16" s="93" t="str">
        <f t="shared" si="6"/>
        <v xml:space="preserve"> </v>
      </c>
      <c r="V16" s="93" t="str">
        <f t="shared" si="7"/>
        <v xml:space="preserve"> </v>
      </c>
      <c r="W16" s="94" t="str">
        <f>IF(Table622027323337214147[[#This Row],[Non-Member]]="X"," ",IF(V16=" "," ",IFERROR(VLOOKUP(U16,Points!$A$2:$B$14,2,FALSE)," ")))</f>
        <v xml:space="preserve"> </v>
      </c>
      <c r="X16" s="92"/>
      <c r="Y16" s="93" t="str">
        <f t="shared" si="8"/>
        <v xml:space="preserve"> </v>
      </c>
      <c r="Z16" s="93" t="str">
        <f t="shared" si="9"/>
        <v xml:space="preserve"> </v>
      </c>
      <c r="AA16" s="94" t="str">
        <f>IF(Table622027323337214147[[#This Row],[Non-Member]]="X"," ",IF(Z16=" "," ",IFERROR(VLOOKUP(Y16,Points!$A$2:$B$14,2,FALSE)," ")))</f>
        <v xml:space="preserve"> </v>
      </c>
      <c r="AB16" s="92"/>
      <c r="AC16" s="93" t="str">
        <f t="shared" si="10"/>
        <v xml:space="preserve"> </v>
      </c>
      <c r="AD16" s="93" t="str">
        <f t="shared" si="11"/>
        <v xml:space="preserve"> </v>
      </c>
      <c r="AE16" s="94" t="str">
        <f>IF(Table622027323337214147[[#This Row],[Non-Member]]="X"," ",IF(AD16=" "," ",IFERROR(VLOOKUP(AC16,Points!$A$2:$B$14,2,FALSE)," ")))</f>
        <v xml:space="preserve"> </v>
      </c>
      <c r="AF16" s="92" t="str">
        <f t="shared" si="12"/>
        <v xml:space="preserve"> </v>
      </c>
      <c r="AG16" s="93" t="str">
        <f t="shared" si="13"/>
        <v xml:space="preserve"> </v>
      </c>
      <c r="AH16" s="93" t="str">
        <f t="shared" si="14"/>
        <v xml:space="preserve"> </v>
      </c>
      <c r="AI16" s="94" t="str">
        <f>IF(Table622027323337214147[[#This Row],[Non-Member]]="X"," ",IF(AH16=" "," ",IFERROR(VLOOKUP(AG16,Points!$A$2:$B$14,2,FALSE)," ")))</f>
        <v xml:space="preserve"> </v>
      </c>
      <c r="AJ16" s="93">
        <f>IF(Table622027323337214147[[#This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205</v>
      </c>
      <c r="C17" s="91" t="s">
        <v>325</v>
      </c>
      <c r="D17" s="92"/>
      <c r="E17" s="93" t="str">
        <f t="shared" si="17"/>
        <v xml:space="preserve"> </v>
      </c>
      <c r="F17" s="93" t="str">
        <f t="shared" si="18"/>
        <v xml:space="preserve"> </v>
      </c>
      <c r="G17" s="94" t="str">
        <f>IF(Table622027323337214147[[#This Row],[Non-Member]]="X"," ",IF(F17=" "," ",IFERROR(VLOOKUP(E17,Points!$A$2:$B$14,2,FALSE)," ")))</f>
        <v xml:space="preserve"> </v>
      </c>
      <c r="H17" s="92">
        <v>21.802</v>
      </c>
      <c r="I17" s="93">
        <f t="shared" si="0"/>
        <v>7</v>
      </c>
      <c r="J17" s="93" t="str">
        <f t="shared" si="1"/>
        <v xml:space="preserve"> </v>
      </c>
      <c r="K17" s="94" t="str">
        <f>IF(Table622027323337214147[[#This Row],[Non-Member]]="X"," ",IF(J17=" "," ",IFERROR(VLOOKUP(I17,Points!$A$2:$B$14,2,FALSE)," ")))</f>
        <v xml:space="preserve"> </v>
      </c>
      <c r="L17" s="92"/>
      <c r="M17" s="93" t="str">
        <f t="shared" si="2"/>
        <v xml:space="preserve"> </v>
      </c>
      <c r="N17" s="93" t="str">
        <f t="shared" si="3"/>
        <v xml:space="preserve"> </v>
      </c>
      <c r="O17" s="94" t="str">
        <f>IF(Table622027323337214147[[#This Row],[Non-Member]]="X"," ",IF(N17=" "," ",IFERROR(VLOOKUP(M17,Points!$A$2:$B$14,2,FALSE)," ")))</f>
        <v xml:space="preserve"> </v>
      </c>
      <c r="P17" s="92"/>
      <c r="Q17" s="93" t="str">
        <f t="shared" si="4"/>
        <v xml:space="preserve"> </v>
      </c>
      <c r="R17" s="93" t="str">
        <f t="shared" si="5"/>
        <v xml:space="preserve"> </v>
      </c>
      <c r="S17" s="94" t="str">
        <f>IF(Table622027323337214147[[#This Row],[Non-Member]]="X"," ",IF(R17=" "," ",IFERROR(VLOOKUP(Q17,Points!$A$2:$B$14,2,FALSE)," ")))</f>
        <v xml:space="preserve"> </v>
      </c>
      <c r="T17" s="92"/>
      <c r="U17" s="93" t="str">
        <f t="shared" si="6"/>
        <v xml:space="preserve"> </v>
      </c>
      <c r="V17" s="93" t="str">
        <f t="shared" si="7"/>
        <v xml:space="preserve"> </v>
      </c>
      <c r="W17" s="94" t="str">
        <f>IF(Table622027323337214147[[#This Row],[Non-Member]]="X"," ",IF(V17=" "," ",IFERROR(VLOOKUP(U17,Points!$A$2:$B$14,2,FALSE)," ")))</f>
        <v xml:space="preserve"> </v>
      </c>
      <c r="X17" s="92"/>
      <c r="Y17" s="93" t="str">
        <f t="shared" si="8"/>
        <v xml:space="preserve"> </v>
      </c>
      <c r="Z17" s="93" t="str">
        <f t="shared" si="9"/>
        <v xml:space="preserve"> </v>
      </c>
      <c r="AA17" s="94" t="str">
        <f>IF(Table622027323337214147[[#This Row],[Non-Member]]="X"," ",IF(Z17=" "," ",IFERROR(VLOOKUP(Y17,Points!$A$2:$B$14,2,FALSE)," ")))</f>
        <v xml:space="preserve"> </v>
      </c>
      <c r="AB17" s="92"/>
      <c r="AC17" s="93" t="str">
        <f t="shared" si="10"/>
        <v xml:space="preserve"> </v>
      </c>
      <c r="AD17" s="93" t="str">
        <f t="shared" si="11"/>
        <v xml:space="preserve"> </v>
      </c>
      <c r="AE17" s="94" t="str">
        <f>IF(Table622027323337214147[[#This Row],[Non-Member]]="X"," ",IF(AD17=" "," ",IFERROR(VLOOKUP(AC17,Points!$A$2:$B$14,2,FALSE)," ")))</f>
        <v xml:space="preserve"> </v>
      </c>
      <c r="AF17" s="92" t="str">
        <f t="shared" si="12"/>
        <v xml:space="preserve"> </v>
      </c>
      <c r="AG17" s="93" t="str">
        <f t="shared" si="13"/>
        <v xml:space="preserve"> </v>
      </c>
      <c r="AH17" s="93" t="str">
        <f t="shared" si="14"/>
        <v xml:space="preserve"> </v>
      </c>
      <c r="AI17" s="94" t="str">
        <f>IF(Table622027323337214147[[#This Row],[Non-Member]]="X"," ",IF(AH17=" "," ",IFERROR(VLOOKUP(AG17,Points!$A$2:$B$14,2,FALSE)," ")))</f>
        <v xml:space="preserve"> </v>
      </c>
      <c r="AJ17" s="93" t="str">
        <f>IF(Table622027323337214147[[#This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5"/>
        <v xml:space="preserve"> </v>
      </c>
      <c r="AL17" s="96" t="str">
        <f t="shared" si="16"/>
        <v xml:space="preserve"> </v>
      </c>
    </row>
    <row r="18" spans="2:38" x14ac:dyDescent="0.3">
      <c r="B18" s="90" t="s">
        <v>212</v>
      </c>
      <c r="C18" s="91" t="s">
        <v>325</v>
      </c>
      <c r="D18" s="92"/>
      <c r="E18" s="93" t="str">
        <f t="shared" si="17"/>
        <v xml:space="preserve"> </v>
      </c>
      <c r="F18" s="93" t="str">
        <f t="shared" si="18"/>
        <v xml:space="preserve"> </v>
      </c>
      <c r="G18" s="94" t="str">
        <f>IF(Table622027323337214147[[#This Row],[Non-Member]]="X"," ",IF(F18=" "," ",IFERROR(VLOOKUP(E18,Points!$A$2:$B$14,2,FALSE)," ")))</f>
        <v xml:space="preserve"> </v>
      </c>
      <c r="H18" s="92">
        <v>21.015999999999998</v>
      </c>
      <c r="I18" s="93">
        <f t="shared" si="0"/>
        <v>6</v>
      </c>
      <c r="J18" s="93">
        <f t="shared" si="1"/>
        <v>6</v>
      </c>
      <c r="K18" s="94" t="str">
        <f>IF(Table622027323337214147[[#This Row],[Non-Member]]="X"," ",IF(J18=" "," ",IFERROR(VLOOKUP(I18,Points!$A$2:$B$14,2,FALSE)," ")))</f>
        <v xml:space="preserve"> </v>
      </c>
      <c r="L18" s="92"/>
      <c r="M18" s="93" t="str">
        <f t="shared" si="2"/>
        <v xml:space="preserve"> </v>
      </c>
      <c r="N18" s="93" t="str">
        <f t="shared" si="3"/>
        <v xml:space="preserve"> </v>
      </c>
      <c r="O18" s="94" t="str">
        <f>IF(Table622027323337214147[[#This Row],[Non-Member]]="X"," ",IF(N18=" "," ",IFERROR(VLOOKUP(M18,Points!$A$2:$B$14,2,FALSE)," ")))</f>
        <v xml:space="preserve"> </v>
      </c>
      <c r="P18" s="92"/>
      <c r="Q18" s="93" t="str">
        <f t="shared" si="4"/>
        <v xml:space="preserve"> </v>
      </c>
      <c r="R18" s="93" t="str">
        <f t="shared" si="5"/>
        <v xml:space="preserve"> </v>
      </c>
      <c r="S18" s="94" t="str">
        <f>IF(Table622027323337214147[[#This Row],[Non-Member]]="X"," ",IF(R18=" "," ",IFERROR(VLOOKUP(Q18,Points!$A$2:$B$14,2,FALSE)," ")))</f>
        <v xml:space="preserve"> </v>
      </c>
      <c r="T18" s="92"/>
      <c r="U18" s="93" t="str">
        <f t="shared" si="6"/>
        <v xml:space="preserve"> </v>
      </c>
      <c r="V18" s="93" t="str">
        <f t="shared" si="7"/>
        <v xml:space="preserve"> </v>
      </c>
      <c r="W18" s="94" t="str">
        <f>IF(Table622027323337214147[[#This Row],[Non-Member]]="X"," ",IF(V18=" "," ",IFERROR(VLOOKUP(U18,Points!$A$2:$B$14,2,FALSE)," ")))</f>
        <v xml:space="preserve"> </v>
      </c>
      <c r="X18" s="92"/>
      <c r="Y18" s="93" t="str">
        <f t="shared" si="8"/>
        <v xml:space="preserve"> </v>
      </c>
      <c r="Z18" s="93" t="str">
        <f t="shared" si="9"/>
        <v xml:space="preserve"> </v>
      </c>
      <c r="AA18" s="94" t="str">
        <f>IF(Table622027323337214147[[#This Row],[Non-Member]]="X"," ",IF(Z18=" "," ",IFERROR(VLOOKUP(Y18,Points!$A$2:$B$14,2,FALSE)," ")))</f>
        <v xml:space="preserve"> </v>
      </c>
      <c r="AB18" s="92"/>
      <c r="AC18" s="93" t="str">
        <f t="shared" si="10"/>
        <v xml:space="preserve"> </v>
      </c>
      <c r="AD18" s="93" t="str">
        <f t="shared" si="11"/>
        <v xml:space="preserve"> </v>
      </c>
      <c r="AE18" s="94" t="str">
        <f>IF(Table622027323337214147[[#This Row],[Non-Member]]="X"," ",IF(AD18=" "," ",IFERROR(VLOOKUP(AC18,Points!$A$2:$B$14,2,FALSE)," ")))</f>
        <v xml:space="preserve"> </v>
      </c>
      <c r="AF18" s="92" t="str">
        <f t="shared" si="12"/>
        <v xml:space="preserve"> </v>
      </c>
      <c r="AG18" s="93" t="str">
        <f t="shared" si="13"/>
        <v xml:space="preserve"> </v>
      </c>
      <c r="AH18" s="93" t="str">
        <f t="shared" si="14"/>
        <v xml:space="preserve"> </v>
      </c>
      <c r="AI18" s="94" t="str">
        <f>IF(Table622027323337214147[[#This Row],[Non-Member]]="X"," ",IF(AH18=" "," ",IFERROR(VLOOKUP(AG18,Points!$A$2:$B$14,2,FALSE)," ")))</f>
        <v xml:space="preserve"> </v>
      </c>
      <c r="AJ18" s="93" t="str">
        <f>IF(Table622027323337214147[[#This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209</v>
      </c>
      <c r="C19" s="91" t="s">
        <v>325</v>
      </c>
      <c r="D19" s="92"/>
      <c r="E19" s="93" t="str">
        <f t="shared" si="17"/>
        <v xml:space="preserve"> </v>
      </c>
      <c r="F19" s="93" t="str">
        <f t="shared" si="18"/>
        <v xml:space="preserve"> </v>
      </c>
      <c r="G19" s="94" t="str">
        <f>IF(Table622027323337214147[[#This Row],[Non-Member]]="X"," ",IF(F19=" "," ",IFERROR(VLOOKUP(E19,Points!$A$2:$B$14,2,FALSE)," ")))</f>
        <v xml:space="preserve"> </v>
      </c>
      <c r="H19" s="92">
        <v>23.585999999999999</v>
      </c>
      <c r="I19" s="93">
        <f t="shared" si="0"/>
        <v>8</v>
      </c>
      <c r="J19" s="93" t="str">
        <f t="shared" si="1"/>
        <v xml:space="preserve"> </v>
      </c>
      <c r="K19" s="94" t="str">
        <f>IF(Table622027323337214147[[#This Row],[Non-Member]]="X"," ",IF(J19=" "," ",IFERROR(VLOOKUP(I19,Points!$A$2:$B$14,2,FALSE)," ")))</f>
        <v xml:space="preserve"> </v>
      </c>
      <c r="L19" s="92"/>
      <c r="M19" s="93" t="str">
        <f t="shared" si="2"/>
        <v xml:space="preserve"> </v>
      </c>
      <c r="N19" s="93" t="str">
        <f t="shared" si="3"/>
        <v xml:space="preserve"> </v>
      </c>
      <c r="O19" s="94" t="str">
        <f>IF(Table622027323337214147[[#This Row],[Non-Member]]="X"," ",IF(N19=" "," ",IFERROR(VLOOKUP(M19,Points!$A$2:$B$14,2,FALSE)," ")))</f>
        <v xml:space="preserve"> </v>
      </c>
      <c r="P19" s="92"/>
      <c r="Q19" s="93" t="str">
        <f t="shared" si="4"/>
        <v xml:space="preserve"> </v>
      </c>
      <c r="R19" s="93" t="str">
        <f t="shared" si="5"/>
        <v xml:space="preserve"> </v>
      </c>
      <c r="S19" s="94" t="str">
        <f>IF(Table622027323337214147[[#This Row],[Non-Member]]="X"," ",IF(R19=" "," ",IFERROR(VLOOKUP(Q19,Points!$A$2:$B$14,2,FALSE)," ")))</f>
        <v xml:space="preserve"> </v>
      </c>
      <c r="T19" s="92"/>
      <c r="U19" s="93" t="str">
        <f t="shared" si="6"/>
        <v xml:space="preserve"> </v>
      </c>
      <c r="V19" s="93" t="str">
        <f t="shared" si="7"/>
        <v xml:space="preserve"> </v>
      </c>
      <c r="W19" s="94" t="str">
        <f>IF(Table622027323337214147[[#This Row],[Non-Member]]="X"," ",IF(V19=" "," ",IFERROR(VLOOKUP(U19,Points!$A$2:$B$14,2,FALSE)," ")))</f>
        <v xml:space="preserve"> </v>
      </c>
      <c r="X19" s="92"/>
      <c r="Y19" s="93" t="str">
        <f t="shared" si="8"/>
        <v xml:space="preserve"> </v>
      </c>
      <c r="Z19" s="93" t="str">
        <f t="shared" si="9"/>
        <v xml:space="preserve"> </v>
      </c>
      <c r="AA19" s="94" t="str">
        <f>IF(Table622027323337214147[[#This Row],[Non-Member]]="X"," ",IF(Z19=" "," ",IFERROR(VLOOKUP(Y19,Points!$A$2:$B$14,2,FALSE)," ")))</f>
        <v xml:space="preserve"> </v>
      </c>
      <c r="AB19" s="92"/>
      <c r="AC19" s="93" t="str">
        <f t="shared" si="10"/>
        <v xml:space="preserve"> </v>
      </c>
      <c r="AD19" s="93" t="str">
        <f t="shared" si="11"/>
        <v xml:space="preserve"> </v>
      </c>
      <c r="AE19" s="94" t="str">
        <f>IF(Table622027323337214147[[#This Row],[Non-Member]]="X"," ",IF(AD19=" "," ",IFERROR(VLOOKUP(AC19,Points!$A$2:$B$14,2,FALSE)," ")))</f>
        <v xml:space="preserve"> </v>
      </c>
      <c r="AF19" s="92" t="str">
        <f t="shared" si="12"/>
        <v xml:space="preserve"> </v>
      </c>
      <c r="AG19" s="93" t="str">
        <f t="shared" si="13"/>
        <v xml:space="preserve"> </v>
      </c>
      <c r="AH19" s="93" t="str">
        <f t="shared" si="14"/>
        <v xml:space="preserve"> </v>
      </c>
      <c r="AI19" s="94" t="str">
        <f>IF(Table622027323337214147[[#This Row],[Non-Member]]="X"," ",IF(AH19=" "," ",IFERROR(VLOOKUP(AG19,Points!$A$2:$B$14,2,FALSE)," ")))</f>
        <v xml:space="preserve"> </v>
      </c>
      <c r="AJ19" s="93" t="str">
        <f>IF(Table622027323337214147[[#This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 t="s">
        <v>281</v>
      </c>
      <c r="C20" s="91" t="s">
        <v>325</v>
      </c>
      <c r="D20" s="92"/>
      <c r="E20" s="93" t="str">
        <f t="shared" si="17"/>
        <v xml:space="preserve"> </v>
      </c>
      <c r="F20" s="93" t="str">
        <f t="shared" si="18"/>
        <v xml:space="preserve"> </v>
      </c>
      <c r="G20" s="94" t="str">
        <f>IF(Table622027323337214147[[#This Row],[Non-Member]]="X"," ",IF(F20=" "," ",IFERROR(VLOOKUP(E20,Points!$A$2:$B$14,2,FALSE)," ")))</f>
        <v xml:space="preserve"> </v>
      </c>
      <c r="H20" s="92"/>
      <c r="I20" s="93" t="str">
        <f t="shared" si="0"/>
        <v xml:space="preserve"> </v>
      </c>
      <c r="J20" s="93" t="str">
        <f t="shared" si="1"/>
        <v xml:space="preserve"> </v>
      </c>
      <c r="K20" s="94" t="str">
        <f>IF(Table622027323337214147[[#This Row],[Non-Member]]="X"," ",IF(J20=" "," ",IFERROR(VLOOKUP(I20,Points!$A$2:$B$14,2,FALSE)," ")))</f>
        <v xml:space="preserve"> </v>
      </c>
      <c r="L20" s="92"/>
      <c r="M20" s="93" t="str">
        <f t="shared" si="2"/>
        <v xml:space="preserve"> </v>
      </c>
      <c r="N20" s="93" t="str">
        <f t="shared" si="3"/>
        <v xml:space="preserve"> </v>
      </c>
      <c r="O20" s="94" t="str">
        <f>IF(Table622027323337214147[[#This Row],[Non-Member]]="X"," ",IF(N20=" "," ",IFERROR(VLOOKUP(M20,Points!$A$2:$B$14,2,FALSE)," ")))</f>
        <v xml:space="preserve"> </v>
      </c>
      <c r="P20" s="92">
        <v>0</v>
      </c>
      <c r="Q20" s="93" t="str">
        <f t="shared" si="4"/>
        <v xml:space="preserve"> </v>
      </c>
      <c r="R20" s="93" t="str">
        <f t="shared" si="5"/>
        <v xml:space="preserve"> </v>
      </c>
      <c r="S20" s="94" t="str">
        <f>IF(Table622027323337214147[[#This Row],[Non-Member]]="X"," ",IF(R20=" "," ",IFERROR(VLOOKUP(Q20,Points!$A$2:$B$14,2,FALSE)," ")))</f>
        <v xml:space="preserve"> </v>
      </c>
      <c r="T20" s="92"/>
      <c r="U20" s="93" t="str">
        <f t="shared" si="6"/>
        <v xml:space="preserve"> </v>
      </c>
      <c r="V20" s="93" t="str">
        <f t="shared" si="7"/>
        <v xml:space="preserve"> </v>
      </c>
      <c r="W20" s="94" t="str">
        <f>IF(Table622027323337214147[[#This Row],[Non-Member]]="X"," ",IF(V20=" "," ",IFERROR(VLOOKUP(U20,Points!$A$2:$B$14,2,FALSE)," ")))</f>
        <v xml:space="preserve"> </v>
      </c>
      <c r="X20" s="92"/>
      <c r="Y20" s="93" t="str">
        <f t="shared" si="8"/>
        <v xml:space="preserve"> </v>
      </c>
      <c r="Z20" s="93" t="str">
        <f t="shared" si="9"/>
        <v xml:space="preserve"> </v>
      </c>
      <c r="AA20" s="94" t="str">
        <f>IF(Table622027323337214147[[#This Row],[Non-Member]]="X"," ",IF(Z20=" "," ",IFERROR(VLOOKUP(Y20,Points!$A$2:$B$14,2,FALSE)," ")))</f>
        <v xml:space="preserve"> </v>
      </c>
      <c r="AB20" s="92"/>
      <c r="AC20" s="93" t="str">
        <f t="shared" si="10"/>
        <v xml:space="preserve"> </v>
      </c>
      <c r="AD20" s="93" t="str">
        <f t="shared" si="11"/>
        <v xml:space="preserve"> </v>
      </c>
      <c r="AE20" s="94" t="str">
        <f>IF(Table622027323337214147[[#This Row],[Non-Member]]="X"," ",IF(AD20=" "," ",IFERROR(VLOOKUP(AC20,Points!$A$2:$B$14,2,FALSE)," ")))</f>
        <v xml:space="preserve"> </v>
      </c>
      <c r="AF20" s="92" t="str">
        <f t="shared" si="12"/>
        <v xml:space="preserve"> </v>
      </c>
      <c r="AG20" s="93" t="str">
        <f t="shared" si="13"/>
        <v xml:space="preserve"> </v>
      </c>
      <c r="AH20" s="93" t="str">
        <f t="shared" si="14"/>
        <v xml:space="preserve"> </v>
      </c>
      <c r="AI20" s="94" t="str">
        <f>IF(Table622027323337214147[[#This Row],[Non-Member]]="X"," ",IF(AH20=" "," ",IFERROR(VLOOKUP(AG20,Points!$A$2:$B$14,2,FALSE)," ")))</f>
        <v xml:space="preserve"> </v>
      </c>
      <c r="AJ20" s="93" t="str">
        <f>IF(Table622027323337214147[[#This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 t="s">
        <v>206</v>
      </c>
      <c r="C21" s="91"/>
      <c r="D21" s="92"/>
      <c r="E21" s="93" t="str">
        <f t="shared" si="17"/>
        <v xml:space="preserve"> </v>
      </c>
      <c r="F21" s="93" t="str">
        <f t="shared" si="18"/>
        <v xml:space="preserve"> </v>
      </c>
      <c r="G21" s="94" t="str">
        <f>IF(Table622027323337214147[[#This Row],[Non-Member]]="X"," ",IF(F21=" "," ",IFERROR(VLOOKUP(E21,Points!$A$2:$B$14,2,FALSE)," ")))</f>
        <v xml:space="preserve"> </v>
      </c>
      <c r="H21" s="137">
        <v>0</v>
      </c>
      <c r="I21" s="93" t="str">
        <f t="shared" si="0"/>
        <v xml:space="preserve"> </v>
      </c>
      <c r="J21" s="93" t="str">
        <f t="shared" si="1"/>
        <v xml:space="preserve"> </v>
      </c>
      <c r="K21" s="94" t="str">
        <f>IF(Table622027323337214147[[#This Row],[Non-Member]]="X"," ",IF(J21=" "," ",IFERROR(VLOOKUP(I21,Points!$A$2:$B$14,2,FALSE)," ")))</f>
        <v xml:space="preserve"> </v>
      </c>
      <c r="L21" s="92"/>
      <c r="M21" s="93" t="str">
        <f t="shared" si="2"/>
        <v xml:space="preserve"> </v>
      </c>
      <c r="N21" s="93" t="str">
        <f t="shared" si="3"/>
        <v xml:space="preserve"> </v>
      </c>
      <c r="O21" s="94" t="str">
        <f>IF(Table622027323337214147[[#This Row],[Non-Member]]="X"," ",IF(N21=" "," ",IFERROR(VLOOKUP(M21,Points!$A$2:$B$14,2,FALSE)," ")))</f>
        <v xml:space="preserve"> </v>
      </c>
      <c r="P21" s="92"/>
      <c r="Q21" s="93" t="str">
        <f t="shared" si="4"/>
        <v xml:space="preserve"> </v>
      </c>
      <c r="R21" s="93" t="str">
        <f t="shared" si="5"/>
        <v xml:space="preserve"> </v>
      </c>
      <c r="S21" s="94" t="str">
        <f>IF(Table622027323337214147[[#This Row],[Non-Member]]="X"," ",IF(R21=" "," ",IFERROR(VLOOKUP(Q21,Points!$A$2:$B$14,2,FALSE)," ")))</f>
        <v xml:space="preserve"> </v>
      </c>
      <c r="T21" s="92"/>
      <c r="U21" s="93" t="str">
        <f t="shared" si="6"/>
        <v xml:space="preserve"> </v>
      </c>
      <c r="V21" s="93" t="str">
        <f t="shared" si="7"/>
        <v xml:space="preserve"> </v>
      </c>
      <c r="W21" s="94" t="str">
        <f>IF(Table622027323337214147[[#This Row],[Non-Member]]="X"," ",IF(V21=" "," ",IFERROR(VLOOKUP(U21,Points!$A$2:$B$14,2,FALSE)," ")))</f>
        <v xml:space="preserve"> </v>
      </c>
      <c r="X21" s="92"/>
      <c r="Y21" s="93" t="str">
        <f t="shared" si="8"/>
        <v xml:space="preserve"> </v>
      </c>
      <c r="Z21" s="93" t="str">
        <f t="shared" si="9"/>
        <v xml:space="preserve"> </v>
      </c>
      <c r="AA21" s="94" t="str">
        <f>IF(Table622027323337214147[[#This Row],[Non-Member]]="X"," ",IF(Z21=" "," ",IFERROR(VLOOKUP(Y21,Points!$A$2:$B$14,2,FALSE)," ")))</f>
        <v xml:space="preserve"> </v>
      </c>
      <c r="AB21" s="92"/>
      <c r="AC21" s="93" t="str">
        <f t="shared" si="10"/>
        <v xml:space="preserve"> </v>
      </c>
      <c r="AD21" s="93" t="str">
        <f t="shared" si="11"/>
        <v xml:space="preserve"> </v>
      </c>
      <c r="AE21" s="94" t="str">
        <f>IF(Table622027323337214147[[#This Row],[Non-Member]]="X"," ",IF(AD21=" "," ",IFERROR(VLOOKUP(AC21,Points!$A$2:$B$14,2,FALSE)," ")))</f>
        <v xml:space="preserve"> </v>
      </c>
      <c r="AF21" s="92" t="str">
        <f t="shared" si="12"/>
        <v xml:space="preserve"> </v>
      </c>
      <c r="AG21" s="93" t="str">
        <f t="shared" si="13"/>
        <v xml:space="preserve"> </v>
      </c>
      <c r="AH21" s="93" t="str">
        <f t="shared" si="14"/>
        <v xml:space="preserve"> </v>
      </c>
      <c r="AI21" s="94" t="str">
        <f>IF(Table622027323337214147[[#This Row],[Non-Member]]="X"," ",IF(AH21=" "," ",IFERROR(VLOOKUP(AG21,Points!$A$2:$B$14,2,FALSE)," ")))</f>
        <v xml:space="preserve"> </v>
      </c>
      <c r="AJ21" s="93">
        <f>IF(Table622027323337214147[[#This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17"/>
        <v xml:space="preserve"> </v>
      </c>
      <c r="F22" s="93" t="str">
        <f t="shared" si="18"/>
        <v xml:space="preserve"> </v>
      </c>
      <c r="G22" s="94" t="str">
        <f>IF(Table622027323337214147[[#This Row],[Non-Member]]="X"," ",IF(F22=" "," ",IFERROR(VLOOKUP(E22,Points!$A$2:$B$14,2,FALSE)," ")))</f>
        <v xml:space="preserve"> </v>
      </c>
      <c r="H22" s="92"/>
      <c r="I22" s="93" t="str">
        <f t="shared" si="0"/>
        <v xml:space="preserve"> </v>
      </c>
      <c r="J22" s="93" t="str">
        <f t="shared" si="1"/>
        <v xml:space="preserve"> </v>
      </c>
      <c r="K22" s="94" t="str">
        <f>IF(Table622027323337214147[[#This Row],[Non-Member]]="X"," ",IF(J22=" "," ",IFERROR(VLOOKUP(I22,Points!$A$2:$B$14,2,FALSE)," ")))</f>
        <v xml:space="preserve"> </v>
      </c>
      <c r="L22" s="92"/>
      <c r="M22" s="93" t="str">
        <f t="shared" si="2"/>
        <v xml:space="preserve"> </v>
      </c>
      <c r="N22" s="93" t="str">
        <f t="shared" si="3"/>
        <v xml:space="preserve"> </v>
      </c>
      <c r="O22" s="94" t="str">
        <f>IF(Table622027323337214147[[#This Row],[Non-Member]]="X"," ",IF(N22=" "," ",IFERROR(VLOOKUP(M22,Points!$A$2:$B$14,2,FALSE)," ")))</f>
        <v xml:space="preserve"> </v>
      </c>
      <c r="P22" s="92"/>
      <c r="Q22" s="93" t="str">
        <f t="shared" si="4"/>
        <v xml:space="preserve"> </v>
      </c>
      <c r="R22" s="93" t="str">
        <f t="shared" si="5"/>
        <v xml:space="preserve"> </v>
      </c>
      <c r="S22" s="94" t="str">
        <f>IF(Table622027323337214147[[#This Row],[Non-Member]]="X"," ",IF(R22=" "," ",IFERROR(VLOOKUP(Q22,Points!$A$2:$B$14,2,FALSE)," ")))</f>
        <v xml:space="preserve"> </v>
      </c>
      <c r="T22" s="92"/>
      <c r="U22" s="93" t="str">
        <f t="shared" si="6"/>
        <v xml:space="preserve"> </v>
      </c>
      <c r="V22" s="93" t="str">
        <f t="shared" si="7"/>
        <v xml:space="preserve"> </v>
      </c>
      <c r="W22" s="94" t="str">
        <f>IF(Table622027323337214147[[#This Row],[Non-Member]]="X"," ",IF(V22=" "," ",IFERROR(VLOOKUP(U22,Points!$A$2:$B$14,2,FALSE)," ")))</f>
        <v xml:space="preserve"> </v>
      </c>
      <c r="X22" s="92"/>
      <c r="Y22" s="93" t="str">
        <f t="shared" si="8"/>
        <v xml:space="preserve"> </v>
      </c>
      <c r="Z22" s="93" t="str">
        <f t="shared" si="9"/>
        <v xml:space="preserve"> </v>
      </c>
      <c r="AA22" s="94" t="str">
        <f>IF(Table622027323337214147[[#This Row],[Non-Member]]="X"," ",IF(Z22=" "," ",IFERROR(VLOOKUP(Y22,Points!$A$2:$B$14,2,FALSE)," ")))</f>
        <v xml:space="preserve"> </v>
      </c>
      <c r="AB22" s="92"/>
      <c r="AC22" s="93" t="str">
        <f t="shared" si="10"/>
        <v xml:space="preserve"> </v>
      </c>
      <c r="AD22" s="93" t="str">
        <f t="shared" si="11"/>
        <v xml:space="preserve"> </v>
      </c>
      <c r="AE22" s="94" t="str">
        <f>IF(Table622027323337214147[[#This Row],[Non-Member]]="X"," ",IF(AD22=" "," ",IFERROR(VLOOKUP(AC22,Points!$A$2:$B$14,2,FALSE)," ")))</f>
        <v xml:space="preserve"> </v>
      </c>
      <c r="AF22" s="92" t="str">
        <f t="shared" si="12"/>
        <v xml:space="preserve"> </v>
      </c>
      <c r="AG22" s="93" t="str">
        <f t="shared" si="13"/>
        <v xml:space="preserve"> </v>
      </c>
      <c r="AH22" s="93" t="str">
        <f t="shared" si="14"/>
        <v xml:space="preserve"> </v>
      </c>
      <c r="AI22" s="94" t="str">
        <f>IF(Table622027323337214147[[#This Row],[Non-Member]]="X"," ",IF(AH22=" "," ",IFERROR(VLOOKUP(AG22,Points!$A$2:$B$14,2,FALSE)," ")))</f>
        <v xml:space="preserve"> </v>
      </c>
      <c r="AJ22" s="93">
        <f>IF(Table622027323337214147[[#This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17"/>
        <v xml:space="preserve"> </v>
      </c>
      <c r="F23" s="93" t="str">
        <f t="shared" si="18"/>
        <v xml:space="preserve"> </v>
      </c>
      <c r="G23" s="94" t="str">
        <f>IF(Table622027323337214147[[#This Row],[Non-Member]]="X"," ",IF(F23=" "," ",IFERROR(VLOOKUP(E23,Points!$A$2:$B$14,2,FALSE)," ")))</f>
        <v xml:space="preserve"> </v>
      </c>
      <c r="H23" s="92"/>
      <c r="I23" s="93" t="str">
        <f t="shared" si="0"/>
        <v xml:space="preserve"> </v>
      </c>
      <c r="J23" s="93" t="str">
        <f t="shared" si="1"/>
        <v xml:space="preserve"> </v>
      </c>
      <c r="K23" s="94" t="str">
        <f>IF(Table622027323337214147[[#This Row],[Non-Member]]="X"," ",IF(J23=" "," ",IFERROR(VLOOKUP(I23,Points!$A$2:$B$14,2,FALSE)," ")))</f>
        <v xml:space="preserve"> </v>
      </c>
      <c r="L23" s="92"/>
      <c r="M23" s="93" t="str">
        <f t="shared" si="2"/>
        <v xml:space="preserve"> </v>
      </c>
      <c r="N23" s="93" t="str">
        <f t="shared" si="3"/>
        <v xml:space="preserve"> </v>
      </c>
      <c r="O23" s="94" t="str">
        <f>IF(Table622027323337214147[[#This Row],[Non-Member]]="X"," ",IF(N23=" "," ",IFERROR(VLOOKUP(M23,Points!$A$2:$B$14,2,FALSE)," ")))</f>
        <v xml:space="preserve"> </v>
      </c>
      <c r="P23" s="92"/>
      <c r="Q23" s="93" t="str">
        <f t="shared" si="4"/>
        <v xml:space="preserve"> </v>
      </c>
      <c r="R23" s="93" t="str">
        <f t="shared" si="5"/>
        <v xml:space="preserve"> </v>
      </c>
      <c r="S23" s="94" t="str">
        <f>IF(Table622027323337214147[[#This Row],[Non-Member]]="X"," ",IF(R23=" "," ",IFERROR(VLOOKUP(Q23,Points!$A$2:$B$14,2,FALSE)," ")))</f>
        <v xml:space="preserve"> </v>
      </c>
      <c r="T23" s="92"/>
      <c r="U23" s="93" t="str">
        <f t="shared" si="6"/>
        <v xml:space="preserve"> </v>
      </c>
      <c r="V23" s="93" t="str">
        <f t="shared" si="7"/>
        <v xml:space="preserve"> </v>
      </c>
      <c r="W23" s="94" t="str">
        <f>IF(Table622027323337214147[[#This Row],[Non-Member]]="X"," ",IF(V23=" "," ",IFERROR(VLOOKUP(U23,Points!$A$2:$B$14,2,FALSE)," ")))</f>
        <v xml:space="preserve"> </v>
      </c>
      <c r="X23" s="92"/>
      <c r="Y23" s="93" t="str">
        <f t="shared" si="8"/>
        <v xml:space="preserve"> </v>
      </c>
      <c r="Z23" s="93" t="str">
        <f t="shared" si="9"/>
        <v xml:space="preserve"> </v>
      </c>
      <c r="AA23" s="94" t="str">
        <f>IF(Table622027323337214147[[#This Row],[Non-Member]]="X"," ",IF(Z23=" "," ",IFERROR(VLOOKUP(Y23,Points!$A$2:$B$14,2,FALSE)," ")))</f>
        <v xml:space="preserve"> </v>
      </c>
      <c r="AB23" s="92"/>
      <c r="AC23" s="93" t="str">
        <f t="shared" si="10"/>
        <v xml:space="preserve"> </v>
      </c>
      <c r="AD23" s="93" t="str">
        <f t="shared" si="11"/>
        <v xml:space="preserve"> </v>
      </c>
      <c r="AE23" s="94" t="str">
        <f>IF(Table622027323337214147[[#This Row],[Non-Member]]="X"," ",IF(AD23=" "," ",IFERROR(VLOOKUP(AC23,Points!$A$2:$B$14,2,FALSE)," ")))</f>
        <v xml:space="preserve"> </v>
      </c>
      <c r="AF23" s="92" t="str">
        <f t="shared" si="12"/>
        <v xml:space="preserve"> </v>
      </c>
      <c r="AG23" s="93" t="str">
        <f t="shared" si="13"/>
        <v xml:space="preserve"> </v>
      </c>
      <c r="AH23" s="93" t="str">
        <f t="shared" si="14"/>
        <v xml:space="preserve"> </v>
      </c>
      <c r="AI23" s="94" t="str">
        <f>IF(Table622027323337214147[[#This Row],[Non-Member]]="X"," ",IF(AH23=" "," ",IFERROR(VLOOKUP(AG23,Points!$A$2:$B$14,2,FALSE)," ")))</f>
        <v xml:space="preserve"> </v>
      </c>
      <c r="AJ23" s="93">
        <f>IF(Table622027323337214147[[#This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17"/>
        <v xml:space="preserve"> </v>
      </c>
      <c r="F24" s="103" t="str">
        <f t="shared" si="18"/>
        <v xml:space="preserve"> </v>
      </c>
      <c r="G24" s="104" t="str">
        <f>IF(Table622027323337214147[[#This Row],[Non-Member]]="X"," ",IF(F24=" "," ",IFERROR(VLOOKUP(E24,Points!$A$2:$B$14,2,FALSE)," ")))</f>
        <v xml:space="preserve"> </v>
      </c>
      <c r="H24" s="102"/>
      <c r="I24" s="103" t="str">
        <f t="shared" si="0"/>
        <v xml:space="preserve"> </v>
      </c>
      <c r="J24" s="103" t="str">
        <f t="shared" si="1"/>
        <v xml:space="preserve"> </v>
      </c>
      <c r="K24" s="104" t="str">
        <f>IF(Table622027323337214147[[#This Row],[Non-Member]]="X"," ",IF(J24=" "," ",IFERROR(VLOOKUP(I24,Points!$A$2:$B$14,2,FALSE)," ")))</f>
        <v xml:space="preserve"> </v>
      </c>
      <c r="L24" s="102"/>
      <c r="M24" s="103" t="str">
        <f t="shared" si="2"/>
        <v xml:space="preserve"> </v>
      </c>
      <c r="N24" s="103" t="str">
        <f t="shared" si="3"/>
        <v xml:space="preserve"> </v>
      </c>
      <c r="O24" s="104" t="str">
        <f>IF(Table622027323337214147[[#This Row],[Non-Member]]="X"," ",IF(N24=" "," ",IFERROR(VLOOKUP(M24,Points!$A$2:$B$14,2,FALSE)," ")))</f>
        <v xml:space="preserve"> </v>
      </c>
      <c r="P24" s="102"/>
      <c r="Q24" s="103" t="str">
        <f t="shared" si="4"/>
        <v xml:space="preserve"> </v>
      </c>
      <c r="R24" s="103" t="str">
        <f t="shared" si="5"/>
        <v xml:space="preserve"> </v>
      </c>
      <c r="S24" s="104" t="str">
        <f>IF(Table622027323337214147[[#This Row],[Non-Member]]="X"," ",IF(R24=" "," ",IFERROR(VLOOKUP(Q24,Points!$A$2:$B$14,2,FALSE)," ")))</f>
        <v xml:space="preserve"> </v>
      </c>
      <c r="T24" s="102"/>
      <c r="U24" s="103" t="str">
        <f t="shared" si="6"/>
        <v xml:space="preserve"> </v>
      </c>
      <c r="V24" s="103" t="str">
        <f t="shared" si="7"/>
        <v xml:space="preserve"> </v>
      </c>
      <c r="W24" s="104" t="str">
        <f>IF(Table622027323337214147[[#This Row],[Non-Member]]="X"," ",IF(V24=" "," ",IFERROR(VLOOKUP(U24,Points!$A$2:$B$14,2,FALSE)," ")))</f>
        <v xml:space="preserve"> </v>
      </c>
      <c r="X24" s="102"/>
      <c r="Y24" s="103" t="str">
        <f t="shared" si="8"/>
        <v xml:space="preserve"> </v>
      </c>
      <c r="Z24" s="103" t="str">
        <f t="shared" si="9"/>
        <v xml:space="preserve"> </v>
      </c>
      <c r="AA24" s="104" t="str">
        <f>IF(Table622027323337214147[[#This Row],[Non-Member]]="X"," ",IF(Z24=" "," ",IFERROR(VLOOKUP(Y24,Points!$A$2:$B$14,2,FALSE)," ")))</f>
        <v xml:space="preserve"> </v>
      </c>
      <c r="AB24" s="102"/>
      <c r="AC24" s="103" t="str">
        <f t="shared" si="10"/>
        <v xml:space="preserve"> </v>
      </c>
      <c r="AD24" s="103" t="str">
        <f t="shared" si="11"/>
        <v xml:space="preserve"> </v>
      </c>
      <c r="AE24" s="104" t="str">
        <f>IF(Table622027323337214147[[#This Row],[Non-Member]]="X"," ",IF(AD24=" "," ",IFERROR(VLOOKUP(AC24,Points!$A$2:$B$14,2,FALSE)," ")))</f>
        <v xml:space="preserve"> </v>
      </c>
      <c r="AF24" s="102" t="str">
        <f t="shared" si="12"/>
        <v xml:space="preserve"> </v>
      </c>
      <c r="AG24" s="103" t="str">
        <f t="shared" si="13"/>
        <v xml:space="preserve"> </v>
      </c>
      <c r="AH24" s="103" t="str">
        <f t="shared" si="14"/>
        <v xml:space="preserve"> </v>
      </c>
      <c r="AI24" s="104" t="str">
        <f>IF(Table622027323337214147[[#This Row],[Non-Member]]="X"," ",IF(AH24=" "," ",IFERROR(VLOOKUP(AG24,Points!$A$2:$B$14,2,FALSE)," ")))</f>
        <v xml:space="preserve"> </v>
      </c>
      <c r="AJ24" s="93">
        <f>IF(Table622027323337214147[[#This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/IcyVmlrLea33cW9Jj18pfh5PUsHA5nbK26ICHqd/RXNdXM1LGF4mylLiIK6tG0ACgdTjjxSuIkovWoTga6w4g==" saltValue="N1h0hbWnZ5qXc+2aCl+N6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7">
    <tabColor theme="8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3" sqref="K33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111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148</v>
      </c>
      <c r="C5" s="118">
        <f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f>
        <v>45</v>
      </c>
      <c r="G5" s="88">
        <f t="shared" ref="G5:G24" si="2">IF(F5&gt;0,F5," ")</f>
        <v>45</v>
      </c>
      <c r="H5" s="84">
        <f t="shared" ref="H5:H24" si="3">IF(F5=0," ",RANK(F5,F$5:F$24,0))</f>
        <v>1</v>
      </c>
      <c r="I5" s="119">
        <f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f>
        <v>54</v>
      </c>
      <c r="J5" s="88">
        <f t="shared" ref="J5:J24" si="4">IF(I5&gt;0,I5," ")</f>
        <v>54</v>
      </c>
      <c r="K5" s="84">
        <f t="shared" ref="K5:K24" si="5">IF(I5=0," ",RANK(I5,I$5:I$24,0))</f>
        <v>1</v>
      </c>
      <c r="L5" s="119">
        <f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f>
        <v>42</v>
      </c>
      <c r="M5" s="88">
        <f t="shared" ref="M5:M24" si="6">IF(L5&gt;0,L5," ")</f>
        <v>42</v>
      </c>
      <c r="N5" s="84">
        <f t="shared" ref="N5:N24" si="7">IF(L5=0," ",RANK(L5,L$5:L$24,0))</f>
        <v>1</v>
      </c>
      <c r="O5" s="119">
        <f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8">
        <f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141</v>
      </c>
      <c r="AB5" s="88">
        <f t="shared" ref="AB5:AB24" si="16">IF(AA5&gt;0,AA5," ")</f>
        <v>141</v>
      </c>
      <c r="AC5" s="84">
        <f t="shared" ref="AC5:AC24" si="17">IF(AB5=" "," ",RANK(AB5,AB$5:AB$24))</f>
        <v>1</v>
      </c>
    </row>
    <row r="6" spans="2:29" x14ac:dyDescent="0.3">
      <c r="B6" s="152" t="s">
        <v>149</v>
      </c>
      <c r="C6" s="120">
        <f>IFERROR(IF(VLOOKUP($B6,'JR G-Breakaway'!$B$5:$AI$24,6,FALSE)=" ",0,VLOOKUP($B6,'JR G-Breakaway'!$B$5:$AI$24,6,FALSE)),0)+IFERROR(IF(VLOOKUP($B6,'JR G-Barrels'!$B$5:$AI$24,6,FALSE)=" ",0,VLOOKUP($B6,'JR G-Barrels'!$B$5:$AI$24,6,FALSE)),0)+IFERROR(IF(VLOOKUP($B6,'JR G-Poles'!$B$5:$AI$24,6,FALSE)=" ",0,VLOOKUP($B6,'JR G-Poles'!$B$5:$AI$24,6,FALSE)),0)+IFERROR(IF(VLOOKUP($B6,'JR G-Goats'!$B$5:$AI$24,6,FALSE)=" ",0,VLOOKUP($B6,'JR G-Goats'!$B$5:$AI$24,6,FALSE)),0)+IFERROR(IF(VLOOKUP($B6,'JR-Team Roping-Header'!$B$5:$N$24,3,FALSE)=" ",0,VLOOKUP($B6,'JR-Team Roping-Header'!$B$5:$N$24,3,FALSE)),0)+IFERROR(IF(VLOOKUP($B6,'JR-Team Roping-Heeler'!$B$5:$N$24,3,FALSE)=" ",0,VLOOKUP($B6,'JR-Team Roping-Heeler'!$B$5:$N$24,3,FALSE)),0)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IFERROR(IF(VLOOKUP($B6,'JR G-Breakaway'!$B$5:$AI$24,10,FALSE)=" ",0,VLOOKUP($B6,'JR G-Breakaway'!$B$5:$AI$24,10,FALSE)),0)+IFERROR(IF(VLOOKUP($B6,'JR G-Barrels'!$B$5:$AI$24,10,FALSE)=" ",0,VLOOKUP($B6,'JR G-Barrels'!$B$5:$AI$24,10,FALSE)),0)+IFERROR(IF(VLOOKUP($B6,'JR G-Poles'!$B$5:$AI$24,10,FALSE)=" ",0,VLOOKUP($B6,'JR G-Poles'!$B$5:$AI$24,10,FALSE)),0)+IFERROR(IF(VLOOKUP($B6,'JR G-Goats'!$B$5:$AI$24,10,FALSE)=" ",0,VLOOKUP($B6,'JR G-Goats'!$B$5:$AI$24,10,FALSE)),0)+IFERROR(IF(VLOOKUP($B6,'JR-Team Roping-Header'!$B$5:$N$24,4,FALSE)=" ",0,VLOOKUP($B6,'JR-Team Roping-Header'!$B$5:$N$24,4,FALSE)),0)+IFERROR(IF(VLOOKUP($B6,'JR-Team Roping-Heeler'!$B$5:$N$24,4,FALSE)=" ",0,VLOOKUP($B6,'JR-Team Roping-Heeler'!$B$5:$N$24,4,FALSE)),0)</f>
        <v>33</v>
      </c>
      <c r="G6" s="95">
        <f t="shared" si="2"/>
        <v>33</v>
      </c>
      <c r="H6" s="91">
        <f t="shared" si="3"/>
        <v>3</v>
      </c>
      <c r="I6" s="121">
        <f>IFERROR(IF(VLOOKUP($B6,'JR G-Breakaway'!$B$5:$AI$24,14,FALSE)=" ",0,VLOOKUP($B6,'JR G-Breakaway'!$B$5:$AI$24,14,FALSE)),0)+IFERROR(IF(VLOOKUP($B6,'JR G-Barrels'!$B$5:$AI$24,14,FALSE)=" ",0,VLOOKUP($B6,'JR G-Barrels'!$B$5:$AI$24,14,FALSE)),0)+IFERROR(IF(VLOOKUP($B6,'JR G-Poles'!$B$5:$AI$24,14,FALSE)=" ",0,VLOOKUP($B6,'JR G-Poles'!$B$5:$AI$24,14,FALSE)),0)+IFERROR(IF(VLOOKUP($B6,'JR G-Goats'!$B$5:$AI$24,14,FALSE)=" ",0,VLOOKUP($B6,'JR G-Goats'!$B$5:$AI$24,14,FALSE)),0)+IFERROR(IF(VLOOKUP($B6,'JR-Team Roping-Header'!$B$5:$N$24,5,FALSE)=" ",0,VLOOKUP($B6,'JR-Team Roping-Header'!$B$5:$N$24,5,FALSE)),0)+IFERROR(IF(VLOOKUP($B6,'JR-Team Roping-Heeler'!$B$5:$N$24,5,FALSE)=" ",0,VLOOKUP($B6,'JR-Team Roping-Heeler'!$B$5:$N$24,5,FALSE)),0)</f>
        <v>48</v>
      </c>
      <c r="J6" s="95">
        <f t="shared" si="4"/>
        <v>48</v>
      </c>
      <c r="K6" s="91">
        <f t="shared" si="5"/>
        <v>2</v>
      </c>
      <c r="L6" s="121">
        <f>IFERROR(IF(VLOOKUP($B6,'JR G-Breakaway'!$B$5:$AI$24,18,FALSE)=" ",0,VLOOKUP($B6,'JR G-Breakaway'!$B$5:$AI$24,18,FALSE)),0)+IFERROR(IF(VLOOKUP($B6,'JR G-Barrels'!$B$5:$AI$24,18,FALSE)=" ",0,VLOOKUP($B6,'JR G-Barrels'!$B$5:$AI$24,18,FALSE)),0)+IFERROR(IF(VLOOKUP($B6,'JR G-Poles'!$B$5:$AI$24,18,FALSE)=" ",0,VLOOKUP($B6,'JR G-Poles'!$B$5:$AI$24,18,FALSE)),0)+IFERROR(IF(VLOOKUP($B6,'JR G-Goats'!$B$5:$AI$24,18,FALSE)=" ",0,VLOOKUP($B6,'JR G-Goats'!$B$5:$AI$24,18,FALSE)),0)+IFERROR(IF(VLOOKUP($B6,'JR-Team Roping-Header'!$B$5:$N$24,6,FALSE)=" ",0,VLOOKUP($B6,'JR-Team Roping-Header'!$B$5:$N$24,6,FALSE)),0)+IFERROR(IF(VLOOKUP($B6,'JR-Team Roping-Heeler'!$B$5:$N$24,6,FALSE)=" ",0,VLOOKUP($B6,'JR-Team Roping-Heeler'!$B$5:$N$24,6,FALSE)),0)</f>
        <v>42</v>
      </c>
      <c r="M6" s="95">
        <f t="shared" si="6"/>
        <v>42</v>
      </c>
      <c r="N6" s="91">
        <f t="shared" si="7"/>
        <v>1</v>
      </c>
      <c r="O6" s="121">
        <f>IFERROR(IF(VLOOKUP($B6,'JR G-Breakaway'!$B$5:$AI$24,22,FALSE)=" ",0,VLOOKUP($B6,'JR G-Breakaway'!$B$5:$AI$24,22,FALSE)),0)+IFERROR(IF(VLOOKUP($B6,'JR G-Barrels'!$B$5:$AI$24,22,FALSE)=" ",0,VLOOKUP($B6,'JR G-Barrels'!$B$5:$AI$24,22,FALSE)),0)+IFERROR(IF(VLOOKUP($B6,'JR G-Poles'!$B$5:$AI$24,22,FALSE)=" ",0,VLOOKUP($B6,'JR G-Poles'!$B$5:$AI$24,22,FALSE)),0)+IFERROR(IF(VLOOKUP($B6,'JR G-Goats'!$B$5:$AI$24,22,FALSE)=" ",0,VLOOKUP($B6,'JR G-Goats'!$B$5:$AI$24,22,FALSE)),0)+IFERROR(IF(VLOOKUP($B6,'JR-Team Roping-Header'!$B$5:$N$24,7,FALSE)=" ",0,VLOOKUP($B6,'JR-Team Roping-Header'!$B$5:$N$24,7,FALSE)),0)+IFERROR(IF(VLOOKUP($B6,'JR-Team Roping-Heeler'!$B$5:$N$24,7,FALSE)=" ",0,VLOOKUP($B6,'JR-Team Roping-Heeler'!$B$5:$N$24,7,FALSE)),0)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IFERROR(IF(VLOOKUP($B6,'JR G-Breakaway'!$B$5:$AI$24,26,FALSE)=" ",0,VLOOKUP($B6,'JR G-Breakaway'!$B$5:$AI$24,26,FALSE)),0)+IFERROR(IF(VLOOKUP($B6,'JR G-Barrels'!$B$5:$AI$24,26,FALSE)=" ",0,VLOOKUP($B6,'JR G-Barrels'!$B$5:$AI$24,26,FALSE)),0)+IFERROR(IF(VLOOKUP($B6,'JR G-Poles'!$B$5:$AI$24,26,FALSE)=" ",0,VLOOKUP($B6,'JR G-Poles'!$B$5:$AI$24,26,FALSE)),0)+IFERROR(IF(VLOOKUP($B6,'JR G-Goats'!$B$5:$AI$24,26,FALSE)=" ",0,VLOOKUP($B6,'JR G-Goats'!$B$5:$AI$24,26,FALSE)),0)+IFERROR(IF(VLOOKUP($B6,'JR-Team Roping-Header'!$B$5:$N$24,8,FALSE)=" ",0,VLOOKUP($B6,'JR-Team Roping-Header'!$B$5:$N$24,8,FALSE)),0)+IFERROR(IF(VLOOKUP($B6,'JR-Team Roping-Heeler'!$B$5:$N$24,8,FALSE)=" ",0,VLOOKUP($B6,'JR-Team Roping-Heeler'!$B$5:$N$24,8,FALSE)),0)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IFERROR(IF(VLOOKUP($B6,'JR G-Breakaway'!$B$5:$AI$24,30,FALSE)=" ",0,VLOOKUP($B6,'JR G-Breakaway'!$B$5:$AI$24,30,FALSE)),0)+IFERROR(IF(VLOOKUP($B6,'JR G-Barrels'!$B$5:$AI$24,30,FALSE)=" ",0,VLOOKUP($B6,'JR G-Barrels'!$B$5:$AI$24,30,FALSE)),0)+IFERROR(IF(VLOOKUP($B6,'JR G-Poles'!$B$5:$AI$24,30,FALSE)=" ",0,VLOOKUP($B6,'JR G-Poles'!$B$5:$AI$24,30,FALSE)),0)+IFERROR(IF(VLOOKUP($B6,'JR G-Goats'!$B$5:$AI$24,30,FALSE)=" ",0,VLOOKUP($B6,'JR G-Goats'!$B$5:$AI$24,30,FALSE)),0)+IFERROR(IF(VLOOKUP($B6,'JR-Team Roping-Header'!$B$5:$N$24,9,FALSE)=" ",0,VLOOKUP($B6,'JR-Team Roping-Header'!$B$5:$N$24,9,FALSE)),0)+IFERROR(IF(VLOOKUP($B6,'JR-Team Roping-Heeler'!$B$5:$N$24,9,FALSE)=" ",0,VLOOKUP($B6,'JR-Team Roping-Heeler'!$B$5:$N$24,9,FALSE)),0)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IFERROR(IF(VLOOKUP($B6,'JR G-Breakaway'!$B$5:$AI$24,34,FALSE)=" ",0,VLOOKUP($B6,'JR G-Breakaway'!$B$5:$AI$24,34,FALSE)),0)+IFERROR(IF(VLOOKUP($B6,'JR G-Barrels'!$B$5:$AI$24,34,FALSE)=" ",0,VLOOKUP($B6,'JR G-Barrels'!$B$5:$AI$24,34,FALSE)),0)+IFERROR(IF(VLOOKUP($B6,'JR G-Poles'!$B$5:$AI$24,34,FALSE)=" ",0,VLOOKUP($B6,'JR G-Poles'!$B$5:$AI$24,34,FALSE)),0)+IFERROR(IF(VLOOKUP($B6,'JR G-Goats'!$B$5:$AI$24,34,FALSE)=" ",0,VLOOKUP($B6,'JR G-Goats'!$B$5:$AI$24,34,FALSE)),0)+IFERROR(IF(VLOOKUP($B6,'JR-Team Roping-Header'!$B$5:$N$24,10,FALSE)=" ",0,VLOOKUP($B6,'JR-Team Roping-Header'!$B$5:$N$24,10,FALSE)),0)+IFERROR(IF(VLOOKUP($B6,'JR-Team Roping-Heeler'!$B$5:$N$24,10,FALSE)=" ",0,VLOOKUP($B6,'JR-Team Roping-Heeler'!$B$5:$N$24,10,FALSE)),0)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123</v>
      </c>
      <c r="AB6" s="95">
        <f t="shared" si="16"/>
        <v>123</v>
      </c>
      <c r="AC6" s="91">
        <f t="shared" si="17"/>
        <v>2</v>
      </c>
    </row>
    <row r="7" spans="2:29" x14ac:dyDescent="0.3">
      <c r="B7" s="152" t="s">
        <v>230</v>
      </c>
      <c r="C7" s="120">
        <f>IFERROR(IF(VLOOKUP($B7,'JR G-Breakaway'!$B$5:$AI$24,6,FALSE)=" ",0,VLOOKUP($B7,'JR G-Breakaway'!$B$5:$AI$24,6,FALSE)),0)+IFERROR(IF(VLOOKUP($B7,'JR G-Barrels'!$B$5:$AI$24,6,FALSE)=" ",0,VLOOKUP($B7,'JR G-Barrels'!$B$5:$AI$24,6,FALSE)),0)+IFERROR(IF(VLOOKUP($B7,'JR G-Poles'!$B$5:$AI$24,6,FALSE)=" ",0,VLOOKUP($B7,'JR G-Poles'!$B$5:$AI$24,6,FALSE)),0)+IFERROR(IF(VLOOKUP($B7,'JR G-Goats'!$B$5:$AI$24,6,FALSE)=" ",0,VLOOKUP($B7,'JR G-Goats'!$B$5:$AI$24,6,FALSE)),0)+IFERROR(IF(VLOOKUP($B7,'JR-Team Roping-Header'!$B$5:$N$24,3,FALSE)=" ",0,VLOOKUP($B7,'JR-Team Roping-Header'!$B$5:$N$24,3,FALSE)),0)+IFERROR(IF(VLOOKUP($B7,'JR-Team Roping-Heeler'!$B$5:$N$24,3,FALSE)=" ",0,VLOOKUP($B7,'JR-Team Roping-Heeler'!$B$5:$N$24,3,FALSE)),0)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IFERROR(IF(VLOOKUP($B7,'JR G-Breakaway'!$B$5:$AI$24,10,FALSE)=" ",0,VLOOKUP($B7,'JR G-Breakaway'!$B$5:$AI$24,10,FALSE)),0)+IFERROR(IF(VLOOKUP($B7,'JR G-Barrels'!$B$5:$AI$24,10,FALSE)=" ",0,VLOOKUP($B7,'JR G-Barrels'!$B$5:$AI$24,10,FALSE)),0)+IFERROR(IF(VLOOKUP($B7,'JR G-Poles'!$B$5:$AI$24,10,FALSE)=" ",0,VLOOKUP($B7,'JR G-Poles'!$B$5:$AI$24,10,FALSE)),0)+IFERROR(IF(VLOOKUP($B7,'JR G-Goats'!$B$5:$AI$24,10,FALSE)=" ",0,VLOOKUP($B7,'JR G-Goats'!$B$5:$AI$24,10,FALSE)),0)+IFERROR(IF(VLOOKUP($B7,'JR-Team Roping-Header'!$B$5:$N$24,4,FALSE)=" ",0,VLOOKUP($B7,'JR-Team Roping-Header'!$B$5:$N$24,4,FALSE)),0)+IFERROR(IF(VLOOKUP($B7,'JR-Team Roping-Heeler'!$B$5:$N$24,4,FALSE)=" ",0,VLOOKUP($B7,'JR-Team Roping-Heeler'!$B$5:$N$24,4,FALSE)),0)</f>
        <v>18</v>
      </c>
      <c r="G7" s="95">
        <f t="shared" si="2"/>
        <v>18</v>
      </c>
      <c r="H7" s="91">
        <f t="shared" si="3"/>
        <v>7</v>
      </c>
      <c r="I7" s="121">
        <f>IFERROR(IF(VLOOKUP($B7,'JR G-Breakaway'!$B$5:$AI$24,14,FALSE)=" ",0,VLOOKUP($B7,'JR G-Breakaway'!$B$5:$AI$24,14,FALSE)),0)+IFERROR(IF(VLOOKUP($B7,'JR G-Barrels'!$B$5:$AI$24,14,FALSE)=" ",0,VLOOKUP($B7,'JR G-Barrels'!$B$5:$AI$24,14,FALSE)),0)+IFERROR(IF(VLOOKUP($B7,'JR G-Poles'!$B$5:$AI$24,14,FALSE)=" ",0,VLOOKUP($B7,'JR G-Poles'!$B$5:$AI$24,14,FALSE)),0)+IFERROR(IF(VLOOKUP($B7,'JR G-Goats'!$B$5:$AI$24,14,FALSE)=" ",0,VLOOKUP($B7,'JR G-Goats'!$B$5:$AI$24,14,FALSE)),0)+IFERROR(IF(VLOOKUP($B7,'JR-Team Roping-Header'!$B$5:$N$24,5,FALSE)=" ",0,VLOOKUP($B7,'JR-Team Roping-Header'!$B$5:$N$24,5,FALSE)),0)+IFERROR(IF(VLOOKUP($B7,'JR-Team Roping-Heeler'!$B$5:$N$24,5,FALSE)=" ",0,VLOOKUP($B7,'JR-Team Roping-Heeler'!$B$5:$N$24,5,FALSE)),0)</f>
        <v>30</v>
      </c>
      <c r="J7" s="95">
        <f t="shared" si="4"/>
        <v>30</v>
      </c>
      <c r="K7" s="91">
        <f t="shared" si="5"/>
        <v>4</v>
      </c>
      <c r="L7" s="121">
        <f>IFERROR(IF(VLOOKUP($B7,'JR G-Breakaway'!$B$5:$AI$24,18,FALSE)=" ",0,VLOOKUP($B7,'JR G-Breakaway'!$B$5:$AI$24,18,FALSE)),0)+IFERROR(IF(VLOOKUP($B7,'JR G-Barrels'!$B$5:$AI$24,18,FALSE)=" ",0,VLOOKUP($B7,'JR G-Barrels'!$B$5:$AI$24,18,FALSE)),0)+IFERROR(IF(VLOOKUP($B7,'JR G-Poles'!$B$5:$AI$24,18,FALSE)=" ",0,VLOOKUP($B7,'JR G-Poles'!$B$5:$AI$24,18,FALSE)),0)+IFERROR(IF(VLOOKUP($B7,'JR G-Goats'!$B$5:$AI$24,18,FALSE)=" ",0,VLOOKUP($B7,'JR G-Goats'!$B$5:$AI$24,18,FALSE)),0)+IFERROR(IF(VLOOKUP($B7,'JR-Team Roping-Header'!$B$5:$N$24,6,FALSE)=" ",0,VLOOKUP($B7,'JR-Team Roping-Header'!$B$5:$N$24,6,FALSE)),0)+IFERROR(IF(VLOOKUP($B7,'JR-Team Roping-Heeler'!$B$5:$N$24,6,FALSE)=" ",0,VLOOKUP($B7,'JR-Team Roping-Heeler'!$B$5:$N$24,6,FALSE)),0)</f>
        <v>30</v>
      </c>
      <c r="M7" s="95">
        <f t="shared" si="6"/>
        <v>30</v>
      </c>
      <c r="N7" s="91">
        <f t="shared" si="7"/>
        <v>4</v>
      </c>
      <c r="O7" s="121">
        <f>IFERROR(IF(VLOOKUP($B7,'JR G-Breakaway'!$B$5:$AI$24,22,FALSE)=" ",0,VLOOKUP($B7,'JR G-Breakaway'!$B$5:$AI$24,22,FALSE)),0)+IFERROR(IF(VLOOKUP($B7,'JR G-Barrels'!$B$5:$AI$24,22,FALSE)=" ",0,VLOOKUP($B7,'JR G-Barrels'!$B$5:$AI$24,22,FALSE)),0)+IFERROR(IF(VLOOKUP($B7,'JR G-Poles'!$B$5:$AI$24,22,FALSE)=" ",0,VLOOKUP($B7,'JR G-Poles'!$B$5:$AI$24,22,FALSE)),0)+IFERROR(IF(VLOOKUP($B7,'JR G-Goats'!$B$5:$AI$24,22,FALSE)=" ",0,VLOOKUP($B7,'JR G-Goats'!$B$5:$AI$24,22,FALSE)),0)+IFERROR(IF(VLOOKUP($B7,'JR-Team Roping-Header'!$B$5:$N$24,7,FALSE)=" ",0,VLOOKUP($B7,'JR-Team Roping-Header'!$B$5:$N$24,7,FALSE)),0)+IFERROR(IF(VLOOKUP($B7,'JR-Team Roping-Heeler'!$B$5:$N$24,7,FALSE)=" ",0,VLOOKUP($B7,'JR-Team Roping-Heeler'!$B$5:$N$24,7,FALSE)),0)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IFERROR(IF(VLOOKUP($B7,'JR G-Breakaway'!$B$5:$AI$24,26,FALSE)=" ",0,VLOOKUP($B7,'JR G-Breakaway'!$B$5:$AI$24,26,FALSE)),0)+IFERROR(IF(VLOOKUP($B7,'JR G-Barrels'!$B$5:$AI$24,26,FALSE)=" ",0,VLOOKUP($B7,'JR G-Barrels'!$B$5:$AI$24,26,FALSE)),0)+IFERROR(IF(VLOOKUP($B7,'JR G-Poles'!$B$5:$AI$24,26,FALSE)=" ",0,VLOOKUP($B7,'JR G-Poles'!$B$5:$AI$24,26,FALSE)),0)+IFERROR(IF(VLOOKUP($B7,'JR G-Goats'!$B$5:$AI$24,26,FALSE)=" ",0,VLOOKUP($B7,'JR G-Goats'!$B$5:$AI$24,26,FALSE)),0)+IFERROR(IF(VLOOKUP($B7,'JR-Team Roping-Header'!$B$5:$N$24,8,FALSE)=" ",0,VLOOKUP($B7,'JR-Team Roping-Header'!$B$5:$N$24,8,FALSE)),0)+IFERROR(IF(VLOOKUP($B7,'JR-Team Roping-Heeler'!$B$5:$N$24,8,FALSE)=" ",0,VLOOKUP($B7,'JR-Team Roping-Heeler'!$B$5:$N$24,8,FALSE)),0)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IFERROR(IF(VLOOKUP($B7,'JR G-Breakaway'!$B$5:$AI$24,30,FALSE)=" ",0,VLOOKUP($B7,'JR G-Breakaway'!$B$5:$AI$24,30,FALSE)),0)+IFERROR(IF(VLOOKUP($B7,'JR G-Barrels'!$B$5:$AI$24,30,FALSE)=" ",0,VLOOKUP($B7,'JR G-Barrels'!$B$5:$AI$24,30,FALSE)),0)+IFERROR(IF(VLOOKUP($B7,'JR G-Poles'!$B$5:$AI$24,30,FALSE)=" ",0,VLOOKUP($B7,'JR G-Poles'!$B$5:$AI$24,30,FALSE)),0)+IFERROR(IF(VLOOKUP($B7,'JR G-Goats'!$B$5:$AI$24,30,FALSE)=" ",0,VLOOKUP($B7,'JR G-Goats'!$B$5:$AI$24,30,FALSE)),0)+IFERROR(IF(VLOOKUP($B7,'JR-Team Roping-Header'!$B$5:$N$24,9,FALSE)=" ",0,VLOOKUP($B7,'JR-Team Roping-Header'!$B$5:$N$24,9,FALSE)),0)+IFERROR(IF(VLOOKUP($B7,'JR-Team Roping-Heeler'!$B$5:$N$24,9,FALSE)=" ",0,VLOOKUP($B7,'JR-Team Roping-Heeler'!$B$5:$N$24,9,FALSE)),0)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IFERROR(IF(VLOOKUP($B7,'JR G-Breakaway'!$B$5:$AI$24,34,FALSE)=" ",0,VLOOKUP($B7,'JR G-Breakaway'!$B$5:$AI$24,34,FALSE)),0)+IFERROR(IF(VLOOKUP($B7,'JR G-Barrels'!$B$5:$AI$24,34,FALSE)=" ",0,VLOOKUP($B7,'JR G-Barrels'!$B$5:$AI$24,34,FALSE)),0)+IFERROR(IF(VLOOKUP($B7,'JR G-Poles'!$B$5:$AI$24,34,FALSE)=" ",0,VLOOKUP($B7,'JR G-Poles'!$B$5:$AI$24,34,FALSE)),0)+IFERROR(IF(VLOOKUP($B7,'JR G-Goats'!$B$5:$AI$24,34,FALSE)=" ",0,VLOOKUP($B7,'JR G-Goats'!$B$5:$AI$24,34,FALSE)),0)+IFERROR(IF(VLOOKUP($B7,'JR-Team Roping-Header'!$B$5:$N$24,10,FALSE)=" ",0,VLOOKUP($B7,'JR-Team Roping-Header'!$B$5:$N$24,10,FALSE)),0)+IFERROR(IF(VLOOKUP($B7,'JR-Team Roping-Heeler'!$B$5:$N$24,10,FALSE)=" ",0,VLOOKUP($B7,'JR-Team Roping-Heeler'!$B$5:$N$24,10,FALSE)),0)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78</v>
      </c>
      <c r="AB7" s="95">
        <f t="shared" si="16"/>
        <v>78</v>
      </c>
      <c r="AC7" s="91">
        <f t="shared" si="17"/>
        <v>3</v>
      </c>
    </row>
    <row r="8" spans="2:29" x14ac:dyDescent="0.3">
      <c r="B8" s="152" t="s">
        <v>150</v>
      </c>
      <c r="C8" s="120">
        <f>IFERROR(IF(VLOOKUP($B8,'JR G-Breakaway'!$B$5:$AI$24,6,FALSE)=" ",0,VLOOKUP($B8,'JR G-Breakaway'!$B$5:$AI$24,6,FALSE)),0)+IFERROR(IF(VLOOKUP($B8,'JR G-Barrels'!$B$5:$AI$24,6,FALSE)=" ",0,VLOOKUP($B8,'JR G-Barrels'!$B$5:$AI$24,6,FALSE)),0)+IFERROR(IF(VLOOKUP($B8,'JR G-Poles'!$B$5:$AI$24,6,FALSE)=" ",0,VLOOKUP($B8,'JR G-Poles'!$B$5:$AI$24,6,FALSE)),0)+IFERROR(IF(VLOOKUP($B8,'JR G-Goats'!$B$5:$AI$24,6,FALSE)=" ",0,VLOOKUP($B8,'JR G-Goats'!$B$5:$AI$24,6,FALSE)),0)+IFERROR(IF(VLOOKUP($B8,'JR-Team Roping-Header'!$B$5:$N$24,3,FALSE)=" ",0,VLOOKUP($B8,'JR-Team Roping-Header'!$B$5:$N$24,3,FALSE)),0)+IFERROR(IF(VLOOKUP($B8,'JR-Team Roping-Heeler'!$B$5:$N$24,3,FALSE)=" ",0,VLOOKUP($B8,'JR-Team Roping-Heeler'!$B$5:$N$24,3,FALSE)),0)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IFERROR(IF(VLOOKUP($B8,'JR G-Breakaway'!$B$5:$AI$24,10,FALSE)=" ",0,VLOOKUP($B8,'JR G-Breakaway'!$B$5:$AI$24,10,FALSE)),0)+IFERROR(IF(VLOOKUP($B8,'JR G-Barrels'!$B$5:$AI$24,10,FALSE)=" ",0,VLOOKUP($B8,'JR G-Barrels'!$B$5:$AI$24,10,FALSE)),0)+IFERROR(IF(VLOOKUP($B8,'JR G-Poles'!$B$5:$AI$24,10,FALSE)=" ",0,VLOOKUP($B8,'JR G-Poles'!$B$5:$AI$24,10,FALSE)),0)+IFERROR(IF(VLOOKUP($B8,'JR G-Goats'!$B$5:$AI$24,10,FALSE)=" ",0,VLOOKUP($B8,'JR G-Goats'!$B$5:$AI$24,10,FALSE)),0)+IFERROR(IF(VLOOKUP($B8,'JR-Team Roping-Header'!$B$5:$N$24,4,FALSE)=" ",0,VLOOKUP($B8,'JR-Team Roping-Header'!$B$5:$N$24,4,FALSE)),0)+IFERROR(IF(VLOOKUP($B8,'JR-Team Roping-Heeler'!$B$5:$N$24,4,FALSE)=" ",0,VLOOKUP($B8,'JR-Team Roping-Heeler'!$B$5:$N$24,4,FALSE)),0)</f>
        <v>21</v>
      </c>
      <c r="G8" s="95">
        <f t="shared" si="2"/>
        <v>21</v>
      </c>
      <c r="H8" s="91">
        <f t="shared" si="3"/>
        <v>5</v>
      </c>
      <c r="I8" s="121">
        <f>IFERROR(IF(VLOOKUP($B8,'JR G-Breakaway'!$B$5:$AI$24,14,FALSE)=" ",0,VLOOKUP($B8,'JR G-Breakaway'!$B$5:$AI$24,14,FALSE)),0)+IFERROR(IF(VLOOKUP($B8,'JR G-Barrels'!$B$5:$AI$24,14,FALSE)=" ",0,VLOOKUP($B8,'JR G-Barrels'!$B$5:$AI$24,14,FALSE)),0)+IFERROR(IF(VLOOKUP($B8,'JR G-Poles'!$B$5:$AI$24,14,FALSE)=" ",0,VLOOKUP($B8,'JR G-Poles'!$B$5:$AI$24,14,FALSE)),0)+IFERROR(IF(VLOOKUP($B8,'JR G-Goats'!$B$5:$AI$24,14,FALSE)=" ",0,VLOOKUP($B8,'JR G-Goats'!$B$5:$AI$24,14,FALSE)),0)+IFERROR(IF(VLOOKUP($B8,'JR-Team Roping-Header'!$B$5:$N$24,5,FALSE)=" ",0,VLOOKUP($B8,'JR-Team Roping-Header'!$B$5:$N$24,5,FALSE)),0)+IFERROR(IF(VLOOKUP($B8,'JR-Team Roping-Heeler'!$B$5:$N$24,5,FALSE)=" ",0,VLOOKUP($B8,'JR-Team Roping-Heeler'!$B$5:$N$24,5,FALSE)),0)</f>
        <v>15</v>
      </c>
      <c r="J8" s="95">
        <f t="shared" si="4"/>
        <v>15</v>
      </c>
      <c r="K8" s="91">
        <f t="shared" si="5"/>
        <v>7</v>
      </c>
      <c r="L8" s="121">
        <f>IFERROR(IF(VLOOKUP($B8,'JR G-Breakaway'!$B$5:$AI$24,18,FALSE)=" ",0,VLOOKUP($B8,'JR G-Breakaway'!$B$5:$AI$24,18,FALSE)),0)+IFERROR(IF(VLOOKUP($B8,'JR G-Barrels'!$B$5:$AI$24,18,FALSE)=" ",0,VLOOKUP($B8,'JR G-Barrels'!$B$5:$AI$24,18,FALSE)),0)+IFERROR(IF(VLOOKUP($B8,'JR G-Poles'!$B$5:$AI$24,18,FALSE)=" ",0,VLOOKUP($B8,'JR G-Poles'!$B$5:$AI$24,18,FALSE)),0)+IFERROR(IF(VLOOKUP($B8,'JR G-Goats'!$B$5:$AI$24,18,FALSE)=" ",0,VLOOKUP($B8,'JR G-Goats'!$B$5:$AI$24,18,FALSE)),0)+IFERROR(IF(VLOOKUP($B8,'JR-Team Roping-Header'!$B$5:$N$24,6,FALSE)=" ",0,VLOOKUP($B8,'JR-Team Roping-Header'!$B$5:$N$24,6,FALSE)),0)+IFERROR(IF(VLOOKUP($B8,'JR-Team Roping-Heeler'!$B$5:$N$24,6,FALSE)=" ",0,VLOOKUP($B8,'JR-Team Roping-Heeler'!$B$5:$N$24,6,FALSE)),0)</f>
        <v>42</v>
      </c>
      <c r="M8" s="95">
        <f t="shared" si="6"/>
        <v>42</v>
      </c>
      <c r="N8" s="91">
        <f t="shared" si="7"/>
        <v>1</v>
      </c>
      <c r="O8" s="121">
        <f>IFERROR(IF(VLOOKUP($B8,'JR G-Breakaway'!$B$5:$AI$24,22,FALSE)=" ",0,VLOOKUP($B8,'JR G-Breakaway'!$B$5:$AI$24,22,FALSE)),0)+IFERROR(IF(VLOOKUP($B8,'JR G-Barrels'!$B$5:$AI$24,22,FALSE)=" ",0,VLOOKUP($B8,'JR G-Barrels'!$B$5:$AI$24,22,FALSE)),0)+IFERROR(IF(VLOOKUP($B8,'JR G-Poles'!$B$5:$AI$24,22,FALSE)=" ",0,VLOOKUP($B8,'JR G-Poles'!$B$5:$AI$24,22,FALSE)),0)+IFERROR(IF(VLOOKUP($B8,'JR G-Goats'!$B$5:$AI$24,22,FALSE)=" ",0,VLOOKUP($B8,'JR G-Goats'!$B$5:$AI$24,22,FALSE)),0)+IFERROR(IF(VLOOKUP($B8,'JR-Team Roping-Header'!$B$5:$N$24,7,FALSE)=" ",0,VLOOKUP($B8,'JR-Team Roping-Header'!$B$5:$N$24,7,FALSE)),0)+IFERROR(IF(VLOOKUP($B8,'JR-Team Roping-Heeler'!$B$5:$N$24,7,FALSE)=" ",0,VLOOKUP($B8,'JR-Team Roping-Heeler'!$B$5:$N$24,7,FALSE)),0)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IFERROR(IF(VLOOKUP($B8,'JR G-Breakaway'!$B$5:$AI$24,26,FALSE)=" ",0,VLOOKUP($B8,'JR G-Breakaway'!$B$5:$AI$24,26,FALSE)),0)+IFERROR(IF(VLOOKUP($B8,'JR G-Barrels'!$B$5:$AI$24,26,FALSE)=" ",0,VLOOKUP($B8,'JR G-Barrels'!$B$5:$AI$24,26,FALSE)),0)+IFERROR(IF(VLOOKUP($B8,'JR G-Poles'!$B$5:$AI$24,26,FALSE)=" ",0,VLOOKUP($B8,'JR G-Poles'!$B$5:$AI$24,26,FALSE)),0)+IFERROR(IF(VLOOKUP($B8,'JR G-Goats'!$B$5:$AI$24,26,FALSE)=" ",0,VLOOKUP($B8,'JR G-Goats'!$B$5:$AI$24,26,FALSE)),0)+IFERROR(IF(VLOOKUP($B8,'JR-Team Roping-Header'!$B$5:$N$24,8,FALSE)=" ",0,VLOOKUP($B8,'JR-Team Roping-Header'!$B$5:$N$24,8,FALSE)),0)+IFERROR(IF(VLOOKUP($B8,'JR-Team Roping-Heeler'!$B$5:$N$24,8,FALSE)=" ",0,VLOOKUP($B8,'JR-Team Roping-Heeler'!$B$5:$N$24,8,FALSE)),0)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IFERROR(IF(VLOOKUP($B8,'JR G-Breakaway'!$B$5:$AI$24,30,FALSE)=" ",0,VLOOKUP($B8,'JR G-Breakaway'!$B$5:$AI$24,30,FALSE)),0)+IFERROR(IF(VLOOKUP($B8,'JR G-Barrels'!$B$5:$AI$24,30,FALSE)=" ",0,VLOOKUP($B8,'JR G-Barrels'!$B$5:$AI$24,30,FALSE)),0)+IFERROR(IF(VLOOKUP($B8,'JR G-Poles'!$B$5:$AI$24,30,FALSE)=" ",0,VLOOKUP($B8,'JR G-Poles'!$B$5:$AI$24,30,FALSE)),0)+IFERROR(IF(VLOOKUP($B8,'JR G-Goats'!$B$5:$AI$24,30,FALSE)=" ",0,VLOOKUP($B8,'JR G-Goats'!$B$5:$AI$24,30,FALSE)),0)+IFERROR(IF(VLOOKUP($B8,'JR-Team Roping-Header'!$B$5:$N$24,9,FALSE)=" ",0,VLOOKUP($B8,'JR-Team Roping-Header'!$B$5:$N$24,9,FALSE)),0)+IFERROR(IF(VLOOKUP($B8,'JR-Team Roping-Heeler'!$B$5:$N$24,9,FALSE)=" ",0,VLOOKUP($B8,'JR-Team Roping-Heeler'!$B$5:$N$24,9,FALSE)),0)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IFERROR(IF(VLOOKUP($B8,'JR G-Breakaway'!$B$5:$AI$24,34,FALSE)=" ",0,VLOOKUP($B8,'JR G-Breakaway'!$B$5:$AI$24,34,FALSE)),0)+IFERROR(IF(VLOOKUP($B8,'JR G-Barrels'!$B$5:$AI$24,34,FALSE)=" ",0,VLOOKUP($B8,'JR G-Barrels'!$B$5:$AI$24,34,FALSE)),0)+IFERROR(IF(VLOOKUP($B8,'JR G-Poles'!$B$5:$AI$24,34,FALSE)=" ",0,VLOOKUP($B8,'JR G-Poles'!$B$5:$AI$24,34,FALSE)),0)+IFERROR(IF(VLOOKUP($B8,'JR G-Goats'!$B$5:$AI$24,34,FALSE)=" ",0,VLOOKUP($B8,'JR G-Goats'!$B$5:$AI$24,34,FALSE)),0)+IFERROR(IF(VLOOKUP($B8,'JR-Team Roping-Header'!$B$5:$N$24,10,FALSE)=" ",0,VLOOKUP($B8,'JR-Team Roping-Header'!$B$5:$N$24,10,FALSE)),0)+IFERROR(IF(VLOOKUP($B8,'JR-Team Roping-Heeler'!$B$5:$N$24,10,FALSE)=" ",0,VLOOKUP($B8,'JR-Team Roping-Heeler'!$B$5:$N$24,10,FALSE)),0)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78</v>
      </c>
      <c r="AB8" s="95">
        <f t="shared" si="16"/>
        <v>78</v>
      </c>
      <c r="AC8" s="91">
        <f t="shared" si="17"/>
        <v>3</v>
      </c>
    </row>
    <row r="9" spans="2:29" x14ac:dyDescent="0.3">
      <c r="B9" s="152" t="s">
        <v>142</v>
      </c>
      <c r="C9" s="120">
        <f>IFERROR(IF(VLOOKUP($B9,'JR G-Breakaway'!$B$5:$AI$24,6,FALSE)=" ",0,VLOOKUP($B9,'JR G-Breakaway'!$B$5:$AI$24,6,FALSE)),0)+IFERROR(IF(VLOOKUP($B9,'JR G-Barrels'!$B$5:$AI$24,6,FALSE)=" ",0,VLOOKUP($B9,'JR G-Barrels'!$B$5:$AI$24,6,FALSE)),0)+IFERROR(IF(VLOOKUP($B9,'JR G-Poles'!$B$5:$AI$24,6,FALSE)=" ",0,VLOOKUP($B9,'JR G-Poles'!$B$5:$AI$24,6,FALSE)),0)+IFERROR(IF(VLOOKUP($B9,'JR G-Goats'!$B$5:$AI$24,6,FALSE)=" ",0,VLOOKUP($B9,'JR G-Goats'!$B$5:$AI$24,6,FALSE)),0)+IFERROR(IF(VLOOKUP($B9,'JR-Team Roping-Header'!$B$5:$N$24,3,FALSE)=" ",0,VLOOKUP($B9,'JR-Team Roping-Header'!$B$5:$N$24,3,FALSE)),0)+IFERROR(IF(VLOOKUP($B9,'JR-Team Roping-Heeler'!$B$5:$N$24,3,FALSE)=" ",0,VLOOKUP($B9,'JR-Team Roping-Heeler'!$B$5:$N$24,3,FALSE)),0)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IFERROR(IF(VLOOKUP($B9,'JR G-Breakaway'!$B$5:$AI$24,10,FALSE)=" ",0,VLOOKUP($B9,'JR G-Breakaway'!$B$5:$AI$24,10,FALSE)),0)+IFERROR(IF(VLOOKUP($B9,'JR G-Barrels'!$B$5:$AI$24,10,FALSE)=" ",0,VLOOKUP($B9,'JR G-Barrels'!$B$5:$AI$24,10,FALSE)),0)+IFERROR(IF(VLOOKUP($B9,'JR G-Poles'!$B$5:$AI$24,10,FALSE)=" ",0,VLOOKUP($B9,'JR G-Poles'!$B$5:$AI$24,10,FALSE)),0)+IFERROR(IF(VLOOKUP($B9,'JR G-Goats'!$B$5:$AI$24,10,FALSE)=" ",0,VLOOKUP($B9,'JR G-Goats'!$B$5:$AI$24,10,FALSE)),0)+IFERROR(IF(VLOOKUP($B9,'JR-Team Roping-Header'!$B$5:$N$24,4,FALSE)=" ",0,VLOOKUP($B9,'JR-Team Roping-Header'!$B$5:$N$24,4,FALSE)),0)+IFERROR(IF(VLOOKUP($B9,'JR-Team Roping-Heeler'!$B$5:$N$24,4,FALSE)=" ",0,VLOOKUP($B9,'JR-Team Roping-Heeler'!$B$5:$N$24,4,FALSE)),0)</f>
        <v>12</v>
      </c>
      <c r="G9" s="95">
        <f t="shared" si="2"/>
        <v>12</v>
      </c>
      <c r="H9" s="91">
        <f t="shared" si="3"/>
        <v>10</v>
      </c>
      <c r="I9" s="121">
        <f>IFERROR(IF(VLOOKUP($B9,'JR G-Breakaway'!$B$5:$AI$24,14,FALSE)=" ",0,VLOOKUP($B9,'JR G-Breakaway'!$B$5:$AI$24,14,FALSE)),0)+IFERROR(IF(VLOOKUP($B9,'JR G-Barrels'!$B$5:$AI$24,14,FALSE)=" ",0,VLOOKUP($B9,'JR G-Barrels'!$B$5:$AI$24,14,FALSE)),0)+IFERROR(IF(VLOOKUP($B9,'JR G-Poles'!$B$5:$AI$24,14,FALSE)=" ",0,VLOOKUP($B9,'JR G-Poles'!$B$5:$AI$24,14,FALSE)),0)+IFERROR(IF(VLOOKUP($B9,'JR G-Goats'!$B$5:$AI$24,14,FALSE)=" ",0,VLOOKUP($B9,'JR G-Goats'!$B$5:$AI$24,14,FALSE)),0)+IFERROR(IF(VLOOKUP($B9,'JR-Team Roping-Header'!$B$5:$N$24,5,FALSE)=" ",0,VLOOKUP($B9,'JR-Team Roping-Header'!$B$5:$N$24,5,FALSE)),0)+IFERROR(IF(VLOOKUP($B9,'JR-Team Roping-Heeler'!$B$5:$N$24,5,FALSE)=" ",0,VLOOKUP($B9,'JR-Team Roping-Heeler'!$B$5:$N$24,5,FALSE)),0)</f>
        <v>24</v>
      </c>
      <c r="J9" s="95">
        <f t="shared" si="4"/>
        <v>24</v>
      </c>
      <c r="K9" s="91">
        <f t="shared" si="5"/>
        <v>5</v>
      </c>
      <c r="L9" s="121">
        <f>IFERROR(IF(VLOOKUP($B9,'JR G-Breakaway'!$B$5:$AI$24,18,FALSE)=" ",0,VLOOKUP($B9,'JR G-Breakaway'!$B$5:$AI$24,18,FALSE)),0)+IFERROR(IF(VLOOKUP($B9,'JR G-Barrels'!$B$5:$AI$24,18,FALSE)=" ",0,VLOOKUP($B9,'JR G-Barrels'!$B$5:$AI$24,18,FALSE)),0)+IFERROR(IF(VLOOKUP($B9,'JR G-Poles'!$B$5:$AI$24,18,FALSE)=" ",0,VLOOKUP($B9,'JR G-Poles'!$B$5:$AI$24,18,FALSE)),0)+IFERROR(IF(VLOOKUP($B9,'JR G-Goats'!$B$5:$AI$24,18,FALSE)=" ",0,VLOOKUP($B9,'JR G-Goats'!$B$5:$AI$24,18,FALSE)),0)+IFERROR(IF(VLOOKUP($B9,'JR-Team Roping-Header'!$B$5:$N$24,6,FALSE)=" ",0,VLOOKUP($B9,'JR-Team Roping-Header'!$B$5:$N$24,6,FALSE)),0)+IFERROR(IF(VLOOKUP($B9,'JR-Team Roping-Heeler'!$B$5:$N$24,6,FALSE)=" ",0,VLOOKUP($B9,'JR-Team Roping-Heeler'!$B$5:$N$24,6,FALSE)),0)</f>
        <v>30</v>
      </c>
      <c r="M9" s="95">
        <f t="shared" si="6"/>
        <v>30</v>
      </c>
      <c r="N9" s="91">
        <f t="shared" si="7"/>
        <v>4</v>
      </c>
      <c r="O9" s="121">
        <f>IFERROR(IF(VLOOKUP($B9,'JR G-Breakaway'!$B$5:$AI$24,22,FALSE)=" ",0,VLOOKUP($B9,'JR G-Breakaway'!$B$5:$AI$24,22,FALSE)),0)+IFERROR(IF(VLOOKUP($B9,'JR G-Barrels'!$B$5:$AI$24,22,FALSE)=" ",0,VLOOKUP($B9,'JR G-Barrels'!$B$5:$AI$24,22,FALSE)),0)+IFERROR(IF(VLOOKUP($B9,'JR G-Poles'!$B$5:$AI$24,22,FALSE)=" ",0,VLOOKUP($B9,'JR G-Poles'!$B$5:$AI$24,22,FALSE)),0)+IFERROR(IF(VLOOKUP($B9,'JR G-Goats'!$B$5:$AI$24,22,FALSE)=" ",0,VLOOKUP($B9,'JR G-Goats'!$B$5:$AI$24,22,FALSE)),0)+IFERROR(IF(VLOOKUP($B9,'JR-Team Roping-Header'!$B$5:$N$24,7,FALSE)=" ",0,VLOOKUP($B9,'JR-Team Roping-Header'!$B$5:$N$24,7,FALSE)),0)+IFERROR(IF(VLOOKUP($B9,'JR-Team Roping-Heeler'!$B$5:$N$24,7,FALSE)=" ",0,VLOOKUP($B9,'JR-Team Roping-Heeler'!$B$5:$N$24,7,FALSE)),0)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IFERROR(IF(VLOOKUP($B9,'JR G-Breakaway'!$B$5:$AI$24,26,FALSE)=" ",0,VLOOKUP($B9,'JR G-Breakaway'!$B$5:$AI$24,26,FALSE)),0)+IFERROR(IF(VLOOKUP($B9,'JR G-Barrels'!$B$5:$AI$24,26,FALSE)=" ",0,VLOOKUP($B9,'JR G-Barrels'!$B$5:$AI$24,26,FALSE)),0)+IFERROR(IF(VLOOKUP($B9,'JR G-Poles'!$B$5:$AI$24,26,FALSE)=" ",0,VLOOKUP($B9,'JR G-Poles'!$B$5:$AI$24,26,FALSE)),0)+IFERROR(IF(VLOOKUP($B9,'JR G-Goats'!$B$5:$AI$24,26,FALSE)=" ",0,VLOOKUP($B9,'JR G-Goats'!$B$5:$AI$24,26,FALSE)),0)+IFERROR(IF(VLOOKUP($B9,'JR-Team Roping-Header'!$B$5:$N$24,8,FALSE)=" ",0,VLOOKUP($B9,'JR-Team Roping-Header'!$B$5:$N$24,8,FALSE)),0)+IFERROR(IF(VLOOKUP($B9,'JR-Team Roping-Heeler'!$B$5:$N$24,8,FALSE)=" ",0,VLOOKUP($B9,'JR-Team Roping-Heeler'!$B$5:$N$24,8,FALSE)),0)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IFERROR(IF(VLOOKUP($B9,'JR G-Breakaway'!$B$5:$AI$24,30,FALSE)=" ",0,VLOOKUP($B9,'JR G-Breakaway'!$B$5:$AI$24,30,FALSE)),0)+IFERROR(IF(VLOOKUP($B9,'JR G-Barrels'!$B$5:$AI$24,30,FALSE)=" ",0,VLOOKUP($B9,'JR G-Barrels'!$B$5:$AI$24,30,FALSE)),0)+IFERROR(IF(VLOOKUP($B9,'JR G-Poles'!$B$5:$AI$24,30,FALSE)=" ",0,VLOOKUP($B9,'JR G-Poles'!$B$5:$AI$24,30,FALSE)),0)+IFERROR(IF(VLOOKUP($B9,'JR G-Goats'!$B$5:$AI$24,30,FALSE)=" ",0,VLOOKUP($B9,'JR G-Goats'!$B$5:$AI$24,30,FALSE)),0)+IFERROR(IF(VLOOKUP($B9,'JR-Team Roping-Header'!$B$5:$N$24,9,FALSE)=" ",0,VLOOKUP($B9,'JR-Team Roping-Header'!$B$5:$N$24,9,FALSE)),0)+IFERROR(IF(VLOOKUP($B9,'JR-Team Roping-Heeler'!$B$5:$N$24,9,FALSE)=" ",0,VLOOKUP($B9,'JR-Team Roping-Heeler'!$B$5:$N$24,9,FALSE)),0)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IFERROR(IF(VLOOKUP($B9,'JR G-Breakaway'!$B$5:$AI$24,34,FALSE)=" ",0,VLOOKUP($B9,'JR G-Breakaway'!$B$5:$AI$24,34,FALSE)),0)+IFERROR(IF(VLOOKUP($B9,'JR G-Barrels'!$B$5:$AI$24,34,FALSE)=" ",0,VLOOKUP($B9,'JR G-Barrels'!$B$5:$AI$24,34,FALSE)),0)+IFERROR(IF(VLOOKUP($B9,'JR G-Poles'!$B$5:$AI$24,34,FALSE)=" ",0,VLOOKUP($B9,'JR G-Poles'!$B$5:$AI$24,34,FALSE)),0)+IFERROR(IF(VLOOKUP($B9,'JR G-Goats'!$B$5:$AI$24,34,FALSE)=" ",0,VLOOKUP($B9,'JR G-Goats'!$B$5:$AI$24,34,FALSE)),0)+IFERROR(IF(VLOOKUP($B9,'JR-Team Roping-Header'!$B$5:$N$24,10,FALSE)=" ",0,VLOOKUP($B9,'JR-Team Roping-Header'!$B$5:$N$24,10,FALSE)),0)+IFERROR(IF(VLOOKUP($B9,'JR-Team Roping-Heeler'!$B$5:$N$24,10,FALSE)=" ",0,VLOOKUP($B9,'JR-Team Roping-Heeler'!$B$5:$N$24,10,FALSE)),0)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66</v>
      </c>
      <c r="AB9" s="95">
        <f t="shared" si="16"/>
        <v>66</v>
      </c>
      <c r="AC9" s="91">
        <f t="shared" si="17"/>
        <v>5</v>
      </c>
    </row>
    <row r="10" spans="2:29" x14ac:dyDescent="0.3">
      <c r="B10" s="152" t="s">
        <v>228</v>
      </c>
      <c r="C10" s="120">
        <f>IFERROR(IF(VLOOKUP($B10,'JR G-Breakaway'!$B$5:$AI$24,6,FALSE)=" ",0,VLOOKUP($B10,'JR G-Breakaway'!$B$5:$AI$24,6,FALSE)),0)+IFERROR(IF(VLOOKUP($B10,'JR G-Barrels'!$B$5:$AI$24,6,FALSE)=" ",0,VLOOKUP($B10,'JR G-Barrels'!$B$5:$AI$24,6,FALSE)),0)+IFERROR(IF(VLOOKUP($B10,'JR G-Poles'!$B$5:$AI$24,6,FALSE)=" ",0,VLOOKUP($B10,'JR G-Poles'!$B$5:$AI$24,6,FALSE)),0)+IFERROR(IF(VLOOKUP($B10,'JR G-Goats'!$B$5:$AI$24,6,FALSE)=" ",0,VLOOKUP($B10,'JR G-Goats'!$B$5:$AI$24,6,FALSE)),0)+IFERROR(IF(VLOOKUP($B10,'JR-Team Roping-Header'!$B$5:$N$24,3,FALSE)=" ",0,VLOOKUP($B10,'JR-Team Roping-Header'!$B$5:$N$24,3,FALSE)),0)+IFERROR(IF(VLOOKUP($B10,'JR-Team Roping-Heeler'!$B$5:$N$24,3,FALSE)=" ",0,VLOOKUP($B10,'JR-Team Roping-Heeler'!$B$5:$N$24,3,FALSE)),0)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 G-Breakaway'!$B$5:$AI$24,10,FALSE)=" ",0,VLOOKUP($B10,'JR G-Breakaway'!$B$5:$AI$24,10,FALSE)),0)+IFERROR(IF(VLOOKUP($B10,'JR G-Barrels'!$B$5:$AI$24,10,FALSE)=" ",0,VLOOKUP($B10,'JR G-Barrels'!$B$5:$AI$24,10,FALSE)),0)+IFERROR(IF(VLOOKUP($B10,'JR G-Poles'!$B$5:$AI$24,10,FALSE)=" ",0,VLOOKUP($B10,'JR G-Poles'!$B$5:$AI$24,10,FALSE)),0)+IFERROR(IF(VLOOKUP($B10,'JR G-Goats'!$B$5:$AI$24,10,FALSE)=" ",0,VLOOKUP($B10,'JR G-Goats'!$B$5:$AI$24,10,FALSE)),0)+IFERROR(IF(VLOOKUP($B10,'JR-Team Roping-Header'!$B$5:$N$24,4,FALSE)=" ",0,VLOOKUP($B10,'JR-Team Roping-Header'!$B$5:$N$24,4,FALSE)),0)+IFERROR(IF(VLOOKUP($B10,'JR-Team Roping-Heeler'!$B$5:$N$24,4,FALSE)=" ",0,VLOOKUP($B10,'JR-Team Roping-Heeler'!$B$5:$N$24,4,FALSE)),0)</f>
        <v>36</v>
      </c>
      <c r="G10" s="95">
        <f t="shared" si="2"/>
        <v>36</v>
      </c>
      <c r="H10" s="91">
        <f t="shared" si="3"/>
        <v>2</v>
      </c>
      <c r="I10" s="121">
        <f>IFERROR(IF(VLOOKUP($B10,'JR G-Breakaway'!$B$5:$AI$24,14,FALSE)=" ",0,VLOOKUP($B10,'JR G-Breakaway'!$B$5:$AI$24,14,FALSE)),0)+IFERROR(IF(VLOOKUP($B10,'JR G-Barrels'!$B$5:$AI$24,14,FALSE)=" ",0,VLOOKUP($B10,'JR G-Barrels'!$B$5:$AI$24,14,FALSE)),0)+IFERROR(IF(VLOOKUP($B10,'JR G-Poles'!$B$5:$AI$24,14,FALSE)=" ",0,VLOOKUP($B10,'JR G-Poles'!$B$5:$AI$24,14,FALSE)),0)+IFERROR(IF(VLOOKUP($B10,'JR G-Goats'!$B$5:$AI$24,14,FALSE)=" ",0,VLOOKUP($B10,'JR G-Goats'!$B$5:$AI$24,14,FALSE)),0)+IFERROR(IF(VLOOKUP($B10,'JR-Team Roping-Header'!$B$5:$N$24,5,FALSE)=" ",0,VLOOKUP($B10,'JR-Team Roping-Header'!$B$5:$N$24,5,FALSE)),0)+IFERROR(IF(VLOOKUP($B10,'JR-Team Roping-Heeler'!$B$5:$N$24,5,FALSE)=" ",0,VLOOKUP($B10,'JR-Team Roping-Heeler'!$B$5:$N$24,5,FALSE)),0)</f>
        <v>12</v>
      </c>
      <c r="J10" s="95">
        <f t="shared" si="4"/>
        <v>12</v>
      </c>
      <c r="K10" s="91">
        <f t="shared" si="5"/>
        <v>10</v>
      </c>
      <c r="L10" s="121">
        <f>IFERROR(IF(VLOOKUP($B10,'JR G-Breakaway'!$B$5:$AI$24,18,FALSE)=" ",0,VLOOKUP($B10,'JR G-Breakaway'!$B$5:$AI$24,18,FALSE)),0)+IFERROR(IF(VLOOKUP($B10,'JR G-Barrels'!$B$5:$AI$24,18,FALSE)=" ",0,VLOOKUP($B10,'JR G-Barrels'!$B$5:$AI$24,18,FALSE)),0)+IFERROR(IF(VLOOKUP($B10,'JR G-Poles'!$B$5:$AI$24,18,FALSE)=" ",0,VLOOKUP($B10,'JR G-Poles'!$B$5:$AI$24,18,FALSE)),0)+IFERROR(IF(VLOOKUP($B10,'JR G-Goats'!$B$5:$AI$24,18,FALSE)=" ",0,VLOOKUP($B10,'JR G-Goats'!$B$5:$AI$24,18,FALSE)),0)+IFERROR(IF(VLOOKUP($B10,'JR-Team Roping-Header'!$B$5:$N$24,6,FALSE)=" ",0,VLOOKUP($B10,'JR-Team Roping-Header'!$B$5:$N$24,6,FALSE)),0)+IFERROR(IF(VLOOKUP($B10,'JR-Team Roping-Heeler'!$B$5:$N$24,6,FALSE)=" ",0,VLOOKUP($B10,'JR-Team Roping-Heeler'!$B$5:$N$24,6,FALSE)),0)</f>
        <v>9</v>
      </c>
      <c r="M10" s="95">
        <f t="shared" si="6"/>
        <v>9</v>
      </c>
      <c r="N10" s="91">
        <f t="shared" si="7"/>
        <v>10</v>
      </c>
      <c r="O10" s="121">
        <f>IFERROR(IF(VLOOKUP($B10,'JR G-Breakaway'!$B$5:$AI$24,22,FALSE)=" ",0,VLOOKUP($B10,'JR G-Breakaway'!$B$5:$AI$24,22,FALSE)),0)+IFERROR(IF(VLOOKUP($B10,'JR G-Barrels'!$B$5:$AI$24,22,FALSE)=" ",0,VLOOKUP($B10,'JR G-Barrels'!$B$5:$AI$24,22,FALSE)),0)+IFERROR(IF(VLOOKUP($B10,'JR G-Poles'!$B$5:$AI$24,22,FALSE)=" ",0,VLOOKUP($B10,'JR G-Poles'!$B$5:$AI$24,22,FALSE)),0)+IFERROR(IF(VLOOKUP($B10,'JR G-Goats'!$B$5:$AI$24,22,FALSE)=" ",0,VLOOKUP($B10,'JR G-Goats'!$B$5:$AI$24,22,FALSE)),0)+IFERROR(IF(VLOOKUP($B10,'JR-Team Roping-Header'!$B$5:$N$24,7,FALSE)=" ",0,VLOOKUP($B10,'JR-Team Roping-Header'!$B$5:$N$24,7,FALSE)),0)+IFERROR(IF(VLOOKUP($B10,'JR-Team Roping-Heeler'!$B$5:$N$24,7,FALSE)=" ",0,VLOOKUP($B10,'JR-Team Roping-Heeler'!$B$5:$N$24,7,FALSE)),0)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IFERROR(IF(VLOOKUP($B10,'JR G-Breakaway'!$B$5:$AI$24,26,FALSE)=" ",0,VLOOKUP($B10,'JR G-Breakaway'!$B$5:$AI$24,26,FALSE)),0)+IFERROR(IF(VLOOKUP($B10,'JR G-Barrels'!$B$5:$AI$24,26,FALSE)=" ",0,VLOOKUP($B10,'JR G-Barrels'!$B$5:$AI$24,26,FALSE)),0)+IFERROR(IF(VLOOKUP($B10,'JR G-Poles'!$B$5:$AI$24,26,FALSE)=" ",0,VLOOKUP($B10,'JR G-Poles'!$B$5:$AI$24,26,FALSE)),0)+IFERROR(IF(VLOOKUP($B10,'JR G-Goats'!$B$5:$AI$24,26,FALSE)=" ",0,VLOOKUP($B10,'JR G-Goats'!$B$5:$AI$24,26,FALSE)),0)+IFERROR(IF(VLOOKUP($B10,'JR-Team Roping-Header'!$B$5:$N$24,8,FALSE)=" ",0,VLOOKUP($B10,'JR-Team Roping-Header'!$B$5:$N$24,8,FALSE)),0)+IFERROR(IF(VLOOKUP($B10,'JR-Team Roping-Heeler'!$B$5:$N$24,8,FALSE)=" ",0,VLOOKUP($B10,'JR-Team Roping-Heeler'!$B$5:$N$24,8,FALSE)),0)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IFERROR(IF(VLOOKUP($B10,'JR G-Breakaway'!$B$5:$AI$24,30,FALSE)=" ",0,VLOOKUP($B10,'JR G-Breakaway'!$B$5:$AI$24,30,FALSE)),0)+IFERROR(IF(VLOOKUP($B10,'JR G-Barrels'!$B$5:$AI$24,30,FALSE)=" ",0,VLOOKUP($B10,'JR G-Barrels'!$B$5:$AI$24,30,FALSE)),0)+IFERROR(IF(VLOOKUP($B10,'JR G-Poles'!$B$5:$AI$24,30,FALSE)=" ",0,VLOOKUP($B10,'JR G-Poles'!$B$5:$AI$24,30,FALSE)),0)+IFERROR(IF(VLOOKUP($B10,'JR G-Goats'!$B$5:$AI$24,30,FALSE)=" ",0,VLOOKUP($B10,'JR G-Goats'!$B$5:$AI$24,30,FALSE)),0)+IFERROR(IF(VLOOKUP($B10,'JR-Team Roping-Header'!$B$5:$N$24,9,FALSE)=" ",0,VLOOKUP($B10,'JR-Team Roping-Header'!$B$5:$N$24,9,FALSE)),0)+IFERROR(IF(VLOOKUP($B10,'JR-Team Roping-Heeler'!$B$5:$N$24,9,FALSE)=" ",0,VLOOKUP($B10,'JR-Team Roping-Heeler'!$B$5:$N$24,9,FALSE)),0)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IFERROR(IF(VLOOKUP($B10,'JR G-Breakaway'!$B$5:$AI$24,34,FALSE)=" ",0,VLOOKUP($B10,'JR G-Breakaway'!$B$5:$AI$24,34,FALSE)),0)+IFERROR(IF(VLOOKUP($B10,'JR G-Barrels'!$B$5:$AI$24,34,FALSE)=" ",0,VLOOKUP($B10,'JR G-Barrels'!$B$5:$AI$24,34,FALSE)),0)+IFERROR(IF(VLOOKUP($B10,'JR G-Poles'!$B$5:$AI$24,34,FALSE)=" ",0,VLOOKUP($B10,'JR G-Poles'!$B$5:$AI$24,34,FALSE)),0)+IFERROR(IF(VLOOKUP($B10,'JR G-Goats'!$B$5:$AI$24,34,FALSE)=" ",0,VLOOKUP($B10,'JR G-Goats'!$B$5:$AI$24,34,FALSE)),0)+IFERROR(IF(VLOOKUP($B10,'JR-Team Roping-Header'!$B$5:$N$24,10,FALSE)=" ",0,VLOOKUP($B10,'JR-Team Roping-Header'!$B$5:$N$24,10,FALSE)),0)+IFERROR(IF(VLOOKUP($B10,'JR-Team Roping-Heeler'!$B$5:$N$24,10,FALSE)=" ",0,VLOOKUP($B10,'JR-Team Roping-Heeler'!$B$5:$N$24,10,FALSE)),0)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57</v>
      </c>
      <c r="AB10" s="95">
        <f t="shared" si="16"/>
        <v>57</v>
      </c>
      <c r="AC10" s="91">
        <f t="shared" si="17"/>
        <v>6</v>
      </c>
    </row>
    <row r="11" spans="2:29" x14ac:dyDescent="0.3">
      <c r="B11" s="152" t="s">
        <v>168</v>
      </c>
      <c r="C11" s="120">
        <f>IFERROR(IF(VLOOKUP($B11,'JR G-Breakaway'!$B$5:$AI$24,6,FALSE)=" ",0,VLOOKUP($B11,'JR G-Breakaway'!$B$5:$AI$24,6,FALSE)),0)+IFERROR(IF(VLOOKUP($B11,'JR G-Barrels'!$B$5:$AI$24,6,FALSE)=" ",0,VLOOKUP($B11,'JR G-Barrels'!$B$5:$AI$24,6,FALSE)),0)+IFERROR(IF(VLOOKUP($B11,'JR G-Poles'!$B$5:$AI$24,6,FALSE)=" ",0,VLOOKUP($B11,'JR G-Poles'!$B$5:$AI$24,6,FALSE)),0)+IFERROR(IF(VLOOKUP($B11,'JR G-Goats'!$B$5:$AI$24,6,FALSE)=" ",0,VLOOKUP($B11,'JR G-Goats'!$B$5:$AI$24,6,FALSE)),0)+IFERROR(IF(VLOOKUP($B11,'JR-Team Roping-Header'!$B$5:$N$24,3,FALSE)=" ",0,VLOOKUP($B11,'JR-Team Roping-Header'!$B$5:$N$24,3,FALSE)),0)+IFERROR(IF(VLOOKUP($B11,'JR-Team Roping-Heeler'!$B$5:$N$24,3,FALSE)=" ",0,VLOOKUP($B11,'JR-Team Roping-Heeler'!$B$5:$N$24,3,FALSE)),0)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IFERROR(IF(VLOOKUP($B11,'JR G-Breakaway'!$B$5:$AI$24,10,FALSE)=" ",0,VLOOKUP($B11,'JR G-Breakaway'!$B$5:$AI$24,10,FALSE)),0)+IFERROR(IF(VLOOKUP($B11,'JR G-Barrels'!$B$5:$AI$24,10,FALSE)=" ",0,VLOOKUP($B11,'JR G-Barrels'!$B$5:$AI$24,10,FALSE)),0)+IFERROR(IF(VLOOKUP($B11,'JR G-Poles'!$B$5:$AI$24,10,FALSE)=" ",0,VLOOKUP($B11,'JR G-Poles'!$B$5:$AI$24,10,FALSE)),0)+IFERROR(IF(VLOOKUP($B11,'JR G-Goats'!$B$5:$AI$24,10,FALSE)=" ",0,VLOOKUP($B11,'JR G-Goats'!$B$5:$AI$24,10,FALSE)),0)+IFERROR(IF(VLOOKUP($B11,'JR-Team Roping-Header'!$B$5:$N$24,4,FALSE)=" ",0,VLOOKUP($B11,'JR-Team Roping-Header'!$B$5:$N$24,4,FALSE)),0)+IFERROR(IF(VLOOKUP($B11,'JR-Team Roping-Heeler'!$B$5:$N$24,4,FALSE)=" ",0,VLOOKUP($B11,'JR-Team Roping-Heeler'!$B$5:$N$24,4,FALSE)),0)</f>
        <v>3</v>
      </c>
      <c r="G11" s="95">
        <f t="shared" si="2"/>
        <v>3</v>
      </c>
      <c r="H11" s="122">
        <f t="shared" si="3"/>
        <v>12</v>
      </c>
      <c r="I11" s="121">
        <f>IFERROR(IF(VLOOKUP($B11,'JR G-Breakaway'!$B$5:$AI$24,14,FALSE)=" ",0,VLOOKUP($B11,'JR G-Breakaway'!$B$5:$AI$24,14,FALSE)),0)+IFERROR(IF(VLOOKUP($B11,'JR G-Barrels'!$B$5:$AI$24,14,FALSE)=" ",0,VLOOKUP($B11,'JR G-Barrels'!$B$5:$AI$24,14,FALSE)),0)+IFERROR(IF(VLOOKUP($B11,'JR G-Poles'!$B$5:$AI$24,14,FALSE)=" ",0,VLOOKUP($B11,'JR G-Poles'!$B$5:$AI$24,14,FALSE)),0)+IFERROR(IF(VLOOKUP($B11,'JR G-Goats'!$B$5:$AI$24,14,FALSE)=" ",0,VLOOKUP($B11,'JR G-Goats'!$B$5:$AI$24,14,FALSE)),0)+IFERROR(IF(VLOOKUP($B11,'JR-Team Roping-Header'!$B$5:$N$24,5,FALSE)=" ",0,VLOOKUP($B11,'JR-Team Roping-Header'!$B$5:$N$24,5,FALSE)),0)+IFERROR(IF(VLOOKUP($B11,'JR-Team Roping-Heeler'!$B$5:$N$24,5,FALSE)=" ",0,VLOOKUP($B11,'JR-Team Roping-Heeler'!$B$5:$N$24,5,FALSE)),0)</f>
        <v>21</v>
      </c>
      <c r="J11" s="95">
        <f t="shared" si="4"/>
        <v>21</v>
      </c>
      <c r="K11" s="122">
        <f t="shared" si="5"/>
        <v>6</v>
      </c>
      <c r="L11" s="121">
        <f>IFERROR(IF(VLOOKUP($B11,'JR G-Breakaway'!$B$5:$AI$24,18,FALSE)=" ",0,VLOOKUP($B11,'JR G-Breakaway'!$B$5:$AI$24,18,FALSE)),0)+IFERROR(IF(VLOOKUP($B11,'JR G-Barrels'!$B$5:$AI$24,18,FALSE)=" ",0,VLOOKUP($B11,'JR G-Barrels'!$B$5:$AI$24,18,FALSE)),0)+IFERROR(IF(VLOOKUP($B11,'JR G-Poles'!$B$5:$AI$24,18,FALSE)=" ",0,VLOOKUP($B11,'JR G-Poles'!$B$5:$AI$24,18,FALSE)),0)+IFERROR(IF(VLOOKUP($B11,'JR G-Goats'!$B$5:$AI$24,18,FALSE)=" ",0,VLOOKUP($B11,'JR G-Goats'!$B$5:$AI$24,18,FALSE)),0)+IFERROR(IF(VLOOKUP($B11,'JR-Team Roping-Header'!$B$5:$N$24,6,FALSE)=" ",0,VLOOKUP($B11,'JR-Team Roping-Header'!$B$5:$N$24,6,FALSE)),0)+IFERROR(IF(VLOOKUP($B11,'JR-Team Roping-Heeler'!$B$5:$N$24,6,FALSE)=" ",0,VLOOKUP($B11,'JR-Team Roping-Heeler'!$B$5:$N$24,6,FALSE)),0)</f>
        <v>27</v>
      </c>
      <c r="M11" s="95">
        <f t="shared" si="6"/>
        <v>27</v>
      </c>
      <c r="N11" s="122">
        <f t="shared" si="7"/>
        <v>6</v>
      </c>
      <c r="O11" s="121">
        <f>IFERROR(IF(VLOOKUP($B11,'JR G-Breakaway'!$B$5:$AI$24,22,FALSE)=" ",0,VLOOKUP($B11,'JR G-Breakaway'!$B$5:$AI$24,22,FALSE)),0)+IFERROR(IF(VLOOKUP($B11,'JR G-Barrels'!$B$5:$AI$24,22,FALSE)=" ",0,VLOOKUP($B11,'JR G-Barrels'!$B$5:$AI$24,22,FALSE)),0)+IFERROR(IF(VLOOKUP($B11,'JR G-Poles'!$B$5:$AI$24,22,FALSE)=" ",0,VLOOKUP($B11,'JR G-Poles'!$B$5:$AI$24,22,FALSE)),0)+IFERROR(IF(VLOOKUP($B11,'JR G-Goats'!$B$5:$AI$24,22,FALSE)=" ",0,VLOOKUP($B11,'JR G-Goats'!$B$5:$AI$24,22,FALSE)),0)+IFERROR(IF(VLOOKUP($B11,'JR-Team Roping-Header'!$B$5:$N$24,7,FALSE)=" ",0,VLOOKUP($B11,'JR-Team Roping-Header'!$B$5:$N$24,7,FALSE)),0)+IFERROR(IF(VLOOKUP($B11,'JR-Team Roping-Heeler'!$B$5:$N$24,7,FALSE)=" ",0,VLOOKUP($B11,'JR-Team Roping-Heeler'!$B$5:$N$24,7,FALSE)),0)</f>
        <v>0</v>
      </c>
      <c r="P11" s="95" t="str">
        <f t="shared" si="8"/>
        <v xml:space="preserve"> </v>
      </c>
      <c r="Q11" s="122" t="str">
        <f t="shared" si="9"/>
        <v xml:space="preserve"> </v>
      </c>
      <c r="R11" s="121">
        <f>IFERROR(IF(VLOOKUP($B11,'JR G-Breakaway'!$B$5:$AI$24,26,FALSE)=" ",0,VLOOKUP($B11,'JR G-Breakaway'!$B$5:$AI$24,26,FALSE)),0)+IFERROR(IF(VLOOKUP($B11,'JR G-Barrels'!$B$5:$AI$24,26,FALSE)=" ",0,VLOOKUP($B11,'JR G-Barrels'!$B$5:$AI$24,26,FALSE)),0)+IFERROR(IF(VLOOKUP($B11,'JR G-Poles'!$B$5:$AI$24,26,FALSE)=" ",0,VLOOKUP($B11,'JR G-Poles'!$B$5:$AI$24,26,FALSE)),0)+IFERROR(IF(VLOOKUP($B11,'JR G-Goats'!$B$5:$AI$24,26,FALSE)=" ",0,VLOOKUP($B11,'JR G-Goats'!$B$5:$AI$24,26,FALSE)),0)+IFERROR(IF(VLOOKUP($B11,'JR-Team Roping-Header'!$B$5:$N$24,8,FALSE)=" ",0,VLOOKUP($B11,'JR-Team Roping-Header'!$B$5:$N$24,8,FALSE)),0)+IFERROR(IF(VLOOKUP($B11,'JR-Team Roping-Heeler'!$B$5:$N$24,8,FALSE)=" ",0,VLOOKUP($B11,'JR-Team Roping-Heeler'!$B$5:$N$24,8,FALSE)),0)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IFERROR(IF(VLOOKUP($B11,'JR G-Breakaway'!$B$5:$AI$24,30,FALSE)=" ",0,VLOOKUP($B11,'JR G-Breakaway'!$B$5:$AI$24,30,FALSE)),0)+IFERROR(IF(VLOOKUP($B11,'JR G-Barrels'!$B$5:$AI$24,30,FALSE)=" ",0,VLOOKUP($B11,'JR G-Barrels'!$B$5:$AI$24,30,FALSE)),0)+IFERROR(IF(VLOOKUP($B11,'JR G-Poles'!$B$5:$AI$24,30,FALSE)=" ",0,VLOOKUP($B11,'JR G-Poles'!$B$5:$AI$24,30,FALSE)),0)+IFERROR(IF(VLOOKUP($B11,'JR G-Goats'!$B$5:$AI$24,30,FALSE)=" ",0,VLOOKUP($B11,'JR G-Goats'!$B$5:$AI$24,30,FALSE)),0)+IFERROR(IF(VLOOKUP($B11,'JR-Team Roping-Header'!$B$5:$N$24,9,FALSE)=" ",0,VLOOKUP($B11,'JR-Team Roping-Header'!$B$5:$N$24,9,FALSE)),0)+IFERROR(IF(VLOOKUP($B11,'JR-Team Roping-Heeler'!$B$5:$N$24,9,FALSE)=" ",0,VLOOKUP($B11,'JR-Team Roping-Heeler'!$B$5:$N$24,9,FALSE)),0)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IFERROR(IF(VLOOKUP($B11,'JR G-Breakaway'!$B$5:$AI$24,34,FALSE)=" ",0,VLOOKUP($B11,'JR G-Breakaway'!$B$5:$AI$24,34,FALSE)),0)+IFERROR(IF(VLOOKUP($B11,'JR G-Barrels'!$B$5:$AI$24,34,FALSE)=" ",0,VLOOKUP($B11,'JR G-Barrels'!$B$5:$AI$24,34,FALSE)),0)+IFERROR(IF(VLOOKUP($B11,'JR G-Poles'!$B$5:$AI$24,34,FALSE)=" ",0,VLOOKUP($B11,'JR G-Poles'!$B$5:$AI$24,34,FALSE)),0)+IFERROR(IF(VLOOKUP($B11,'JR G-Goats'!$B$5:$AI$24,34,FALSE)=" ",0,VLOOKUP($B11,'JR G-Goats'!$B$5:$AI$24,34,FALSE)),0)+IFERROR(IF(VLOOKUP($B11,'JR-Team Roping-Header'!$B$5:$N$24,10,FALSE)=" ",0,VLOOKUP($B11,'JR-Team Roping-Header'!$B$5:$N$24,10,FALSE)),0)+IFERROR(IF(VLOOKUP($B11,'JR-Team Roping-Heeler'!$B$5:$N$24,10,FALSE)=" ",0,VLOOKUP($B11,'JR-Team Roping-Heeler'!$B$5:$N$24,10,FALSE)),0)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51</v>
      </c>
      <c r="AB11" s="95">
        <f t="shared" si="16"/>
        <v>51</v>
      </c>
      <c r="AC11" s="122">
        <f t="shared" si="17"/>
        <v>7</v>
      </c>
    </row>
    <row r="12" spans="2:29" x14ac:dyDescent="0.3">
      <c r="B12" s="152" t="s">
        <v>140</v>
      </c>
      <c r="C12" s="120">
        <f>IFERROR(IF(VLOOKUP($B12,'JR G-Breakaway'!$B$5:$AI$24,6,FALSE)=" ",0,VLOOKUP($B12,'JR G-Breakaway'!$B$5:$AI$24,6,FALSE)),0)+IFERROR(IF(VLOOKUP($B12,'JR G-Barrels'!$B$5:$AI$24,6,FALSE)=" ",0,VLOOKUP($B12,'JR G-Barrels'!$B$5:$AI$24,6,FALSE)),0)+IFERROR(IF(VLOOKUP($B12,'JR G-Poles'!$B$5:$AI$24,6,FALSE)=" ",0,VLOOKUP($B12,'JR G-Poles'!$B$5:$AI$24,6,FALSE)),0)+IFERROR(IF(VLOOKUP($B12,'JR G-Goats'!$B$5:$AI$24,6,FALSE)=" ",0,VLOOKUP($B12,'JR G-Goats'!$B$5:$AI$24,6,FALSE)),0)+IFERROR(IF(VLOOKUP($B12,'JR-Team Roping-Header'!$B$5:$N$24,3,FALSE)=" ",0,VLOOKUP($B12,'JR-Team Roping-Header'!$B$5:$N$24,3,FALSE)),0)+IFERROR(IF(VLOOKUP($B12,'JR-Team Roping-Heeler'!$B$5:$N$24,3,FALSE)=" ",0,VLOOKUP($B12,'JR-Team Roping-Heeler'!$B$5:$N$24,3,FALSE)),0)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IFERROR(IF(VLOOKUP($B12,'JR G-Breakaway'!$B$5:$AI$24,10,FALSE)=" ",0,VLOOKUP($B12,'JR G-Breakaway'!$B$5:$AI$24,10,FALSE)),0)+IFERROR(IF(VLOOKUP($B12,'JR G-Barrels'!$B$5:$AI$24,10,FALSE)=" ",0,VLOOKUP($B12,'JR G-Barrels'!$B$5:$AI$24,10,FALSE)),0)+IFERROR(IF(VLOOKUP($B12,'JR G-Poles'!$B$5:$AI$24,10,FALSE)=" ",0,VLOOKUP($B12,'JR G-Poles'!$B$5:$AI$24,10,FALSE)),0)+IFERROR(IF(VLOOKUP($B12,'JR G-Goats'!$B$5:$AI$24,10,FALSE)=" ",0,VLOOKUP($B12,'JR G-Goats'!$B$5:$AI$24,10,FALSE)),0)+IFERROR(IF(VLOOKUP($B12,'JR-Team Roping-Header'!$B$5:$N$24,4,FALSE)=" ",0,VLOOKUP($B12,'JR-Team Roping-Header'!$B$5:$N$24,4,FALSE)),0)+IFERROR(IF(VLOOKUP($B12,'JR-Team Roping-Heeler'!$B$5:$N$24,4,FALSE)=" ",0,VLOOKUP($B12,'JR-Team Roping-Heeler'!$B$5:$N$24,4,FALSE)),0)</f>
        <v>27</v>
      </c>
      <c r="G12" s="95">
        <f t="shared" si="2"/>
        <v>27</v>
      </c>
      <c r="H12" s="91">
        <f t="shared" si="3"/>
        <v>4</v>
      </c>
      <c r="I12" s="121">
        <f>IFERROR(IF(VLOOKUP($B12,'JR G-Breakaway'!$B$5:$AI$24,14,FALSE)=" ",0,VLOOKUP($B12,'JR G-Breakaway'!$B$5:$AI$24,14,FALSE)),0)+IFERROR(IF(VLOOKUP($B12,'JR G-Barrels'!$B$5:$AI$24,14,FALSE)=" ",0,VLOOKUP($B12,'JR G-Barrels'!$B$5:$AI$24,14,FALSE)),0)+IFERROR(IF(VLOOKUP($B12,'JR G-Poles'!$B$5:$AI$24,14,FALSE)=" ",0,VLOOKUP($B12,'JR G-Poles'!$B$5:$AI$24,14,FALSE)),0)+IFERROR(IF(VLOOKUP($B12,'JR G-Goats'!$B$5:$AI$24,14,FALSE)=" ",0,VLOOKUP($B12,'JR G-Goats'!$B$5:$AI$24,14,FALSE)),0)+IFERROR(IF(VLOOKUP($B12,'JR-Team Roping-Header'!$B$5:$N$24,5,FALSE)=" ",0,VLOOKUP($B12,'JR-Team Roping-Header'!$B$5:$N$24,5,FALSE)),0)+IFERROR(IF(VLOOKUP($B12,'JR-Team Roping-Heeler'!$B$5:$N$24,5,FALSE)=" ",0,VLOOKUP($B12,'JR-Team Roping-Heeler'!$B$5:$N$24,5,FALSE)),0)</f>
        <v>15</v>
      </c>
      <c r="J12" s="95">
        <f t="shared" si="4"/>
        <v>15</v>
      </c>
      <c r="K12" s="91">
        <f t="shared" si="5"/>
        <v>7</v>
      </c>
      <c r="L12" s="121">
        <f>IFERROR(IF(VLOOKUP($B12,'JR G-Breakaway'!$B$5:$AI$24,18,FALSE)=" ",0,VLOOKUP($B12,'JR G-Breakaway'!$B$5:$AI$24,18,FALSE)),0)+IFERROR(IF(VLOOKUP($B12,'JR G-Barrels'!$B$5:$AI$24,18,FALSE)=" ",0,VLOOKUP($B12,'JR G-Barrels'!$B$5:$AI$24,18,FALSE)),0)+IFERROR(IF(VLOOKUP($B12,'JR G-Poles'!$B$5:$AI$24,18,FALSE)=" ",0,VLOOKUP($B12,'JR G-Poles'!$B$5:$AI$24,18,FALSE)),0)+IFERROR(IF(VLOOKUP($B12,'JR G-Goats'!$B$5:$AI$24,18,FALSE)=" ",0,VLOOKUP($B12,'JR G-Goats'!$B$5:$AI$24,18,FALSE)),0)+IFERROR(IF(VLOOKUP($B12,'JR-Team Roping-Header'!$B$5:$N$24,6,FALSE)=" ",0,VLOOKUP($B12,'JR-Team Roping-Header'!$B$5:$N$24,6,FALSE)),0)+IFERROR(IF(VLOOKUP($B12,'JR-Team Roping-Heeler'!$B$5:$N$24,6,FALSE)=" ",0,VLOOKUP($B12,'JR-Team Roping-Heeler'!$B$5:$N$24,6,FALSE)),0)</f>
        <v>6</v>
      </c>
      <c r="M12" s="95">
        <f t="shared" si="6"/>
        <v>6</v>
      </c>
      <c r="N12" s="91">
        <f t="shared" si="7"/>
        <v>11</v>
      </c>
      <c r="O12" s="121">
        <f>IFERROR(IF(VLOOKUP($B12,'JR G-Breakaway'!$B$5:$AI$24,22,FALSE)=" ",0,VLOOKUP($B12,'JR G-Breakaway'!$B$5:$AI$24,22,FALSE)),0)+IFERROR(IF(VLOOKUP($B12,'JR G-Barrels'!$B$5:$AI$24,22,FALSE)=" ",0,VLOOKUP($B12,'JR G-Barrels'!$B$5:$AI$24,22,FALSE)),0)+IFERROR(IF(VLOOKUP($B12,'JR G-Poles'!$B$5:$AI$24,22,FALSE)=" ",0,VLOOKUP($B12,'JR G-Poles'!$B$5:$AI$24,22,FALSE)),0)+IFERROR(IF(VLOOKUP($B12,'JR G-Goats'!$B$5:$AI$24,22,FALSE)=" ",0,VLOOKUP($B12,'JR G-Goats'!$B$5:$AI$24,22,FALSE)),0)+IFERROR(IF(VLOOKUP($B12,'JR-Team Roping-Header'!$B$5:$N$24,7,FALSE)=" ",0,VLOOKUP($B12,'JR-Team Roping-Header'!$B$5:$N$24,7,FALSE)),0)+IFERROR(IF(VLOOKUP($B12,'JR-Team Roping-Heeler'!$B$5:$N$24,7,FALSE)=" ",0,VLOOKUP($B12,'JR-Team Roping-Heeler'!$B$5:$N$24,7,FALSE)),0)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IFERROR(IF(VLOOKUP($B12,'JR G-Breakaway'!$B$5:$AI$24,26,FALSE)=" ",0,VLOOKUP($B12,'JR G-Breakaway'!$B$5:$AI$24,26,FALSE)),0)+IFERROR(IF(VLOOKUP($B12,'JR G-Barrels'!$B$5:$AI$24,26,FALSE)=" ",0,VLOOKUP($B12,'JR G-Barrels'!$B$5:$AI$24,26,FALSE)),0)+IFERROR(IF(VLOOKUP($B12,'JR G-Poles'!$B$5:$AI$24,26,FALSE)=" ",0,VLOOKUP($B12,'JR G-Poles'!$B$5:$AI$24,26,FALSE)),0)+IFERROR(IF(VLOOKUP($B12,'JR G-Goats'!$B$5:$AI$24,26,FALSE)=" ",0,VLOOKUP($B12,'JR G-Goats'!$B$5:$AI$24,26,FALSE)),0)+IFERROR(IF(VLOOKUP($B12,'JR-Team Roping-Header'!$B$5:$N$24,8,FALSE)=" ",0,VLOOKUP($B12,'JR-Team Roping-Header'!$B$5:$N$24,8,FALSE)),0)+IFERROR(IF(VLOOKUP($B12,'JR-Team Roping-Heeler'!$B$5:$N$24,8,FALSE)=" ",0,VLOOKUP($B12,'JR-Team Roping-Heeler'!$B$5:$N$24,8,FALSE)),0)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IFERROR(IF(VLOOKUP($B12,'JR G-Breakaway'!$B$5:$AI$24,30,FALSE)=" ",0,VLOOKUP($B12,'JR G-Breakaway'!$B$5:$AI$24,30,FALSE)),0)+IFERROR(IF(VLOOKUP($B12,'JR G-Barrels'!$B$5:$AI$24,30,FALSE)=" ",0,VLOOKUP($B12,'JR G-Barrels'!$B$5:$AI$24,30,FALSE)),0)+IFERROR(IF(VLOOKUP($B12,'JR G-Poles'!$B$5:$AI$24,30,FALSE)=" ",0,VLOOKUP($B12,'JR G-Poles'!$B$5:$AI$24,30,FALSE)),0)+IFERROR(IF(VLOOKUP($B12,'JR G-Goats'!$B$5:$AI$24,30,FALSE)=" ",0,VLOOKUP($B12,'JR G-Goats'!$B$5:$AI$24,30,FALSE)),0)+IFERROR(IF(VLOOKUP($B12,'JR-Team Roping-Header'!$B$5:$N$24,9,FALSE)=" ",0,VLOOKUP($B12,'JR-Team Roping-Header'!$B$5:$N$24,9,FALSE)),0)+IFERROR(IF(VLOOKUP($B12,'JR-Team Roping-Heeler'!$B$5:$N$24,9,FALSE)=" ",0,VLOOKUP($B12,'JR-Team Roping-Heeler'!$B$5:$N$24,9,FALSE)),0)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IFERROR(IF(VLOOKUP($B12,'JR G-Breakaway'!$B$5:$AI$24,34,FALSE)=" ",0,VLOOKUP($B12,'JR G-Breakaway'!$B$5:$AI$24,34,FALSE)),0)+IFERROR(IF(VLOOKUP($B12,'JR G-Barrels'!$B$5:$AI$24,34,FALSE)=" ",0,VLOOKUP($B12,'JR G-Barrels'!$B$5:$AI$24,34,FALSE)),0)+IFERROR(IF(VLOOKUP($B12,'JR G-Poles'!$B$5:$AI$24,34,FALSE)=" ",0,VLOOKUP($B12,'JR G-Poles'!$B$5:$AI$24,34,FALSE)),0)+IFERROR(IF(VLOOKUP($B12,'JR G-Goats'!$B$5:$AI$24,34,FALSE)=" ",0,VLOOKUP($B12,'JR G-Goats'!$B$5:$AI$24,34,FALSE)),0)+IFERROR(IF(VLOOKUP($B12,'JR-Team Roping-Header'!$B$5:$N$24,10,FALSE)=" ",0,VLOOKUP($B12,'JR-Team Roping-Header'!$B$5:$N$24,10,FALSE)),0)+IFERROR(IF(VLOOKUP($B12,'JR-Team Roping-Heeler'!$B$5:$N$24,10,FALSE)=" ",0,VLOOKUP($B12,'JR-Team Roping-Heeler'!$B$5:$N$24,10,FALSE)),0)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48</v>
      </c>
      <c r="AB12" s="95">
        <f t="shared" si="16"/>
        <v>48</v>
      </c>
      <c r="AC12" s="91">
        <f t="shared" si="17"/>
        <v>8</v>
      </c>
    </row>
    <row r="13" spans="2:29" x14ac:dyDescent="0.3">
      <c r="B13" s="152" t="s">
        <v>169</v>
      </c>
      <c r="C13" s="120">
        <f>IFERROR(IF(VLOOKUP($B13,'JR G-Breakaway'!$B$5:$AI$24,6,FALSE)=" ",0,VLOOKUP($B13,'JR G-Breakaway'!$B$5:$AI$24,6,FALSE)),0)+IFERROR(IF(VLOOKUP($B13,'JR G-Barrels'!$B$5:$AI$24,6,FALSE)=" ",0,VLOOKUP($B13,'JR G-Barrels'!$B$5:$AI$24,6,FALSE)),0)+IFERROR(IF(VLOOKUP($B13,'JR G-Poles'!$B$5:$AI$24,6,FALSE)=" ",0,VLOOKUP($B13,'JR G-Poles'!$B$5:$AI$24,6,FALSE)),0)+IFERROR(IF(VLOOKUP($B13,'JR G-Goats'!$B$5:$AI$24,6,FALSE)=" ",0,VLOOKUP($B13,'JR G-Goats'!$B$5:$AI$24,6,FALSE)),0)+IFERROR(IF(VLOOKUP($B13,'JR-Team Roping-Header'!$B$5:$N$24,3,FALSE)=" ",0,VLOOKUP($B13,'JR-Team Roping-Header'!$B$5:$N$24,3,FALSE)),0)+IFERROR(IF(VLOOKUP($B13,'JR-Team Roping-Heeler'!$B$5:$N$24,3,FALSE)=" ",0,VLOOKUP($B13,'JR-Team Roping-Heeler'!$B$5:$N$24,3,FALSE)),0)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IFERROR(IF(VLOOKUP($B13,'JR G-Breakaway'!$B$5:$AI$24,10,FALSE)=" ",0,VLOOKUP($B13,'JR G-Breakaway'!$B$5:$AI$24,10,FALSE)),0)+IFERROR(IF(VLOOKUP($B13,'JR G-Barrels'!$B$5:$AI$24,10,FALSE)=" ",0,VLOOKUP($B13,'JR G-Barrels'!$B$5:$AI$24,10,FALSE)),0)+IFERROR(IF(VLOOKUP($B13,'JR G-Poles'!$B$5:$AI$24,10,FALSE)=" ",0,VLOOKUP($B13,'JR G-Poles'!$B$5:$AI$24,10,FALSE)),0)+IFERROR(IF(VLOOKUP($B13,'JR G-Goats'!$B$5:$AI$24,10,FALSE)=" ",0,VLOOKUP($B13,'JR G-Goats'!$B$5:$AI$24,10,FALSE)),0)+IFERROR(IF(VLOOKUP($B13,'JR-Team Roping-Header'!$B$5:$N$24,4,FALSE)=" ",0,VLOOKUP($B13,'JR-Team Roping-Header'!$B$5:$N$24,4,FALSE)),0)+IFERROR(IF(VLOOKUP($B13,'JR-Team Roping-Heeler'!$B$5:$N$24,4,FALSE)=" ",0,VLOOKUP($B13,'JR-Team Roping-Heeler'!$B$5:$N$24,4,FALSE)),0)</f>
        <v>21</v>
      </c>
      <c r="G13" s="95">
        <f t="shared" si="2"/>
        <v>21</v>
      </c>
      <c r="H13" s="91">
        <f t="shared" si="3"/>
        <v>5</v>
      </c>
      <c r="I13" s="121">
        <f>IFERROR(IF(VLOOKUP($B13,'JR G-Breakaway'!$B$5:$AI$24,14,FALSE)=" ",0,VLOOKUP($B13,'JR G-Breakaway'!$B$5:$AI$24,14,FALSE)),0)+IFERROR(IF(VLOOKUP($B13,'JR G-Barrels'!$B$5:$AI$24,14,FALSE)=" ",0,VLOOKUP($B13,'JR G-Barrels'!$B$5:$AI$24,14,FALSE)),0)+IFERROR(IF(VLOOKUP($B13,'JR G-Poles'!$B$5:$AI$24,14,FALSE)=" ",0,VLOOKUP($B13,'JR G-Poles'!$B$5:$AI$24,14,FALSE)),0)+IFERROR(IF(VLOOKUP($B13,'JR G-Goats'!$B$5:$AI$24,14,FALSE)=" ",0,VLOOKUP($B13,'JR G-Goats'!$B$5:$AI$24,14,FALSE)),0)+IFERROR(IF(VLOOKUP($B13,'JR-Team Roping-Header'!$B$5:$N$24,5,FALSE)=" ",0,VLOOKUP($B13,'JR-Team Roping-Header'!$B$5:$N$24,5,FALSE)),0)+IFERROR(IF(VLOOKUP($B13,'JR-Team Roping-Heeler'!$B$5:$N$24,5,FALSE)=" ",0,VLOOKUP($B13,'JR-Team Roping-Heeler'!$B$5:$N$24,5,FALSE)),0)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IFERROR(IF(VLOOKUP($B13,'JR G-Breakaway'!$B$5:$AI$24,18,FALSE)=" ",0,VLOOKUP($B13,'JR G-Breakaway'!$B$5:$AI$24,18,FALSE)),0)+IFERROR(IF(VLOOKUP($B13,'JR G-Barrels'!$B$5:$AI$24,18,FALSE)=" ",0,VLOOKUP($B13,'JR G-Barrels'!$B$5:$AI$24,18,FALSE)),0)+IFERROR(IF(VLOOKUP($B13,'JR G-Poles'!$B$5:$AI$24,18,FALSE)=" ",0,VLOOKUP($B13,'JR G-Poles'!$B$5:$AI$24,18,FALSE)),0)+IFERROR(IF(VLOOKUP($B13,'JR G-Goats'!$B$5:$AI$24,18,FALSE)=" ",0,VLOOKUP($B13,'JR G-Goats'!$B$5:$AI$24,18,FALSE)),0)+IFERROR(IF(VLOOKUP($B13,'JR-Team Roping-Header'!$B$5:$N$24,6,FALSE)=" ",0,VLOOKUP($B13,'JR-Team Roping-Header'!$B$5:$N$24,6,FALSE)),0)+IFERROR(IF(VLOOKUP($B13,'JR-Team Roping-Heeler'!$B$5:$N$24,6,FALSE)=" ",0,VLOOKUP($B13,'JR-Team Roping-Heeler'!$B$5:$N$24,6,FALSE)),0)</f>
        <v>12</v>
      </c>
      <c r="M13" s="95">
        <f t="shared" si="6"/>
        <v>12</v>
      </c>
      <c r="N13" s="91">
        <f t="shared" si="7"/>
        <v>8</v>
      </c>
      <c r="O13" s="121">
        <f>IFERROR(IF(VLOOKUP($B13,'JR G-Breakaway'!$B$5:$AI$24,22,FALSE)=" ",0,VLOOKUP($B13,'JR G-Breakaway'!$B$5:$AI$24,22,FALSE)),0)+IFERROR(IF(VLOOKUP($B13,'JR G-Barrels'!$B$5:$AI$24,22,FALSE)=" ",0,VLOOKUP($B13,'JR G-Barrels'!$B$5:$AI$24,22,FALSE)),0)+IFERROR(IF(VLOOKUP($B13,'JR G-Poles'!$B$5:$AI$24,22,FALSE)=" ",0,VLOOKUP($B13,'JR G-Poles'!$B$5:$AI$24,22,FALSE)),0)+IFERROR(IF(VLOOKUP($B13,'JR G-Goats'!$B$5:$AI$24,22,FALSE)=" ",0,VLOOKUP($B13,'JR G-Goats'!$B$5:$AI$24,22,FALSE)),0)+IFERROR(IF(VLOOKUP($B13,'JR-Team Roping-Header'!$B$5:$N$24,7,FALSE)=" ",0,VLOOKUP($B13,'JR-Team Roping-Header'!$B$5:$N$24,7,FALSE)),0)+IFERROR(IF(VLOOKUP($B13,'JR-Team Roping-Heeler'!$B$5:$N$24,7,FALSE)=" ",0,VLOOKUP($B13,'JR-Team Roping-Heeler'!$B$5:$N$24,7,FALSE)),0)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IFERROR(IF(VLOOKUP($B13,'JR G-Breakaway'!$B$5:$AI$24,26,FALSE)=" ",0,VLOOKUP($B13,'JR G-Breakaway'!$B$5:$AI$24,26,FALSE)),0)+IFERROR(IF(VLOOKUP($B13,'JR G-Barrels'!$B$5:$AI$24,26,FALSE)=" ",0,VLOOKUP($B13,'JR G-Barrels'!$B$5:$AI$24,26,FALSE)),0)+IFERROR(IF(VLOOKUP($B13,'JR G-Poles'!$B$5:$AI$24,26,FALSE)=" ",0,VLOOKUP($B13,'JR G-Poles'!$B$5:$AI$24,26,FALSE)),0)+IFERROR(IF(VLOOKUP($B13,'JR G-Goats'!$B$5:$AI$24,26,FALSE)=" ",0,VLOOKUP($B13,'JR G-Goats'!$B$5:$AI$24,26,FALSE)),0)+IFERROR(IF(VLOOKUP($B13,'JR-Team Roping-Header'!$B$5:$N$24,8,FALSE)=" ",0,VLOOKUP($B13,'JR-Team Roping-Header'!$B$5:$N$24,8,FALSE)),0)+IFERROR(IF(VLOOKUP($B13,'JR-Team Roping-Heeler'!$B$5:$N$24,8,FALSE)=" ",0,VLOOKUP($B13,'JR-Team Roping-Heeler'!$B$5:$N$24,8,FALSE)),0)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IFERROR(IF(VLOOKUP($B13,'JR G-Breakaway'!$B$5:$AI$24,30,FALSE)=" ",0,VLOOKUP($B13,'JR G-Breakaway'!$B$5:$AI$24,30,FALSE)),0)+IFERROR(IF(VLOOKUP($B13,'JR G-Barrels'!$B$5:$AI$24,30,FALSE)=" ",0,VLOOKUP($B13,'JR G-Barrels'!$B$5:$AI$24,30,FALSE)),0)+IFERROR(IF(VLOOKUP($B13,'JR G-Poles'!$B$5:$AI$24,30,FALSE)=" ",0,VLOOKUP($B13,'JR G-Poles'!$B$5:$AI$24,30,FALSE)),0)+IFERROR(IF(VLOOKUP($B13,'JR G-Goats'!$B$5:$AI$24,30,FALSE)=" ",0,VLOOKUP($B13,'JR G-Goats'!$B$5:$AI$24,30,FALSE)),0)+IFERROR(IF(VLOOKUP($B13,'JR-Team Roping-Header'!$B$5:$N$24,9,FALSE)=" ",0,VLOOKUP($B13,'JR-Team Roping-Header'!$B$5:$N$24,9,FALSE)),0)+IFERROR(IF(VLOOKUP($B13,'JR-Team Roping-Heeler'!$B$5:$N$24,9,FALSE)=" ",0,VLOOKUP($B13,'JR-Team Roping-Heeler'!$B$5:$N$24,9,FALSE)),0)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IFERROR(IF(VLOOKUP($B13,'JR G-Breakaway'!$B$5:$AI$24,34,FALSE)=" ",0,VLOOKUP($B13,'JR G-Breakaway'!$B$5:$AI$24,34,FALSE)),0)+IFERROR(IF(VLOOKUP($B13,'JR G-Barrels'!$B$5:$AI$24,34,FALSE)=" ",0,VLOOKUP($B13,'JR G-Barrels'!$B$5:$AI$24,34,FALSE)),0)+IFERROR(IF(VLOOKUP($B13,'JR G-Poles'!$B$5:$AI$24,34,FALSE)=" ",0,VLOOKUP($B13,'JR G-Poles'!$B$5:$AI$24,34,FALSE)),0)+IFERROR(IF(VLOOKUP($B13,'JR G-Goats'!$B$5:$AI$24,34,FALSE)=" ",0,VLOOKUP($B13,'JR G-Goats'!$B$5:$AI$24,34,FALSE)),0)+IFERROR(IF(VLOOKUP($B13,'JR-Team Roping-Header'!$B$5:$N$24,10,FALSE)=" ",0,VLOOKUP($B13,'JR-Team Roping-Header'!$B$5:$N$24,10,FALSE)),0)+IFERROR(IF(VLOOKUP($B13,'JR-Team Roping-Heeler'!$B$5:$N$24,10,FALSE)=" ",0,VLOOKUP($B13,'JR-Team Roping-Heeler'!$B$5:$N$24,10,FALSE)),0)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33</v>
      </c>
      <c r="AB13" s="95">
        <f t="shared" si="16"/>
        <v>33</v>
      </c>
      <c r="AC13" s="91">
        <f t="shared" si="17"/>
        <v>9</v>
      </c>
    </row>
    <row r="14" spans="2:29" x14ac:dyDescent="0.3">
      <c r="B14" s="152" t="s">
        <v>300</v>
      </c>
      <c r="C14" s="120">
        <f>IFERROR(IF(VLOOKUP($B14,'JR G-Breakaway'!$B$5:$AI$24,6,FALSE)=" ",0,VLOOKUP($B14,'JR G-Breakaway'!$B$5:$AI$24,6,FALSE)),0)+IFERROR(IF(VLOOKUP($B14,'JR G-Barrels'!$B$5:$AI$24,6,FALSE)=" ",0,VLOOKUP($B14,'JR G-Barrels'!$B$5:$AI$24,6,FALSE)),0)+IFERROR(IF(VLOOKUP($B14,'JR G-Poles'!$B$5:$AI$24,6,FALSE)=" ",0,VLOOKUP($B14,'JR G-Poles'!$B$5:$AI$24,6,FALSE)),0)+IFERROR(IF(VLOOKUP($B14,'JR G-Goats'!$B$5:$AI$24,6,FALSE)=" ",0,VLOOKUP($B14,'JR G-Goats'!$B$5:$AI$24,6,FALSE)),0)+IFERROR(IF(VLOOKUP($B14,'JR-Team Roping-Header'!$B$5:$N$24,3,FALSE)=" ",0,VLOOKUP($B14,'JR-Team Roping-Header'!$B$5:$N$24,3,FALSE)),0)+IFERROR(IF(VLOOKUP($B14,'JR-Team Roping-Heeler'!$B$5:$N$24,3,FALSE)=" ",0,VLOOKUP($B14,'JR-Team Roping-Heeler'!$B$5:$N$24,3,FALSE)),0)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IFERROR(IF(VLOOKUP($B14,'JR G-Breakaway'!$B$5:$AI$24,10,FALSE)=" ",0,VLOOKUP($B14,'JR G-Breakaway'!$B$5:$AI$24,10,FALSE)),0)+IFERROR(IF(VLOOKUP($B14,'JR G-Barrels'!$B$5:$AI$24,10,FALSE)=" ",0,VLOOKUP($B14,'JR G-Barrels'!$B$5:$AI$24,10,FALSE)),0)+IFERROR(IF(VLOOKUP($B14,'JR G-Poles'!$B$5:$AI$24,10,FALSE)=" ",0,VLOOKUP($B14,'JR G-Poles'!$B$5:$AI$24,10,FALSE)),0)+IFERROR(IF(VLOOKUP($B14,'JR G-Goats'!$B$5:$AI$24,10,FALSE)=" ",0,VLOOKUP($B14,'JR G-Goats'!$B$5:$AI$24,10,FALSE)),0)+IFERROR(IF(VLOOKUP($B14,'JR-Team Roping-Header'!$B$5:$N$24,4,FALSE)=" ",0,VLOOKUP($B14,'JR-Team Roping-Header'!$B$5:$N$24,4,FALSE)),0)+IFERROR(IF(VLOOKUP($B14,'JR-Team Roping-Heeler'!$B$5:$N$24,4,FALSE)=" ",0,VLOOKUP($B14,'JR-Team Roping-Heeler'!$B$5:$N$24,4,FALSE)),0)</f>
        <v>0</v>
      </c>
      <c r="G14" s="95" t="str">
        <f t="shared" si="2"/>
        <v xml:space="preserve"> </v>
      </c>
      <c r="H14" s="122" t="str">
        <f t="shared" si="3"/>
        <v xml:space="preserve"> </v>
      </c>
      <c r="I14" s="121">
        <f>IFERROR(IF(VLOOKUP($B14,'JR G-Breakaway'!$B$5:$AI$24,14,FALSE)=" ",0,VLOOKUP($B14,'JR G-Breakaway'!$B$5:$AI$24,14,FALSE)),0)+IFERROR(IF(VLOOKUP($B14,'JR G-Barrels'!$B$5:$AI$24,14,FALSE)=" ",0,VLOOKUP($B14,'JR G-Barrels'!$B$5:$AI$24,14,FALSE)),0)+IFERROR(IF(VLOOKUP($B14,'JR G-Poles'!$B$5:$AI$24,14,FALSE)=" ",0,VLOOKUP($B14,'JR G-Poles'!$B$5:$AI$24,14,FALSE)),0)+IFERROR(IF(VLOOKUP($B14,'JR G-Goats'!$B$5:$AI$24,14,FALSE)=" ",0,VLOOKUP($B14,'JR G-Goats'!$B$5:$AI$24,14,FALSE)),0)+IFERROR(IF(VLOOKUP($B14,'JR-Team Roping-Header'!$B$5:$N$24,5,FALSE)=" ",0,VLOOKUP($B14,'JR-Team Roping-Header'!$B$5:$N$24,5,FALSE)),0)+IFERROR(IF(VLOOKUP($B14,'JR-Team Roping-Heeler'!$B$5:$N$24,5,FALSE)=" ",0,VLOOKUP($B14,'JR-Team Roping-Heeler'!$B$5:$N$24,5,FALSE)),0)</f>
        <v>33</v>
      </c>
      <c r="J14" s="95">
        <f t="shared" si="4"/>
        <v>33</v>
      </c>
      <c r="K14" s="122">
        <f t="shared" si="5"/>
        <v>3</v>
      </c>
      <c r="L14" s="121">
        <f>IFERROR(IF(VLOOKUP($B14,'JR G-Breakaway'!$B$5:$AI$24,18,FALSE)=" ",0,VLOOKUP($B14,'JR G-Breakaway'!$B$5:$AI$24,18,FALSE)),0)+IFERROR(IF(VLOOKUP($B14,'JR G-Barrels'!$B$5:$AI$24,18,FALSE)=" ",0,VLOOKUP($B14,'JR G-Barrels'!$B$5:$AI$24,18,FALSE)),0)+IFERROR(IF(VLOOKUP($B14,'JR G-Poles'!$B$5:$AI$24,18,FALSE)=" ",0,VLOOKUP($B14,'JR G-Poles'!$B$5:$AI$24,18,FALSE)),0)+IFERROR(IF(VLOOKUP($B14,'JR G-Goats'!$B$5:$AI$24,18,FALSE)=" ",0,VLOOKUP($B14,'JR G-Goats'!$B$5:$AI$24,18,FALSE)),0)+IFERROR(IF(VLOOKUP($B14,'JR-Team Roping-Header'!$B$5:$N$24,6,FALSE)=" ",0,VLOOKUP($B14,'JR-Team Roping-Header'!$B$5:$N$24,6,FALSE)),0)+IFERROR(IF(VLOOKUP($B14,'JR-Team Roping-Heeler'!$B$5:$N$24,6,FALSE)=" ",0,VLOOKUP($B14,'JR-Team Roping-Heeler'!$B$5:$N$24,6,FALSE)),0)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IFERROR(IF(VLOOKUP($B14,'JR G-Breakaway'!$B$5:$AI$24,22,FALSE)=" ",0,VLOOKUP($B14,'JR G-Breakaway'!$B$5:$AI$24,22,FALSE)),0)+IFERROR(IF(VLOOKUP($B14,'JR G-Barrels'!$B$5:$AI$24,22,FALSE)=" ",0,VLOOKUP($B14,'JR G-Barrels'!$B$5:$AI$24,22,FALSE)),0)+IFERROR(IF(VLOOKUP($B14,'JR G-Poles'!$B$5:$AI$24,22,FALSE)=" ",0,VLOOKUP($B14,'JR G-Poles'!$B$5:$AI$24,22,FALSE)),0)+IFERROR(IF(VLOOKUP($B14,'JR G-Goats'!$B$5:$AI$24,22,FALSE)=" ",0,VLOOKUP($B14,'JR G-Goats'!$B$5:$AI$24,22,FALSE)),0)+IFERROR(IF(VLOOKUP($B14,'JR-Team Roping-Header'!$B$5:$N$24,7,FALSE)=" ",0,VLOOKUP($B14,'JR-Team Roping-Header'!$B$5:$N$24,7,FALSE)),0)+IFERROR(IF(VLOOKUP($B14,'JR-Team Roping-Heeler'!$B$5:$N$24,7,FALSE)=" ",0,VLOOKUP($B14,'JR-Team Roping-Heeler'!$B$5:$N$24,7,FALSE)),0)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IFERROR(IF(VLOOKUP($B14,'JR G-Breakaway'!$B$5:$AI$24,26,FALSE)=" ",0,VLOOKUP($B14,'JR G-Breakaway'!$B$5:$AI$24,26,FALSE)),0)+IFERROR(IF(VLOOKUP($B14,'JR G-Barrels'!$B$5:$AI$24,26,FALSE)=" ",0,VLOOKUP($B14,'JR G-Barrels'!$B$5:$AI$24,26,FALSE)),0)+IFERROR(IF(VLOOKUP($B14,'JR G-Poles'!$B$5:$AI$24,26,FALSE)=" ",0,VLOOKUP($B14,'JR G-Poles'!$B$5:$AI$24,26,FALSE)),0)+IFERROR(IF(VLOOKUP($B14,'JR G-Goats'!$B$5:$AI$24,26,FALSE)=" ",0,VLOOKUP($B14,'JR G-Goats'!$B$5:$AI$24,26,FALSE)),0)+IFERROR(IF(VLOOKUP($B14,'JR-Team Roping-Header'!$B$5:$N$24,8,FALSE)=" ",0,VLOOKUP($B14,'JR-Team Roping-Header'!$B$5:$N$24,8,FALSE)),0)+IFERROR(IF(VLOOKUP($B14,'JR-Team Roping-Heeler'!$B$5:$N$24,8,FALSE)=" ",0,VLOOKUP($B14,'JR-Team Roping-Heeler'!$B$5:$N$24,8,FALSE)),0)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IFERROR(IF(VLOOKUP($B14,'JR G-Breakaway'!$B$5:$AI$24,30,FALSE)=" ",0,VLOOKUP($B14,'JR G-Breakaway'!$B$5:$AI$24,30,FALSE)),0)+IFERROR(IF(VLOOKUP($B14,'JR G-Barrels'!$B$5:$AI$24,30,FALSE)=" ",0,VLOOKUP($B14,'JR G-Barrels'!$B$5:$AI$24,30,FALSE)),0)+IFERROR(IF(VLOOKUP($B14,'JR G-Poles'!$B$5:$AI$24,30,FALSE)=" ",0,VLOOKUP($B14,'JR G-Poles'!$B$5:$AI$24,30,FALSE)),0)+IFERROR(IF(VLOOKUP($B14,'JR G-Goats'!$B$5:$AI$24,30,FALSE)=" ",0,VLOOKUP($B14,'JR G-Goats'!$B$5:$AI$24,30,FALSE)),0)+IFERROR(IF(VLOOKUP($B14,'JR-Team Roping-Header'!$B$5:$N$24,9,FALSE)=" ",0,VLOOKUP($B14,'JR-Team Roping-Header'!$B$5:$N$24,9,FALSE)),0)+IFERROR(IF(VLOOKUP($B14,'JR-Team Roping-Heeler'!$B$5:$N$24,9,FALSE)=" ",0,VLOOKUP($B14,'JR-Team Roping-Heeler'!$B$5:$N$24,9,FALSE)),0)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IFERROR(IF(VLOOKUP($B14,'JR G-Breakaway'!$B$5:$AI$24,34,FALSE)=" ",0,VLOOKUP($B14,'JR G-Breakaway'!$B$5:$AI$24,34,FALSE)),0)+IFERROR(IF(VLOOKUP($B14,'JR G-Barrels'!$B$5:$AI$24,34,FALSE)=" ",0,VLOOKUP($B14,'JR G-Barrels'!$B$5:$AI$24,34,FALSE)),0)+IFERROR(IF(VLOOKUP($B14,'JR G-Poles'!$B$5:$AI$24,34,FALSE)=" ",0,VLOOKUP($B14,'JR G-Poles'!$B$5:$AI$24,34,FALSE)),0)+IFERROR(IF(VLOOKUP($B14,'JR G-Goats'!$B$5:$AI$24,34,FALSE)=" ",0,VLOOKUP($B14,'JR G-Goats'!$B$5:$AI$24,34,FALSE)),0)+IFERROR(IF(VLOOKUP($B14,'JR-Team Roping-Header'!$B$5:$N$24,10,FALSE)=" ",0,VLOOKUP($B14,'JR-Team Roping-Header'!$B$5:$N$24,10,FALSE)),0)+IFERROR(IF(VLOOKUP($B14,'JR-Team Roping-Heeler'!$B$5:$N$24,10,FALSE)=" ",0,VLOOKUP($B14,'JR-Team Roping-Heeler'!$B$5:$N$24,10,FALSE)),0)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33</v>
      </c>
      <c r="AB14" s="95">
        <f t="shared" si="16"/>
        <v>33</v>
      </c>
      <c r="AC14" s="122">
        <f t="shared" si="17"/>
        <v>9</v>
      </c>
    </row>
    <row r="15" spans="2:29" x14ac:dyDescent="0.3">
      <c r="B15" s="152" t="s">
        <v>141</v>
      </c>
      <c r="C15" s="120">
        <f>IFERROR(IF(VLOOKUP($B15,'JR G-Breakaway'!$B$5:$AI$24,6,FALSE)=" ",0,VLOOKUP($B15,'JR G-Breakaway'!$B$5:$AI$24,6,FALSE)),0)+IFERROR(IF(VLOOKUP($B15,'JR G-Barrels'!$B$5:$AI$24,6,FALSE)=" ",0,VLOOKUP($B15,'JR G-Barrels'!$B$5:$AI$24,6,FALSE)),0)+IFERROR(IF(VLOOKUP($B15,'JR G-Poles'!$B$5:$AI$24,6,FALSE)=" ",0,VLOOKUP($B15,'JR G-Poles'!$B$5:$AI$24,6,FALSE)),0)+IFERROR(IF(VLOOKUP($B15,'JR G-Goats'!$B$5:$AI$24,6,FALSE)=" ",0,VLOOKUP($B15,'JR G-Goats'!$B$5:$AI$24,6,FALSE)),0)+IFERROR(IF(VLOOKUP($B15,'JR-Team Roping-Header'!$B$5:$N$24,3,FALSE)=" ",0,VLOOKUP($B15,'JR-Team Roping-Header'!$B$5:$N$24,3,FALSE)),0)+IFERROR(IF(VLOOKUP($B15,'JR-Team Roping-Heeler'!$B$5:$N$24,3,FALSE)=" ",0,VLOOKUP($B15,'JR-Team Roping-Heeler'!$B$5:$N$24,3,FALSE)),0)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IFERROR(IF(VLOOKUP($B15,'JR G-Breakaway'!$B$5:$AI$24,10,FALSE)=" ",0,VLOOKUP($B15,'JR G-Breakaway'!$B$5:$AI$24,10,FALSE)),0)+IFERROR(IF(VLOOKUP($B15,'JR G-Barrels'!$B$5:$AI$24,10,FALSE)=" ",0,VLOOKUP($B15,'JR G-Barrels'!$B$5:$AI$24,10,FALSE)),0)+IFERROR(IF(VLOOKUP($B15,'JR G-Poles'!$B$5:$AI$24,10,FALSE)=" ",0,VLOOKUP($B15,'JR G-Poles'!$B$5:$AI$24,10,FALSE)),0)+IFERROR(IF(VLOOKUP($B15,'JR G-Goats'!$B$5:$AI$24,10,FALSE)=" ",0,VLOOKUP($B15,'JR G-Goats'!$B$5:$AI$24,10,FALSE)),0)+IFERROR(IF(VLOOKUP($B15,'JR-Team Roping-Header'!$B$5:$N$24,4,FALSE)=" ",0,VLOOKUP($B15,'JR-Team Roping-Header'!$B$5:$N$24,4,FALSE)),0)+IFERROR(IF(VLOOKUP($B15,'JR-Team Roping-Heeler'!$B$5:$N$24,4,FALSE)=" ",0,VLOOKUP($B15,'JR-Team Roping-Heeler'!$B$5:$N$24,4,FALSE)),0)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IFERROR(IF(VLOOKUP($B15,'JR G-Breakaway'!$B$5:$AI$24,14,FALSE)=" ",0,VLOOKUP($B15,'JR G-Breakaway'!$B$5:$AI$24,14,FALSE)),0)+IFERROR(IF(VLOOKUP($B15,'JR G-Barrels'!$B$5:$AI$24,14,FALSE)=" ",0,VLOOKUP($B15,'JR G-Barrels'!$B$5:$AI$24,14,FALSE)),0)+IFERROR(IF(VLOOKUP($B15,'JR G-Poles'!$B$5:$AI$24,14,FALSE)=" ",0,VLOOKUP($B15,'JR G-Poles'!$B$5:$AI$24,14,FALSE)),0)+IFERROR(IF(VLOOKUP($B15,'JR G-Goats'!$B$5:$AI$24,14,FALSE)=" ",0,VLOOKUP($B15,'JR G-Goats'!$B$5:$AI$24,14,FALSE)),0)+IFERROR(IF(VLOOKUP($B15,'JR-Team Roping-Header'!$B$5:$N$24,5,FALSE)=" ",0,VLOOKUP($B15,'JR-Team Roping-Header'!$B$5:$N$24,5,FALSE)),0)+IFERROR(IF(VLOOKUP($B15,'JR-Team Roping-Heeler'!$B$5:$N$24,5,FALSE)=" ",0,VLOOKUP($B15,'JR-Team Roping-Heeler'!$B$5:$N$24,5,FALSE)),0)</f>
        <v>15</v>
      </c>
      <c r="J15" s="95">
        <f t="shared" si="4"/>
        <v>15</v>
      </c>
      <c r="K15" s="91">
        <f t="shared" si="5"/>
        <v>7</v>
      </c>
      <c r="L15" s="121">
        <f>IFERROR(IF(VLOOKUP($B15,'JR G-Breakaway'!$B$5:$AI$24,18,FALSE)=" ",0,VLOOKUP($B15,'JR G-Breakaway'!$B$5:$AI$24,18,FALSE)),0)+IFERROR(IF(VLOOKUP($B15,'JR G-Barrels'!$B$5:$AI$24,18,FALSE)=" ",0,VLOOKUP($B15,'JR G-Barrels'!$B$5:$AI$24,18,FALSE)),0)+IFERROR(IF(VLOOKUP($B15,'JR G-Poles'!$B$5:$AI$24,18,FALSE)=" ",0,VLOOKUP($B15,'JR G-Poles'!$B$5:$AI$24,18,FALSE)),0)+IFERROR(IF(VLOOKUP($B15,'JR G-Goats'!$B$5:$AI$24,18,FALSE)=" ",0,VLOOKUP($B15,'JR G-Goats'!$B$5:$AI$24,18,FALSE)),0)+IFERROR(IF(VLOOKUP($B15,'JR-Team Roping-Header'!$B$5:$N$24,6,FALSE)=" ",0,VLOOKUP($B15,'JR-Team Roping-Header'!$B$5:$N$24,6,FALSE)),0)+IFERROR(IF(VLOOKUP($B15,'JR-Team Roping-Heeler'!$B$5:$N$24,6,FALSE)=" ",0,VLOOKUP($B15,'JR-Team Roping-Heeler'!$B$5:$N$24,6,FALSE)),0)</f>
        <v>12</v>
      </c>
      <c r="M15" s="95">
        <f t="shared" si="6"/>
        <v>12</v>
      </c>
      <c r="N15" s="91">
        <f t="shared" si="7"/>
        <v>8</v>
      </c>
      <c r="O15" s="121">
        <f>IFERROR(IF(VLOOKUP($B15,'JR G-Breakaway'!$B$5:$AI$24,22,FALSE)=" ",0,VLOOKUP($B15,'JR G-Breakaway'!$B$5:$AI$24,22,FALSE)),0)+IFERROR(IF(VLOOKUP($B15,'JR G-Barrels'!$B$5:$AI$24,22,FALSE)=" ",0,VLOOKUP($B15,'JR G-Barrels'!$B$5:$AI$24,22,FALSE)),0)+IFERROR(IF(VLOOKUP($B15,'JR G-Poles'!$B$5:$AI$24,22,FALSE)=" ",0,VLOOKUP($B15,'JR G-Poles'!$B$5:$AI$24,22,FALSE)),0)+IFERROR(IF(VLOOKUP($B15,'JR G-Goats'!$B$5:$AI$24,22,FALSE)=" ",0,VLOOKUP($B15,'JR G-Goats'!$B$5:$AI$24,22,FALSE)),0)+IFERROR(IF(VLOOKUP($B15,'JR-Team Roping-Header'!$B$5:$N$24,7,FALSE)=" ",0,VLOOKUP($B15,'JR-Team Roping-Header'!$B$5:$N$24,7,FALSE)),0)+IFERROR(IF(VLOOKUP($B15,'JR-Team Roping-Heeler'!$B$5:$N$24,7,FALSE)=" ",0,VLOOKUP($B15,'JR-Team Roping-Heeler'!$B$5:$N$24,7,FALSE)),0)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IFERROR(IF(VLOOKUP($B15,'JR G-Breakaway'!$B$5:$AI$24,26,FALSE)=" ",0,VLOOKUP($B15,'JR G-Breakaway'!$B$5:$AI$24,26,FALSE)),0)+IFERROR(IF(VLOOKUP($B15,'JR G-Barrels'!$B$5:$AI$24,26,FALSE)=" ",0,VLOOKUP($B15,'JR G-Barrels'!$B$5:$AI$24,26,FALSE)),0)+IFERROR(IF(VLOOKUP($B15,'JR G-Poles'!$B$5:$AI$24,26,FALSE)=" ",0,VLOOKUP($B15,'JR G-Poles'!$B$5:$AI$24,26,FALSE)),0)+IFERROR(IF(VLOOKUP($B15,'JR G-Goats'!$B$5:$AI$24,26,FALSE)=" ",0,VLOOKUP($B15,'JR G-Goats'!$B$5:$AI$24,26,FALSE)),0)+IFERROR(IF(VLOOKUP($B15,'JR-Team Roping-Header'!$B$5:$N$24,8,FALSE)=" ",0,VLOOKUP($B15,'JR-Team Roping-Header'!$B$5:$N$24,8,FALSE)),0)+IFERROR(IF(VLOOKUP($B15,'JR-Team Roping-Heeler'!$B$5:$N$24,8,FALSE)=" ",0,VLOOKUP($B15,'JR-Team Roping-Heeler'!$B$5:$N$24,8,FALSE)),0)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IFERROR(IF(VLOOKUP($B15,'JR G-Breakaway'!$B$5:$AI$24,30,FALSE)=" ",0,VLOOKUP($B15,'JR G-Breakaway'!$B$5:$AI$24,30,FALSE)),0)+IFERROR(IF(VLOOKUP($B15,'JR G-Barrels'!$B$5:$AI$24,30,FALSE)=" ",0,VLOOKUP($B15,'JR G-Barrels'!$B$5:$AI$24,30,FALSE)),0)+IFERROR(IF(VLOOKUP($B15,'JR G-Poles'!$B$5:$AI$24,30,FALSE)=" ",0,VLOOKUP($B15,'JR G-Poles'!$B$5:$AI$24,30,FALSE)),0)+IFERROR(IF(VLOOKUP($B15,'JR G-Goats'!$B$5:$AI$24,30,FALSE)=" ",0,VLOOKUP($B15,'JR G-Goats'!$B$5:$AI$24,30,FALSE)),0)+IFERROR(IF(VLOOKUP($B15,'JR-Team Roping-Header'!$B$5:$N$24,9,FALSE)=" ",0,VLOOKUP($B15,'JR-Team Roping-Header'!$B$5:$N$24,9,FALSE)),0)+IFERROR(IF(VLOOKUP($B15,'JR-Team Roping-Heeler'!$B$5:$N$24,9,FALSE)=" ",0,VLOOKUP($B15,'JR-Team Roping-Heeler'!$B$5:$N$24,9,FALSE)),0)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IFERROR(IF(VLOOKUP($B15,'JR G-Breakaway'!$B$5:$AI$24,34,FALSE)=" ",0,VLOOKUP($B15,'JR G-Breakaway'!$B$5:$AI$24,34,FALSE)),0)+IFERROR(IF(VLOOKUP($B15,'JR G-Barrels'!$B$5:$AI$24,34,FALSE)=" ",0,VLOOKUP($B15,'JR G-Barrels'!$B$5:$AI$24,34,FALSE)),0)+IFERROR(IF(VLOOKUP($B15,'JR G-Poles'!$B$5:$AI$24,34,FALSE)=" ",0,VLOOKUP($B15,'JR G-Poles'!$B$5:$AI$24,34,FALSE)),0)+IFERROR(IF(VLOOKUP($B15,'JR G-Goats'!$B$5:$AI$24,34,FALSE)=" ",0,VLOOKUP($B15,'JR G-Goats'!$B$5:$AI$24,34,FALSE)),0)+IFERROR(IF(VLOOKUP($B15,'JR-Team Roping-Header'!$B$5:$N$24,10,FALSE)=" ",0,VLOOKUP($B15,'JR-Team Roping-Header'!$B$5:$N$24,10,FALSE)),0)+IFERROR(IF(VLOOKUP($B15,'JR-Team Roping-Heeler'!$B$5:$N$24,10,FALSE)=" ",0,VLOOKUP($B15,'JR-Team Roping-Heeler'!$B$5:$N$24,10,FALSE)),0)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27</v>
      </c>
      <c r="AB15" s="95">
        <f t="shared" si="16"/>
        <v>27</v>
      </c>
      <c r="AC15" s="91">
        <f t="shared" si="17"/>
        <v>11</v>
      </c>
    </row>
    <row r="16" spans="2:29" x14ac:dyDescent="0.3">
      <c r="B16" s="141" t="s">
        <v>200</v>
      </c>
      <c r="C16" s="120">
        <f>IFERROR(IF(VLOOKUP($B16,'JR G-Breakaway'!$B$5:$AI$24,6,FALSE)=" ",0,VLOOKUP($B16,'JR G-Breakaway'!$B$5:$AI$24,6,FALSE)),0)+IFERROR(IF(VLOOKUP($B16,'JR G-Barrels'!$B$5:$AI$24,6,FALSE)=" ",0,VLOOKUP($B16,'JR G-Barrels'!$B$5:$AI$24,6,FALSE)),0)+IFERROR(IF(VLOOKUP($B16,'JR G-Poles'!$B$5:$AI$24,6,FALSE)=" ",0,VLOOKUP($B16,'JR G-Poles'!$B$5:$AI$24,6,FALSE)),0)+IFERROR(IF(VLOOKUP($B16,'JR G-Goats'!$B$5:$AI$24,6,FALSE)=" ",0,VLOOKUP($B16,'JR G-Goats'!$B$5:$AI$24,6,FALSE)),0)+IFERROR(IF(VLOOKUP($B16,'JR-Team Roping-Header'!$B$5:$N$24,3,FALSE)=" ",0,VLOOKUP($B16,'JR-Team Roping-Header'!$B$5:$N$24,3,FALSE)),0)+IFERROR(IF(VLOOKUP($B16,'JR-Team Roping-Heeler'!$B$5:$N$24,3,FALSE)=" ",0,VLOOKUP($B16,'JR-Team Roping-Heeler'!$B$5:$N$24,3,FALSE)),0)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IFERROR(IF(VLOOKUP($B16,'JR G-Breakaway'!$B$5:$AI$24,10,FALSE)=" ",0,VLOOKUP($B16,'JR G-Breakaway'!$B$5:$AI$24,10,FALSE)),0)+IFERROR(IF(VLOOKUP($B16,'JR G-Barrels'!$B$5:$AI$24,10,FALSE)=" ",0,VLOOKUP($B16,'JR G-Barrels'!$B$5:$AI$24,10,FALSE)),0)+IFERROR(IF(VLOOKUP($B16,'JR G-Poles'!$B$5:$AI$24,10,FALSE)=" ",0,VLOOKUP($B16,'JR G-Poles'!$B$5:$AI$24,10,FALSE)),0)+IFERROR(IF(VLOOKUP($B16,'JR G-Goats'!$B$5:$AI$24,10,FALSE)=" ",0,VLOOKUP($B16,'JR G-Goats'!$B$5:$AI$24,10,FALSE)),0)+IFERROR(IF(VLOOKUP($B16,'JR-Team Roping-Header'!$B$5:$N$24,4,FALSE)=" ",0,VLOOKUP($B16,'JR-Team Roping-Header'!$B$5:$N$24,4,FALSE)),0)+IFERROR(IF(VLOOKUP($B16,'JR-Team Roping-Heeler'!$B$5:$N$24,4,FALSE)=" ",0,VLOOKUP($B16,'JR-Team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IFERROR(IF(VLOOKUP($B16,'JR G-Breakaway'!$B$5:$AI$24,14,FALSE)=" ",0,VLOOKUP($B16,'JR G-Breakaway'!$B$5:$AI$24,14,FALSE)),0)+IFERROR(IF(VLOOKUP($B16,'JR G-Barrels'!$B$5:$AI$24,14,FALSE)=" ",0,VLOOKUP($B16,'JR G-Barrels'!$B$5:$AI$24,14,FALSE)),0)+IFERROR(IF(VLOOKUP($B16,'JR G-Poles'!$B$5:$AI$24,14,FALSE)=" ",0,VLOOKUP($B16,'JR G-Poles'!$B$5:$AI$24,14,FALSE)),0)+IFERROR(IF(VLOOKUP($B16,'JR G-Goats'!$B$5:$AI$24,14,FALSE)=" ",0,VLOOKUP($B16,'JR G-Goats'!$B$5:$AI$24,14,FALSE)),0)+IFERROR(IF(VLOOKUP($B16,'JR-Team Roping-Header'!$B$5:$N$24,5,FALSE)=" ",0,VLOOKUP($B16,'JR-Team Roping-Header'!$B$5:$N$24,5,FALSE)),0)+IFERROR(IF(VLOOKUP($B16,'JR-Team Roping-Heeler'!$B$5:$N$24,5,FALSE)=" ",0,VLOOKUP($B16,'JR-Team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IFERROR(IF(VLOOKUP($B16,'JR G-Breakaway'!$B$5:$AI$24,18,FALSE)=" ",0,VLOOKUP($B16,'JR G-Breakaway'!$B$5:$AI$24,18,FALSE)),0)+IFERROR(IF(VLOOKUP($B16,'JR G-Barrels'!$B$5:$AI$24,18,FALSE)=" ",0,VLOOKUP($B16,'JR G-Barrels'!$B$5:$AI$24,18,FALSE)),0)+IFERROR(IF(VLOOKUP($B16,'JR G-Poles'!$B$5:$AI$24,18,FALSE)=" ",0,VLOOKUP($B16,'JR G-Poles'!$B$5:$AI$24,18,FALSE)),0)+IFERROR(IF(VLOOKUP($B16,'JR G-Goats'!$B$5:$AI$24,18,FALSE)=" ",0,VLOOKUP($B16,'JR G-Goats'!$B$5:$AI$24,18,FALSE)),0)+IFERROR(IF(VLOOKUP($B16,'JR-Team Roping-Header'!$B$5:$N$24,6,FALSE)=" ",0,VLOOKUP($B16,'JR-Team Roping-Header'!$B$5:$N$24,6,FALSE)),0)+IFERROR(IF(VLOOKUP($B16,'JR-Team Roping-Heeler'!$B$5:$N$24,6,FALSE)=" ",0,VLOOKUP($B16,'JR-Team Roping-Heeler'!$B$5:$N$24,6,FALSE)),0)</f>
        <v>15</v>
      </c>
      <c r="M16" s="95">
        <f t="shared" si="6"/>
        <v>15</v>
      </c>
      <c r="N16" s="91">
        <f t="shared" si="7"/>
        <v>7</v>
      </c>
      <c r="O16" s="121">
        <f>IFERROR(IF(VLOOKUP($B16,'JR G-Breakaway'!$B$5:$AI$24,22,FALSE)=" ",0,VLOOKUP($B16,'JR G-Breakaway'!$B$5:$AI$24,22,FALSE)),0)+IFERROR(IF(VLOOKUP($B16,'JR G-Barrels'!$B$5:$AI$24,22,FALSE)=" ",0,VLOOKUP($B16,'JR G-Barrels'!$B$5:$AI$24,22,FALSE)),0)+IFERROR(IF(VLOOKUP($B16,'JR G-Poles'!$B$5:$AI$24,22,FALSE)=" ",0,VLOOKUP($B16,'JR G-Poles'!$B$5:$AI$24,22,FALSE)),0)+IFERROR(IF(VLOOKUP($B16,'JR G-Goats'!$B$5:$AI$24,22,FALSE)=" ",0,VLOOKUP($B16,'JR G-Goats'!$B$5:$AI$24,22,FALSE)),0)+IFERROR(IF(VLOOKUP($B16,'JR-Team Roping-Header'!$B$5:$N$24,7,FALSE)=" ",0,VLOOKUP($B16,'JR-Team Roping-Header'!$B$5:$N$24,7,FALSE)),0)+IFERROR(IF(VLOOKUP($B16,'JR-Team Roping-Heeler'!$B$5:$N$24,7,FALSE)=" ",0,VLOOKUP($B16,'JR-Team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 G-Breakaway'!$B$5:$AI$24,26,FALSE)=" ",0,VLOOKUP($B16,'JR G-Breakaway'!$B$5:$AI$24,26,FALSE)),0)+IFERROR(IF(VLOOKUP($B16,'JR G-Barrels'!$B$5:$AI$24,26,FALSE)=" ",0,VLOOKUP($B16,'JR G-Barrels'!$B$5:$AI$24,26,FALSE)),0)+IFERROR(IF(VLOOKUP($B16,'JR G-Poles'!$B$5:$AI$24,26,FALSE)=" ",0,VLOOKUP($B16,'JR G-Poles'!$B$5:$AI$24,26,FALSE)),0)+IFERROR(IF(VLOOKUP($B16,'JR G-Goats'!$B$5:$AI$24,26,FALSE)=" ",0,VLOOKUP($B16,'JR G-Goats'!$B$5:$AI$24,26,FALSE)),0)+IFERROR(IF(VLOOKUP($B16,'JR-Team Roping-Header'!$B$5:$N$24,8,FALSE)=" ",0,VLOOKUP($B16,'JR-Team Roping-Header'!$B$5:$N$24,8,FALSE)),0)+IFERROR(IF(VLOOKUP($B16,'JR-Team Roping-Heeler'!$B$5:$N$24,8,FALSE)=" ",0,VLOOKUP($B16,'JR-Team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 G-Breakaway'!$B$5:$AI$24,30,FALSE)=" ",0,VLOOKUP($B16,'JR G-Breakaway'!$B$5:$AI$24,30,FALSE)),0)+IFERROR(IF(VLOOKUP($B16,'JR G-Barrels'!$B$5:$AI$24,30,FALSE)=" ",0,VLOOKUP($B16,'JR G-Barrels'!$B$5:$AI$24,30,FALSE)),0)+IFERROR(IF(VLOOKUP($B16,'JR G-Poles'!$B$5:$AI$24,30,FALSE)=" ",0,VLOOKUP($B16,'JR G-Poles'!$B$5:$AI$24,30,FALSE)),0)+IFERROR(IF(VLOOKUP($B16,'JR G-Goats'!$B$5:$AI$24,30,FALSE)=" ",0,VLOOKUP($B16,'JR G-Goats'!$B$5:$AI$24,30,FALSE)),0)+IFERROR(IF(VLOOKUP($B16,'JR-Team Roping-Header'!$B$5:$N$24,9,FALSE)=" ",0,VLOOKUP($B16,'JR-Team Roping-Header'!$B$5:$N$24,9,FALSE)),0)+IFERROR(IF(VLOOKUP($B16,'JR-Team Roping-Heeler'!$B$5:$N$24,9,FALSE)=" ",0,VLOOKUP($B16,'JR-Team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 G-Breakaway'!$B$5:$AI$24,34,FALSE)=" ",0,VLOOKUP($B16,'JR G-Breakaway'!$B$5:$AI$24,34,FALSE)),0)+IFERROR(IF(VLOOKUP($B16,'JR G-Barrels'!$B$5:$AI$24,34,FALSE)=" ",0,VLOOKUP($B16,'JR G-Barrels'!$B$5:$AI$24,34,FALSE)),0)+IFERROR(IF(VLOOKUP($B16,'JR G-Poles'!$B$5:$AI$24,34,FALSE)=" ",0,VLOOKUP($B16,'JR G-Poles'!$B$5:$AI$24,34,FALSE)),0)+IFERROR(IF(VLOOKUP($B16,'JR G-Goats'!$B$5:$AI$24,34,FALSE)=" ",0,VLOOKUP($B16,'JR G-Goats'!$B$5:$AI$24,34,FALSE)),0)+IFERROR(IF(VLOOKUP($B16,'JR-Team Roping-Header'!$B$5:$N$24,10,FALSE)=" ",0,VLOOKUP($B16,'JR-Team Roping-Header'!$B$5:$N$24,10,FALSE)),0)+IFERROR(IF(VLOOKUP($B16,'JR-Team Roping-Heeler'!$B$5:$N$24,10,FALSE)=" ",0,VLOOKUP($B16,'JR-Team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6" s="95">
        <f t="shared" si="16"/>
        <v>15</v>
      </c>
      <c r="AC16" s="91">
        <f t="shared" si="17"/>
        <v>12</v>
      </c>
    </row>
    <row r="17" spans="2:29" x14ac:dyDescent="0.3">
      <c r="B17" s="141" t="s">
        <v>166</v>
      </c>
      <c r="C17" s="120">
        <f>IFERROR(IF(VLOOKUP($B17,'JR G-Breakaway'!$B$5:$AI$24,6,FALSE)=" ",0,VLOOKUP($B17,'JR G-Breakaway'!$B$5:$AI$24,6,FALSE)),0)+IFERROR(IF(VLOOKUP($B17,'JR G-Barrels'!$B$5:$AI$24,6,FALSE)=" ",0,VLOOKUP($B17,'JR G-Barrels'!$B$5:$AI$24,6,FALSE)),0)+IFERROR(IF(VLOOKUP($B17,'JR G-Poles'!$B$5:$AI$24,6,FALSE)=" ",0,VLOOKUP($B17,'JR G-Poles'!$B$5:$AI$24,6,FALSE)),0)+IFERROR(IF(VLOOKUP($B17,'JR G-Goats'!$B$5:$AI$24,6,FALSE)=" ",0,VLOOKUP($B17,'JR G-Goats'!$B$5:$AI$24,6,FALSE)),0)+IFERROR(IF(VLOOKUP($B17,'JR-Team Roping-Header'!$B$5:$N$24,3,FALSE)=" ",0,VLOOKUP($B17,'JR-Team Roping-Header'!$B$5:$N$24,3,FALSE)),0)+IFERROR(IF(VLOOKUP($B17,'JR-Team Roping-Heeler'!$B$5:$N$24,3,FALSE)=" ",0,VLOOKUP($B17,'JR-Team Roping-Heeler'!$B$5:$N$24,3,FALSE)),0)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IFERROR(IF(VLOOKUP($B17,'JR G-Breakaway'!$B$5:$AI$24,10,FALSE)=" ",0,VLOOKUP($B17,'JR G-Breakaway'!$B$5:$AI$24,10,FALSE)),0)+IFERROR(IF(VLOOKUP($B17,'JR G-Barrels'!$B$5:$AI$24,10,FALSE)=" ",0,VLOOKUP($B17,'JR G-Barrels'!$B$5:$AI$24,10,FALSE)),0)+IFERROR(IF(VLOOKUP($B17,'JR G-Poles'!$B$5:$AI$24,10,FALSE)=" ",0,VLOOKUP($B17,'JR G-Poles'!$B$5:$AI$24,10,FALSE)),0)+IFERROR(IF(VLOOKUP($B17,'JR G-Goats'!$B$5:$AI$24,10,FALSE)=" ",0,VLOOKUP($B17,'JR G-Goats'!$B$5:$AI$24,10,FALSE)),0)+IFERROR(IF(VLOOKUP($B17,'JR-Team Roping-Header'!$B$5:$N$24,4,FALSE)=" ",0,VLOOKUP($B17,'JR-Team Roping-Header'!$B$5:$N$24,4,FALSE)),0)+IFERROR(IF(VLOOKUP($B17,'JR-Team Roping-Heeler'!$B$5:$N$24,4,FALSE)=" ",0,VLOOKUP($B17,'JR-Team Roping-Heeler'!$B$5:$N$24,4,FALSE)),0)</f>
        <v>15</v>
      </c>
      <c r="G17" s="95">
        <f t="shared" si="2"/>
        <v>15</v>
      </c>
      <c r="H17" s="91">
        <f t="shared" si="3"/>
        <v>8</v>
      </c>
      <c r="I17" s="121">
        <f>IFERROR(IF(VLOOKUP($B17,'JR G-Breakaway'!$B$5:$AI$24,14,FALSE)=" ",0,VLOOKUP($B17,'JR G-Breakaway'!$B$5:$AI$24,14,FALSE)),0)+IFERROR(IF(VLOOKUP($B17,'JR G-Barrels'!$B$5:$AI$24,14,FALSE)=" ",0,VLOOKUP($B17,'JR G-Barrels'!$B$5:$AI$24,14,FALSE)),0)+IFERROR(IF(VLOOKUP($B17,'JR G-Poles'!$B$5:$AI$24,14,FALSE)=" ",0,VLOOKUP($B17,'JR G-Poles'!$B$5:$AI$24,14,FALSE)),0)+IFERROR(IF(VLOOKUP($B17,'JR G-Goats'!$B$5:$AI$24,14,FALSE)=" ",0,VLOOKUP($B17,'JR G-Goats'!$B$5:$AI$24,14,FALSE)),0)+IFERROR(IF(VLOOKUP($B17,'JR-Team Roping-Header'!$B$5:$N$24,5,FALSE)=" ",0,VLOOKUP($B17,'JR-Team Roping-Header'!$B$5:$N$24,5,FALSE)),0)+IFERROR(IF(VLOOKUP($B17,'JR-Team Roping-Heeler'!$B$5:$N$24,5,FALSE)=" ",0,VLOOKUP($B17,'JR-Team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 G-Breakaway'!$B$5:$AI$24,18,FALSE)=" ",0,VLOOKUP($B17,'JR G-Breakaway'!$B$5:$AI$24,18,FALSE)),0)+IFERROR(IF(VLOOKUP($B17,'JR G-Barrels'!$B$5:$AI$24,18,FALSE)=" ",0,VLOOKUP($B17,'JR G-Barrels'!$B$5:$AI$24,18,FALSE)),0)+IFERROR(IF(VLOOKUP($B17,'JR G-Poles'!$B$5:$AI$24,18,FALSE)=" ",0,VLOOKUP($B17,'JR G-Poles'!$B$5:$AI$24,18,FALSE)),0)+IFERROR(IF(VLOOKUP($B17,'JR G-Goats'!$B$5:$AI$24,18,FALSE)=" ",0,VLOOKUP($B17,'JR G-Goats'!$B$5:$AI$24,18,FALSE)),0)+IFERROR(IF(VLOOKUP($B17,'JR-Team Roping-Header'!$B$5:$N$24,6,FALSE)=" ",0,VLOOKUP($B17,'JR-Team Roping-Header'!$B$5:$N$24,6,FALSE)),0)+IFERROR(IF(VLOOKUP($B17,'JR-Team Roping-Heeler'!$B$5:$N$24,6,FALSE)=" ",0,VLOOKUP($B17,'JR-Team Roping-Heeler'!$B$5:$N$24,6,FALSE)),0)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IFERROR(IF(VLOOKUP($B17,'JR G-Breakaway'!$B$5:$AI$24,22,FALSE)=" ",0,VLOOKUP($B17,'JR G-Breakaway'!$B$5:$AI$24,22,FALSE)),0)+IFERROR(IF(VLOOKUP($B17,'JR G-Barrels'!$B$5:$AI$24,22,FALSE)=" ",0,VLOOKUP($B17,'JR G-Barrels'!$B$5:$AI$24,22,FALSE)),0)+IFERROR(IF(VLOOKUP($B17,'JR G-Poles'!$B$5:$AI$24,22,FALSE)=" ",0,VLOOKUP($B17,'JR G-Poles'!$B$5:$AI$24,22,FALSE)),0)+IFERROR(IF(VLOOKUP($B17,'JR G-Goats'!$B$5:$AI$24,22,FALSE)=" ",0,VLOOKUP($B17,'JR G-Goats'!$B$5:$AI$24,22,FALSE)),0)+IFERROR(IF(VLOOKUP($B17,'JR-Team Roping-Header'!$B$5:$N$24,7,FALSE)=" ",0,VLOOKUP($B17,'JR-Team Roping-Header'!$B$5:$N$24,7,FALSE)),0)+IFERROR(IF(VLOOKUP($B17,'JR-Team Roping-Heeler'!$B$5:$N$24,7,FALSE)=" ",0,VLOOKUP($B17,'JR-Team Roping-Heeler'!$B$5:$N$24,7,FALSE)),0)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IFERROR(IF(VLOOKUP($B17,'JR G-Breakaway'!$B$5:$AI$24,26,FALSE)=" ",0,VLOOKUP($B17,'JR G-Breakaway'!$B$5:$AI$24,26,FALSE)),0)+IFERROR(IF(VLOOKUP($B17,'JR G-Barrels'!$B$5:$AI$24,26,FALSE)=" ",0,VLOOKUP($B17,'JR G-Barrels'!$B$5:$AI$24,26,FALSE)),0)+IFERROR(IF(VLOOKUP($B17,'JR G-Poles'!$B$5:$AI$24,26,FALSE)=" ",0,VLOOKUP($B17,'JR G-Poles'!$B$5:$AI$24,26,FALSE)),0)+IFERROR(IF(VLOOKUP($B17,'JR G-Goats'!$B$5:$AI$24,26,FALSE)=" ",0,VLOOKUP($B17,'JR G-Goats'!$B$5:$AI$24,26,FALSE)),0)+IFERROR(IF(VLOOKUP($B17,'JR-Team Roping-Header'!$B$5:$N$24,8,FALSE)=" ",0,VLOOKUP($B17,'JR-Team Roping-Header'!$B$5:$N$24,8,FALSE)),0)+IFERROR(IF(VLOOKUP($B17,'JR-Team Roping-Heeler'!$B$5:$N$24,8,FALSE)=" ",0,VLOOKUP($B17,'JR-Team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 G-Breakaway'!$B$5:$AI$24,30,FALSE)=" ",0,VLOOKUP($B17,'JR G-Breakaway'!$B$5:$AI$24,30,FALSE)),0)+IFERROR(IF(VLOOKUP($B17,'JR G-Barrels'!$B$5:$AI$24,30,FALSE)=" ",0,VLOOKUP($B17,'JR G-Barrels'!$B$5:$AI$24,30,FALSE)),0)+IFERROR(IF(VLOOKUP($B17,'JR G-Poles'!$B$5:$AI$24,30,FALSE)=" ",0,VLOOKUP($B17,'JR G-Poles'!$B$5:$AI$24,30,FALSE)),0)+IFERROR(IF(VLOOKUP($B17,'JR G-Goats'!$B$5:$AI$24,30,FALSE)=" ",0,VLOOKUP($B17,'JR G-Goats'!$B$5:$AI$24,30,FALSE)),0)+IFERROR(IF(VLOOKUP($B17,'JR-Team Roping-Header'!$B$5:$N$24,9,FALSE)=" ",0,VLOOKUP($B17,'JR-Team Roping-Header'!$B$5:$N$24,9,FALSE)),0)+IFERROR(IF(VLOOKUP($B17,'JR-Team Roping-Heeler'!$B$5:$N$24,9,FALSE)=" ",0,VLOOKUP($B17,'JR-Team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 G-Breakaway'!$B$5:$AI$24,34,FALSE)=" ",0,VLOOKUP($B17,'JR G-Breakaway'!$B$5:$AI$24,34,FALSE)),0)+IFERROR(IF(VLOOKUP($B17,'JR G-Barrels'!$B$5:$AI$24,34,FALSE)=" ",0,VLOOKUP($B17,'JR G-Barrels'!$B$5:$AI$24,34,FALSE)),0)+IFERROR(IF(VLOOKUP($B17,'JR G-Poles'!$B$5:$AI$24,34,FALSE)=" ",0,VLOOKUP($B17,'JR G-Poles'!$B$5:$AI$24,34,FALSE)),0)+IFERROR(IF(VLOOKUP($B17,'JR G-Goats'!$B$5:$AI$24,34,FALSE)=" ",0,VLOOKUP($B17,'JR G-Goats'!$B$5:$AI$24,34,FALSE)),0)+IFERROR(IF(VLOOKUP($B17,'JR-Team Roping-Header'!$B$5:$N$24,10,FALSE)=" ",0,VLOOKUP($B17,'JR-Team Roping-Header'!$B$5:$N$24,10,FALSE)),0)+IFERROR(IF(VLOOKUP($B17,'JR-Team Roping-Heeler'!$B$5:$N$24,10,FALSE)=" ",0,VLOOKUP($B17,'JR-Team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7" s="95">
        <f t="shared" si="16"/>
        <v>15</v>
      </c>
      <c r="AC17" s="91">
        <f t="shared" si="17"/>
        <v>12</v>
      </c>
    </row>
    <row r="18" spans="2:29" x14ac:dyDescent="0.3">
      <c r="B18" s="141" t="s">
        <v>143</v>
      </c>
      <c r="C18" s="120">
        <f>IFERROR(IF(VLOOKUP($B18,'JR G-Breakaway'!$B$5:$AI$24,6,FALSE)=" ",0,VLOOKUP($B18,'JR G-Breakaway'!$B$5:$AI$24,6,FALSE)),0)+IFERROR(IF(VLOOKUP($B18,'JR G-Barrels'!$B$5:$AI$24,6,FALSE)=" ",0,VLOOKUP($B18,'JR G-Barrels'!$B$5:$AI$24,6,FALSE)),0)+IFERROR(IF(VLOOKUP($B18,'JR G-Poles'!$B$5:$AI$24,6,FALSE)=" ",0,VLOOKUP($B18,'JR G-Poles'!$B$5:$AI$24,6,FALSE)),0)+IFERROR(IF(VLOOKUP($B18,'JR G-Goats'!$B$5:$AI$24,6,FALSE)=" ",0,VLOOKUP($B18,'JR G-Goats'!$B$5:$AI$24,6,FALSE)),0)+IFERROR(IF(VLOOKUP($B18,'JR-Team Roping-Header'!$B$5:$N$24,3,FALSE)=" ",0,VLOOKUP($B18,'JR-Team Roping-Header'!$B$5:$N$24,3,FALSE)),0)+IFERROR(IF(VLOOKUP($B18,'JR-Team Roping-Heeler'!$B$5:$N$24,3,FALSE)=" ",0,VLOOKUP($B18,'JR-Team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IFERROR(IF(VLOOKUP($B18,'JR G-Breakaway'!$B$5:$AI$24,10,FALSE)=" ",0,VLOOKUP($B18,'JR G-Breakaway'!$B$5:$AI$24,10,FALSE)),0)+IFERROR(IF(VLOOKUP($B18,'JR G-Barrels'!$B$5:$AI$24,10,FALSE)=" ",0,VLOOKUP($B18,'JR G-Barrels'!$B$5:$AI$24,10,FALSE)),0)+IFERROR(IF(VLOOKUP($B18,'JR G-Poles'!$B$5:$AI$24,10,FALSE)=" ",0,VLOOKUP($B18,'JR G-Poles'!$B$5:$AI$24,10,FALSE)),0)+IFERROR(IF(VLOOKUP($B18,'JR G-Goats'!$B$5:$AI$24,10,FALSE)=" ",0,VLOOKUP($B18,'JR G-Goats'!$B$5:$AI$24,10,FALSE)),0)+IFERROR(IF(VLOOKUP($B18,'JR-Team Roping-Header'!$B$5:$N$24,4,FALSE)=" ",0,VLOOKUP($B18,'JR-Team Roping-Header'!$B$5:$N$24,4,FALSE)),0)+IFERROR(IF(VLOOKUP($B18,'JR-Team Roping-Heeler'!$B$5:$N$24,4,FALSE)=" ",0,VLOOKUP($B18,'JR-Team Roping-Heeler'!$B$5:$N$24,4,FALSE)),0)</f>
        <v>15</v>
      </c>
      <c r="G18" s="95">
        <f t="shared" si="2"/>
        <v>15</v>
      </c>
      <c r="H18" s="91">
        <f t="shared" si="3"/>
        <v>8</v>
      </c>
      <c r="I18" s="121">
        <f>IFERROR(IF(VLOOKUP($B18,'JR G-Breakaway'!$B$5:$AI$24,14,FALSE)=" ",0,VLOOKUP($B18,'JR G-Breakaway'!$B$5:$AI$24,14,FALSE)),0)+IFERROR(IF(VLOOKUP($B18,'JR G-Barrels'!$B$5:$AI$24,14,FALSE)=" ",0,VLOOKUP($B18,'JR G-Barrels'!$B$5:$AI$24,14,FALSE)),0)+IFERROR(IF(VLOOKUP($B18,'JR G-Poles'!$B$5:$AI$24,14,FALSE)=" ",0,VLOOKUP($B18,'JR G-Poles'!$B$5:$AI$24,14,FALSE)),0)+IFERROR(IF(VLOOKUP($B18,'JR G-Goats'!$B$5:$AI$24,14,FALSE)=" ",0,VLOOKUP($B18,'JR G-Goats'!$B$5:$AI$24,14,FALSE)),0)+IFERROR(IF(VLOOKUP($B18,'JR-Team Roping-Header'!$B$5:$N$24,5,FALSE)=" ",0,VLOOKUP($B18,'JR-Team Roping-Header'!$B$5:$N$24,5,FALSE)),0)+IFERROR(IF(VLOOKUP($B18,'JR-Team Roping-Heeler'!$B$5:$N$24,5,FALSE)=" ",0,VLOOKUP($B18,'JR-Team Roping-Heeler'!$B$5:$N$24,5,FALSE)),0)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IFERROR(IF(VLOOKUP($B18,'JR G-Breakaway'!$B$5:$AI$24,18,FALSE)=" ",0,VLOOKUP($B18,'JR G-Breakaway'!$B$5:$AI$24,18,FALSE)),0)+IFERROR(IF(VLOOKUP($B18,'JR G-Barrels'!$B$5:$AI$24,18,FALSE)=" ",0,VLOOKUP($B18,'JR G-Barrels'!$B$5:$AI$24,18,FALSE)),0)+IFERROR(IF(VLOOKUP($B18,'JR G-Poles'!$B$5:$AI$24,18,FALSE)=" ",0,VLOOKUP($B18,'JR G-Poles'!$B$5:$AI$24,18,FALSE)),0)+IFERROR(IF(VLOOKUP($B18,'JR G-Goats'!$B$5:$AI$24,18,FALSE)=" ",0,VLOOKUP($B18,'JR G-Goats'!$B$5:$AI$24,18,FALSE)),0)+IFERROR(IF(VLOOKUP($B18,'JR-Team Roping-Header'!$B$5:$N$24,6,FALSE)=" ",0,VLOOKUP($B18,'JR-Team Roping-Header'!$B$5:$N$24,6,FALSE)),0)+IFERROR(IF(VLOOKUP($B18,'JR-Team Roping-Heeler'!$B$5:$N$24,6,FALSE)=" ",0,VLOOKUP($B18,'JR-Team Roping-Heeler'!$B$5:$N$24,6,FALSE)),0)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IFERROR(IF(VLOOKUP($B18,'JR G-Breakaway'!$B$5:$AI$24,22,FALSE)=" ",0,VLOOKUP($B18,'JR G-Breakaway'!$B$5:$AI$24,22,FALSE)),0)+IFERROR(IF(VLOOKUP($B18,'JR G-Barrels'!$B$5:$AI$24,22,FALSE)=" ",0,VLOOKUP($B18,'JR G-Barrels'!$B$5:$AI$24,22,FALSE)),0)+IFERROR(IF(VLOOKUP($B18,'JR G-Poles'!$B$5:$AI$24,22,FALSE)=" ",0,VLOOKUP($B18,'JR G-Poles'!$B$5:$AI$24,22,FALSE)),0)+IFERROR(IF(VLOOKUP($B18,'JR G-Goats'!$B$5:$AI$24,22,FALSE)=" ",0,VLOOKUP($B18,'JR G-Goats'!$B$5:$AI$24,22,FALSE)),0)+IFERROR(IF(VLOOKUP($B18,'JR-Team Roping-Header'!$B$5:$N$24,7,FALSE)=" ",0,VLOOKUP($B18,'JR-Team Roping-Header'!$B$5:$N$24,7,FALSE)),0)+IFERROR(IF(VLOOKUP($B18,'JR-Team Roping-Heeler'!$B$5:$N$24,7,FALSE)=" ",0,VLOOKUP($B18,'JR-Team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 G-Breakaway'!$B$5:$AI$24,26,FALSE)=" ",0,VLOOKUP($B18,'JR G-Breakaway'!$B$5:$AI$24,26,FALSE)),0)+IFERROR(IF(VLOOKUP($B18,'JR G-Barrels'!$B$5:$AI$24,26,FALSE)=" ",0,VLOOKUP($B18,'JR G-Barrels'!$B$5:$AI$24,26,FALSE)),0)+IFERROR(IF(VLOOKUP($B18,'JR G-Poles'!$B$5:$AI$24,26,FALSE)=" ",0,VLOOKUP($B18,'JR G-Poles'!$B$5:$AI$24,26,FALSE)),0)+IFERROR(IF(VLOOKUP($B18,'JR G-Goats'!$B$5:$AI$24,26,FALSE)=" ",0,VLOOKUP($B18,'JR G-Goats'!$B$5:$AI$24,26,FALSE)),0)+IFERROR(IF(VLOOKUP($B18,'JR-Team Roping-Header'!$B$5:$N$24,8,FALSE)=" ",0,VLOOKUP($B18,'JR-Team Roping-Header'!$B$5:$N$24,8,FALSE)),0)+IFERROR(IF(VLOOKUP($B18,'JR-Team Roping-Heeler'!$B$5:$N$24,8,FALSE)=" ",0,VLOOKUP($B18,'JR-Team Roping-Heeler'!$B$5:$N$24,8,FALSE)),0)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IFERROR(IF(VLOOKUP($B18,'JR G-Breakaway'!$B$5:$AI$24,30,FALSE)=" ",0,VLOOKUP($B18,'JR G-Breakaway'!$B$5:$AI$24,30,FALSE)),0)+IFERROR(IF(VLOOKUP($B18,'JR G-Barrels'!$B$5:$AI$24,30,FALSE)=" ",0,VLOOKUP($B18,'JR G-Barrels'!$B$5:$AI$24,30,FALSE)),0)+IFERROR(IF(VLOOKUP($B18,'JR G-Poles'!$B$5:$AI$24,30,FALSE)=" ",0,VLOOKUP($B18,'JR G-Poles'!$B$5:$AI$24,30,FALSE)),0)+IFERROR(IF(VLOOKUP($B18,'JR G-Goats'!$B$5:$AI$24,30,FALSE)=" ",0,VLOOKUP($B18,'JR G-Goats'!$B$5:$AI$24,30,FALSE)),0)+IFERROR(IF(VLOOKUP($B18,'JR-Team Roping-Header'!$B$5:$N$24,9,FALSE)=" ",0,VLOOKUP($B18,'JR-Team Roping-Header'!$B$5:$N$24,9,FALSE)),0)+IFERROR(IF(VLOOKUP($B18,'JR-Team Roping-Heeler'!$B$5:$N$24,9,FALSE)=" ",0,VLOOKUP($B18,'JR-Team Roping-Heeler'!$B$5:$N$24,9,FALSE)),0)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IFERROR(IF(VLOOKUP($B18,'JR G-Breakaway'!$B$5:$AI$24,34,FALSE)=" ",0,VLOOKUP($B18,'JR G-Breakaway'!$B$5:$AI$24,34,FALSE)),0)+IFERROR(IF(VLOOKUP($B18,'JR G-Barrels'!$B$5:$AI$24,34,FALSE)=" ",0,VLOOKUP($B18,'JR G-Barrels'!$B$5:$AI$24,34,FALSE)),0)+IFERROR(IF(VLOOKUP($B18,'JR G-Poles'!$B$5:$AI$24,34,FALSE)=" ",0,VLOOKUP($B18,'JR G-Poles'!$B$5:$AI$24,34,FALSE)),0)+IFERROR(IF(VLOOKUP($B18,'JR G-Goats'!$B$5:$AI$24,34,FALSE)=" ",0,VLOOKUP($B18,'JR G-Goats'!$B$5:$AI$24,34,FALSE)),0)+IFERROR(IF(VLOOKUP($B18,'JR-Team Roping-Header'!$B$5:$N$24,10,FALSE)=" ",0,VLOOKUP($B18,'JR-Team Roping-Header'!$B$5:$N$24,10,FALSE)),0)+IFERROR(IF(VLOOKUP($B18,'JR-Team Roping-Heeler'!$B$5:$N$24,10,FALSE)=" ",0,VLOOKUP($B18,'JR-Team Roping-Heeler'!$B$5:$N$24,10,FALSE)),0)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8" s="95">
        <f t="shared" si="16"/>
        <v>15</v>
      </c>
      <c r="AC18" s="91">
        <f t="shared" si="17"/>
        <v>12</v>
      </c>
    </row>
    <row r="19" spans="2:29" x14ac:dyDescent="0.3">
      <c r="B19" s="141" t="s">
        <v>147</v>
      </c>
      <c r="C19" s="120">
        <f>IFERROR(IF(VLOOKUP($B19,'JR G-Breakaway'!$B$5:$AI$24,6,FALSE)=" ",0,VLOOKUP($B19,'JR G-Breakaway'!$B$5:$AI$24,6,FALSE)),0)+IFERROR(IF(VLOOKUP($B19,'JR G-Barrels'!$B$5:$AI$24,6,FALSE)=" ",0,VLOOKUP($B19,'JR G-Barrels'!$B$5:$AI$24,6,FALSE)),0)+IFERROR(IF(VLOOKUP($B19,'JR G-Poles'!$B$5:$AI$24,6,FALSE)=" ",0,VLOOKUP($B19,'JR G-Poles'!$B$5:$AI$24,6,FALSE)),0)+IFERROR(IF(VLOOKUP($B19,'JR G-Goats'!$B$5:$AI$24,6,FALSE)=" ",0,VLOOKUP($B19,'JR G-Goats'!$B$5:$AI$24,6,FALSE)),0)+IFERROR(IF(VLOOKUP($B19,'JR-Team Roping-Header'!$B$5:$N$24,3,FALSE)=" ",0,VLOOKUP($B19,'JR-Team Roping-Header'!$B$5:$N$24,3,FALSE)),0)+IFERROR(IF(VLOOKUP($B19,'JR-Team Roping-Heeler'!$B$5:$N$24,3,FALSE)=" ",0,VLOOKUP($B19,'JR-Team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IFERROR(IF(VLOOKUP($B19,'JR G-Breakaway'!$B$5:$AI$24,10,FALSE)=" ",0,VLOOKUP($B19,'JR G-Breakaway'!$B$5:$AI$24,10,FALSE)),0)+IFERROR(IF(VLOOKUP($B19,'JR G-Barrels'!$B$5:$AI$24,10,FALSE)=" ",0,VLOOKUP($B19,'JR G-Barrels'!$B$5:$AI$24,10,FALSE)),0)+IFERROR(IF(VLOOKUP($B19,'JR G-Poles'!$B$5:$AI$24,10,FALSE)=" ",0,VLOOKUP($B19,'JR G-Poles'!$B$5:$AI$24,10,FALSE)),0)+IFERROR(IF(VLOOKUP($B19,'JR G-Goats'!$B$5:$AI$24,10,FALSE)=" ",0,VLOOKUP($B19,'JR G-Goats'!$B$5:$AI$24,10,FALSE)),0)+IFERROR(IF(VLOOKUP($B19,'JR-Team Roping-Header'!$B$5:$N$24,4,FALSE)=" ",0,VLOOKUP($B19,'JR-Team Roping-Header'!$B$5:$N$24,4,FALSE)),0)+IFERROR(IF(VLOOKUP($B19,'JR-Team Roping-Heeler'!$B$5:$N$24,4,FALSE)=" ",0,VLOOKUP($B19,'JR-Team Roping-Heeler'!$B$5:$N$24,4,FALSE)),0)</f>
        <v>6</v>
      </c>
      <c r="G19" s="95">
        <f t="shared" si="2"/>
        <v>6</v>
      </c>
      <c r="H19" s="91">
        <f t="shared" si="3"/>
        <v>11</v>
      </c>
      <c r="I19" s="121">
        <f>IFERROR(IF(VLOOKUP($B19,'JR G-Breakaway'!$B$5:$AI$24,14,FALSE)=" ",0,VLOOKUP($B19,'JR G-Breakaway'!$B$5:$AI$24,14,FALSE)),0)+IFERROR(IF(VLOOKUP($B19,'JR G-Barrels'!$B$5:$AI$24,14,FALSE)=" ",0,VLOOKUP($B19,'JR G-Barrels'!$B$5:$AI$24,14,FALSE)),0)+IFERROR(IF(VLOOKUP($B19,'JR G-Poles'!$B$5:$AI$24,14,FALSE)=" ",0,VLOOKUP($B19,'JR G-Poles'!$B$5:$AI$24,14,FALSE)),0)+IFERROR(IF(VLOOKUP($B19,'JR G-Goats'!$B$5:$AI$24,14,FALSE)=" ",0,VLOOKUP($B19,'JR G-Goats'!$B$5:$AI$24,14,FALSE)),0)+IFERROR(IF(VLOOKUP($B19,'JR-Team Roping-Header'!$B$5:$N$24,5,FALSE)=" ",0,VLOOKUP($B19,'JR-Team Roping-Header'!$B$5:$N$24,5,FALSE)),0)+IFERROR(IF(VLOOKUP($B19,'JR-Team Roping-Heeler'!$B$5:$N$24,5,FALSE)=" ",0,VLOOKUP($B19,'JR-Team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 G-Breakaway'!$B$5:$AI$24,18,FALSE)=" ",0,VLOOKUP($B19,'JR G-Breakaway'!$B$5:$AI$24,18,FALSE)),0)+IFERROR(IF(VLOOKUP($B19,'JR G-Barrels'!$B$5:$AI$24,18,FALSE)=" ",0,VLOOKUP($B19,'JR G-Barrels'!$B$5:$AI$24,18,FALSE)),0)+IFERROR(IF(VLOOKUP($B19,'JR G-Poles'!$B$5:$AI$24,18,FALSE)=" ",0,VLOOKUP($B19,'JR G-Poles'!$B$5:$AI$24,18,FALSE)),0)+IFERROR(IF(VLOOKUP($B19,'JR G-Goats'!$B$5:$AI$24,18,FALSE)=" ",0,VLOOKUP($B19,'JR G-Goats'!$B$5:$AI$24,18,FALSE)),0)+IFERROR(IF(VLOOKUP($B19,'JR-Team Roping-Header'!$B$5:$N$24,6,FALSE)=" ",0,VLOOKUP($B19,'JR-Team Roping-Header'!$B$5:$N$24,6,FALSE)),0)+IFERROR(IF(VLOOKUP($B19,'JR-Team Roping-Heeler'!$B$5:$N$24,6,FALSE)=" ",0,VLOOKUP($B19,'JR-Team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IFERROR(IF(VLOOKUP($B19,'JR G-Breakaway'!$B$5:$AI$24,22,FALSE)=" ",0,VLOOKUP($B19,'JR G-Breakaway'!$B$5:$AI$24,22,FALSE)),0)+IFERROR(IF(VLOOKUP($B19,'JR G-Barrels'!$B$5:$AI$24,22,FALSE)=" ",0,VLOOKUP($B19,'JR G-Barrels'!$B$5:$AI$24,22,FALSE)),0)+IFERROR(IF(VLOOKUP($B19,'JR G-Poles'!$B$5:$AI$24,22,FALSE)=" ",0,VLOOKUP($B19,'JR G-Poles'!$B$5:$AI$24,22,FALSE)),0)+IFERROR(IF(VLOOKUP($B19,'JR G-Goats'!$B$5:$AI$24,22,FALSE)=" ",0,VLOOKUP($B19,'JR G-Goats'!$B$5:$AI$24,22,FALSE)),0)+IFERROR(IF(VLOOKUP($B19,'JR-Team Roping-Header'!$B$5:$N$24,7,FALSE)=" ",0,VLOOKUP($B19,'JR-Team Roping-Header'!$B$5:$N$24,7,FALSE)),0)+IFERROR(IF(VLOOKUP($B19,'JR-Team Roping-Heeler'!$B$5:$N$24,7,FALSE)=" ",0,VLOOKUP($B19,'JR-Team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IFERROR(IF(VLOOKUP($B19,'JR G-Breakaway'!$B$5:$AI$24,26,FALSE)=" ",0,VLOOKUP($B19,'JR G-Breakaway'!$B$5:$AI$24,26,FALSE)),0)+IFERROR(IF(VLOOKUP($B19,'JR G-Barrels'!$B$5:$AI$24,26,FALSE)=" ",0,VLOOKUP($B19,'JR G-Barrels'!$B$5:$AI$24,26,FALSE)),0)+IFERROR(IF(VLOOKUP($B19,'JR G-Poles'!$B$5:$AI$24,26,FALSE)=" ",0,VLOOKUP($B19,'JR G-Poles'!$B$5:$AI$24,26,FALSE)),0)+IFERROR(IF(VLOOKUP($B19,'JR G-Goats'!$B$5:$AI$24,26,FALSE)=" ",0,VLOOKUP($B19,'JR G-Goats'!$B$5:$AI$24,26,FALSE)),0)+IFERROR(IF(VLOOKUP($B19,'JR-Team Roping-Header'!$B$5:$N$24,8,FALSE)=" ",0,VLOOKUP($B19,'JR-Team Roping-Header'!$B$5:$N$24,8,FALSE)),0)+IFERROR(IF(VLOOKUP($B19,'JR-Team Roping-Heeler'!$B$5:$N$24,8,FALSE)=" ",0,VLOOKUP($B19,'JR-Team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 G-Breakaway'!$B$5:$AI$24,30,FALSE)=" ",0,VLOOKUP($B19,'JR G-Breakaway'!$B$5:$AI$24,30,FALSE)),0)+IFERROR(IF(VLOOKUP($B19,'JR G-Barrels'!$B$5:$AI$24,30,FALSE)=" ",0,VLOOKUP($B19,'JR G-Barrels'!$B$5:$AI$24,30,FALSE)),0)+IFERROR(IF(VLOOKUP($B19,'JR G-Poles'!$B$5:$AI$24,30,FALSE)=" ",0,VLOOKUP($B19,'JR G-Poles'!$B$5:$AI$24,30,FALSE)),0)+IFERROR(IF(VLOOKUP($B19,'JR G-Goats'!$B$5:$AI$24,30,FALSE)=" ",0,VLOOKUP($B19,'JR G-Goats'!$B$5:$AI$24,30,FALSE)),0)+IFERROR(IF(VLOOKUP($B19,'JR-Team Roping-Header'!$B$5:$N$24,9,FALSE)=" ",0,VLOOKUP($B19,'JR-Team Roping-Header'!$B$5:$N$24,9,FALSE)),0)+IFERROR(IF(VLOOKUP($B19,'JR-Team Roping-Heeler'!$B$5:$N$24,9,FALSE)=" ",0,VLOOKUP($B19,'JR-Team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 G-Breakaway'!$B$5:$AI$24,34,FALSE)=" ",0,VLOOKUP($B19,'JR G-Breakaway'!$B$5:$AI$24,34,FALSE)),0)+IFERROR(IF(VLOOKUP($B19,'JR G-Barrels'!$B$5:$AI$24,34,FALSE)=" ",0,VLOOKUP($B19,'JR G-Barrels'!$B$5:$AI$24,34,FALSE)),0)+IFERROR(IF(VLOOKUP($B19,'JR G-Poles'!$B$5:$AI$24,34,FALSE)=" ",0,VLOOKUP($B19,'JR G-Poles'!$B$5:$AI$24,34,FALSE)),0)+IFERROR(IF(VLOOKUP($B19,'JR G-Goats'!$B$5:$AI$24,34,FALSE)=" ",0,VLOOKUP($B19,'JR G-Goats'!$B$5:$AI$24,34,FALSE)),0)+IFERROR(IF(VLOOKUP($B19,'JR-Team Roping-Header'!$B$5:$N$24,10,FALSE)=" ",0,VLOOKUP($B19,'JR-Team Roping-Header'!$B$5:$N$24,10,FALSE)),0)+IFERROR(IF(VLOOKUP($B19,'JR-Team Roping-Heeler'!$B$5:$N$24,10,FALSE)=" ",0,VLOOKUP($B19,'JR-Team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</v>
      </c>
      <c r="AB19" s="95">
        <f t="shared" si="16"/>
        <v>6</v>
      </c>
      <c r="AC19" s="91">
        <f t="shared" si="17"/>
        <v>15</v>
      </c>
    </row>
    <row r="20" spans="2:29" x14ac:dyDescent="0.3">
      <c r="B20" s="141" t="s">
        <v>232</v>
      </c>
      <c r="C20" s="120">
        <f>IFERROR(IF(VLOOKUP($B20,'JR G-Breakaway'!$B$5:$AI$24,6,FALSE)=" ",0,VLOOKUP($B20,'JR G-Breakaway'!$B$5:$AI$24,6,FALSE)),0)+IFERROR(IF(VLOOKUP($B20,'JR G-Barrels'!$B$5:$AI$24,6,FALSE)=" ",0,VLOOKUP($B20,'JR G-Barrels'!$B$5:$AI$24,6,FALSE)),0)+IFERROR(IF(VLOOKUP($B20,'JR G-Poles'!$B$5:$AI$24,6,FALSE)=" ",0,VLOOKUP($B20,'JR G-Poles'!$B$5:$AI$24,6,FALSE)),0)+IFERROR(IF(VLOOKUP($B20,'JR G-Goats'!$B$5:$AI$24,6,FALSE)=" ",0,VLOOKUP($B20,'JR G-Goats'!$B$5:$AI$24,6,FALSE)),0)+IFERROR(IF(VLOOKUP($B20,'JR-Team Roping-Header'!$B$5:$N$24,3,FALSE)=" ",0,VLOOKUP($B20,'JR-Team Roping-Header'!$B$5:$N$24,3,FALSE)),0)+IFERROR(IF(VLOOKUP($B20,'JR-Team Roping-Heeler'!$B$5:$N$24,3,FALSE)=" ",0,VLOOKUP($B20,'JR-Team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 G-Breakaway'!$B$5:$AI$24,10,FALSE)=" ",0,VLOOKUP($B20,'JR G-Breakaway'!$B$5:$AI$24,10,FALSE)),0)+IFERROR(IF(VLOOKUP($B20,'JR G-Barrels'!$B$5:$AI$24,10,FALSE)=" ",0,VLOOKUP($B20,'JR G-Barrels'!$B$5:$AI$24,10,FALSE)),0)+IFERROR(IF(VLOOKUP($B20,'JR G-Poles'!$B$5:$AI$24,10,FALSE)=" ",0,VLOOKUP($B20,'JR G-Poles'!$B$5:$AI$24,10,FALSE)),0)+IFERROR(IF(VLOOKUP($B20,'JR G-Goats'!$B$5:$AI$24,10,FALSE)=" ",0,VLOOKUP($B20,'JR G-Goats'!$B$5:$AI$24,10,FALSE)),0)+IFERROR(IF(VLOOKUP($B20,'JR-Team Roping-Header'!$B$5:$N$24,4,FALSE)=" ",0,VLOOKUP($B20,'JR-Team Roping-Header'!$B$5:$N$24,4,FALSE)),0)+IFERROR(IF(VLOOKUP($B20,'JR-Team Roping-Heeler'!$B$5:$N$24,4,FALSE)=" ",0,VLOOKUP($B20,'JR-Team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 G-Breakaway'!$B$5:$AI$24,14,FALSE)=" ",0,VLOOKUP($B20,'JR G-Breakaway'!$B$5:$AI$24,14,FALSE)),0)+IFERROR(IF(VLOOKUP($B20,'JR G-Barrels'!$B$5:$AI$24,14,FALSE)=" ",0,VLOOKUP($B20,'JR G-Barrels'!$B$5:$AI$24,14,FALSE)),0)+IFERROR(IF(VLOOKUP($B20,'JR G-Poles'!$B$5:$AI$24,14,FALSE)=" ",0,VLOOKUP($B20,'JR G-Poles'!$B$5:$AI$24,14,FALSE)),0)+IFERROR(IF(VLOOKUP($B20,'JR G-Goats'!$B$5:$AI$24,14,FALSE)=" ",0,VLOOKUP($B20,'JR G-Goats'!$B$5:$AI$24,14,FALSE)),0)+IFERROR(IF(VLOOKUP($B20,'JR-Team Roping-Header'!$B$5:$N$24,5,FALSE)=" ",0,VLOOKUP($B20,'JR-Team Roping-Header'!$B$5:$N$24,5,FALSE)),0)+IFERROR(IF(VLOOKUP($B20,'JR-Team Roping-Heeler'!$B$5:$N$24,5,FALSE)=" ",0,VLOOKUP($B20,'JR-Team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 G-Breakaway'!$B$5:$AI$24,18,FALSE)=" ",0,VLOOKUP($B20,'JR G-Breakaway'!$B$5:$AI$24,18,FALSE)),0)+IFERROR(IF(VLOOKUP($B20,'JR G-Barrels'!$B$5:$AI$24,18,FALSE)=" ",0,VLOOKUP($B20,'JR G-Barrels'!$B$5:$AI$24,18,FALSE)),0)+IFERROR(IF(VLOOKUP($B20,'JR G-Poles'!$B$5:$AI$24,18,FALSE)=" ",0,VLOOKUP($B20,'JR G-Poles'!$B$5:$AI$24,18,FALSE)),0)+IFERROR(IF(VLOOKUP($B20,'JR G-Goats'!$B$5:$AI$24,18,FALSE)=" ",0,VLOOKUP($B20,'JR G-Goats'!$B$5:$AI$24,18,FALSE)),0)+IFERROR(IF(VLOOKUP($B20,'JR-Team Roping-Header'!$B$5:$N$24,6,FALSE)=" ",0,VLOOKUP($B20,'JR-Team Roping-Header'!$B$5:$N$24,6,FALSE)),0)+IFERROR(IF(VLOOKUP($B20,'JR-Team Roping-Heeler'!$B$5:$N$24,6,FALSE)=" ",0,VLOOKUP($B20,'JR-Team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 G-Breakaway'!$B$5:$AI$24,22,FALSE)=" ",0,VLOOKUP($B20,'JR G-Breakaway'!$B$5:$AI$24,22,FALSE)),0)+IFERROR(IF(VLOOKUP($B20,'JR G-Barrels'!$B$5:$AI$24,22,FALSE)=" ",0,VLOOKUP($B20,'JR G-Barrels'!$B$5:$AI$24,22,FALSE)),0)+IFERROR(IF(VLOOKUP($B20,'JR G-Poles'!$B$5:$AI$24,22,FALSE)=" ",0,VLOOKUP($B20,'JR G-Poles'!$B$5:$AI$24,22,FALSE)),0)+IFERROR(IF(VLOOKUP($B20,'JR G-Goats'!$B$5:$AI$24,22,FALSE)=" ",0,VLOOKUP($B20,'JR G-Goats'!$B$5:$AI$24,22,FALSE)),0)+IFERROR(IF(VLOOKUP($B20,'JR-Team Roping-Header'!$B$5:$N$24,7,FALSE)=" ",0,VLOOKUP($B20,'JR-Team Roping-Header'!$B$5:$N$24,7,FALSE)),0)+IFERROR(IF(VLOOKUP($B20,'JR-Team Roping-Heeler'!$B$5:$N$24,7,FALSE)=" ",0,VLOOKUP($B20,'JR-Team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 G-Breakaway'!$B$5:$AI$24,26,FALSE)=" ",0,VLOOKUP($B20,'JR G-Breakaway'!$B$5:$AI$24,26,FALSE)),0)+IFERROR(IF(VLOOKUP($B20,'JR G-Barrels'!$B$5:$AI$24,26,FALSE)=" ",0,VLOOKUP($B20,'JR G-Barrels'!$B$5:$AI$24,26,FALSE)),0)+IFERROR(IF(VLOOKUP($B20,'JR G-Poles'!$B$5:$AI$24,26,FALSE)=" ",0,VLOOKUP($B20,'JR G-Poles'!$B$5:$AI$24,26,FALSE)),0)+IFERROR(IF(VLOOKUP($B20,'JR G-Goats'!$B$5:$AI$24,26,FALSE)=" ",0,VLOOKUP($B20,'JR G-Goats'!$B$5:$AI$24,26,FALSE)),0)+IFERROR(IF(VLOOKUP($B20,'JR-Team Roping-Header'!$B$5:$N$24,8,FALSE)=" ",0,VLOOKUP($B20,'JR-Team Roping-Header'!$B$5:$N$24,8,FALSE)),0)+IFERROR(IF(VLOOKUP($B20,'JR-Team Roping-Heeler'!$B$5:$N$24,8,FALSE)=" ",0,VLOOKUP($B20,'JR-Team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 G-Breakaway'!$B$5:$AI$24,30,FALSE)=" ",0,VLOOKUP($B20,'JR G-Breakaway'!$B$5:$AI$24,30,FALSE)),0)+IFERROR(IF(VLOOKUP($B20,'JR G-Barrels'!$B$5:$AI$24,30,FALSE)=" ",0,VLOOKUP($B20,'JR G-Barrels'!$B$5:$AI$24,30,FALSE)),0)+IFERROR(IF(VLOOKUP($B20,'JR G-Poles'!$B$5:$AI$24,30,FALSE)=" ",0,VLOOKUP($B20,'JR G-Poles'!$B$5:$AI$24,30,FALSE)),0)+IFERROR(IF(VLOOKUP($B20,'JR G-Goats'!$B$5:$AI$24,30,FALSE)=" ",0,VLOOKUP($B20,'JR G-Goats'!$B$5:$AI$24,30,FALSE)),0)+IFERROR(IF(VLOOKUP($B20,'JR-Team Roping-Header'!$B$5:$N$24,9,FALSE)=" ",0,VLOOKUP($B20,'JR-Team Roping-Header'!$B$5:$N$24,9,FALSE)),0)+IFERROR(IF(VLOOKUP($B20,'JR-Team Roping-Heeler'!$B$5:$N$24,9,FALSE)=" ",0,VLOOKUP($B20,'JR-Team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 G-Breakaway'!$B$5:$AI$24,34,FALSE)=" ",0,VLOOKUP($B20,'JR G-Breakaway'!$B$5:$AI$24,34,FALSE)),0)+IFERROR(IF(VLOOKUP($B20,'JR G-Barrels'!$B$5:$AI$24,34,FALSE)=" ",0,VLOOKUP($B20,'JR G-Barrels'!$B$5:$AI$24,34,FALSE)),0)+IFERROR(IF(VLOOKUP($B20,'JR G-Poles'!$B$5:$AI$24,34,FALSE)=" ",0,VLOOKUP($B20,'JR G-Poles'!$B$5:$AI$24,34,FALSE)),0)+IFERROR(IF(VLOOKUP($B20,'JR G-Goats'!$B$5:$AI$24,34,FALSE)=" ",0,VLOOKUP($B20,'JR G-Goats'!$B$5:$AI$24,34,FALSE)),0)+IFERROR(IF(VLOOKUP($B20,'JR-Team Roping-Header'!$B$5:$N$24,10,FALSE)=" ",0,VLOOKUP($B20,'JR-Team Roping-Header'!$B$5:$N$24,10,FALSE)),0)+IFERROR(IF(VLOOKUP($B20,'JR-Team Roping-Heeler'!$B$5:$N$24,10,FALSE)=" ",0,VLOOKUP($B20,'JR-Team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1" t="s">
        <v>301</v>
      </c>
      <c r="C21" s="120">
        <f>IFERROR(IF(VLOOKUP($B21,'JR G-Breakaway'!$B$5:$AI$24,6,FALSE)=" ",0,VLOOKUP($B21,'JR G-Breakaway'!$B$5:$AI$24,6,FALSE)),0)+IFERROR(IF(VLOOKUP($B21,'JR G-Barrels'!$B$5:$AI$24,6,FALSE)=" ",0,VLOOKUP($B21,'JR G-Barrels'!$B$5:$AI$24,6,FALSE)),0)+IFERROR(IF(VLOOKUP($B21,'JR G-Poles'!$B$5:$AI$24,6,FALSE)=" ",0,VLOOKUP($B21,'JR G-Poles'!$B$5:$AI$24,6,FALSE)),0)+IFERROR(IF(VLOOKUP($B21,'JR G-Goats'!$B$5:$AI$24,6,FALSE)=" ",0,VLOOKUP($B21,'JR G-Goats'!$B$5:$AI$24,6,FALSE)),0)+IFERROR(IF(VLOOKUP($B21,'JR-Team Roping-Header'!$B$5:$N$24,3,FALSE)=" ",0,VLOOKUP($B21,'JR-Team Roping-Header'!$B$5:$N$24,3,FALSE)),0)+IFERROR(IF(VLOOKUP($B21,'JR-Team Roping-Heeler'!$B$5:$N$24,3,FALSE)=" ",0,VLOOKUP($B21,'JR-Team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 G-Breakaway'!$B$5:$AI$24,10,FALSE)=" ",0,VLOOKUP($B21,'JR G-Breakaway'!$B$5:$AI$24,10,FALSE)),0)+IFERROR(IF(VLOOKUP($B21,'JR G-Barrels'!$B$5:$AI$24,10,FALSE)=" ",0,VLOOKUP($B21,'JR G-Barrels'!$B$5:$AI$24,10,FALSE)),0)+IFERROR(IF(VLOOKUP($B21,'JR G-Poles'!$B$5:$AI$24,10,FALSE)=" ",0,VLOOKUP($B21,'JR G-Poles'!$B$5:$AI$24,10,FALSE)),0)+IFERROR(IF(VLOOKUP($B21,'JR G-Goats'!$B$5:$AI$24,10,FALSE)=" ",0,VLOOKUP($B21,'JR G-Goats'!$B$5:$AI$24,10,FALSE)),0)+IFERROR(IF(VLOOKUP($B21,'JR-Team Roping-Header'!$B$5:$N$24,4,FALSE)=" ",0,VLOOKUP($B21,'JR-Team Roping-Header'!$B$5:$N$24,4,FALSE)),0)+IFERROR(IF(VLOOKUP($B21,'JR-Team Roping-Heeler'!$B$5:$N$24,4,FALSE)=" ",0,VLOOKUP($B21,'JR-Team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 G-Breakaway'!$B$5:$AI$24,14,FALSE)=" ",0,VLOOKUP($B21,'JR G-Breakaway'!$B$5:$AI$24,14,FALSE)),0)+IFERROR(IF(VLOOKUP($B21,'JR G-Barrels'!$B$5:$AI$24,14,FALSE)=" ",0,VLOOKUP($B21,'JR G-Barrels'!$B$5:$AI$24,14,FALSE)),0)+IFERROR(IF(VLOOKUP($B21,'JR G-Poles'!$B$5:$AI$24,14,FALSE)=" ",0,VLOOKUP($B21,'JR G-Poles'!$B$5:$AI$24,14,FALSE)),0)+IFERROR(IF(VLOOKUP($B21,'JR G-Goats'!$B$5:$AI$24,14,FALSE)=" ",0,VLOOKUP($B21,'JR G-Goats'!$B$5:$AI$24,14,FALSE)),0)+IFERROR(IF(VLOOKUP($B21,'JR-Team Roping-Header'!$B$5:$N$24,5,FALSE)=" ",0,VLOOKUP($B21,'JR-Team Roping-Header'!$B$5:$N$24,5,FALSE)),0)+IFERROR(IF(VLOOKUP($B21,'JR-Team Roping-Heeler'!$B$5:$N$24,5,FALSE)=" ",0,VLOOKUP($B21,'JR-Team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 G-Breakaway'!$B$5:$AI$24,18,FALSE)=" ",0,VLOOKUP($B21,'JR G-Breakaway'!$B$5:$AI$24,18,FALSE)),0)+IFERROR(IF(VLOOKUP($B21,'JR G-Barrels'!$B$5:$AI$24,18,FALSE)=" ",0,VLOOKUP($B21,'JR G-Barrels'!$B$5:$AI$24,18,FALSE)),0)+IFERROR(IF(VLOOKUP($B21,'JR G-Poles'!$B$5:$AI$24,18,FALSE)=" ",0,VLOOKUP($B21,'JR G-Poles'!$B$5:$AI$24,18,FALSE)),0)+IFERROR(IF(VLOOKUP($B21,'JR G-Goats'!$B$5:$AI$24,18,FALSE)=" ",0,VLOOKUP($B21,'JR G-Goats'!$B$5:$AI$24,18,FALSE)),0)+IFERROR(IF(VLOOKUP($B21,'JR-Team Roping-Header'!$B$5:$N$24,6,FALSE)=" ",0,VLOOKUP($B21,'JR-Team Roping-Header'!$B$5:$N$24,6,FALSE)),0)+IFERROR(IF(VLOOKUP($B21,'JR-Team Roping-Heeler'!$B$5:$N$24,6,FALSE)=" ",0,VLOOKUP($B21,'JR-Team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 G-Breakaway'!$B$5:$AI$24,22,FALSE)=" ",0,VLOOKUP($B21,'JR G-Breakaway'!$B$5:$AI$24,22,FALSE)),0)+IFERROR(IF(VLOOKUP($B21,'JR G-Barrels'!$B$5:$AI$24,22,FALSE)=" ",0,VLOOKUP($B21,'JR G-Barrels'!$B$5:$AI$24,22,FALSE)),0)+IFERROR(IF(VLOOKUP($B21,'JR G-Poles'!$B$5:$AI$24,22,FALSE)=" ",0,VLOOKUP($B21,'JR G-Poles'!$B$5:$AI$24,22,FALSE)),0)+IFERROR(IF(VLOOKUP($B21,'JR G-Goats'!$B$5:$AI$24,22,FALSE)=" ",0,VLOOKUP($B21,'JR G-Goats'!$B$5:$AI$24,22,FALSE)),0)+IFERROR(IF(VLOOKUP($B21,'JR-Team Roping-Header'!$B$5:$N$24,7,FALSE)=" ",0,VLOOKUP($B21,'JR-Team Roping-Header'!$B$5:$N$24,7,FALSE)),0)+IFERROR(IF(VLOOKUP($B21,'JR-Team Roping-Heeler'!$B$5:$N$24,7,FALSE)=" ",0,VLOOKUP($B21,'JR-Team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 G-Breakaway'!$B$5:$AI$24,26,FALSE)=" ",0,VLOOKUP($B21,'JR G-Breakaway'!$B$5:$AI$24,26,FALSE)),0)+IFERROR(IF(VLOOKUP($B21,'JR G-Barrels'!$B$5:$AI$24,26,FALSE)=" ",0,VLOOKUP($B21,'JR G-Barrels'!$B$5:$AI$24,26,FALSE)),0)+IFERROR(IF(VLOOKUP($B21,'JR G-Poles'!$B$5:$AI$24,26,FALSE)=" ",0,VLOOKUP($B21,'JR G-Poles'!$B$5:$AI$24,26,FALSE)),0)+IFERROR(IF(VLOOKUP($B21,'JR G-Goats'!$B$5:$AI$24,26,FALSE)=" ",0,VLOOKUP($B21,'JR G-Goats'!$B$5:$AI$24,26,FALSE)),0)+IFERROR(IF(VLOOKUP($B21,'JR-Team Roping-Header'!$B$5:$N$24,8,FALSE)=" ",0,VLOOKUP($B21,'JR-Team Roping-Header'!$B$5:$N$24,8,FALSE)),0)+IFERROR(IF(VLOOKUP($B21,'JR-Team Roping-Heeler'!$B$5:$N$24,8,FALSE)=" ",0,VLOOKUP($B21,'JR-Team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 G-Breakaway'!$B$5:$AI$24,30,FALSE)=" ",0,VLOOKUP($B21,'JR G-Breakaway'!$B$5:$AI$24,30,FALSE)),0)+IFERROR(IF(VLOOKUP($B21,'JR G-Barrels'!$B$5:$AI$24,30,FALSE)=" ",0,VLOOKUP($B21,'JR G-Barrels'!$B$5:$AI$24,30,FALSE)),0)+IFERROR(IF(VLOOKUP($B21,'JR G-Poles'!$B$5:$AI$24,30,FALSE)=" ",0,VLOOKUP($B21,'JR G-Poles'!$B$5:$AI$24,30,FALSE)),0)+IFERROR(IF(VLOOKUP($B21,'JR G-Goats'!$B$5:$AI$24,30,FALSE)=" ",0,VLOOKUP($B21,'JR G-Goats'!$B$5:$AI$24,30,FALSE)),0)+IFERROR(IF(VLOOKUP($B21,'JR-Team Roping-Header'!$B$5:$N$24,9,FALSE)=" ",0,VLOOKUP($B21,'JR-Team Roping-Header'!$B$5:$N$24,9,FALSE)),0)+IFERROR(IF(VLOOKUP($B21,'JR-Team Roping-Heeler'!$B$5:$N$24,9,FALSE)=" ",0,VLOOKUP($B21,'JR-Team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 G-Breakaway'!$B$5:$AI$24,34,FALSE)=" ",0,VLOOKUP($B21,'JR G-Breakaway'!$B$5:$AI$24,34,FALSE)),0)+IFERROR(IF(VLOOKUP($B21,'JR G-Barrels'!$B$5:$AI$24,34,FALSE)=" ",0,VLOOKUP($B21,'JR G-Barrels'!$B$5:$AI$24,34,FALSE)),0)+IFERROR(IF(VLOOKUP($B21,'JR G-Poles'!$B$5:$AI$24,34,FALSE)=" ",0,VLOOKUP($B21,'JR G-Poles'!$B$5:$AI$24,34,FALSE)),0)+IFERROR(IF(VLOOKUP($B21,'JR G-Goats'!$B$5:$AI$24,34,FALSE)=" ",0,VLOOKUP($B21,'JR G-Goats'!$B$5:$AI$24,34,FALSE)),0)+IFERROR(IF(VLOOKUP($B21,'JR-Team Roping-Header'!$B$5:$N$24,10,FALSE)=" ",0,VLOOKUP($B21,'JR-Team Roping-Header'!$B$5:$N$24,10,FALSE)),0)+IFERROR(IF(VLOOKUP($B21,'JR-Team Roping-Heeler'!$B$5:$N$24,10,FALSE)=" ",0,VLOOKUP($B21,'JR-Team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1" t="s">
        <v>173</v>
      </c>
      <c r="C22" s="120">
        <f>IFERROR(IF(VLOOKUP($B22,'JR G-Breakaway'!$B$5:$AI$24,6,FALSE)=" ",0,VLOOKUP($B22,'JR G-Breakaway'!$B$5:$AI$24,6,FALSE)),0)+IFERROR(IF(VLOOKUP($B22,'JR G-Barrels'!$B$5:$AI$24,6,FALSE)=" ",0,VLOOKUP($B22,'JR G-Barrels'!$B$5:$AI$24,6,FALSE)),0)+IFERROR(IF(VLOOKUP($B22,'JR G-Poles'!$B$5:$AI$24,6,FALSE)=" ",0,VLOOKUP($B22,'JR G-Poles'!$B$5:$AI$24,6,FALSE)),0)+IFERROR(IF(VLOOKUP($B22,'JR G-Goats'!$B$5:$AI$24,6,FALSE)=" ",0,VLOOKUP($B22,'JR G-Goats'!$B$5:$AI$24,6,FALSE)),0)+IFERROR(IF(VLOOKUP($B22,'JR-Team Roping-Header'!$B$5:$N$24,3,FALSE)=" ",0,VLOOKUP($B22,'JR-Team Roping-Header'!$B$5:$N$24,3,FALSE)),0)+IFERROR(IF(VLOOKUP($B22,'JR-Team Roping-Heeler'!$B$5:$N$24,3,FALSE)=" ",0,VLOOKUP($B22,'JR-Team Roping-Heeler'!$B$5:$N$24,3,FALSE)),0)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IFERROR(IF(VLOOKUP($B22,'JR G-Breakaway'!$B$5:$AI$24,10,FALSE)=" ",0,VLOOKUP($B22,'JR G-Breakaway'!$B$5:$AI$24,10,FALSE)),0)+IFERROR(IF(VLOOKUP($B22,'JR G-Barrels'!$B$5:$AI$24,10,FALSE)=" ",0,VLOOKUP($B22,'JR G-Barrels'!$B$5:$AI$24,10,FALSE)),0)+IFERROR(IF(VLOOKUP($B22,'JR G-Poles'!$B$5:$AI$24,10,FALSE)=" ",0,VLOOKUP($B22,'JR G-Poles'!$B$5:$AI$24,10,FALSE)),0)+IFERROR(IF(VLOOKUP($B22,'JR G-Goats'!$B$5:$AI$24,10,FALSE)=" ",0,VLOOKUP($B22,'JR G-Goats'!$B$5:$AI$24,10,FALSE)),0)+IFERROR(IF(VLOOKUP($B22,'JR-Team Roping-Header'!$B$5:$N$24,4,FALSE)=" ",0,VLOOKUP($B22,'JR-Team Roping-Header'!$B$5:$N$24,4,FALSE)),0)+IFERROR(IF(VLOOKUP($B22,'JR-Team Roping-Heeler'!$B$5:$N$24,4,FALSE)=" ",0,VLOOKUP($B22,'JR-Team Roping-Heeler'!$B$5:$N$24,4,FALSE)),0)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IFERROR(IF(VLOOKUP($B22,'JR G-Breakaway'!$B$5:$AI$24,14,FALSE)=" ",0,VLOOKUP($B22,'JR G-Breakaway'!$B$5:$AI$24,14,FALSE)),0)+IFERROR(IF(VLOOKUP($B22,'JR G-Barrels'!$B$5:$AI$24,14,FALSE)=" ",0,VLOOKUP($B22,'JR G-Barrels'!$B$5:$AI$24,14,FALSE)),0)+IFERROR(IF(VLOOKUP($B22,'JR G-Poles'!$B$5:$AI$24,14,FALSE)=" ",0,VLOOKUP($B22,'JR G-Poles'!$B$5:$AI$24,14,FALSE)),0)+IFERROR(IF(VLOOKUP($B22,'JR G-Goats'!$B$5:$AI$24,14,FALSE)=" ",0,VLOOKUP($B22,'JR G-Goats'!$B$5:$AI$24,14,FALSE)),0)+IFERROR(IF(VLOOKUP($B22,'JR-Team Roping-Header'!$B$5:$N$24,5,FALSE)=" ",0,VLOOKUP($B22,'JR-Team Roping-Header'!$B$5:$N$24,5,FALSE)),0)+IFERROR(IF(VLOOKUP($B22,'JR-Team Roping-Heeler'!$B$5:$N$24,5,FALSE)=" ",0,VLOOKUP($B22,'JR-Team Roping-Heeler'!$B$5:$N$24,5,FALSE)),0)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IFERROR(IF(VLOOKUP($B22,'JR G-Breakaway'!$B$5:$AI$24,18,FALSE)=" ",0,VLOOKUP($B22,'JR G-Breakaway'!$B$5:$AI$24,18,FALSE)),0)+IFERROR(IF(VLOOKUP($B22,'JR G-Barrels'!$B$5:$AI$24,18,FALSE)=" ",0,VLOOKUP($B22,'JR G-Barrels'!$B$5:$AI$24,18,FALSE)),0)+IFERROR(IF(VLOOKUP($B22,'JR G-Poles'!$B$5:$AI$24,18,FALSE)=" ",0,VLOOKUP($B22,'JR G-Poles'!$B$5:$AI$24,18,FALSE)),0)+IFERROR(IF(VLOOKUP($B22,'JR G-Goats'!$B$5:$AI$24,18,FALSE)=" ",0,VLOOKUP($B22,'JR G-Goats'!$B$5:$AI$24,18,FALSE)),0)+IFERROR(IF(VLOOKUP($B22,'JR-Team Roping-Header'!$B$5:$N$24,6,FALSE)=" ",0,VLOOKUP($B22,'JR-Team Roping-Header'!$B$5:$N$24,6,FALSE)),0)+IFERROR(IF(VLOOKUP($B22,'JR-Team Roping-Heeler'!$B$5:$N$24,6,FALSE)=" ",0,VLOOKUP($B22,'JR-Team Roping-Heeler'!$B$5:$N$24,6,FALSE)),0)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IFERROR(IF(VLOOKUP($B22,'JR G-Breakaway'!$B$5:$AI$24,22,FALSE)=" ",0,VLOOKUP($B22,'JR G-Breakaway'!$B$5:$AI$24,22,FALSE)),0)+IFERROR(IF(VLOOKUP($B22,'JR G-Barrels'!$B$5:$AI$24,22,FALSE)=" ",0,VLOOKUP($B22,'JR G-Barrels'!$B$5:$AI$24,22,FALSE)),0)+IFERROR(IF(VLOOKUP($B22,'JR G-Poles'!$B$5:$AI$24,22,FALSE)=" ",0,VLOOKUP($B22,'JR G-Poles'!$B$5:$AI$24,22,FALSE)),0)+IFERROR(IF(VLOOKUP($B22,'JR G-Goats'!$B$5:$AI$24,22,FALSE)=" ",0,VLOOKUP($B22,'JR G-Goats'!$B$5:$AI$24,22,FALSE)),0)+IFERROR(IF(VLOOKUP($B22,'JR-Team Roping-Header'!$B$5:$N$24,7,FALSE)=" ",0,VLOOKUP($B22,'JR-Team Roping-Header'!$B$5:$N$24,7,FALSE)),0)+IFERROR(IF(VLOOKUP($B22,'JR-Team Roping-Heeler'!$B$5:$N$24,7,FALSE)=" ",0,VLOOKUP($B22,'JR-Team Roping-Heeler'!$B$5:$N$24,7,FALSE)),0)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IFERROR(IF(VLOOKUP($B22,'JR G-Breakaway'!$B$5:$AI$24,26,FALSE)=" ",0,VLOOKUP($B22,'JR G-Breakaway'!$B$5:$AI$24,26,FALSE)),0)+IFERROR(IF(VLOOKUP($B22,'JR G-Barrels'!$B$5:$AI$24,26,FALSE)=" ",0,VLOOKUP($B22,'JR G-Barrels'!$B$5:$AI$24,26,FALSE)),0)+IFERROR(IF(VLOOKUP($B22,'JR G-Poles'!$B$5:$AI$24,26,FALSE)=" ",0,VLOOKUP($B22,'JR G-Poles'!$B$5:$AI$24,26,FALSE)),0)+IFERROR(IF(VLOOKUP($B22,'JR G-Goats'!$B$5:$AI$24,26,FALSE)=" ",0,VLOOKUP($B22,'JR G-Goats'!$B$5:$AI$24,26,FALSE)),0)+IFERROR(IF(VLOOKUP($B22,'JR-Team Roping-Header'!$B$5:$N$24,8,FALSE)=" ",0,VLOOKUP($B22,'JR-Team Roping-Header'!$B$5:$N$24,8,FALSE)),0)+IFERROR(IF(VLOOKUP($B22,'JR-Team Roping-Heeler'!$B$5:$N$24,8,FALSE)=" ",0,VLOOKUP($B22,'JR-Team Roping-Heeler'!$B$5:$N$24,8,FALSE)),0)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IFERROR(IF(VLOOKUP($B22,'JR G-Breakaway'!$B$5:$AI$24,30,FALSE)=" ",0,VLOOKUP($B22,'JR G-Breakaway'!$B$5:$AI$24,30,FALSE)),0)+IFERROR(IF(VLOOKUP($B22,'JR G-Barrels'!$B$5:$AI$24,30,FALSE)=" ",0,VLOOKUP($B22,'JR G-Barrels'!$B$5:$AI$24,30,FALSE)),0)+IFERROR(IF(VLOOKUP($B22,'JR G-Poles'!$B$5:$AI$24,30,FALSE)=" ",0,VLOOKUP($B22,'JR G-Poles'!$B$5:$AI$24,30,FALSE)),0)+IFERROR(IF(VLOOKUP($B22,'JR G-Goats'!$B$5:$AI$24,30,FALSE)=" ",0,VLOOKUP($B22,'JR G-Goats'!$B$5:$AI$24,30,FALSE)),0)+IFERROR(IF(VLOOKUP($B22,'JR-Team Roping-Header'!$B$5:$N$24,9,FALSE)=" ",0,VLOOKUP($B22,'JR-Team Roping-Header'!$B$5:$N$24,9,FALSE)),0)+IFERROR(IF(VLOOKUP($B22,'JR-Team Roping-Heeler'!$B$5:$N$24,9,FALSE)=" ",0,VLOOKUP($B22,'JR-Team Roping-Heeler'!$B$5:$N$24,9,FALSE)),0)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IFERROR(IF(VLOOKUP($B22,'JR G-Breakaway'!$B$5:$AI$24,34,FALSE)=" ",0,VLOOKUP($B22,'JR G-Breakaway'!$B$5:$AI$24,34,FALSE)),0)+IFERROR(IF(VLOOKUP($B22,'JR G-Barrels'!$B$5:$AI$24,34,FALSE)=" ",0,VLOOKUP($B22,'JR G-Barrels'!$B$5:$AI$24,34,FALSE)),0)+IFERROR(IF(VLOOKUP($B22,'JR G-Poles'!$B$5:$AI$24,34,FALSE)=" ",0,VLOOKUP($B22,'JR G-Poles'!$B$5:$AI$24,34,FALSE)),0)+IFERROR(IF(VLOOKUP($B22,'JR G-Goats'!$B$5:$AI$24,34,FALSE)=" ",0,VLOOKUP($B22,'JR G-Goats'!$B$5:$AI$24,34,FALSE)),0)+IFERROR(IF(VLOOKUP($B22,'JR-Team Roping-Header'!$B$5:$N$24,10,FALSE)=" ",0,VLOOKUP($B22,'JR-Team Roping-Header'!$B$5:$N$24,10,FALSE)),0)+IFERROR(IF(VLOOKUP($B22,'JR-Team Roping-Heeler'!$B$5:$N$24,10,FALSE)=" ",0,VLOOKUP($B22,'JR-Team Roping-Heeler'!$B$5:$N$24,10,FALSE)),0)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41" t="s">
        <v>231</v>
      </c>
      <c r="C23" s="120">
        <f>IFERROR(IF(VLOOKUP($B23,'JR G-Breakaway'!$B$5:$AI$24,6,FALSE)=" ",0,VLOOKUP($B23,'JR G-Breakaway'!$B$5:$AI$24,6,FALSE)),0)+IFERROR(IF(VLOOKUP($B23,'JR G-Barrels'!$B$5:$AI$24,6,FALSE)=" ",0,VLOOKUP($B23,'JR G-Barrels'!$B$5:$AI$24,6,FALSE)),0)+IFERROR(IF(VLOOKUP($B23,'JR G-Poles'!$B$5:$AI$24,6,FALSE)=" ",0,VLOOKUP($B23,'JR G-Poles'!$B$5:$AI$24,6,FALSE)),0)+IFERROR(IF(VLOOKUP($B23,'JR G-Goats'!$B$5:$AI$24,6,FALSE)=" ",0,VLOOKUP($B23,'JR G-Goats'!$B$5:$AI$24,6,FALSE)),0)+IFERROR(IF(VLOOKUP($B23,'JR-Team Roping-Header'!$B$5:$N$24,3,FALSE)=" ",0,VLOOKUP($B23,'JR-Team Roping-Header'!$B$5:$N$24,3,FALSE)),0)+IFERROR(IF(VLOOKUP($B23,'JR-Team Roping-Heeler'!$B$5:$N$24,3,FALSE)=" ",0,VLOOKUP($B23,'JR-Team Roping-Heeler'!$B$5:$N$24,3,FALSE)),0)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IFERROR(IF(VLOOKUP($B23,'JR G-Breakaway'!$B$5:$AI$24,10,FALSE)=" ",0,VLOOKUP($B23,'JR G-Breakaway'!$B$5:$AI$24,10,FALSE)),0)+IFERROR(IF(VLOOKUP($B23,'JR G-Barrels'!$B$5:$AI$24,10,FALSE)=" ",0,VLOOKUP($B23,'JR G-Barrels'!$B$5:$AI$24,10,FALSE)),0)+IFERROR(IF(VLOOKUP($B23,'JR G-Poles'!$B$5:$AI$24,10,FALSE)=" ",0,VLOOKUP($B23,'JR G-Poles'!$B$5:$AI$24,10,FALSE)),0)+IFERROR(IF(VLOOKUP($B23,'JR G-Goats'!$B$5:$AI$24,10,FALSE)=" ",0,VLOOKUP($B23,'JR G-Goats'!$B$5:$AI$24,10,FALSE)),0)+IFERROR(IF(VLOOKUP($B23,'JR-Team Roping-Header'!$B$5:$N$24,4,FALSE)=" ",0,VLOOKUP($B23,'JR-Team Roping-Header'!$B$5:$N$24,4,FALSE)),0)+IFERROR(IF(VLOOKUP($B23,'JR-Team Roping-Heeler'!$B$5:$N$24,4,FALSE)=" ",0,VLOOKUP($B23,'JR-Team Roping-Heeler'!$B$5:$N$24,4,FALSE)),0)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IFERROR(IF(VLOOKUP($B23,'JR G-Breakaway'!$B$5:$AI$24,14,FALSE)=" ",0,VLOOKUP($B23,'JR G-Breakaway'!$B$5:$AI$24,14,FALSE)),0)+IFERROR(IF(VLOOKUP($B23,'JR G-Barrels'!$B$5:$AI$24,14,FALSE)=" ",0,VLOOKUP($B23,'JR G-Barrels'!$B$5:$AI$24,14,FALSE)),0)+IFERROR(IF(VLOOKUP($B23,'JR G-Poles'!$B$5:$AI$24,14,FALSE)=" ",0,VLOOKUP($B23,'JR G-Poles'!$B$5:$AI$24,14,FALSE)),0)+IFERROR(IF(VLOOKUP($B23,'JR G-Goats'!$B$5:$AI$24,14,FALSE)=" ",0,VLOOKUP($B23,'JR G-Goats'!$B$5:$AI$24,14,FALSE)),0)+IFERROR(IF(VLOOKUP($B23,'JR-Team Roping-Header'!$B$5:$N$24,5,FALSE)=" ",0,VLOOKUP($B23,'JR-Team Roping-Header'!$B$5:$N$24,5,FALSE)),0)+IFERROR(IF(VLOOKUP($B23,'JR-Team Roping-Heeler'!$B$5:$N$24,5,FALSE)=" ",0,VLOOKUP($B23,'JR-Team Roping-Heeler'!$B$5:$N$24,5,FALSE)),0)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IFERROR(IF(VLOOKUP($B23,'JR G-Breakaway'!$B$5:$AI$24,18,FALSE)=" ",0,VLOOKUP($B23,'JR G-Breakaway'!$B$5:$AI$24,18,FALSE)),0)+IFERROR(IF(VLOOKUP($B23,'JR G-Barrels'!$B$5:$AI$24,18,FALSE)=" ",0,VLOOKUP($B23,'JR G-Barrels'!$B$5:$AI$24,18,FALSE)),0)+IFERROR(IF(VLOOKUP($B23,'JR G-Poles'!$B$5:$AI$24,18,FALSE)=" ",0,VLOOKUP($B23,'JR G-Poles'!$B$5:$AI$24,18,FALSE)),0)+IFERROR(IF(VLOOKUP($B23,'JR G-Goats'!$B$5:$AI$24,18,FALSE)=" ",0,VLOOKUP($B23,'JR G-Goats'!$B$5:$AI$24,18,FALSE)),0)+IFERROR(IF(VLOOKUP($B23,'JR-Team Roping-Header'!$B$5:$N$24,6,FALSE)=" ",0,VLOOKUP($B23,'JR-Team Roping-Header'!$B$5:$N$24,6,FALSE)),0)+IFERROR(IF(VLOOKUP($B23,'JR-Team Roping-Heeler'!$B$5:$N$24,6,FALSE)=" ",0,VLOOKUP($B23,'JR-Team Roping-Heeler'!$B$5:$N$24,6,FALSE)),0)</f>
        <v>0</v>
      </c>
      <c r="M23" s="95" t="str">
        <f t="shared" si="6"/>
        <v xml:space="preserve"> </v>
      </c>
      <c r="N23" s="122" t="str">
        <f t="shared" si="7"/>
        <v xml:space="preserve"> </v>
      </c>
      <c r="O23" s="121">
        <f>IFERROR(IF(VLOOKUP($B23,'JR G-Breakaway'!$B$5:$AI$24,22,FALSE)=" ",0,VLOOKUP($B23,'JR G-Breakaway'!$B$5:$AI$24,22,FALSE)),0)+IFERROR(IF(VLOOKUP($B23,'JR G-Barrels'!$B$5:$AI$24,22,FALSE)=" ",0,VLOOKUP($B23,'JR G-Barrels'!$B$5:$AI$24,22,FALSE)),0)+IFERROR(IF(VLOOKUP($B23,'JR G-Poles'!$B$5:$AI$24,22,FALSE)=" ",0,VLOOKUP($B23,'JR G-Poles'!$B$5:$AI$24,22,FALSE)),0)+IFERROR(IF(VLOOKUP($B23,'JR G-Goats'!$B$5:$AI$24,22,FALSE)=" ",0,VLOOKUP($B23,'JR G-Goats'!$B$5:$AI$24,22,FALSE)),0)+IFERROR(IF(VLOOKUP($B23,'JR-Team Roping-Header'!$B$5:$N$24,7,FALSE)=" ",0,VLOOKUP($B23,'JR-Team Roping-Header'!$B$5:$N$24,7,FALSE)),0)+IFERROR(IF(VLOOKUP($B23,'JR-Team Roping-Heeler'!$B$5:$N$24,7,FALSE)=" ",0,VLOOKUP($B23,'JR-Team Roping-Heeler'!$B$5:$N$24,7,FALSE)),0)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IFERROR(IF(VLOOKUP($B23,'JR G-Breakaway'!$B$5:$AI$24,26,FALSE)=" ",0,VLOOKUP($B23,'JR G-Breakaway'!$B$5:$AI$24,26,FALSE)),0)+IFERROR(IF(VLOOKUP($B23,'JR G-Barrels'!$B$5:$AI$24,26,FALSE)=" ",0,VLOOKUP($B23,'JR G-Barrels'!$B$5:$AI$24,26,FALSE)),0)+IFERROR(IF(VLOOKUP($B23,'JR G-Poles'!$B$5:$AI$24,26,FALSE)=" ",0,VLOOKUP($B23,'JR G-Poles'!$B$5:$AI$24,26,FALSE)),0)+IFERROR(IF(VLOOKUP($B23,'JR G-Goats'!$B$5:$AI$24,26,FALSE)=" ",0,VLOOKUP($B23,'JR G-Goats'!$B$5:$AI$24,26,FALSE)),0)+IFERROR(IF(VLOOKUP($B23,'JR-Team Roping-Header'!$B$5:$N$24,8,FALSE)=" ",0,VLOOKUP($B23,'JR-Team Roping-Header'!$B$5:$N$24,8,FALSE)),0)+IFERROR(IF(VLOOKUP($B23,'JR-Team Roping-Heeler'!$B$5:$N$24,8,FALSE)=" ",0,VLOOKUP($B23,'JR-Team Roping-Heeler'!$B$5:$N$24,8,FALSE)),0)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IFERROR(IF(VLOOKUP($B23,'JR G-Breakaway'!$B$5:$AI$24,30,FALSE)=" ",0,VLOOKUP($B23,'JR G-Breakaway'!$B$5:$AI$24,30,FALSE)),0)+IFERROR(IF(VLOOKUP($B23,'JR G-Barrels'!$B$5:$AI$24,30,FALSE)=" ",0,VLOOKUP($B23,'JR G-Barrels'!$B$5:$AI$24,30,FALSE)),0)+IFERROR(IF(VLOOKUP($B23,'JR G-Poles'!$B$5:$AI$24,30,FALSE)=" ",0,VLOOKUP($B23,'JR G-Poles'!$B$5:$AI$24,30,FALSE)),0)+IFERROR(IF(VLOOKUP($B23,'JR G-Goats'!$B$5:$AI$24,30,FALSE)=" ",0,VLOOKUP($B23,'JR G-Goats'!$B$5:$AI$24,30,FALSE)),0)+IFERROR(IF(VLOOKUP($B23,'JR-Team Roping-Header'!$B$5:$N$24,9,FALSE)=" ",0,VLOOKUP($B23,'JR-Team Roping-Header'!$B$5:$N$24,9,FALSE)),0)+IFERROR(IF(VLOOKUP($B23,'JR-Team Roping-Heeler'!$B$5:$N$24,9,FALSE)=" ",0,VLOOKUP($B23,'JR-Team Roping-Heeler'!$B$5:$N$24,9,FALSE)),0)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IFERROR(IF(VLOOKUP($B23,'JR G-Breakaway'!$B$5:$AI$24,34,FALSE)=" ",0,VLOOKUP($B23,'JR G-Breakaway'!$B$5:$AI$24,34,FALSE)),0)+IFERROR(IF(VLOOKUP($B23,'JR G-Barrels'!$B$5:$AI$24,34,FALSE)=" ",0,VLOOKUP($B23,'JR G-Barrels'!$B$5:$AI$24,34,FALSE)),0)+IFERROR(IF(VLOOKUP($B23,'JR G-Poles'!$B$5:$AI$24,34,FALSE)=" ",0,VLOOKUP($B23,'JR G-Poles'!$B$5:$AI$24,34,FALSE)),0)+IFERROR(IF(VLOOKUP($B23,'JR G-Goats'!$B$5:$AI$24,34,FALSE)=" ",0,VLOOKUP($B23,'JR G-Goats'!$B$5:$AI$24,34,FALSE)),0)+IFERROR(IF(VLOOKUP($B23,'JR-Team Roping-Header'!$B$5:$N$24,10,FALSE)=" ",0,VLOOKUP($B23,'JR-Team Roping-Header'!$B$5:$N$24,10,FALSE)),0)+IFERROR(IF(VLOOKUP($B23,'JR-Team Roping-Heeler'!$B$5:$N$24,10,FALSE)=" ",0,VLOOKUP($B23,'JR-Team Roping-Heeler'!$B$5:$N$24,10,FALSE)),0)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3" s="95" t="str">
        <f t="shared" si="16"/>
        <v xml:space="preserve"> </v>
      </c>
      <c r="AC23" s="122" t="str">
        <f t="shared" si="17"/>
        <v xml:space="preserve"> </v>
      </c>
    </row>
    <row r="24" spans="2:29" ht="14.5" thickBot="1" x14ac:dyDescent="0.35">
      <c r="B24" s="169"/>
      <c r="C24" s="123">
        <f>IFERROR(IF(VLOOKUP($B24,'JR G-Breakaway'!$B$5:$AI$24,6,FALSE)=" ",0,VLOOKUP($B24,'JR G-Breakaway'!$B$5:$AI$24,6,FALSE)),0)+IFERROR(IF(VLOOKUP($B24,'JR G-Barrels'!$B$5:$AI$24,6,FALSE)=" ",0,VLOOKUP($B24,'JR G-Barrels'!$B$5:$AI$24,6,FALSE)),0)+IFERROR(IF(VLOOKUP($B24,'JR G-Poles'!$B$5:$AI$24,6,FALSE)=" ",0,VLOOKUP($B24,'JR G-Poles'!$B$5:$AI$24,6,FALSE)),0)+IFERROR(IF(VLOOKUP($B24,'JR G-Goats'!$B$5:$AI$24,6,FALSE)=" ",0,VLOOKUP($B24,'JR G-Goats'!$B$5:$AI$24,6,FALSE)),0)+IFERROR(IF(VLOOKUP($B24,'JR-Team Roping-Header'!$B$5:$N$24,3,FALSE)=" ",0,VLOOKUP($B24,'JR-Team Roping-Header'!$B$5:$N$24,3,FALSE)),0)+IFERROR(IF(VLOOKUP($B24,'JR-Team Roping-Heeler'!$B$5:$N$24,3,FALSE)=" ",0,VLOOKUP($B24,'JR-Team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 G-Breakaway'!$B$5:$AI$24,10,FALSE)=" ",0,VLOOKUP($B24,'JR G-Breakaway'!$B$5:$AI$24,10,FALSE)),0)+IFERROR(IF(VLOOKUP($B24,'JR G-Barrels'!$B$5:$AI$24,10,FALSE)=" ",0,VLOOKUP($B24,'JR G-Barrels'!$B$5:$AI$24,10,FALSE)),0)+IFERROR(IF(VLOOKUP($B24,'JR G-Poles'!$B$5:$AI$24,10,FALSE)=" ",0,VLOOKUP($B24,'JR G-Poles'!$B$5:$AI$24,10,FALSE)),0)+IFERROR(IF(VLOOKUP($B24,'JR G-Goats'!$B$5:$AI$24,10,FALSE)=" ",0,VLOOKUP($B24,'JR G-Goats'!$B$5:$AI$24,10,FALSE)),0)+IFERROR(IF(VLOOKUP($B24,'JR-Team Roping-Header'!$B$5:$N$24,4,FALSE)=" ",0,VLOOKUP($B24,'JR-Team Roping-Header'!$B$5:$N$24,4,FALSE)),0)+IFERROR(IF(VLOOKUP($B24,'JR-Team Roping-Heeler'!$B$5:$N$24,4,FALSE)=" ",0,VLOOKUP($B24,'JR-Team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 G-Breakaway'!$B$5:$AI$24,14,FALSE)=" ",0,VLOOKUP($B24,'JR G-Breakaway'!$B$5:$AI$24,14,FALSE)),0)+IFERROR(IF(VLOOKUP($B24,'JR G-Barrels'!$B$5:$AI$24,14,FALSE)=" ",0,VLOOKUP($B24,'JR G-Barrels'!$B$5:$AI$24,14,FALSE)),0)+IFERROR(IF(VLOOKUP($B24,'JR G-Poles'!$B$5:$AI$24,14,FALSE)=" ",0,VLOOKUP($B24,'JR G-Poles'!$B$5:$AI$24,14,FALSE)),0)+IFERROR(IF(VLOOKUP($B24,'JR G-Goats'!$B$5:$AI$24,14,FALSE)=" ",0,VLOOKUP($B24,'JR G-Goats'!$B$5:$AI$24,14,FALSE)),0)+IFERROR(IF(VLOOKUP($B24,'JR-Team Roping-Header'!$B$5:$N$24,5,FALSE)=" ",0,VLOOKUP($B24,'JR-Team Roping-Header'!$B$5:$N$24,5,FALSE)),0)+IFERROR(IF(VLOOKUP($B24,'JR-Team Roping-Heeler'!$B$5:$N$24,5,FALSE)=" ",0,VLOOKUP($B24,'JR-Team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 G-Breakaway'!$B$5:$AI$24,18,FALSE)=" ",0,VLOOKUP($B24,'JR G-Breakaway'!$B$5:$AI$24,18,FALSE)),0)+IFERROR(IF(VLOOKUP($B24,'JR G-Barrels'!$B$5:$AI$24,18,FALSE)=" ",0,VLOOKUP($B24,'JR G-Barrels'!$B$5:$AI$24,18,FALSE)),0)+IFERROR(IF(VLOOKUP($B24,'JR G-Poles'!$B$5:$AI$24,18,FALSE)=" ",0,VLOOKUP($B24,'JR G-Poles'!$B$5:$AI$24,18,FALSE)),0)+IFERROR(IF(VLOOKUP($B24,'JR G-Goats'!$B$5:$AI$24,18,FALSE)=" ",0,VLOOKUP($B24,'JR G-Goats'!$B$5:$AI$24,18,FALSE)),0)+IFERROR(IF(VLOOKUP($B24,'JR-Team Roping-Header'!$B$5:$N$24,6,FALSE)=" ",0,VLOOKUP($B24,'JR-Team Roping-Header'!$B$5:$N$24,6,FALSE)),0)+IFERROR(IF(VLOOKUP($B24,'JR-Team Roping-Heeler'!$B$5:$N$24,6,FALSE)=" ",0,VLOOKUP($B24,'JR-Team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 G-Breakaway'!$B$5:$AI$24,22,FALSE)=" ",0,VLOOKUP($B24,'JR G-Breakaway'!$B$5:$AI$24,22,FALSE)),0)+IFERROR(IF(VLOOKUP($B24,'JR G-Barrels'!$B$5:$AI$24,22,FALSE)=" ",0,VLOOKUP($B24,'JR G-Barrels'!$B$5:$AI$24,22,FALSE)),0)+IFERROR(IF(VLOOKUP($B24,'JR G-Poles'!$B$5:$AI$24,22,FALSE)=" ",0,VLOOKUP($B24,'JR G-Poles'!$B$5:$AI$24,22,FALSE)),0)+IFERROR(IF(VLOOKUP($B24,'JR G-Goats'!$B$5:$AI$24,22,FALSE)=" ",0,VLOOKUP($B24,'JR G-Goats'!$B$5:$AI$24,22,FALSE)),0)+IFERROR(IF(VLOOKUP($B24,'JR-Team Roping-Header'!$B$5:$N$24,7,FALSE)=" ",0,VLOOKUP($B24,'JR-Team Roping-Header'!$B$5:$N$24,7,FALSE)),0)+IFERROR(IF(VLOOKUP($B24,'JR-Team Roping-Heeler'!$B$5:$N$24,7,FALSE)=" ",0,VLOOKUP($B24,'JR-Team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 G-Breakaway'!$B$5:$AI$24,26,FALSE)=" ",0,VLOOKUP($B24,'JR G-Breakaway'!$B$5:$AI$24,26,FALSE)),0)+IFERROR(IF(VLOOKUP($B24,'JR G-Barrels'!$B$5:$AI$24,26,FALSE)=" ",0,VLOOKUP($B24,'JR G-Barrels'!$B$5:$AI$24,26,FALSE)),0)+IFERROR(IF(VLOOKUP($B24,'JR G-Poles'!$B$5:$AI$24,26,FALSE)=" ",0,VLOOKUP($B24,'JR G-Poles'!$B$5:$AI$24,26,FALSE)),0)+IFERROR(IF(VLOOKUP($B24,'JR G-Goats'!$B$5:$AI$24,26,FALSE)=" ",0,VLOOKUP($B24,'JR G-Goats'!$B$5:$AI$24,26,FALSE)),0)+IFERROR(IF(VLOOKUP($B24,'JR-Team Roping-Header'!$B$5:$N$24,8,FALSE)=" ",0,VLOOKUP($B24,'JR-Team Roping-Header'!$B$5:$N$24,8,FALSE)),0)+IFERROR(IF(VLOOKUP($B24,'JR-Team Roping-Heeler'!$B$5:$N$24,8,FALSE)=" ",0,VLOOKUP($B24,'JR-Team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 G-Breakaway'!$B$5:$AI$24,30,FALSE)=" ",0,VLOOKUP($B24,'JR G-Breakaway'!$B$5:$AI$24,30,FALSE)),0)+IFERROR(IF(VLOOKUP($B24,'JR G-Barrels'!$B$5:$AI$24,30,FALSE)=" ",0,VLOOKUP($B24,'JR G-Barrels'!$B$5:$AI$24,30,FALSE)),0)+IFERROR(IF(VLOOKUP($B24,'JR G-Poles'!$B$5:$AI$24,30,FALSE)=" ",0,VLOOKUP($B24,'JR G-Poles'!$B$5:$AI$24,30,FALSE)),0)+IFERROR(IF(VLOOKUP($B24,'JR G-Goats'!$B$5:$AI$24,30,FALSE)=" ",0,VLOOKUP($B24,'JR G-Goats'!$B$5:$AI$24,30,FALSE)),0)+IFERROR(IF(VLOOKUP($B24,'JR-Team Roping-Header'!$B$5:$N$24,9,FALSE)=" ",0,VLOOKUP($B24,'JR-Team Roping-Header'!$B$5:$N$24,9,FALSE)),0)+IFERROR(IF(VLOOKUP($B24,'JR-Team Roping-Heeler'!$B$5:$N$24,9,FALSE)=" ",0,VLOOKUP($B24,'JR-Team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 G-Breakaway'!$B$5:$AI$24,34,FALSE)=" ",0,VLOOKUP($B24,'JR G-Breakaway'!$B$5:$AI$24,34,FALSE)),0)+IFERROR(IF(VLOOKUP($B24,'JR G-Barrels'!$B$5:$AI$24,34,FALSE)=" ",0,VLOOKUP($B24,'JR G-Barrels'!$B$5:$AI$24,34,FALSE)),0)+IFERROR(IF(VLOOKUP($B24,'JR G-Poles'!$B$5:$AI$24,34,FALSE)=" ",0,VLOOKUP($B24,'JR G-Poles'!$B$5:$AI$24,34,FALSE)),0)+IFERROR(IF(VLOOKUP($B24,'JR G-Goats'!$B$5:$AI$24,34,FALSE)=" ",0,VLOOKUP($B24,'JR G-Goats'!$B$5:$AI$24,34,FALSE)),0)+IFERROR(IF(VLOOKUP($B24,'JR-Team Roping-Header'!$B$5:$N$24,10,FALSE)=" ",0,VLOOKUP($B24,'JR-Team Roping-Header'!$B$5:$N$24,10,FALSE)),0)+IFERROR(IF(VLOOKUP($B24,'JR-Team Roping-Heeler'!$B$5:$N$24,10,FALSE)=" ",0,VLOOKUP($B24,'JR-Team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q7WCdZeXjHUzaMbasrr0sqH42mAvRXAegZv9F9qdg275qL1KT79+0r1UNqowNDOydoVpDb5osGCCEc6oCWkIrw==" saltValue="GcvoW/SElu9kbNVn+NSiF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4">
    <tabColor theme="8" tint="0.59999389629810485"/>
  </sheetPr>
  <dimension ref="B1:AH39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35.7265625" style="62" customWidth="1"/>
    <col min="3" max="3" width="11.7265625" style="56" customWidth="1"/>
    <col min="4" max="4" width="11.7265625" style="57" hidden="1" customWidth="1"/>
    <col min="5" max="5" width="11.7265625" style="57" customWidth="1"/>
    <col min="6" max="6" width="11.7265625" style="58" customWidth="1"/>
    <col min="7" max="7" width="11.7265625" style="59" customWidth="1"/>
    <col min="8" max="8" width="11.7265625" style="57" hidden="1" customWidth="1"/>
    <col min="9" max="9" width="11.7265625" style="57" customWidth="1"/>
    <col min="10" max="10" width="11.7265625" style="60" customWidth="1"/>
    <col min="11" max="11" width="12" style="59" customWidth="1"/>
    <col min="12" max="12" width="11.7265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7265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7265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7265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7265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796875" style="62"/>
  </cols>
  <sheetData>
    <row r="1" spans="2:34" ht="18.5" thickBot="1" x14ac:dyDescent="0.45">
      <c r="B1" s="54"/>
    </row>
    <row r="2" spans="2:34" s="64" customFormat="1" ht="18" x14ac:dyDescent="0.4">
      <c r="B2" s="127" t="s">
        <v>155</v>
      </c>
      <c r="C2" s="177">
        <v>43954</v>
      </c>
      <c r="D2" s="177"/>
      <c r="E2" s="177"/>
      <c r="F2" s="178"/>
      <c r="G2" s="172">
        <v>43996</v>
      </c>
      <c r="H2" s="173"/>
      <c r="I2" s="173"/>
      <c r="J2" s="174"/>
      <c r="K2" s="172">
        <v>44023</v>
      </c>
      <c r="L2" s="173"/>
      <c r="M2" s="173"/>
      <c r="N2" s="174"/>
      <c r="O2" s="172">
        <v>44024</v>
      </c>
      <c r="P2" s="173"/>
      <c r="Q2" s="173"/>
      <c r="R2" s="174"/>
      <c r="S2" s="172">
        <v>44045</v>
      </c>
      <c r="T2" s="173"/>
      <c r="U2" s="173"/>
      <c r="V2" s="174"/>
      <c r="W2" s="172" t="s">
        <v>203</v>
      </c>
      <c r="X2" s="173"/>
      <c r="Y2" s="173"/>
      <c r="Z2" s="174"/>
      <c r="AA2" s="172" t="s">
        <v>204</v>
      </c>
      <c r="AB2" s="173"/>
      <c r="AC2" s="173"/>
      <c r="AD2" s="174"/>
      <c r="AE2" s="172" t="s">
        <v>3</v>
      </c>
      <c r="AF2" s="173"/>
      <c r="AG2" s="173"/>
      <c r="AH2" s="174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202</v>
      </c>
      <c r="C5" s="85"/>
      <c r="D5" s="86" t="str">
        <f t="shared" ref="D5:D34" si="0">IF(C5=0," ",_xlfn.RANK.AVG(C5,C$5:C$34,1)-COUNTIF(C$5:C$34,0))</f>
        <v xml:space="preserve"> </v>
      </c>
      <c r="E5" s="86" t="str">
        <f t="shared" ref="E5:E34" si="1">IF(C5=0," ",IF((RANK(C5,C$5:C$34,1)-COUNTIF(C$5:C$34,0)&gt;6)," ",RANK(C5,C$5:C$34,1)-COUNTIF(C$5:C$34,0)))</f>
        <v xml:space="preserve"> </v>
      </c>
      <c r="F5" s="87" t="str">
        <f>IF(E5=" "," ",IFERROR(VLOOKUP(D5,Points!$A$2:$B$14,2,FALSE)," "))</f>
        <v xml:space="preserve"> </v>
      </c>
      <c r="G5" s="85">
        <v>7.77</v>
      </c>
      <c r="H5" s="86">
        <f t="shared" ref="H5:H34" si="2">IF(G5=0," ",_xlfn.RANK.AVG(G5,G$5:G$34,1)-COUNTIF(G$5:G$34,0))</f>
        <v>1</v>
      </c>
      <c r="I5" s="86">
        <f t="shared" ref="I5:I34" si="3">IF(G5=0," ",IF((RANK(G5,G$5:G$34,1)-COUNTIF(G$5:G$34,0)&gt;6)," ",RANK(G5,G$5:G$34,1)-COUNTIF(G$5:G$34,0)))</f>
        <v>1</v>
      </c>
      <c r="J5" s="87">
        <f>IF(I5=" "," ",IFERROR(VLOOKUP(H5,Points!$A$2:$B$14,2,FALSE)," "))</f>
        <v>18</v>
      </c>
      <c r="K5" s="85">
        <v>0</v>
      </c>
      <c r="L5" s="86" t="str">
        <f t="shared" ref="L5:L34" si="4">IF(K5=0," ",_xlfn.RANK.AVG(K5,K$5:K$34,1)-COUNTIF(K$5:K$34,0))</f>
        <v xml:space="preserve"> </v>
      </c>
      <c r="M5" s="86" t="str">
        <f t="shared" ref="M5:M34" si="5">IF(K5=0," ",IF((RANK(K5,K$5:K$34,1)-COUNTIF(K$5:K$34,0)&gt;6)," ",RANK(K5,K$5:K$34,1)-COUNTIF(K$5:K$34,0)))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34" si="6">IF(O5=0," ",_xlfn.RANK.AVG(O5,O$5:O$34,1)-COUNTIF(O$5:O$34,0))</f>
        <v xml:space="preserve"> </v>
      </c>
      <c r="Q5" s="86" t="str">
        <f t="shared" ref="Q5:Q34" si="7">IF(O5=0," ",IF((RANK(O5,O$5:O$34,1)-COUNTIF(O$5:O$34,0)&gt;6)," ",RANK(O5,O$5:O$34,1)-COUNTIF(O$5:O$34,0)))</f>
        <v xml:space="preserve"> </v>
      </c>
      <c r="R5" s="87" t="str">
        <f>IF(Q5=" "," ",IFERROR(VLOOKUP(P5,Points!$A$2:$B$14,2,FALSE)," "))</f>
        <v xml:space="preserve"> </v>
      </c>
      <c r="S5" s="85"/>
      <c r="T5" s="86" t="str">
        <f t="shared" ref="T5:T34" si="8">IF(S5=0," ",_xlfn.RANK.AVG(S5,S$5:S$34,1)-COUNTIF(S$5:S$34,0))</f>
        <v xml:space="preserve"> </v>
      </c>
      <c r="U5" s="86" t="str">
        <f t="shared" ref="U5:U34" si="9">IF(S5=0," ",IF((RANK(S5,S$5:S$34,1)-COUNTIF(S$5:S$34,0)&gt;6)," ",RANK(S5,S$5:S$34,1)-COUNTIF(S$5:S$34,0)))</f>
        <v xml:space="preserve"> </v>
      </c>
      <c r="V5" s="87" t="str">
        <f>IF(U5=" "," ",IFERROR(VLOOKUP(T5,Points!$A$2:$B$14,2,FALSE)," "))</f>
        <v xml:space="preserve"> </v>
      </c>
      <c r="W5" s="85"/>
      <c r="X5" s="86" t="str">
        <f t="shared" ref="X5:X34" si="10">IF(W5=0," ",_xlfn.RANK.AVG(W5,W$5:W$34,1)-COUNTIF(W$5:W$34,0))</f>
        <v xml:space="preserve"> </v>
      </c>
      <c r="Y5" s="86" t="str">
        <f t="shared" ref="Y5:Y34" si="11">IF(W5=0," ",IF((RANK(W5,W$5:W$34,1)-COUNTIF(W$5:W$34,0)&gt;6)," ",RANK(W5,W$5:W$34,1)-COUNTIF(W$5:W$34,0)))</f>
        <v xml:space="preserve"> </v>
      </c>
      <c r="Z5" s="87" t="str">
        <f>IF(Y5=" "," ",IFERROR(VLOOKUP(X5,Points!$A$2:$B$14,2,FALSE)," "))</f>
        <v xml:space="preserve"> </v>
      </c>
      <c r="AA5" s="85"/>
      <c r="AB5" s="86" t="str">
        <f t="shared" ref="AB5:AB34" si="12">IF(AA5=0," ",_xlfn.RANK.AVG(AA5,AA$5:AA$34,1)-COUNTIF(AA$5:AA$34,0))</f>
        <v xml:space="preserve"> </v>
      </c>
      <c r="AC5" s="86" t="str">
        <f t="shared" ref="AC5:AC34" si="13">IF(AA5=0," ",IF((RANK(AA5,AA$5:AA$34,1)-COUNTIF(AA$5:AA$34,0)&gt;6)," ",RANK(AA5,AA$5:AA$34,1)-COUNTIF(AA$5:AA$34,0)))</f>
        <v xml:space="preserve"> </v>
      </c>
      <c r="AD5" s="87" t="str">
        <f>IF(AC5=" "," ",IFERROR(VLOOKUP(AB5,Points!$A$2:$B$14,2,FALSE)," "))</f>
        <v xml:space="preserve"> </v>
      </c>
      <c r="AE5" s="85"/>
      <c r="AF5" s="86" t="str">
        <f>IF(OR(AE5=0,AE5=" ")," ",_xlfn.RANK.AVG(AE5,AE$5:AE$34,1)-COUNTIF(AE$5:AE$34,0))</f>
        <v xml:space="preserve"> </v>
      </c>
      <c r="AG5" s="86" t="str">
        <f t="shared" ref="AG5:AG34" si="14">IF(OR(AE5=0,AE5=" ")," ",IF((RANK(AE5,AE$5:AE$34,1)-COUNTIF(AE$5:AE$34,0)&gt;6)," ",RANK(AE5,AE$5:AE$34,1)-COUNTIF(AE$5:AE$34,0)))</f>
        <v xml:space="preserve"> </v>
      </c>
      <c r="AH5" s="87" t="str">
        <f>IF(AG5=" "," ",IFERROR(VLOOKUP(AG5,Points!$A$2:$B$14,2,FALSE)," "))</f>
        <v xml:space="preserve"> </v>
      </c>
    </row>
    <row r="6" spans="2:34" x14ac:dyDescent="0.3">
      <c r="B6" s="90" t="s">
        <v>236</v>
      </c>
      <c r="C6" s="92"/>
      <c r="D6" s="93" t="str">
        <f t="shared" si="0"/>
        <v xml:space="preserve"> </v>
      </c>
      <c r="E6" s="93" t="str">
        <f t="shared" si="1"/>
        <v xml:space="preserve"> </v>
      </c>
      <c r="F6" s="94" t="str">
        <f>IF(E6=" "," ",IFERROR(VLOOKUP(D6,Points!$A$2:$B$14,2,FALSE)," "))</f>
        <v xml:space="preserve"> </v>
      </c>
      <c r="G6" s="92">
        <v>8.2899999999999991</v>
      </c>
      <c r="H6" s="93">
        <f t="shared" si="2"/>
        <v>2</v>
      </c>
      <c r="I6" s="93">
        <f t="shared" si="3"/>
        <v>2</v>
      </c>
      <c r="J6" s="94">
        <f>IF(I6=" "," ",IFERROR(VLOOKUP(H6,Points!$A$2:$B$14,2,FALSE)," "))</f>
        <v>15</v>
      </c>
      <c r="K6" s="92">
        <v>7.91</v>
      </c>
      <c r="L6" s="93">
        <f t="shared" si="4"/>
        <v>1</v>
      </c>
      <c r="M6" s="93">
        <f t="shared" si="5"/>
        <v>1</v>
      </c>
      <c r="N6" s="94">
        <f>IF(M6=" "," ",IFERROR(VLOOKUP(L6,Points!$A$2:$B$14,2,FALSE)," "))</f>
        <v>18</v>
      </c>
      <c r="O6" s="92">
        <v>13.18</v>
      </c>
      <c r="P6" s="93">
        <f t="shared" si="6"/>
        <v>7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/>
      <c r="T6" s="93" t="str">
        <f t="shared" si="8"/>
        <v xml:space="preserve"> </v>
      </c>
      <c r="U6" s="93" t="str">
        <f t="shared" si="9"/>
        <v xml:space="preserve"> </v>
      </c>
      <c r="V6" s="94" t="str">
        <f>IF(U6=" "," ",IFERROR(VLOOKUP(T6,Points!$A$2:$B$14,2,FALSE)," "))</f>
        <v xml:space="preserve"> </v>
      </c>
      <c r="W6" s="92"/>
      <c r="X6" s="93" t="str">
        <f t="shared" si="10"/>
        <v xml:space="preserve"> </v>
      </c>
      <c r="Y6" s="93" t="str">
        <f t="shared" si="11"/>
        <v xml:space="preserve"> </v>
      </c>
      <c r="Z6" s="94" t="str">
        <f>IF(Y6=" "," ",IFERROR(VLOOKUP(X6,Points!$A$2:$B$14,2,FALSE)," "))</f>
        <v xml:space="preserve"> </v>
      </c>
      <c r="AA6" s="92"/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160"/>
      <c r="AF6" s="93">
        <v>3</v>
      </c>
      <c r="AG6" s="93" t="str">
        <f t="shared" si="14"/>
        <v xml:space="preserve"> </v>
      </c>
      <c r="AH6" s="94" t="str">
        <f>IF(AG6=" "," ",IFERROR(VLOOKUP(AG6,Points!$A$2:$B$14,2,FALSE)," "))</f>
        <v xml:space="preserve"> </v>
      </c>
    </row>
    <row r="7" spans="2:34" x14ac:dyDescent="0.3">
      <c r="B7" s="90" t="s">
        <v>237</v>
      </c>
      <c r="C7" s="92"/>
      <c r="D7" s="93" t="str">
        <f t="shared" si="0"/>
        <v xml:space="preserve"> </v>
      </c>
      <c r="E7" s="93" t="str">
        <f t="shared" si="1"/>
        <v xml:space="preserve"> </v>
      </c>
      <c r="F7" s="94" t="str">
        <f>IF(E7=" "," ",IFERROR(VLOOKUP(D7,Points!$A$2:$B$14,2,FALSE)," "))</f>
        <v xml:space="preserve"> </v>
      </c>
      <c r="G7" s="92">
        <v>13.21</v>
      </c>
      <c r="H7" s="93">
        <f t="shared" si="2"/>
        <v>3</v>
      </c>
      <c r="I7" s="93">
        <f t="shared" si="3"/>
        <v>3</v>
      </c>
      <c r="J7" s="94">
        <f>IF(I7=" "," ",IFERROR(VLOOKUP(H7,Points!$A$2:$B$14,2,FALSE)," "))</f>
        <v>12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/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/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/>
      <c r="X7" s="93" t="str">
        <f t="shared" si="10"/>
        <v xml:space="preserve"> </v>
      </c>
      <c r="Y7" s="93" t="str">
        <f t="shared" si="11"/>
        <v xml:space="preserve"> </v>
      </c>
      <c r="Z7" s="94" t="str">
        <f>IF(Y7=" "," ",IFERROR(VLOOKUP(X7,Points!$A$2:$B$14,2,FALSE)," "))</f>
        <v xml:space="preserve"> </v>
      </c>
      <c r="AA7" s="92"/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/>
      <c r="AF7" s="93" t="str">
        <f t="shared" ref="AF7:AF12" si="15">IF(OR(AE7=0,AE7=" ")," ",_xlfn.RANK.AVG(AE7,AE$5:AE$34,1)-COUNTIF(AE$5:AE$34,0))</f>
        <v xml:space="preserve"> </v>
      </c>
      <c r="AG7" s="93" t="str">
        <f t="shared" si="14"/>
        <v xml:space="preserve"> </v>
      </c>
      <c r="AH7" s="94" t="str">
        <f>IF(AG7=" "," ",IFERROR(VLOOKUP(AG7,Points!$A$2:$B$14,2,FALSE)," "))</f>
        <v xml:space="preserve"> </v>
      </c>
    </row>
    <row r="8" spans="2:34" x14ac:dyDescent="0.3">
      <c r="B8" s="90" t="s">
        <v>157</v>
      </c>
      <c r="C8" s="92"/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13.99</v>
      </c>
      <c r="H8" s="93">
        <f t="shared" si="2"/>
        <v>4</v>
      </c>
      <c r="I8" s="93">
        <f t="shared" si="3"/>
        <v>4</v>
      </c>
      <c r="J8" s="94">
        <f>IF(I8=" "," ",IFERROR(VLOOKUP(H8,Points!$A$2:$B$14,2,FALSE)," "))</f>
        <v>9</v>
      </c>
      <c r="K8" s="92">
        <v>0</v>
      </c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16.43</v>
      </c>
      <c r="P8" s="93">
        <f t="shared" si="6"/>
        <v>8</v>
      </c>
      <c r="Q8" s="93" t="str">
        <f t="shared" si="7"/>
        <v xml:space="preserve"> </v>
      </c>
      <c r="R8" s="94" t="str">
        <f>IF(Q8=" "," ",IFERROR(VLOOKUP(P8,Points!$A$2:$B$14,2,FALSE)," "))</f>
        <v xml:space="preserve"> </v>
      </c>
      <c r="S8" s="92"/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/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/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92"/>
      <c r="AF8" s="93" t="str">
        <f t="shared" si="15"/>
        <v xml:space="preserve"> </v>
      </c>
      <c r="AG8" s="93" t="str">
        <f t="shared" si="14"/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233</v>
      </c>
      <c r="C9" s="92"/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17.07</v>
      </c>
      <c r="H9" s="93">
        <f t="shared" si="2"/>
        <v>5</v>
      </c>
      <c r="I9" s="93">
        <f t="shared" si="3"/>
        <v>5</v>
      </c>
      <c r="J9" s="94">
        <f>IF(I9=" "," ",IFERROR(VLOOKUP(H9,Points!$A$2:$B$14,2,FALSE)," "))</f>
        <v>6</v>
      </c>
      <c r="K9" s="92">
        <v>0</v>
      </c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>
        <v>16.579999999999998</v>
      </c>
      <c r="P9" s="93">
        <f t="shared" si="6"/>
        <v>9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/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92"/>
      <c r="AF9" s="93" t="str">
        <f t="shared" si="15"/>
        <v xml:space="preserve"> </v>
      </c>
      <c r="AG9" s="93" t="str">
        <f t="shared" si="14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238</v>
      </c>
      <c r="C10" s="92"/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25.96</v>
      </c>
      <c r="H10" s="93">
        <f t="shared" si="2"/>
        <v>6</v>
      </c>
      <c r="I10" s="93">
        <f t="shared" si="3"/>
        <v>6</v>
      </c>
      <c r="J10" s="94">
        <f>IF(I10=" "," ",IFERROR(VLOOKUP(H10,Points!$A$2:$B$14,2,FALSE)," "))</f>
        <v>3</v>
      </c>
      <c r="K10" s="92">
        <v>0</v>
      </c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>
        <v>0</v>
      </c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/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/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/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92"/>
      <c r="AF10" s="93" t="str">
        <f t="shared" si="15"/>
        <v xml:space="preserve"> </v>
      </c>
      <c r="AG10" s="93" t="str">
        <f t="shared" si="14"/>
        <v xml:space="preserve"> </v>
      </c>
      <c r="AH10" s="94" t="str">
        <f>IF(AG10=" "," ",IFERROR(VLOOKUP(AG10,Points!$A$2:$B$14,2,FALSE)," "))</f>
        <v xml:space="preserve"> </v>
      </c>
    </row>
    <row r="11" spans="2:34" x14ac:dyDescent="0.3">
      <c r="B11" s="90" t="s">
        <v>158</v>
      </c>
      <c r="C11" s="92"/>
      <c r="D11" s="93" t="str">
        <f t="shared" si="0"/>
        <v xml:space="preserve"> </v>
      </c>
      <c r="E11" s="93" t="str">
        <f t="shared" si="1"/>
        <v xml:space="preserve"> </v>
      </c>
      <c r="F11" s="94" t="str">
        <f>IF(E11=" "," ",IFERROR(VLOOKUP(D11,Points!$A$2:$B$14,2,FALSE)," "))</f>
        <v xml:space="preserve"> </v>
      </c>
      <c r="G11" s="92">
        <v>0</v>
      </c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0</v>
      </c>
      <c r="L11" s="93" t="str">
        <f t="shared" si="4"/>
        <v xml:space="preserve"> </v>
      </c>
      <c r="M11" s="93" t="str">
        <f t="shared" si="5"/>
        <v xml:space="preserve"> </v>
      </c>
      <c r="N11" s="94" t="str">
        <f>IF(M11=" "," ",IFERROR(VLOOKUP(L11,Points!$A$2:$B$14,2,FALSE)," "))</f>
        <v xml:space="preserve"> </v>
      </c>
      <c r="O11" s="92">
        <v>10.28</v>
      </c>
      <c r="P11" s="93">
        <f t="shared" si="6"/>
        <v>3</v>
      </c>
      <c r="Q11" s="93">
        <f t="shared" si="7"/>
        <v>3</v>
      </c>
      <c r="R11" s="94">
        <f>IF(Q11=" "," ",IFERROR(VLOOKUP(P11,Points!$A$2:$B$14,2,FALSE)," "))</f>
        <v>12</v>
      </c>
      <c r="S11" s="92"/>
      <c r="T11" s="93" t="str">
        <f t="shared" si="8"/>
        <v xml:space="preserve"> </v>
      </c>
      <c r="U11" s="93" t="str">
        <f t="shared" si="9"/>
        <v xml:space="preserve"> </v>
      </c>
      <c r="V11" s="94" t="str">
        <f>IF(U11=" "," ",IFERROR(VLOOKUP(T11,Points!$A$2:$B$14,2,FALSE)," "))</f>
        <v xml:space="preserve"> </v>
      </c>
      <c r="W11" s="92"/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/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92"/>
      <c r="AF11" s="93" t="str">
        <f t="shared" si="15"/>
        <v xml:space="preserve"> </v>
      </c>
      <c r="AG11" s="93" t="str">
        <f t="shared" si="14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3">
      <c r="B12" s="90" t="s">
        <v>234</v>
      </c>
      <c r="C12" s="92"/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>
        <v>0</v>
      </c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/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/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92"/>
      <c r="AF12" s="93" t="str">
        <f t="shared" si="15"/>
        <v xml:space="preserve"> </v>
      </c>
      <c r="AG12" s="93" t="str">
        <f t="shared" si="14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246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>
        <v>0</v>
      </c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/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160"/>
      <c r="AF13" s="93">
        <v>4</v>
      </c>
      <c r="AG13" s="93" t="str">
        <f t="shared" si="14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3">
      <c r="B14" s="90" t="s">
        <v>201</v>
      </c>
      <c r="C14" s="92"/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>
        <v>27.97</v>
      </c>
      <c r="H14" s="93">
        <f t="shared" si="2"/>
        <v>7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0</v>
      </c>
      <c r="L14" s="93" t="str">
        <f t="shared" si="4"/>
        <v xml:space="preserve"> </v>
      </c>
      <c r="M14" s="93" t="str">
        <f t="shared" si="5"/>
        <v xml:space="preserve"> </v>
      </c>
      <c r="N14" s="94" t="str">
        <f>IF(M14=" "," ",IFERROR(VLOOKUP(L14,Points!$A$2:$B$14,2,FALSE)," "))</f>
        <v xml:space="preserve"> 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/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/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/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/>
      <c r="AF14" s="93" t="str">
        <f t="shared" ref="AF14:AF34" si="16">IF(OR(AE14=0,AE14=" ")," ",_xlfn.RANK.AVG(AE14,AE$5:AE$34,1)-COUNTIF(AE$5:AE$34,0))</f>
        <v xml:space="preserve"> </v>
      </c>
      <c r="AG14" s="93" t="str">
        <f t="shared" si="14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3">
      <c r="B15" s="90" t="s">
        <v>244</v>
      </c>
      <c r="C15" s="92"/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>
        <v>0</v>
      </c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9.1300000000000008</v>
      </c>
      <c r="L15" s="93">
        <f t="shared" si="4"/>
        <v>3</v>
      </c>
      <c r="M15" s="93">
        <f t="shared" si="5"/>
        <v>3</v>
      </c>
      <c r="N15" s="94">
        <f>IF(M15=" "," ",IFERROR(VLOOKUP(L15,Points!$A$2:$B$14,2,FALSE)," "))</f>
        <v>12</v>
      </c>
      <c r="O15" s="92">
        <v>0</v>
      </c>
      <c r="P15" s="93" t="str">
        <f t="shared" si="6"/>
        <v xml:space="preserve"> </v>
      </c>
      <c r="Q15" s="93" t="str">
        <f t="shared" si="7"/>
        <v xml:space="preserve"> </v>
      </c>
      <c r="R15" s="94" t="str">
        <f>IF(Q15=" "," ",IFERROR(VLOOKUP(P15,Points!$A$2:$B$14,2,FALSE)," "))</f>
        <v xml:space="preserve"> </v>
      </c>
      <c r="S15" s="92"/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/>
      <c r="AF15" s="93" t="str">
        <f t="shared" si="16"/>
        <v xml:space="preserve"> </v>
      </c>
      <c r="AG15" s="93" t="str">
        <f t="shared" si="14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241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>
        <v>0</v>
      </c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12.52</v>
      </c>
      <c r="L16" s="97">
        <f t="shared" si="4"/>
        <v>4</v>
      </c>
      <c r="M16" s="97">
        <f t="shared" si="5"/>
        <v>4</v>
      </c>
      <c r="N16" s="94">
        <f>IF(M16=" "," ",IFERROR(VLOOKUP(L16,Points!$A$2:$B$14,2,FALSE)," "))</f>
        <v>9</v>
      </c>
      <c r="O16" s="92">
        <v>12.97</v>
      </c>
      <c r="P16" s="97">
        <f t="shared" si="6"/>
        <v>6</v>
      </c>
      <c r="Q16" s="97">
        <f t="shared" si="7"/>
        <v>6</v>
      </c>
      <c r="R16" s="94">
        <f>IF(Q16=" "," ",IFERROR(VLOOKUP(P16,Points!$A$2:$B$14,2,FALSE)," "))</f>
        <v>3</v>
      </c>
      <c r="S16" s="92"/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/>
      <c r="AF16" s="97" t="str">
        <f t="shared" si="16"/>
        <v xml:space="preserve"> </v>
      </c>
      <c r="AG16" s="97" t="str">
        <f t="shared" si="14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156</v>
      </c>
      <c r="C17" s="92"/>
      <c r="D17" s="93" t="str">
        <f t="shared" si="0"/>
        <v xml:space="preserve"> </v>
      </c>
      <c r="E17" s="93" t="str">
        <f t="shared" si="1"/>
        <v xml:space="preserve"> </v>
      </c>
      <c r="F17" s="94" t="str">
        <f>IF(E17=" "," ",IFERROR(VLOOKUP(D17,Points!$A$2:$B$14,2,FALSE)," "))</f>
        <v xml:space="preserve"> </v>
      </c>
      <c r="G17" s="92">
        <v>0</v>
      </c>
      <c r="H17" s="93" t="str">
        <f t="shared" si="2"/>
        <v xml:space="preserve"> </v>
      </c>
      <c r="I17" s="93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0</v>
      </c>
      <c r="L17" s="93" t="str">
        <f t="shared" si="4"/>
        <v xml:space="preserve"> </v>
      </c>
      <c r="M17" s="93" t="str">
        <f t="shared" si="5"/>
        <v xml:space="preserve"> </v>
      </c>
      <c r="N17" s="94" t="str">
        <f>IF(M17=" "," ",IFERROR(VLOOKUP(L17,Points!$A$2:$B$14,2,FALSE)," "))</f>
        <v xml:space="preserve"> </v>
      </c>
      <c r="O17" s="92">
        <v>9.6199999999999992</v>
      </c>
      <c r="P17" s="93">
        <f t="shared" si="6"/>
        <v>2</v>
      </c>
      <c r="Q17" s="93">
        <f t="shared" si="7"/>
        <v>2</v>
      </c>
      <c r="R17" s="94">
        <f>IF(Q17=" "," ",IFERROR(VLOOKUP(P17,Points!$A$2:$B$14,2,FALSE)," "))</f>
        <v>15</v>
      </c>
      <c r="S17" s="92"/>
      <c r="T17" s="93" t="str">
        <f t="shared" si="8"/>
        <v xml:space="preserve"> </v>
      </c>
      <c r="U17" s="93" t="str">
        <f t="shared" si="9"/>
        <v xml:space="preserve"> </v>
      </c>
      <c r="V17" s="94" t="str">
        <f>IF(U17=" "," ",IFERROR(VLOOKUP(T17,Points!$A$2:$B$14,2,FALSE)," "))</f>
        <v xml:space="preserve"> </v>
      </c>
      <c r="W17" s="92"/>
      <c r="X17" s="93" t="str">
        <f t="shared" si="10"/>
        <v xml:space="preserve"> </v>
      </c>
      <c r="Y17" s="93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3" t="str">
        <f t="shared" si="12"/>
        <v xml:space="preserve"> </v>
      </c>
      <c r="AC17" s="93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/>
      <c r="AF17" s="93" t="str">
        <f t="shared" si="16"/>
        <v xml:space="preserve"> </v>
      </c>
      <c r="AG17" s="93" t="str">
        <f t="shared" si="14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245</v>
      </c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>
        <v>0</v>
      </c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/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/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>IF(OR(W18=0,AA18=0)," ",W18+AA18)</f>
        <v xml:space="preserve"> </v>
      </c>
      <c r="AF18" s="98" t="str">
        <f t="shared" si="16"/>
        <v xml:space="preserve"> </v>
      </c>
      <c r="AG18" s="97" t="str">
        <f t="shared" si="14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242</v>
      </c>
      <c r="C19" s="92"/>
      <c r="D19" s="97" t="str">
        <f t="shared" si="0"/>
        <v xml:space="preserve"> </v>
      </c>
      <c r="E19" s="97" t="str">
        <f t="shared" si="1"/>
        <v xml:space="preserve"> </v>
      </c>
      <c r="F19" s="94" t="str">
        <f>IF(E19=" "," ",IFERROR(VLOOKUP(D19,Points!$A$2:$B$14,2,FALSE)," "))</f>
        <v xml:space="preserve"> </v>
      </c>
      <c r="G19" s="92">
        <v>41.53</v>
      </c>
      <c r="H19" s="97">
        <f t="shared" si="2"/>
        <v>8</v>
      </c>
      <c r="I19" s="97" t="str">
        <f t="shared" si="3"/>
        <v xml:space="preserve"> </v>
      </c>
      <c r="J19" s="94" t="str">
        <f>IF(I19=" "," ",IFERROR(VLOOKUP(H19,Points!$A$2:$B$14,2,FALSE)," "))</f>
        <v xml:space="preserve"> </v>
      </c>
      <c r="K19" s="92"/>
      <c r="L19" s="97" t="str">
        <f t="shared" si="4"/>
        <v xml:space="preserve"> </v>
      </c>
      <c r="M19" s="97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7" t="str">
        <f t="shared" si="6"/>
        <v xml:space="preserve"> </v>
      </c>
      <c r="Q19" s="97" t="str">
        <f t="shared" si="7"/>
        <v xml:space="preserve"> </v>
      </c>
      <c r="R19" s="94" t="str">
        <f>IF(Q19=" "," ",IFERROR(VLOOKUP(P19,Points!$A$2:$B$14,2,FALSE)," "))</f>
        <v xml:space="preserve"> </v>
      </c>
      <c r="S19" s="92"/>
      <c r="T19" s="97" t="str">
        <f t="shared" si="8"/>
        <v xml:space="preserve"> </v>
      </c>
      <c r="U19" s="97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7" t="str">
        <f t="shared" si="10"/>
        <v xml:space="preserve"> </v>
      </c>
      <c r="Y19" s="97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7" t="str">
        <f t="shared" si="12"/>
        <v xml:space="preserve"> </v>
      </c>
      <c r="AC19" s="97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/>
      <c r="AF19" s="97" t="str">
        <f t="shared" si="16"/>
        <v xml:space="preserve"> </v>
      </c>
      <c r="AG19" s="97" t="str">
        <f t="shared" si="14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3">
      <c r="B20" s="90" t="s">
        <v>239</v>
      </c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135">
        <v>0</v>
      </c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>
        <v>0</v>
      </c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/>
      <c r="AF20" s="93" t="str">
        <f t="shared" si="16"/>
        <v xml:space="preserve"> </v>
      </c>
      <c r="AG20" s="93" t="str">
        <f t="shared" si="14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240</v>
      </c>
      <c r="C21" s="92"/>
      <c r="D21" s="97" t="str">
        <f t="shared" si="0"/>
        <v xml:space="preserve"> </v>
      </c>
      <c r="E21" s="97" t="str">
        <f t="shared" si="1"/>
        <v xml:space="preserve"> </v>
      </c>
      <c r="F21" s="94" t="str">
        <f>IF(E21=" "," ",IFERROR(VLOOKUP(D21,Points!$A$2:$B$14,2,FALSE)," "))</f>
        <v xml:space="preserve"> </v>
      </c>
      <c r="G21" s="92">
        <v>0</v>
      </c>
      <c r="H21" s="97" t="str">
        <f t="shared" si="2"/>
        <v xml:space="preserve"> </v>
      </c>
      <c r="I21" s="97" t="str">
        <f t="shared" si="3"/>
        <v xml:space="preserve"> </v>
      </c>
      <c r="J21" s="94" t="str">
        <f>IF(I21=" "," ",IFERROR(VLOOKUP(H21,Points!$A$2:$B$14,2,FALSE)," "))</f>
        <v xml:space="preserve"> </v>
      </c>
      <c r="K21" s="92">
        <v>0</v>
      </c>
      <c r="L21" s="97" t="str">
        <f t="shared" si="4"/>
        <v xml:space="preserve"> </v>
      </c>
      <c r="M21" s="97" t="str">
        <f t="shared" si="5"/>
        <v xml:space="preserve"> </v>
      </c>
      <c r="N21" s="94" t="str">
        <f>IF(M21=" "," ",IFERROR(VLOOKUP(L21,Points!$A$2:$B$14,2,FALSE)," "))</f>
        <v xml:space="preserve"> </v>
      </c>
      <c r="O21" s="92">
        <v>8.1999999999999993</v>
      </c>
      <c r="P21" s="97">
        <f t="shared" si="6"/>
        <v>1</v>
      </c>
      <c r="Q21" s="97">
        <f t="shared" si="7"/>
        <v>1</v>
      </c>
      <c r="R21" s="94">
        <f>IF(Q21=" "," ",IFERROR(VLOOKUP(P21,Points!$A$2:$B$14,2,FALSE)," "))</f>
        <v>18</v>
      </c>
      <c r="S21" s="92"/>
      <c r="T21" s="97" t="str">
        <f t="shared" si="8"/>
        <v xml:space="preserve"> </v>
      </c>
      <c r="U21" s="97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7" t="str">
        <f t="shared" si="10"/>
        <v xml:space="preserve"> </v>
      </c>
      <c r="Y21" s="97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7" t="str">
        <f t="shared" si="12"/>
        <v xml:space="preserve"> </v>
      </c>
      <c r="AC21" s="97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/>
      <c r="AF21" s="97" t="str">
        <f t="shared" si="16"/>
        <v xml:space="preserve"> </v>
      </c>
      <c r="AG21" s="97" t="str">
        <f t="shared" si="14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243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>
        <v>0</v>
      </c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>
        <v>8</v>
      </c>
      <c r="L22" s="93">
        <f t="shared" si="4"/>
        <v>2</v>
      </c>
      <c r="M22" s="93">
        <f t="shared" si="5"/>
        <v>2</v>
      </c>
      <c r="N22" s="94">
        <f>IF(M22=" "," ",IFERROR(VLOOKUP(L22,Points!$A$2:$B$14,2,FALSE)," "))</f>
        <v>15</v>
      </c>
      <c r="O22" s="92">
        <v>10.85</v>
      </c>
      <c r="P22" s="93">
        <f t="shared" si="6"/>
        <v>5</v>
      </c>
      <c r="Q22" s="93">
        <f t="shared" si="7"/>
        <v>5</v>
      </c>
      <c r="R22" s="94">
        <f>IF(Q22=" "," ",IFERROR(VLOOKUP(P22,Points!$A$2:$B$14,2,FALSE)," "))</f>
        <v>6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/>
      <c r="AF22" s="93" t="str">
        <f t="shared" si="16"/>
        <v xml:space="preserve"> </v>
      </c>
      <c r="AG22" s="93" t="str">
        <f t="shared" si="14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170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>
        <v>0</v>
      </c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>
        <v>0</v>
      </c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10.41</v>
      </c>
      <c r="P23" s="93">
        <f t="shared" si="6"/>
        <v>4</v>
      </c>
      <c r="Q23" s="93">
        <f t="shared" si="7"/>
        <v>4</v>
      </c>
      <c r="R23" s="94">
        <f>IF(Q23=" "," ",IFERROR(VLOOKUP(P23,Points!$A$2:$B$14,2,FALSE)," "))</f>
        <v>9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/>
      <c r="AF23" s="93" t="str">
        <f t="shared" si="16"/>
        <v xml:space="preserve"> </v>
      </c>
      <c r="AG23" s="93" t="str">
        <f t="shared" si="14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235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>
        <v>0</v>
      </c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>
        <v>0</v>
      </c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18.170000000000002</v>
      </c>
      <c r="P24" s="93">
        <f t="shared" si="6"/>
        <v>10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3" t="str">
        <f t="shared" si="8"/>
        <v xml:space="preserve"> </v>
      </c>
      <c r="U24" s="93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/>
      <c r="AF24" s="93" t="str">
        <f t="shared" si="16"/>
        <v xml:space="preserve"> </v>
      </c>
      <c r="AG24" s="93" t="str">
        <f t="shared" si="14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3">
      <c r="B25" s="90" t="s">
        <v>302</v>
      </c>
      <c r="C25" s="92"/>
      <c r="D25" s="97" t="str">
        <f t="shared" si="0"/>
        <v xml:space="preserve"> </v>
      </c>
      <c r="E25" s="97" t="str">
        <f t="shared" si="1"/>
        <v xml:space="preserve"> </v>
      </c>
      <c r="F25" s="94" t="str">
        <f>IF(E25=" "," ",IFERROR(VLOOKUP(D25,Points!$A$2:$B$14,2,FALSE)," "))</f>
        <v xml:space="preserve"> </v>
      </c>
      <c r="G25" s="92"/>
      <c r="H25" s="97" t="str">
        <f t="shared" si="2"/>
        <v xml:space="preserve"> </v>
      </c>
      <c r="I25" s="97" t="str">
        <f t="shared" si="3"/>
        <v xml:space="preserve"> </v>
      </c>
      <c r="J25" s="94" t="str">
        <f>IF(I25=" "," ",IFERROR(VLOOKUP(H25,Points!$A$2:$B$14,2,FALSE)," "))</f>
        <v xml:space="preserve"> </v>
      </c>
      <c r="K25" s="92">
        <v>0</v>
      </c>
      <c r="L25" s="97" t="str">
        <f t="shared" si="4"/>
        <v xml:space="preserve"> </v>
      </c>
      <c r="M25" s="97" t="str">
        <f t="shared" si="5"/>
        <v xml:space="preserve"> </v>
      </c>
      <c r="N25" s="94" t="str">
        <f>IF(M25=" "," ",IFERROR(VLOOKUP(L25,Points!$A$2:$B$14,2,FALSE)," "))</f>
        <v xml:space="preserve"> </v>
      </c>
      <c r="O25" s="92">
        <v>0</v>
      </c>
      <c r="P25" s="97" t="str">
        <f t="shared" si="6"/>
        <v xml:space="preserve"> </v>
      </c>
      <c r="Q25" s="97" t="str">
        <f t="shared" si="7"/>
        <v xml:space="preserve"> </v>
      </c>
      <c r="R25" s="94" t="str">
        <f>IF(Q25=" "," ",IFERROR(VLOOKUP(P25,Points!$A$2:$B$14,2,FALSE)," "))</f>
        <v xml:space="preserve"> </v>
      </c>
      <c r="S25" s="92"/>
      <c r="T25" s="97" t="str">
        <f t="shared" si="8"/>
        <v xml:space="preserve"> </v>
      </c>
      <c r="U25" s="97" t="str">
        <f t="shared" si="9"/>
        <v xml:space="preserve"> </v>
      </c>
      <c r="V25" s="94" t="str">
        <f>IF(U25=" "," ",IFERROR(VLOOKUP(T25,Points!$A$2:$B$14,2,FALSE)," "))</f>
        <v xml:space="preserve"> </v>
      </c>
      <c r="W25" s="92"/>
      <c r="X25" s="97" t="str">
        <f t="shared" si="10"/>
        <v xml:space="preserve"> </v>
      </c>
      <c r="Y25" s="97" t="str">
        <f t="shared" si="11"/>
        <v xml:space="preserve"> </v>
      </c>
      <c r="Z25" s="94" t="str">
        <f>IF(Y25=" "," ",IFERROR(VLOOKUP(X25,Points!$A$2:$B$14,2,FALSE)," "))</f>
        <v xml:space="preserve"> </v>
      </c>
      <c r="AA25" s="92"/>
      <c r="AB25" s="97" t="str">
        <f t="shared" si="12"/>
        <v xml:space="preserve"> </v>
      </c>
      <c r="AC25" s="97" t="str">
        <f t="shared" si="13"/>
        <v xml:space="preserve"> </v>
      </c>
      <c r="AD25" s="94" t="str">
        <f>IF(AC25=" "," ",IFERROR(VLOOKUP(AB25,Points!$A$2:$B$14,2,FALSE)," "))</f>
        <v xml:space="preserve"> </v>
      </c>
      <c r="AE25" s="92" t="str">
        <f t="shared" ref="AE25:AE34" si="17">IF(OR(W25=0,AA25=0)," ",W25+AA25)</f>
        <v xml:space="preserve"> </v>
      </c>
      <c r="AF25" s="98" t="str">
        <f t="shared" si="16"/>
        <v xml:space="preserve"> </v>
      </c>
      <c r="AG25" s="97" t="str">
        <f t="shared" si="14"/>
        <v xml:space="preserve"> </v>
      </c>
      <c r="AH25" s="94" t="str">
        <f>IF(AG25=" "," ",IFERROR(VLOOKUP(AG25,Points!$A$2:$B$14,2,FALSE)," "))</f>
        <v xml:space="preserve"> </v>
      </c>
    </row>
    <row r="26" spans="2:34" x14ac:dyDescent="0.3">
      <c r="B26" s="90" t="s">
        <v>303</v>
      </c>
      <c r="C26" s="92"/>
      <c r="D26" s="97" t="str">
        <f t="shared" si="0"/>
        <v xml:space="preserve"> </v>
      </c>
      <c r="E26" s="97" t="str">
        <f t="shared" si="1"/>
        <v xml:space="preserve"> </v>
      </c>
      <c r="F26" s="94" t="str">
        <f>IF(E26=" "," ",IFERROR(VLOOKUP(D26,Points!$A$2:$B$14,2,FALSE)," "))</f>
        <v xml:space="preserve"> </v>
      </c>
      <c r="G26" s="92"/>
      <c r="H26" s="97" t="str">
        <f t="shared" si="2"/>
        <v xml:space="preserve"> </v>
      </c>
      <c r="I26" s="97" t="str">
        <f t="shared" si="3"/>
        <v xml:space="preserve"> </v>
      </c>
      <c r="J26" s="94" t="str">
        <f>IF(I26=" "," ",IFERROR(VLOOKUP(H26,Points!$A$2:$B$14,2,FALSE)," "))</f>
        <v xml:space="preserve"> </v>
      </c>
      <c r="K26" s="92">
        <v>0</v>
      </c>
      <c r="L26" s="97" t="str">
        <f t="shared" si="4"/>
        <v xml:space="preserve"> </v>
      </c>
      <c r="M26" s="97" t="str">
        <f t="shared" si="5"/>
        <v xml:space="preserve"> </v>
      </c>
      <c r="N26" s="94" t="str">
        <f>IF(M26=" "," ",IFERROR(VLOOKUP(L26,Points!$A$2:$B$14,2,FALSE)," "))</f>
        <v xml:space="preserve"> </v>
      </c>
      <c r="O26" s="92">
        <v>0</v>
      </c>
      <c r="P26" s="97" t="str">
        <f t="shared" si="6"/>
        <v xml:space="preserve"> </v>
      </c>
      <c r="Q26" s="97" t="str">
        <f t="shared" si="7"/>
        <v xml:space="preserve"> </v>
      </c>
      <c r="R26" s="94" t="str">
        <f>IF(Q26=" "," ",IFERROR(VLOOKUP(P26,Points!$A$2:$B$14,2,FALSE)," "))</f>
        <v xml:space="preserve"> </v>
      </c>
      <c r="S26" s="92"/>
      <c r="T26" s="97" t="str">
        <f t="shared" si="8"/>
        <v xml:space="preserve"> </v>
      </c>
      <c r="U26" s="97" t="str">
        <f t="shared" si="9"/>
        <v xml:space="preserve"> </v>
      </c>
      <c r="V26" s="94" t="str">
        <f>IF(U26=" "," ",IFERROR(VLOOKUP(T26,Points!$A$2:$B$14,2,FALSE)," "))</f>
        <v xml:space="preserve"> </v>
      </c>
      <c r="W26" s="92"/>
      <c r="X26" s="97" t="str">
        <f t="shared" si="10"/>
        <v xml:space="preserve"> </v>
      </c>
      <c r="Y26" s="97" t="str">
        <f t="shared" si="11"/>
        <v xml:space="preserve"> </v>
      </c>
      <c r="Z26" s="94" t="str">
        <f>IF(Y26=" "," ",IFERROR(VLOOKUP(X26,Points!$A$2:$B$14,2,FALSE)," "))</f>
        <v xml:space="preserve"> </v>
      </c>
      <c r="AA26" s="92"/>
      <c r="AB26" s="97" t="str">
        <f t="shared" si="12"/>
        <v xml:space="preserve"> </v>
      </c>
      <c r="AC26" s="97" t="str">
        <f t="shared" si="13"/>
        <v xml:space="preserve"> </v>
      </c>
      <c r="AD26" s="94" t="str">
        <f>IF(AC26=" "," ",IFERROR(VLOOKUP(AB26,Points!$A$2:$B$14,2,FALSE)," "))</f>
        <v xml:space="preserve"> </v>
      </c>
      <c r="AE26" s="92" t="str">
        <f t="shared" si="17"/>
        <v xml:space="preserve"> </v>
      </c>
      <c r="AF26" s="98" t="str">
        <f t="shared" si="16"/>
        <v xml:space="preserve"> </v>
      </c>
      <c r="AG26" s="97" t="str">
        <f t="shared" si="14"/>
        <v xml:space="preserve"> </v>
      </c>
      <c r="AH26" s="94" t="str">
        <f>IF(AG26=" "," ",IFERROR(VLOOKUP(AG26,Points!$A$2:$B$14,2,FALSE)," "))</f>
        <v xml:space="preserve"> </v>
      </c>
    </row>
    <row r="27" spans="2:34" x14ac:dyDescent="0.3">
      <c r="B27" s="90" t="s">
        <v>304</v>
      </c>
      <c r="C27" s="92"/>
      <c r="D27" s="97" t="str">
        <f t="shared" si="0"/>
        <v xml:space="preserve"> </v>
      </c>
      <c r="E27" s="97" t="str">
        <f t="shared" si="1"/>
        <v xml:space="preserve"> </v>
      </c>
      <c r="F27" s="94" t="str">
        <f>IF(E27=" "," ",IFERROR(VLOOKUP(D27,Points!$A$2:$B$14,2,FALSE)," "))</f>
        <v xml:space="preserve"> </v>
      </c>
      <c r="G27" s="92"/>
      <c r="H27" s="97" t="str">
        <f t="shared" si="2"/>
        <v xml:space="preserve"> </v>
      </c>
      <c r="I27" s="97" t="str">
        <f t="shared" si="3"/>
        <v xml:space="preserve"> </v>
      </c>
      <c r="J27" s="94" t="str">
        <f>IF(I27=" "," ",IFERROR(VLOOKUP(H27,Points!$A$2:$B$14,2,FALSE)," "))</f>
        <v xml:space="preserve"> </v>
      </c>
      <c r="K27" s="92">
        <v>0</v>
      </c>
      <c r="L27" s="97" t="str">
        <f t="shared" si="4"/>
        <v xml:space="preserve"> </v>
      </c>
      <c r="M27" s="97" t="str">
        <f t="shared" si="5"/>
        <v xml:space="preserve"> </v>
      </c>
      <c r="N27" s="94" t="str">
        <f>IF(M27=" "," ",IFERROR(VLOOKUP(L27,Points!$A$2:$B$14,2,FALSE)," "))</f>
        <v xml:space="preserve"> </v>
      </c>
      <c r="O27" s="92"/>
      <c r="P27" s="97" t="str">
        <f t="shared" si="6"/>
        <v xml:space="preserve"> </v>
      </c>
      <c r="Q27" s="97" t="str">
        <f t="shared" si="7"/>
        <v xml:space="preserve"> </v>
      </c>
      <c r="R27" s="94" t="str">
        <f>IF(Q27=" "," ",IFERROR(VLOOKUP(P27,Points!$A$2:$B$14,2,FALSE)," "))</f>
        <v xml:space="preserve"> </v>
      </c>
      <c r="S27" s="92"/>
      <c r="T27" s="97" t="str">
        <f t="shared" si="8"/>
        <v xml:space="preserve"> </v>
      </c>
      <c r="U27" s="97" t="str">
        <f t="shared" si="9"/>
        <v xml:space="preserve"> </v>
      </c>
      <c r="V27" s="94" t="str">
        <f>IF(U27=" "," ",IFERROR(VLOOKUP(T27,Points!$A$2:$B$14,2,FALSE)," "))</f>
        <v xml:space="preserve"> </v>
      </c>
      <c r="W27" s="92"/>
      <c r="X27" s="97" t="str">
        <f t="shared" si="10"/>
        <v xml:space="preserve"> </v>
      </c>
      <c r="Y27" s="97" t="str">
        <f t="shared" si="11"/>
        <v xml:space="preserve"> </v>
      </c>
      <c r="Z27" s="94" t="str">
        <f>IF(Y27=" "," ",IFERROR(VLOOKUP(X27,Points!$A$2:$B$14,2,FALSE)," "))</f>
        <v xml:space="preserve"> </v>
      </c>
      <c r="AA27" s="92"/>
      <c r="AB27" s="97" t="str">
        <f t="shared" si="12"/>
        <v xml:space="preserve"> </v>
      </c>
      <c r="AC27" s="97" t="str">
        <f t="shared" si="13"/>
        <v xml:space="preserve"> </v>
      </c>
      <c r="AD27" s="94" t="str">
        <f>IF(AC27=" "," ",IFERROR(VLOOKUP(AB27,Points!$A$2:$B$14,2,FALSE)," "))</f>
        <v xml:space="preserve"> </v>
      </c>
      <c r="AE27" s="92" t="str">
        <f t="shared" si="17"/>
        <v xml:space="preserve"> </v>
      </c>
      <c r="AF27" s="98" t="str">
        <f t="shared" si="16"/>
        <v xml:space="preserve"> </v>
      </c>
      <c r="AG27" s="97" t="str">
        <f t="shared" si="14"/>
        <v xml:space="preserve"> </v>
      </c>
      <c r="AH27" s="94" t="str">
        <f>IF(AG27=" "," ",IFERROR(VLOOKUP(AG27,Points!$A$2:$B$14,2,FALSE)," "))</f>
        <v xml:space="preserve"> </v>
      </c>
    </row>
    <row r="28" spans="2:34" x14ac:dyDescent="0.3">
      <c r="B28" s="90" t="s">
        <v>306</v>
      </c>
      <c r="C28" s="92"/>
      <c r="D28" s="97" t="str">
        <f t="shared" ref="D28:D33" si="18">IF(C28=0," ",_xlfn.RANK.AVG(C28,C$5:C$34,1)-COUNTIF(C$5:C$34,0))</f>
        <v xml:space="preserve"> </v>
      </c>
      <c r="E28" s="97" t="str">
        <f t="shared" ref="E28:E33" si="19">IF(C28=0," ",IF((RANK(C28,C$5:C$34,1)-COUNTIF(C$5:C$34,0)&gt;6)," ",RANK(C28,C$5:C$34,1)-COUNTIF(C$5:C$34,0)))</f>
        <v xml:space="preserve"> </v>
      </c>
      <c r="F28" s="94" t="str">
        <f>IF(E28=" "," ",IFERROR(VLOOKUP(D28,Points!$A$2:$B$14,2,FALSE)," "))</f>
        <v xml:space="preserve"> </v>
      </c>
      <c r="G28" s="92"/>
      <c r="H28" s="97" t="str">
        <f t="shared" ref="H28:H33" si="20">IF(G28=0," ",_xlfn.RANK.AVG(G28,G$5:G$34,1)-COUNTIF(G$5:G$34,0))</f>
        <v xml:space="preserve"> </v>
      </c>
      <c r="I28" s="97" t="str">
        <f t="shared" ref="I28:I33" si="21">IF(G28=0," ",IF((RANK(G28,G$5:G$34,1)-COUNTIF(G$5:G$34,0)&gt;6)," ",RANK(G28,G$5:G$34,1)-COUNTIF(G$5:G$34,0)))</f>
        <v xml:space="preserve"> </v>
      </c>
      <c r="J28" s="94" t="str">
        <f>IF(I28=" "," ",IFERROR(VLOOKUP(H28,Points!$A$2:$B$14,2,FALSE)," "))</f>
        <v xml:space="preserve"> </v>
      </c>
      <c r="K28" s="92">
        <v>0</v>
      </c>
      <c r="L28" s="97" t="str">
        <f t="shared" ref="L28:L33" si="22">IF(K28=0," ",_xlfn.RANK.AVG(K28,K$5:K$34,1)-COUNTIF(K$5:K$34,0))</f>
        <v xml:space="preserve"> </v>
      </c>
      <c r="M28" s="97" t="str">
        <f t="shared" ref="M28:M33" si="23">IF(K28=0," ",IF((RANK(K28,K$5:K$34,1)-COUNTIF(K$5:K$34,0)&gt;6)," ",RANK(K28,K$5:K$34,1)-COUNTIF(K$5:K$34,0)))</f>
        <v xml:space="preserve"> </v>
      </c>
      <c r="N28" s="94" t="str">
        <f>IF(M28=" "," ",IFERROR(VLOOKUP(L28,Points!$A$2:$B$14,2,FALSE)," "))</f>
        <v xml:space="preserve"> </v>
      </c>
      <c r="O28" s="92">
        <v>0</v>
      </c>
      <c r="P28" s="97" t="str">
        <f t="shared" ref="P28:P33" si="24">IF(O28=0," ",_xlfn.RANK.AVG(O28,O$5:O$34,1)-COUNTIF(O$5:O$34,0))</f>
        <v xml:space="preserve"> </v>
      </c>
      <c r="Q28" s="97" t="str">
        <f t="shared" ref="Q28:Q33" si="25">IF(O28=0," ",IF((RANK(O28,O$5:O$34,1)-COUNTIF(O$5:O$34,0)&gt;6)," ",RANK(O28,O$5:O$34,1)-COUNTIF(O$5:O$34,0)))</f>
        <v xml:space="preserve"> </v>
      </c>
      <c r="R28" s="94" t="str">
        <f>IF(Q28=" "," ",IFERROR(VLOOKUP(P28,Points!$A$2:$B$14,2,FALSE)," "))</f>
        <v xml:space="preserve"> </v>
      </c>
      <c r="S28" s="92"/>
      <c r="T28" s="97" t="str">
        <f t="shared" ref="T28:T33" si="26">IF(S28=0," ",_xlfn.RANK.AVG(S28,S$5:S$34,1)-COUNTIF(S$5:S$34,0))</f>
        <v xml:space="preserve"> </v>
      </c>
      <c r="U28" s="97" t="str">
        <f t="shared" ref="U28:U33" si="27">IF(S28=0," ",IF((RANK(S28,S$5:S$34,1)-COUNTIF(S$5:S$34,0)&gt;6)," ",RANK(S28,S$5:S$34,1)-COUNTIF(S$5:S$34,0)))</f>
        <v xml:space="preserve"> </v>
      </c>
      <c r="V28" s="94" t="str">
        <f>IF(U28=" "," ",IFERROR(VLOOKUP(T28,Points!$A$2:$B$14,2,FALSE)," "))</f>
        <v xml:space="preserve"> </v>
      </c>
      <c r="W28" s="92"/>
      <c r="X28" s="97" t="str">
        <f t="shared" ref="X28:X33" si="28">IF(W28=0," ",_xlfn.RANK.AVG(W28,W$5:W$34,1)-COUNTIF(W$5:W$34,0))</f>
        <v xml:space="preserve"> </v>
      </c>
      <c r="Y28" s="97" t="str">
        <f t="shared" ref="Y28:Y33" si="29">IF(W28=0," ",IF((RANK(W28,W$5:W$34,1)-COUNTIF(W$5:W$34,0)&gt;6)," ",RANK(W28,W$5:W$34,1)-COUNTIF(W$5:W$34,0)))</f>
        <v xml:space="preserve"> </v>
      </c>
      <c r="Z28" s="94" t="str">
        <f>IF(Y28=" "," ",IFERROR(VLOOKUP(X28,Points!$A$2:$B$14,2,FALSE)," "))</f>
        <v xml:space="preserve"> </v>
      </c>
      <c r="AA28" s="92"/>
      <c r="AB28" s="97" t="str">
        <f t="shared" ref="AB28:AB33" si="30">IF(AA28=0," ",_xlfn.RANK.AVG(AA28,AA$5:AA$34,1)-COUNTIF(AA$5:AA$34,0))</f>
        <v xml:space="preserve"> </v>
      </c>
      <c r="AC28" s="97" t="str">
        <f t="shared" ref="AC28:AC33" si="31">IF(AA28=0," ",IF((RANK(AA28,AA$5:AA$34,1)-COUNTIF(AA$5:AA$34,0)&gt;6)," ",RANK(AA28,AA$5:AA$34,1)-COUNTIF(AA$5:AA$34,0)))</f>
        <v xml:space="preserve"> </v>
      </c>
      <c r="AD28" s="94" t="str">
        <f>IF(AC28=" "," ",IFERROR(VLOOKUP(AB28,Points!$A$2:$B$14,2,FALSE)," "))</f>
        <v xml:space="preserve"> </v>
      </c>
      <c r="AE28" s="92" t="str">
        <f t="shared" si="17"/>
        <v xml:space="preserve"> </v>
      </c>
      <c r="AF28" s="98" t="str">
        <f t="shared" ref="AF28:AF33" si="32">IF(OR(AE28=0,AE28=" ")," ",_xlfn.RANK.AVG(AE28,AE$5:AE$34,1)-COUNTIF(AE$5:AE$34,0))</f>
        <v xml:space="preserve"> </v>
      </c>
      <c r="AG28" s="97" t="str">
        <f t="shared" ref="AG28:AG33" si="33">IF(OR(AE28=0,AE28=" ")," ",IF((RANK(AE28,AE$5:AE$34,1)-COUNTIF(AE$5:AE$34,0)&gt;6)," ",RANK(AE28,AE$5:AE$34,1)-COUNTIF(AE$5:AE$34,0)))</f>
        <v xml:space="preserve"> </v>
      </c>
      <c r="AH28" s="94" t="str">
        <f>IF(AG28=" "," ",IFERROR(VLOOKUP(AG28,Points!$A$2:$B$14,2,FALSE)," "))</f>
        <v xml:space="preserve"> </v>
      </c>
    </row>
    <row r="29" spans="2:34" x14ac:dyDescent="0.3">
      <c r="B29" s="90" t="s">
        <v>307</v>
      </c>
      <c r="C29" s="92"/>
      <c r="D29" s="97" t="str">
        <f t="shared" si="18"/>
        <v xml:space="preserve"> </v>
      </c>
      <c r="E29" s="97" t="str">
        <f t="shared" si="19"/>
        <v xml:space="preserve"> </v>
      </c>
      <c r="F29" s="94" t="str">
        <f>IF(E29=" "," ",IFERROR(VLOOKUP(D29,Points!$A$2:$B$14,2,FALSE)," "))</f>
        <v xml:space="preserve"> </v>
      </c>
      <c r="G29" s="92"/>
      <c r="H29" s="97" t="str">
        <f t="shared" si="20"/>
        <v xml:space="preserve"> </v>
      </c>
      <c r="I29" s="97" t="str">
        <f t="shared" si="21"/>
        <v xml:space="preserve"> </v>
      </c>
      <c r="J29" s="94" t="str">
        <f>IF(I29=" "," ",IFERROR(VLOOKUP(H29,Points!$A$2:$B$14,2,FALSE)," "))</f>
        <v xml:space="preserve"> </v>
      </c>
      <c r="K29" s="92">
        <v>0</v>
      </c>
      <c r="L29" s="97" t="str">
        <f t="shared" si="22"/>
        <v xml:space="preserve"> </v>
      </c>
      <c r="M29" s="97" t="str">
        <f t="shared" si="23"/>
        <v xml:space="preserve"> </v>
      </c>
      <c r="N29" s="94" t="str">
        <f>IF(M29=" "," ",IFERROR(VLOOKUP(L29,Points!$A$2:$B$14,2,FALSE)," "))</f>
        <v xml:space="preserve"> </v>
      </c>
      <c r="O29" s="92"/>
      <c r="P29" s="97" t="str">
        <f t="shared" si="24"/>
        <v xml:space="preserve"> </v>
      </c>
      <c r="Q29" s="97" t="str">
        <f t="shared" si="25"/>
        <v xml:space="preserve"> </v>
      </c>
      <c r="R29" s="94" t="str">
        <f>IF(Q29=" "," ",IFERROR(VLOOKUP(P29,Points!$A$2:$B$14,2,FALSE)," "))</f>
        <v xml:space="preserve"> </v>
      </c>
      <c r="S29" s="92"/>
      <c r="T29" s="97" t="str">
        <f t="shared" si="26"/>
        <v xml:space="preserve"> </v>
      </c>
      <c r="U29" s="97" t="str">
        <f t="shared" si="27"/>
        <v xml:space="preserve"> </v>
      </c>
      <c r="V29" s="94" t="str">
        <f>IF(U29=" "," ",IFERROR(VLOOKUP(T29,Points!$A$2:$B$14,2,FALSE)," "))</f>
        <v xml:space="preserve"> </v>
      </c>
      <c r="W29" s="92"/>
      <c r="X29" s="97" t="str">
        <f t="shared" si="28"/>
        <v xml:space="preserve"> </v>
      </c>
      <c r="Y29" s="97" t="str">
        <f t="shared" si="29"/>
        <v xml:space="preserve"> </v>
      </c>
      <c r="Z29" s="94" t="str">
        <f>IF(Y29=" "," ",IFERROR(VLOOKUP(X29,Points!$A$2:$B$14,2,FALSE)," "))</f>
        <v xml:space="preserve"> </v>
      </c>
      <c r="AA29" s="92"/>
      <c r="AB29" s="97" t="str">
        <f t="shared" si="30"/>
        <v xml:space="preserve"> </v>
      </c>
      <c r="AC29" s="97" t="str">
        <f t="shared" si="31"/>
        <v xml:space="preserve"> </v>
      </c>
      <c r="AD29" s="94" t="str">
        <f>IF(AC29=" "," ",IFERROR(VLOOKUP(AB29,Points!$A$2:$B$14,2,FALSE)," "))</f>
        <v xml:space="preserve"> </v>
      </c>
      <c r="AE29" s="92" t="str">
        <f t="shared" si="17"/>
        <v xml:space="preserve"> </v>
      </c>
      <c r="AF29" s="98" t="str">
        <f t="shared" si="32"/>
        <v xml:space="preserve"> </v>
      </c>
      <c r="AG29" s="97" t="str">
        <f t="shared" si="33"/>
        <v xml:space="preserve"> </v>
      </c>
      <c r="AH29" s="94" t="str">
        <f>IF(AG29=" "," ",IFERROR(VLOOKUP(AG29,Points!$A$2:$B$14,2,FALSE)," "))</f>
        <v xml:space="preserve"> </v>
      </c>
    </row>
    <row r="30" spans="2:34" x14ac:dyDescent="0.3">
      <c r="B30" s="90" t="s">
        <v>308</v>
      </c>
      <c r="C30" s="92"/>
      <c r="D30" s="97" t="str">
        <f t="shared" si="18"/>
        <v xml:space="preserve"> </v>
      </c>
      <c r="E30" s="97" t="str">
        <f t="shared" si="19"/>
        <v xml:space="preserve"> </v>
      </c>
      <c r="F30" s="94" t="str">
        <f>IF(E30=" "," ",IFERROR(VLOOKUP(D30,Points!$A$2:$B$14,2,FALSE)," "))</f>
        <v xml:space="preserve"> </v>
      </c>
      <c r="G30" s="92"/>
      <c r="H30" s="97" t="str">
        <f t="shared" si="20"/>
        <v xml:space="preserve"> </v>
      </c>
      <c r="I30" s="97" t="str">
        <f t="shared" si="21"/>
        <v xml:space="preserve"> </v>
      </c>
      <c r="J30" s="94" t="str">
        <f>IF(I30=" "," ",IFERROR(VLOOKUP(H30,Points!$A$2:$B$14,2,FALSE)," "))</f>
        <v xml:space="preserve"> </v>
      </c>
      <c r="K30" s="92"/>
      <c r="L30" s="97" t="str">
        <f t="shared" si="22"/>
        <v xml:space="preserve"> </v>
      </c>
      <c r="M30" s="97" t="str">
        <f t="shared" si="23"/>
        <v xml:space="preserve"> </v>
      </c>
      <c r="N30" s="94" t="str">
        <f>IF(M30=" "," ",IFERROR(VLOOKUP(L30,Points!$A$2:$B$14,2,FALSE)," "))</f>
        <v xml:space="preserve"> </v>
      </c>
      <c r="O30" s="92">
        <v>0</v>
      </c>
      <c r="P30" s="97" t="str">
        <f t="shared" si="24"/>
        <v xml:space="preserve"> </v>
      </c>
      <c r="Q30" s="97" t="str">
        <f t="shared" si="25"/>
        <v xml:space="preserve"> </v>
      </c>
      <c r="R30" s="94" t="str">
        <f>IF(Q30=" "," ",IFERROR(VLOOKUP(P30,Points!$A$2:$B$14,2,FALSE)," "))</f>
        <v xml:space="preserve"> </v>
      </c>
      <c r="S30" s="92"/>
      <c r="T30" s="97" t="str">
        <f t="shared" si="26"/>
        <v xml:space="preserve"> </v>
      </c>
      <c r="U30" s="97" t="str">
        <f t="shared" si="27"/>
        <v xml:space="preserve"> </v>
      </c>
      <c r="V30" s="94" t="str">
        <f>IF(U30=" "," ",IFERROR(VLOOKUP(T30,Points!$A$2:$B$14,2,FALSE)," "))</f>
        <v xml:space="preserve"> </v>
      </c>
      <c r="W30" s="92"/>
      <c r="X30" s="97" t="str">
        <f t="shared" si="28"/>
        <v xml:space="preserve"> </v>
      </c>
      <c r="Y30" s="97" t="str">
        <f t="shared" si="29"/>
        <v xml:space="preserve"> </v>
      </c>
      <c r="Z30" s="94" t="str">
        <f>IF(Y30=" "," ",IFERROR(VLOOKUP(X30,Points!$A$2:$B$14,2,FALSE)," "))</f>
        <v xml:space="preserve"> </v>
      </c>
      <c r="AA30" s="92"/>
      <c r="AB30" s="97" t="str">
        <f t="shared" si="30"/>
        <v xml:space="preserve"> </v>
      </c>
      <c r="AC30" s="97" t="str">
        <f t="shared" si="31"/>
        <v xml:space="preserve"> </v>
      </c>
      <c r="AD30" s="94" t="str">
        <f>IF(AC30=" "," ",IFERROR(VLOOKUP(AB30,Points!$A$2:$B$14,2,FALSE)," "))</f>
        <v xml:space="preserve"> </v>
      </c>
      <c r="AE30" s="92" t="str">
        <f t="shared" si="17"/>
        <v xml:space="preserve"> </v>
      </c>
      <c r="AF30" s="98" t="str">
        <f t="shared" si="32"/>
        <v xml:space="preserve"> </v>
      </c>
      <c r="AG30" s="97" t="str">
        <f t="shared" si="33"/>
        <v xml:space="preserve"> </v>
      </c>
      <c r="AH30" s="94" t="str">
        <f>IF(AG30=" "," ",IFERROR(VLOOKUP(AG30,Points!$A$2:$B$14,2,FALSE)," "))</f>
        <v xml:space="preserve"> </v>
      </c>
    </row>
    <row r="31" spans="2:34" x14ac:dyDescent="0.3">
      <c r="B31" s="90" t="s">
        <v>309</v>
      </c>
      <c r="C31" s="92"/>
      <c r="D31" s="97" t="str">
        <f t="shared" si="18"/>
        <v xml:space="preserve"> </v>
      </c>
      <c r="E31" s="97" t="str">
        <f t="shared" si="19"/>
        <v xml:space="preserve"> </v>
      </c>
      <c r="F31" s="94" t="str">
        <f>IF(E31=" "," ",IFERROR(VLOOKUP(D31,Points!$A$2:$B$14,2,FALSE)," "))</f>
        <v xml:space="preserve"> </v>
      </c>
      <c r="G31" s="92"/>
      <c r="H31" s="97" t="str">
        <f t="shared" si="20"/>
        <v xml:space="preserve"> </v>
      </c>
      <c r="I31" s="97" t="str">
        <f t="shared" si="21"/>
        <v xml:space="preserve"> </v>
      </c>
      <c r="J31" s="94" t="str">
        <f>IF(I31=" "," ",IFERROR(VLOOKUP(H31,Points!$A$2:$B$14,2,FALSE)," "))</f>
        <v xml:space="preserve"> </v>
      </c>
      <c r="K31" s="92"/>
      <c r="L31" s="97" t="str">
        <f t="shared" si="22"/>
        <v xml:space="preserve"> </v>
      </c>
      <c r="M31" s="97" t="str">
        <f t="shared" si="23"/>
        <v xml:space="preserve"> </v>
      </c>
      <c r="N31" s="94" t="str">
        <f>IF(M31=" "," ",IFERROR(VLOOKUP(L31,Points!$A$2:$B$14,2,FALSE)," "))</f>
        <v xml:space="preserve"> </v>
      </c>
      <c r="O31" s="92">
        <v>19.34</v>
      </c>
      <c r="P31" s="97">
        <f t="shared" si="24"/>
        <v>11</v>
      </c>
      <c r="Q31" s="97" t="str">
        <f t="shared" si="25"/>
        <v xml:space="preserve"> </v>
      </c>
      <c r="R31" s="94" t="str">
        <f>IF(Q31=" "," ",IFERROR(VLOOKUP(P31,Points!$A$2:$B$14,2,FALSE)," "))</f>
        <v xml:space="preserve"> </v>
      </c>
      <c r="S31" s="92"/>
      <c r="T31" s="97" t="str">
        <f t="shared" si="26"/>
        <v xml:space="preserve"> </v>
      </c>
      <c r="U31" s="97" t="str">
        <f t="shared" si="27"/>
        <v xml:space="preserve"> </v>
      </c>
      <c r="V31" s="94" t="str">
        <f>IF(U31=" "," ",IFERROR(VLOOKUP(T31,Points!$A$2:$B$14,2,FALSE)," "))</f>
        <v xml:space="preserve"> </v>
      </c>
      <c r="W31" s="92"/>
      <c r="X31" s="97" t="str">
        <f t="shared" si="28"/>
        <v xml:space="preserve"> </v>
      </c>
      <c r="Y31" s="97" t="str">
        <f t="shared" si="29"/>
        <v xml:space="preserve"> </v>
      </c>
      <c r="Z31" s="94" t="str">
        <f>IF(Y31=" "," ",IFERROR(VLOOKUP(X31,Points!$A$2:$B$14,2,FALSE)," "))</f>
        <v xml:space="preserve"> </v>
      </c>
      <c r="AA31" s="92"/>
      <c r="AB31" s="97" t="str">
        <f t="shared" si="30"/>
        <v xml:space="preserve"> </v>
      </c>
      <c r="AC31" s="97" t="str">
        <f t="shared" si="31"/>
        <v xml:space="preserve"> </v>
      </c>
      <c r="AD31" s="94" t="str">
        <f>IF(AC31=" "," ",IFERROR(VLOOKUP(AB31,Points!$A$2:$B$14,2,FALSE)," "))</f>
        <v xml:space="preserve"> </v>
      </c>
      <c r="AE31" s="92" t="str">
        <f t="shared" si="17"/>
        <v xml:space="preserve"> </v>
      </c>
      <c r="AF31" s="98" t="str">
        <f t="shared" si="32"/>
        <v xml:space="preserve"> </v>
      </c>
      <c r="AG31" s="97" t="str">
        <f t="shared" si="33"/>
        <v xml:space="preserve"> </v>
      </c>
      <c r="AH31" s="94" t="str">
        <f>IF(AG31=" "," ",IFERROR(VLOOKUP(AG31,Points!$A$2:$B$14,2,FALSE)," "))</f>
        <v xml:space="preserve"> </v>
      </c>
    </row>
    <row r="32" spans="2:34" x14ac:dyDescent="0.3">
      <c r="B32" s="90" t="s">
        <v>310</v>
      </c>
      <c r="C32" s="92"/>
      <c r="D32" s="97" t="str">
        <f t="shared" si="18"/>
        <v xml:space="preserve"> </v>
      </c>
      <c r="E32" s="97" t="str">
        <f t="shared" si="19"/>
        <v xml:space="preserve"> </v>
      </c>
      <c r="F32" s="94" t="str">
        <f>IF(E32=" "," ",IFERROR(VLOOKUP(D32,Points!$A$2:$B$14,2,FALSE)," "))</f>
        <v xml:space="preserve"> </v>
      </c>
      <c r="G32" s="92"/>
      <c r="H32" s="97" t="str">
        <f t="shared" si="20"/>
        <v xml:space="preserve"> </v>
      </c>
      <c r="I32" s="97" t="str">
        <f t="shared" si="21"/>
        <v xml:space="preserve"> </v>
      </c>
      <c r="J32" s="94" t="str">
        <f>IF(I32=" "," ",IFERROR(VLOOKUP(H32,Points!$A$2:$B$14,2,FALSE)," "))</f>
        <v xml:space="preserve"> </v>
      </c>
      <c r="K32" s="92"/>
      <c r="L32" s="97" t="str">
        <f t="shared" si="22"/>
        <v xml:space="preserve"> </v>
      </c>
      <c r="M32" s="97" t="str">
        <f t="shared" si="23"/>
        <v xml:space="preserve"> </v>
      </c>
      <c r="N32" s="94" t="str">
        <f>IF(M32=" "," ",IFERROR(VLOOKUP(L32,Points!$A$2:$B$14,2,FALSE)," "))</f>
        <v xml:space="preserve"> </v>
      </c>
      <c r="O32" s="92">
        <v>0</v>
      </c>
      <c r="P32" s="97" t="str">
        <f t="shared" si="24"/>
        <v xml:space="preserve"> </v>
      </c>
      <c r="Q32" s="97" t="str">
        <f t="shared" si="25"/>
        <v xml:space="preserve"> </v>
      </c>
      <c r="R32" s="94" t="str">
        <f>IF(Q32=" "," ",IFERROR(VLOOKUP(P32,Points!$A$2:$B$14,2,FALSE)," "))</f>
        <v xml:space="preserve"> </v>
      </c>
      <c r="S32" s="92"/>
      <c r="T32" s="97" t="str">
        <f t="shared" si="26"/>
        <v xml:space="preserve"> </v>
      </c>
      <c r="U32" s="97" t="str">
        <f t="shared" si="27"/>
        <v xml:space="preserve"> </v>
      </c>
      <c r="V32" s="94" t="str">
        <f>IF(U32=" "," ",IFERROR(VLOOKUP(T32,Points!$A$2:$B$14,2,FALSE)," "))</f>
        <v xml:space="preserve"> </v>
      </c>
      <c r="W32" s="92"/>
      <c r="X32" s="97" t="str">
        <f t="shared" si="28"/>
        <v xml:space="preserve"> </v>
      </c>
      <c r="Y32" s="97" t="str">
        <f t="shared" si="29"/>
        <v xml:space="preserve"> </v>
      </c>
      <c r="Z32" s="94" t="str">
        <f>IF(Y32=" "," ",IFERROR(VLOOKUP(X32,Points!$A$2:$B$14,2,FALSE)," "))</f>
        <v xml:space="preserve"> </v>
      </c>
      <c r="AA32" s="92"/>
      <c r="AB32" s="97" t="str">
        <f t="shared" si="30"/>
        <v xml:space="preserve"> </v>
      </c>
      <c r="AC32" s="97" t="str">
        <f t="shared" si="31"/>
        <v xml:space="preserve"> </v>
      </c>
      <c r="AD32" s="94" t="str">
        <f>IF(AC32=" "," ",IFERROR(VLOOKUP(AB32,Points!$A$2:$B$14,2,FALSE)," "))</f>
        <v xml:space="preserve"> </v>
      </c>
      <c r="AE32" s="92" t="str">
        <f t="shared" si="17"/>
        <v xml:space="preserve"> </v>
      </c>
      <c r="AF32" s="98" t="str">
        <f t="shared" si="32"/>
        <v xml:space="preserve"> </v>
      </c>
      <c r="AG32" s="97" t="str">
        <f t="shared" si="33"/>
        <v xml:space="preserve"> </v>
      </c>
      <c r="AH32" s="94" t="str">
        <f>IF(AG32=" "," ",IFERROR(VLOOKUP(AG32,Points!$A$2:$B$14,2,FALSE)," "))</f>
        <v xml:space="preserve"> </v>
      </c>
    </row>
    <row r="33" spans="2:34" x14ac:dyDescent="0.3">
      <c r="B33" s="90" t="s">
        <v>311</v>
      </c>
      <c r="C33" s="92"/>
      <c r="D33" s="97" t="str">
        <f t="shared" si="18"/>
        <v xml:space="preserve"> </v>
      </c>
      <c r="E33" s="97" t="str">
        <f t="shared" si="19"/>
        <v xml:space="preserve"> </v>
      </c>
      <c r="F33" s="94" t="str">
        <f>IF(E33=" "," ",IFERROR(VLOOKUP(D33,Points!$A$2:$B$14,2,FALSE)," "))</f>
        <v xml:space="preserve"> </v>
      </c>
      <c r="G33" s="92"/>
      <c r="H33" s="97" t="str">
        <f t="shared" si="20"/>
        <v xml:space="preserve"> </v>
      </c>
      <c r="I33" s="97" t="str">
        <f t="shared" si="21"/>
        <v xml:space="preserve"> </v>
      </c>
      <c r="J33" s="94" t="str">
        <f>IF(I33=" "," ",IFERROR(VLOOKUP(H33,Points!$A$2:$B$14,2,FALSE)," "))</f>
        <v xml:space="preserve"> </v>
      </c>
      <c r="K33" s="92"/>
      <c r="L33" s="97" t="str">
        <f t="shared" si="22"/>
        <v xml:space="preserve"> </v>
      </c>
      <c r="M33" s="97" t="str">
        <f t="shared" si="23"/>
        <v xml:space="preserve"> </v>
      </c>
      <c r="N33" s="94" t="str">
        <f>IF(M33=" "," ",IFERROR(VLOOKUP(L33,Points!$A$2:$B$14,2,FALSE)," "))</f>
        <v xml:space="preserve"> </v>
      </c>
      <c r="O33" s="92">
        <v>0</v>
      </c>
      <c r="P33" s="97" t="str">
        <f t="shared" si="24"/>
        <v xml:space="preserve"> </v>
      </c>
      <c r="Q33" s="97" t="str">
        <f t="shared" si="25"/>
        <v xml:space="preserve"> </v>
      </c>
      <c r="R33" s="94" t="str">
        <f>IF(Q33=" "," ",IFERROR(VLOOKUP(P33,Points!$A$2:$B$14,2,FALSE)," "))</f>
        <v xml:space="preserve"> </v>
      </c>
      <c r="S33" s="92"/>
      <c r="T33" s="97" t="str">
        <f t="shared" si="26"/>
        <v xml:space="preserve"> </v>
      </c>
      <c r="U33" s="97" t="str">
        <f t="shared" si="27"/>
        <v xml:space="preserve"> </v>
      </c>
      <c r="V33" s="94" t="str">
        <f>IF(U33=" "," ",IFERROR(VLOOKUP(T33,Points!$A$2:$B$14,2,FALSE)," "))</f>
        <v xml:space="preserve"> </v>
      </c>
      <c r="W33" s="92"/>
      <c r="X33" s="97" t="str">
        <f t="shared" si="28"/>
        <v xml:space="preserve"> </v>
      </c>
      <c r="Y33" s="97" t="str">
        <f t="shared" si="29"/>
        <v xml:space="preserve"> </v>
      </c>
      <c r="Z33" s="94" t="str">
        <f>IF(Y33=" "," ",IFERROR(VLOOKUP(X33,Points!$A$2:$B$14,2,FALSE)," "))</f>
        <v xml:space="preserve"> </v>
      </c>
      <c r="AA33" s="92"/>
      <c r="AB33" s="97" t="str">
        <f t="shared" si="30"/>
        <v xml:space="preserve"> </v>
      </c>
      <c r="AC33" s="97" t="str">
        <f t="shared" si="31"/>
        <v xml:space="preserve"> </v>
      </c>
      <c r="AD33" s="94" t="str">
        <f>IF(AC33=" "," ",IFERROR(VLOOKUP(AB33,Points!$A$2:$B$14,2,FALSE)," "))</f>
        <v xml:space="preserve"> </v>
      </c>
      <c r="AE33" s="92" t="str">
        <f t="shared" si="17"/>
        <v xml:space="preserve"> </v>
      </c>
      <c r="AF33" s="98" t="str">
        <f t="shared" si="32"/>
        <v xml:space="preserve"> </v>
      </c>
      <c r="AG33" s="97" t="str">
        <f t="shared" si="33"/>
        <v xml:space="preserve"> </v>
      </c>
      <c r="AH33" s="94" t="str">
        <f>IF(AG33=" "," ",IFERROR(VLOOKUP(AG33,Points!$A$2:$B$14,2,FALSE)," "))</f>
        <v xml:space="preserve"> </v>
      </c>
    </row>
    <row r="34" spans="2:34" ht="14.5" thickBot="1" x14ac:dyDescent="0.35">
      <c r="B34" s="100" t="s">
        <v>305</v>
      </c>
      <c r="C34" s="102"/>
      <c r="D34" s="103" t="str">
        <f t="shared" si="0"/>
        <v xml:space="preserve"> </v>
      </c>
      <c r="E34" s="103" t="str">
        <f t="shared" si="1"/>
        <v xml:space="preserve"> </v>
      </c>
      <c r="F34" s="104" t="str">
        <f>IF(E34=" "," ",IFERROR(VLOOKUP(D34,Points!$A$2:$B$14,2,FALSE)," "))</f>
        <v xml:space="preserve"> </v>
      </c>
      <c r="G34" s="102"/>
      <c r="H34" s="103" t="str">
        <f t="shared" si="2"/>
        <v xml:space="preserve"> </v>
      </c>
      <c r="I34" s="103" t="str">
        <f t="shared" si="3"/>
        <v xml:space="preserve"> </v>
      </c>
      <c r="J34" s="104" t="str">
        <f>IF(I34=" "," ",IFERROR(VLOOKUP(H34,Points!$A$2:$B$14,2,FALSE)," "))</f>
        <v xml:space="preserve"> </v>
      </c>
      <c r="K34" s="102">
        <v>0</v>
      </c>
      <c r="L34" s="103" t="str">
        <f t="shared" si="4"/>
        <v xml:space="preserve"> </v>
      </c>
      <c r="M34" s="103" t="str">
        <f t="shared" si="5"/>
        <v xml:space="preserve"> </v>
      </c>
      <c r="N34" s="104" t="str">
        <f>IF(M34=" "," ",IFERROR(VLOOKUP(L34,Points!$A$2:$B$14,2,FALSE)," "))</f>
        <v xml:space="preserve"> </v>
      </c>
      <c r="O34" s="102"/>
      <c r="P34" s="103" t="str">
        <f t="shared" si="6"/>
        <v xml:space="preserve"> </v>
      </c>
      <c r="Q34" s="103" t="str">
        <f t="shared" si="7"/>
        <v xml:space="preserve"> </v>
      </c>
      <c r="R34" s="104" t="str">
        <f>IF(Q34=" "," ",IFERROR(VLOOKUP(P34,Points!$A$2:$B$14,2,FALSE)," "))</f>
        <v xml:space="preserve"> </v>
      </c>
      <c r="S34" s="102"/>
      <c r="T34" s="103" t="str">
        <f t="shared" si="8"/>
        <v xml:space="preserve"> </v>
      </c>
      <c r="U34" s="103" t="str">
        <f t="shared" si="9"/>
        <v xml:space="preserve"> </v>
      </c>
      <c r="V34" s="104" t="str">
        <f>IF(U34=" "," ",IFERROR(VLOOKUP(T34,Points!$A$2:$B$14,2,FALSE)," "))</f>
        <v xml:space="preserve"> </v>
      </c>
      <c r="W34" s="102"/>
      <c r="X34" s="103" t="str">
        <f t="shared" si="10"/>
        <v xml:space="preserve"> </v>
      </c>
      <c r="Y34" s="103" t="str">
        <f t="shared" si="11"/>
        <v xml:space="preserve"> </v>
      </c>
      <c r="Z34" s="104" t="str">
        <f>IF(Y34=" "," ",IFERROR(VLOOKUP(X34,Points!$A$2:$B$14,2,FALSE)," "))</f>
        <v xml:space="preserve"> </v>
      </c>
      <c r="AA34" s="102"/>
      <c r="AB34" s="103" t="str">
        <f t="shared" si="12"/>
        <v xml:space="preserve"> </v>
      </c>
      <c r="AC34" s="103" t="str">
        <f t="shared" si="13"/>
        <v xml:space="preserve"> </v>
      </c>
      <c r="AD34" s="104" t="str">
        <f>IF(AC34=" "," ",IFERROR(VLOOKUP(AB34,Points!$A$2:$B$14,2,FALSE)," "))</f>
        <v xml:space="preserve"> </v>
      </c>
      <c r="AE34" s="102" t="str">
        <f t="shared" si="17"/>
        <v xml:space="preserve"> </v>
      </c>
      <c r="AF34" s="103" t="str">
        <f t="shared" si="16"/>
        <v xml:space="preserve"> </v>
      </c>
      <c r="AG34" s="103" t="str">
        <f t="shared" si="14"/>
        <v xml:space="preserve"> </v>
      </c>
      <c r="AH34" s="104" t="str">
        <f>IF(AG34=" "," ",IFERROR(VLOOKUP(AG34,Points!$A$2:$B$14,2,FALSE)," "))</f>
        <v xml:space="preserve"> </v>
      </c>
    </row>
    <row r="35" spans="2:34" ht="14.5" thickBot="1" x14ac:dyDescent="0.35">
      <c r="B35" s="106" t="s">
        <v>190</v>
      </c>
      <c r="AF35" s="107"/>
    </row>
    <row r="37" spans="2:34" x14ac:dyDescent="0.3">
      <c r="E37" s="107"/>
    </row>
    <row r="38" spans="2:34" x14ac:dyDescent="0.3">
      <c r="E38" s="107"/>
    </row>
    <row r="39" spans="2:34" x14ac:dyDescent="0.3">
      <c r="G39" s="108"/>
    </row>
  </sheetData>
  <sheetProtection algorithmName="SHA-512" hashValue="F4WdVUCpxe+N1GaU1lhej0avXU1nL3OdNHOhQosKr5kUU2pO0zaL3fRhTrka371LxdiK3jI49yGgPWOQdkYfVw==" saltValue="4zzdZ+98pdOgpUT+Y/D1Eg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2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7265625" style="58" customWidth="1"/>
    <col min="5" max="11" width="24.7265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75" t="s">
        <v>116</v>
      </c>
      <c r="C2" s="176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73" t="s">
        <v>4</v>
      </c>
      <c r="N2" s="174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148</v>
      </c>
      <c r="C5" s="84"/>
      <c r="D5" s="133"/>
      <c r="E5" s="133">
        <v>24</v>
      </c>
      <c r="F5" s="133">
        <v>18</v>
      </c>
      <c r="G5" s="133"/>
      <c r="H5" s="133"/>
      <c r="I5" s="133"/>
      <c r="J5" s="133"/>
      <c r="K5" s="133"/>
      <c r="L5" s="86">
        <f>IF(Table622027323334171819305148[[#This Row],[Non-Member]]="X"," ",((IF(D5=" ",0,D5))+(IF(E5=" ",0,E5))+(IF(F5=" ",0,F5))+(IF(G5=" ",0,G5))+(IF(H5=" ",0,H5))+(IF(I5=" ",0,I5))+(IF(J5=" ",0,J5))+(IF(K5=" ",0,K5))))</f>
        <v>42</v>
      </c>
      <c r="M5" s="88">
        <f t="shared" ref="M5:M24" si="0">IF(L5=0," ",L5)</f>
        <v>42</v>
      </c>
      <c r="N5" s="89">
        <f t="shared" ref="N5:N24" si="1">IF(M5=" "," ",RANK(M5,$M$5:$M$24))</f>
        <v>1</v>
      </c>
    </row>
    <row r="6" spans="2:14" x14ac:dyDescent="0.3">
      <c r="B6" s="90" t="s">
        <v>131</v>
      </c>
      <c r="C6" s="91"/>
      <c r="D6" s="134"/>
      <c r="E6" s="134">
        <v>18</v>
      </c>
      <c r="F6" s="134"/>
      <c r="G6" s="134">
        <v>12</v>
      </c>
      <c r="H6" s="134"/>
      <c r="I6" s="134"/>
      <c r="J6" s="134"/>
      <c r="K6" s="134"/>
      <c r="L6" s="93">
        <f>IF(Table622027323334171819305148[[#This Row],[Non-Member]]="X"," ",((IF(D6=" ",0,D6))+(IF(E6=" ",0,E6))+(IF(F6=" ",0,F6))+(IF(G6=" ",0,G6))+(IF(H6=" ",0,H6))+(IF(I6=" ",0,I6))+(IF(J6=" ",0,J6))+(IF(K6=" ",0,K6))))</f>
        <v>30</v>
      </c>
      <c r="M6" s="95">
        <f t="shared" si="0"/>
        <v>30</v>
      </c>
      <c r="N6" s="96">
        <f t="shared" si="1"/>
        <v>2</v>
      </c>
    </row>
    <row r="7" spans="2:14" x14ac:dyDescent="0.3">
      <c r="B7" s="90" t="s">
        <v>133</v>
      </c>
      <c r="C7" s="91"/>
      <c r="D7" s="134"/>
      <c r="E7" s="134"/>
      <c r="F7" s="134">
        <v>21</v>
      </c>
      <c r="G7" s="134">
        <v>3</v>
      </c>
      <c r="H7" s="134"/>
      <c r="I7" s="134"/>
      <c r="J7" s="134"/>
      <c r="K7" s="134"/>
      <c r="L7" s="93">
        <f>IF(Table622027323334171819305148[[#This Row],[Non-Member]]="X"," ",((IF(D7=" ",0,D7))+(IF(E7=" ",0,E7))+(IF(F7=" ",0,F7))+(IF(G7=" ",0,G7))+(IF(H7=" ",0,H7))+(IF(I7=" ",0,I7))+(IF(J7=" ",0,J7))+(IF(K7=" ",0,K7))))</f>
        <v>24</v>
      </c>
      <c r="M7" s="95">
        <f t="shared" si="0"/>
        <v>24</v>
      </c>
      <c r="N7" s="96">
        <f t="shared" si="1"/>
        <v>3</v>
      </c>
    </row>
    <row r="8" spans="2:14" x14ac:dyDescent="0.3">
      <c r="B8" s="90" t="s">
        <v>223</v>
      </c>
      <c r="C8" s="91"/>
      <c r="D8" s="134"/>
      <c r="E8" s="134"/>
      <c r="F8" s="134">
        <v>15</v>
      </c>
      <c r="G8" s="134">
        <v>6</v>
      </c>
      <c r="H8" s="134"/>
      <c r="I8" s="134"/>
      <c r="J8" s="134"/>
      <c r="K8" s="134"/>
      <c r="L8" s="93">
        <f>IF(Table622027323334171819305148[[#This Row],[Non-Member]]="X"," ",((IF(D8=" ",0,D8))+(IF(E8=" ",0,E8))+(IF(F8=" ",0,F8))+(IF(G8=" ",0,G8))+(IF(H8=" ",0,H8))+(IF(I8=" ",0,I8))+(IF(J8=" ",0,J8))+(IF(K8=" ",0,K8))))</f>
        <v>21</v>
      </c>
      <c r="M8" s="95">
        <f t="shared" si="0"/>
        <v>21</v>
      </c>
      <c r="N8" s="96">
        <f t="shared" si="1"/>
        <v>4</v>
      </c>
    </row>
    <row r="9" spans="2:14" x14ac:dyDescent="0.3">
      <c r="B9" s="90" t="s">
        <v>134</v>
      </c>
      <c r="C9" s="91"/>
      <c r="D9" s="134"/>
      <c r="E9" s="134">
        <v>3</v>
      </c>
      <c r="F9" s="134"/>
      <c r="G9" s="134">
        <v>15</v>
      </c>
      <c r="H9" s="134"/>
      <c r="I9" s="134"/>
      <c r="J9" s="134"/>
      <c r="K9" s="134"/>
      <c r="L9" s="93">
        <f>IF(Table622027323334171819305148[[#This Row],[Non-Member]]="X"," ",((IF(D9=" ",0,D9))+(IF(E9=" ",0,E9))+(IF(F9=" ",0,F9))+(IF(G9=" ",0,G9))+(IF(H9=" ",0,H9))+(IF(I9=" ",0,I9))+(IF(J9=" ",0,J9))+(IF(K9=" ",0,K9))))</f>
        <v>18</v>
      </c>
      <c r="M9" s="95">
        <f t="shared" si="0"/>
        <v>18</v>
      </c>
      <c r="N9" s="96">
        <f t="shared" si="1"/>
        <v>5</v>
      </c>
    </row>
    <row r="10" spans="2:14" x14ac:dyDescent="0.3">
      <c r="B10" s="90" t="s">
        <v>220</v>
      </c>
      <c r="C10" s="91"/>
      <c r="D10" s="134"/>
      <c r="E10" s="134"/>
      <c r="F10" s="134"/>
      <c r="G10" s="134">
        <v>18</v>
      </c>
      <c r="H10" s="134"/>
      <c r="I10" s="134"/>
      <c r="J10" s="134"/>
      <c r="K10" s="134"/>
      <c r="L10" s="93">
        <f>IF(Table622027323334171819305148[[#This Row],[Non-Member]]="X"," ",((IF(D10=" ",0,D10))+(IF(E10=" ",0,E10))+(IF(F10=" ",0,F10))+(IF(G10=" ",0,G10))+(IF(H10=" ",0,H10))+(IF(I10=" ",0,I10))+(IF(J10=" ",0,J10))+(IF(K10=" ",0,K10))))</f>
        <v>18</v>
      </c>
      <c r="M10" s="95">
        <f t="shared" si="0"/>
        <v>18</v>
      </c>
      <c r="N10" s="96">
        <f t="shared" si="1"/>
        <v>5</v>
      </c>
    </row>
    <row r="11" spans="2:14" x14ac:dyDescent="0.3">
      <c r="B11" s="90" t="s">
        <v>225</v>
      </c>
      <c r="C11" s="91"/>
      <c r="D11" s="134"/>
      <c r="E11" s="134">
        <v>12</v>
      </c>
      <c r="F11" s="134"/>
      <c r="G11" s="134"/>
      <c r="H11" s="134"/>
      <c r="I11" s="134"/>
      <c r="J11" s="134"/>
      <c r="K11" s="134"/>
      <c r="L11" s="93">
        <f>IF(Table622027323334171819305148[[#This Row],[Non-Member]]="X"," ",((IF(D11=" ",0,D11))+(IF(E11=" ",0,E11))+(IF(F11=" ",0,F11))+(IF(G11=" ",0,G11))+(IF(H11=" ",0,H11))+(IF(I11=" ",0,I11))+(IF(J11=" ",0,J11))+(IF(K11=" ",0,K11))))</f>
        <v>12</v>
      </c>
      <c r="M11" s="95">
        <f t="shared" si="0"/>
        <v>12</v>
      </c>
      <c r="N11" s="96">
        <f t="shared" si="1"/>
        <v>7</v>
      </c>
    </row>
    <row r="12" spans="2:14" x14ac:dyDescent="0.3">
      <c r="B12" s="90" t="s">
        <v>149</v>
      </c>
      <c r="C12" s="91"/>
      <c r="D12" s="134"/>
      <c r="E12" s="134"/>
      <c r="F12" s="134"/>
      <c r="G12" s="134">
        <v>9</v>
      </c>
      <c r="H12" s="134"/>
      <c r="I12" s="134"/>
      <c r="J12" s="134"/>
      <c r="K12" s="134"/>
      <c r="L12" s="93">
        <f>IF(Table622027323334171819305148[[#This Row],[Non-Member]]="X"," ",((IF(D12=" ",0,D12))+(IF(E12=" ",0,E12))+(IF(F12=" ",0,F12))+(IF(G12=" ",0,G12))+(IF(H12=" ",0,H12))+(IF(I12=" ",0,I12))+(IF(J12=" ",0,J12))+(IF(K12=" ",0,K12))))</f>
        <v>9</v>
      </c>
      <c r="M12" s="95">
        <f t="shared" si="0"/>
        <v>9</v>
      </c>
      <c r="N12" s="96">
        <f t="shared" si="1"/>
        <v>8</v>
      </c>
    </row>
    <row r="13" spans="2:14" x14ac:dyDescent="0.3">
      <c r="B13" s="90" t="s">
        <v>68</v>
      </c>
      <c r="C13" s="91"/>
      <c r="D13" s="134"/>
      <c r="E13" s="134">
        <v>6</v>
      </c>
      <c r="F13" s="134"/>
      <c r="G13" s="134"/>
      <c r="H13" s="134"/>
      <c r="I13" s="134"/>
      <c r="J13" s="134"/>
      <c r="K13" s="134"/>
      <c r="L13" s="93">
        <f>IF(Table622027323334171819305148[[#This Row],[Non-Member]]="X"," ",((IF(D13=" ",0,D13))+(IF(E13=" ",0,E13))+(IF(F13=" ",0,F13))+(IF(G13=" ",0,G13))+(IF(H13=" ",0,H13))+(IF(I13=" ",0,I13))+(IF(J13=" ",0,J13))+(IF(K13=" ",0,K13))))</f>
        <v>6</v>
      </c>
      <c r="M13" s="95">
        <f t="shared" si="0"/>
        <v>6</v>
      </c>
      <c r="N13" s="96">
        <f t="shared" si="1"/>
        <v>9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IF(Table622027323334171819305148[[#This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7">
        <f>IF(Table622027323334171819305148[[#This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8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IF(Table622027323334171819305148[[#This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IF(Table622027323334171819305148[[#This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IF(Table622027323334171819305148[[#This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IF(Table622027323334171819305148[[#This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IF(Table622027323334171819305148[[#This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IF(Table622027323334171819305148[[#This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7">
        <f>IF(Table622027323334171819305148[[#This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8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IF(Table622027323334171819305148[[#This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IF(Table622027323334171819305148[[#This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c91ooEXSHjID5xKWKNHVpx0MuTlQRTKimzj1qxag+4N1+lRLudkqWnG39gIwXrPEP2jTPv+jKHpEPucucbez+A==" saltValue="w0XVKHoruj8ijqr7VoiWmg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1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7265625" style="39" customWidth="1"/>
    <col min="5" max="5" width="11.7265625" style="2" hidden="1" customWidth="1"/>
    <col min="6" max="6" width="11.7265625" style="2" customWidth="1"/>
    <col min="7" max="7" width="11.7265625" style="45" customWidth="1"/>
    <col min="8" max="8" width="11.7265625" style="35" customWidth="1"/>
    <col min="9" max="9" width="11.7265625" style="2" hidden="1" customWidth="1"/>
    <col min="10" max="10" width="11.7265625" style="2" customWidth="1"/>
    <col min="11" max="11" width="11.7265625" style="32" customWidth="1"/>
    <col min="12" max="12" width="12" style="35" customWidth="1"/>
    <col min="13" max="13" width="11.7265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7265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7265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7265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7265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83" t="s">
        <v>116</v>
      </c>
      <c r="C2" s="184"/>
      <c r="D2" s="181">
        <v>43226</v>
      </c>
      <c r="E2" s="181"/>
      <c r="F2" s="181"/>
      <c r="G2" s="182"/>
      <c r="H2" s="180">
        <v>43260</v>
      </c>
      <c r="I2" s="181"/>
      <c r="J2" s="181"/>
      <c r="K2" s="182"/>
      <c r="L2" s="180">
        <v>43288</v>
      </c>
      <c r="M2" s="181"/>
      <c r="N2" s="181"/>
      <c r="O2" s="182"/>
      <c r="P2" s="180">
        <v>43289</v>
      </c>
      <c r="Q2" s="181"/>
      <c r="R2" s="181"/>
      <c r="S2" s="182"/>
      <c r="T2" s="180">
        <v>43316</v>
      </c>
      <c r="U2" s="181"/>
      <c r="V2" s="181"/>
      <c r="W2" s="182"/>
      <c r="X2" s="180" t="s">
        <v>5</v>
      </c>
      <c r="Y2" s="181"/>
      <c r="Z2" s="181"/>
      <c r="AA2" s="182"/>
      <c r="AB2" s="180" t="s">
        <v>6</v>
      </c>
      <c r="AC2" s="181"/>
      <c r="AD2" s="181"/>
      <c r="AE2" s="182"/>
      <c r="AF2" s="180" t="s">
        <v>3</v>
      </c>
      <c r="AG2" s="181"/>
      <c r="AH2" s="181"/>
      <c r="AI2" s="182"/>
      <c r="AJ2" s="28"/>
      <c r="AK2" s="181" t="s">
        <v>4</v>
      </c>
      <c r="AL2" s="182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IF(Table62202732333417181930[[#This Row],[Non-Member]]="X"," ",IF(AH5=" "," ",IFERROR(VLOOKUP(AG5,Points!$A$2:$B$14,2,FALSE)," ")))</f>
        <v xml:space="preserve"> </v>
      </c>
      <c r="AJ5" s="7">
        <f>IF(Table62202732333417181930[[#This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IF(Table62202732333417181930[[#This Row],[Non-Member]]="X"," ",IF(AH6=" "," ",IFERROR(VLOOKUP(AG6,Points!$A$2:$B$14,2,FALSE)," ")))</f>
        <v xml:space="preserve"> </v>
      </c>
      <c r="AJ6" s="9">
        <f>IF(Table62202732333417181930[[#This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IF(Table62202732333417181930[[#This Row],[Non-Member]]="X"," ",IF(AH7=" "," ",IFERROR(VLOOKUP(AG7,Points!$A$2:$B$14,2,FALSE)," ")))</f>
        <v xml:space="preserve"> </v>
      </c>
      <c r="AJ7" s="9">
        <f>IF(Table62202732333417181930[[#This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IF(Table62202732333417181930[[#This Row],[Non-Member]]="X"," ",IF(AH8=" "," ",IFERROR(VLOOKUP(AG8,Points!$A$2:$B$14,2,FALSE)," ")))</f>
        <v xml:space="preserve"> </v>
      </c>
      <c r="AJ8" s="9">
        <f>IF(Table62202732333417181930[[#This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IF(Table62202732333417181930[[#This Row],[Non-Member]]="X"," ",IF(AH9=" "," ",IFERROR(VLOOKUP(AG9,Points!$A$2:$B$14,2,FALSE)," ")))</f>
        <v xml:space="preserve"> </v>
      </c>
      <c r="AJ9" s="9">
        <f>IF(Table62202732333417181930[[#This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IF(Table62202732333417181930[[#This Row],[Non-Member]]="X"," ",IF(AH10=" "," ",IFERROR(VLOOKUP(AG10,Points!$A$2:$B$14,2,FALSE)," ")))</f>
        <v xml:space="preserve"> </v>
      </c>
      <c r="AJ10" s="9">
        <f>IF(Table62202732333417181930[[#This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IF(Table62202732333417181930[[#This Row],[Non-Member]]="X"," ",IF(AH11=" "," ",IFERROR(VLOOKUP(AG11,Points!$A$2:$B$14,2,FALSE)," ")))</f>
        <v xml:space="preserve"> </v>
      </c>
      <c r="AJ11" s="9">
        <f>IF(Table62202732333417181930[[#This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IF(Table62202732333417181930[[#This Row],[Non-Member]]="X"," ",IF(AH12=" "," ",IFERROR(VLOOKUP(AG12,Points!$A$2:$B$14,2,FALSE)," ")))</f>
        <v xml:space="preserve"> </v>
      </c>
      <c r="AJ12" s="9">
        <f>IF(Table62202732333417181930[[#This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IF(Table62202732333417181930[[#This Row],[Non-Member]]="X"," ",IF(AH13=" "," ",IFERROR(VLOOKUP(AG13,Points!$A$2:$B$14,2,FALSE)," ")))</f>
        <v xml:space="preserve"> </v>
      </c>
      <c r="AJ13" s="9">
        <f>IF(Table62202732333417181930[[#This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IF(Table62202732333417181930[[#This Row],[Non-Member]]="X"," ",IF(AH14=" "," ",IFERROR(VLOOKUP(AG14,Points!$A$2:$B$14,2,FALSE)," ")))</f>
        <v xml:space="preserve"> </v>
      </c>
      <c r="AJ14" s="9">
        <f>IF(Table62202732333417181930[[#This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IF(Table62202732333417181930[[#This Row],[Non-Member]]="X"," ",IF(AH15=" "," ",IFERROR(VLOOKUP(AG15,Points!$A$2:$B$14,2,FALSE)," ")))</f>
        <v xml:space="preserve"> </v>
      </c>
      <c r="AJ15" s="9">
        <f>IF(Table62202732333417181930[[#This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IF(Table62202732333417181930[[#This Row],[Non-Member]]="X"," ",IF(AH16=" "," ",IFERROR(VLOOKUP(AG16,Points!$A$2:$B$14,2,FALSE)," ")))</f>
        <v xml:space="preserve"> </v>
      </c>
      <c r="AJ16" s="23">
        <f>IF(Table62202732333417181930[[#This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IF(Table62202732333417181930[[#This Row],[Non-Member]]="X"," ",IF(AH17=" "," ",IFERROR(VLOOKUP(AG17,Points!$A$2:$B$14,2,FALSE)," ")))</f>
        <v xml:space="preserve"> </v>
      </c>
      <c r="AJ17" s="23">
        <f>IF(Table62202732333417181930[[#This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IF(Table62202732333417181930[[#This Row],[Non-Member]]="X"," ",IF(AH18=" "," ",IFERROR(VLOOKUP(AG18,Points!$A$2:$B$14,2,FALSE)," ")))</f>
        <v xml:space="preserve"> </v>
      </c>
      <c r="AJ18" s="23">
        <f>IF(Table62202732333417181930[[#This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IF(Table62202732333417181930[[#This Row],[Non-Member]]="X"," ",IF(AH19=" "," ",IFERROR(VLOOKUP(AG19,Points!$A$2:$B$14,2,FALSE)," ")))</f>
        <v xml:space="preserve"> </v>
      </c>
      <c r="AJ19" s="9">
        <f>IF(Table62202732333417181930[[#This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IF(Table62202732333417181930[[#This Row],[Non-Member]]="X"," ",IF(AH20=" "," ",IFERROR(VLOOKUP(AG20,Points!$A$2:$B$14,2,FALSE)," ")))</f>
        <v xml:space="preserve"> </v>
      </c>
      <c r="AJ20" s="9">
        <f>IF(Table62202732333417181930[[#This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IF(Table62202732333417181930[[#This Row],[Non-Member]]="X"," ",IF(AH21=" "," ",IFERROR(VLOOKUP(AG21,Points!$A$2:$B$14,2,FALSE)," ")))</f>
        <v xml:space="preserve"> </v>
      </c>
      <c r="AJ21" s="9">
        <f>IF(Table62202732333417181930[[#This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IF(Table62202732333417181930[[#This Row],[Non-Member]]="X"," ",IF(AH22=" "," ",IFERROR(VLOOKUP(AG22,Points!$A$2:$B$14,2,FALSE)," ")))</f>
        <v xml:space="preserve"> </v>
      </c>
      <c r="AJ22" s="9">
        <f>IF(Table62202732333417181930[[#This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IF(Table62202732333417181930[[#This Row],[Non-Member]]="X"," ",IF(AH23=" "," ",IFERROR(VLOOKUP(AG23,Points!$A$2:$B$14,2,FALSE)," ")))</f>
        <v xml:space="preserve"> </v>
      </c>
      <c r="AJ23" s="9">
        <f>IF(Table62202732333417181930[[#This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IF(Table62202732333417181930[[#This Row],[Non-Member]]="X"," ",IF(AH24=" "," ",IFERROR(VLOOKUP(AG24,Points!$A$2:$B$14,2,FALSE)," ")))</f>
        <v xml:space="preserve"> </v>
      </c>
      <c r="AJ24" s="9">
        <f>IF(Table62202732333417181930[[#This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VHtZyAoMXCKYhEsxf5TQJeAXgD/JBPdZLy+1DS3yu+c6Bg+O+N0V1WzTr+xhcrq4BRsDRdlnITVzcGHoArJTnw==" saltValue="Lr1LcvJoEtR6+HthV5s5p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3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S28" sqref="S28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7265625" style="58" customWidth="1"/>
    <col min="5" max="11" width="24.7265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75" t="s">
        <v>117</v>
      </c>
      <c r="C2" s="176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73" t="s">
        <v>4</v>
      </c>
      <c r="N2" s="174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222</v>
      </c>
      <c r="C5" s="84"/>
      <c r="D5" s="133"/>
      <c r="E5" s="133">
        <v>15</v>
      </c>
      <c r="F5" s="133">
        <v>27</v>
      </c>
      <c r="G5" s="133">
        <v>3</v>
      </c>
      <c r="H5" s="133"/>
      <c r="I5" s="133"/>
      <c r="J5" s="133"/>
      <c r="K5" s="133"/>
      <c r="L5" s="86">
        <f>IF(Table6220273233341718193051479[[#This Row],[Non-Member]]="X"," ",((IF(D5=" ",0,D5))+(IF(E5=" ",0,E5))+(IF(F5=" ",0,F5))+(IF(G5=" ",0,G5))+(IF(H5=" ",0,H5))+(IF(I5=" ",0,I5))+(IF(J5=" ",0,J5))+(IF(K5=" ",0,K5))))</f>
        <v>45</v>
      </c>
      <c r="M5" s="88">
        <f t="shared" ref="M5:M24" si="0">IF(L5=0," ",L5)</f>
        <v>45</v>
      </c>
      <c r="N5" s="89">
        <f t="shared" ref="N5:N24" si="1">IF(M5=" "," ",RANK(M5,$M$5:$M$24))</f>
        <v>1</v>
      </c>
    </row>
    <row r="6" spans="2:14" x14ac:dyDescent="0.3">
      <c r="B6" s="90" t="s">
        <v>150</v>
      </c>
      <c r="C6" s="91"/>
      <c r="D6" s="134"/>
      <c r="E6" s="134">
        <v>18</v>
      </c>
      <c r="F6" s="134"/>
      <c r="G6" s="134">
        <v>9</v>
      </c>
      <c r="H6" s="134"/>
      <c r="I6" s="134"/>
      <c r="J6" s="134"/>
      <c r="K6" s="134"/>
      <c r="L6" s="93">
        <f>IF(Table6220273233341718193051479[[#This Row],[Non-Member]]="X"," ",((IF(D6=" ",0,D6))+(IF(E6=" ",0,E6))+(IF(F6=" ",0,F6))+(IF(G6=" ",0,G6))+(IF(H6=" ",0,H6))+(IF(I6=" ",0,I6))+(IF(J6=" ",0,J6))+(IF(K6=" ",0,K6))))</f>
        <v>27</v>
      </c>
      <c r="M6" s="95">
        <f t="shared" si="0"/>
        <v>27</v>
      </c>
      <c r="N6" s="96">
        <f t="shared" si="1"/>
        <v>2</v>
      </c>
    </row>
    <row r="7" spans="2:14" x14ac:dyDescent="0.3">
      <c r="B7" s="90" t="s">
        <v>132</v>
      </c>
      <c r="C7" s="91"/>
      <c r="D7" s="134"/>
      <c r="E7" s="134">
        <v>9</v>
      </c>
      <c r="F7" s="134"/>
      <c r="G7" s="134">
        <v>15</v>
      </c>
      <c r="H7" s="134"/>
      <c r="I7" s="134"/>
      <c r="J7" s="134"/>
      <c r="K7" s="134"/>
      <c r="L7" s="93">
        <f>IF(Table6220273233341718193051479[[#This Row],[Non-Member]]="X"," ",((IF(D7=" ",0,D7))+(IF(E7=" ",0,E7))+(IF(F7=" ",0,F7))+(IF(G7=" ",0,G7))+(IF(H7=" ",0,H7))+(IF(I7=" ",0,I7))+(IF(J7=" ",0,J7))+(IF(K7=" ",0,K7))))</f>
        <v>24</v>
      </c>
      <c r="M7" s="95">
        <f t="shared" si="0"/>
        <v>24</v>
      </c>
      <c r="N7" s="96">
        <f t="shared" si="1"/>
        <v>3</v>
      </c>
    </row>
    <row r="8" spans="2:14" x14ac:dyDescent="0.3">
      <c r="B8" s="90" t="s">
        <v>146</v>
      </c>
      <c r="C8" s="91"/>
      <c r="D8" s="134"/>
      <c r="E8" s="134"/>
      <c r="F8" s="134">
        <v>12</v>
      </c>
      <c r="G8" s="134">
        <v>12</v>
      </c>
      <c r="H8" s="134"/>
      <c r="I8" s="134"/>
      <c r="J8" s="134"/>
      <c r="K8" s="134"/>
      <c r="L8" s="93">
        <f>IF(Table6220273233341718193051479[[#This Row],[Non-Member]]="X"," ",((IF(D8=" ",0,D8))+(IF(E8=" ",0,E8))+(IF(F8=" ",0,F8))+(IF(G8=" ",0,G8))+(IF(H8=" ",0,H8))+(IF(I8=" ",0,I8))+(IF(J8=" ",0,J8))+(IF(K8=" ",0,K8))))</f>
        <v>24</v>
      </c>
      <c r="M8" s="95">
        <f t="shared" si="0"/>
        <v>24</v>
      </c>
      <c r="N8" s="96">
        <f t="shared" si="1"/>
        <v>3</v>
      </c>
    </row>
    <row r="9" spans="2:14" x14ac:dyDescent="0.3">
      <c r="B9" s="90" t="s">
        <v>220</v>
      </c>
      <c r="C9" s="91"/>
      <c r="D9" s="134"/>
      <c r="E9" s="134"/>
      <c r="F9" s="134">
        <v>15</v>
      </c>
      <c r="G9" s="134">
        <v>6</v>
      </c>
      <c r="H9" s="134"/>
      <c r="I9" s="134"/>
      <c r="J9" s="134"/>
      <c r="K9" s="134"/>
      <c r="L9" s="93">
        <f>IF(Table6220273233341718193051479[[#This Row],[Non-Member]]="X"," ",((IF(D9=" ",0,D9))+(IF(E9=" ",0,E9))+(IF(F9=" ",0,F9))+(IF(G9=" ",0,G9))+(IF(H9=" ",0,H9))+(IF(I9=" ",0,I9))+(IF(J9=" ",0,J9))+(IF(K9=" ",0,K9))))</f>
        <v>21</v>
      </c>
      <c r="M9" s="95">
        <f t="shared" si="0"/>
        <v>21</v>
      </c>
      <c r="N9" s="96">
        <f t="shared" si="1"/>
        <v>5</v>
      </c>
    </row>
    <row r="10" spans="2:14" x14ac:dyDescent="0.3">
      <c r="B10" s="90" t="s">
        <v>71</v>
      </c>
      <c r="C10" s="91"/>
      <c r="D10" s="134"/>
      <c r="E10" s="134">
        <v>18</v>
      </c>
      <c r="F10" s="134"/>
      <c r="G10" s="134"/>
      <c r="H10" s="134"/>
      <c r="I10" s="134"/>
      <c r="J10" s="134"/>
      <c r="K10" s="134"/>
      <c r="L10" s="93">
        <f>IF(Table6220273233341718193051479[[#This Row],[Non-Member]]="X"," ",((IF(D10=" ",0,D10))+(IF(E10=" ",0,E10))+(IF(F10=" ",0,F10))+(IF(G10=" ",0,G10))+(IF(H10=" ",0,H10))+(IF(I10=" ",0,I10))+(IF(J10=" ",0,J10))+(IF(K10=" ",0,K10))))</f>
        <v>18</v>
      </c>
      <c r="M10" s="95">
        <f t="shared" si="0"/>
        <v>18</v>
      </c>
      <c r="N10" s="96">
        <f t="shared" si="1"/>
        <v>6</v>
      </c>
    </row>
    <row r="11" spans="2:14" x14ac:dyDescent="0.3">
      <c r="B11" s="90" t="s">
        <v>223</v>
      </c>
      <c r="C11" s="91"/>
      <c r="D11" s="134"/>
      <c r="E11" s="134"/>
      <c r="F11" s="134"/>
      <c r="G11" s="134">
        <v>18</v>
      </c>
      <c r="H11" s="134"/>
      <c r="I11" s="134"/>
      <c r="J11" s="134"/>
      <c r="K11" s="134"/>
      <c r="L11" s="93">
        <f>IF(Table6220273233341718193051479[[#This Row],[Non-Member]]="X"," ",((IF(D11=" ",0,D11))+(IF(E11=" ",0,E11))+(IF(F11=" ",0,F11))+(IF(G11=" ",0,G11))+(IF(H11=" ",0,H11))+(IF(I11=" ",0,I11))+(IF(J11=" ",0,J11))+(IF(K11=" ",0,K11))))</f>
        <v>18</v>
      </c>
      <c r="M11" s="95">
        <f t="shared" si="0"/>
        <v>18</v>
      </c>
      <c r="N11" s="96">
        <f t="shared" si="1"/>
        <v>6</v>
      </c>
    </row>
    <row r="12" spans="2:14" x14ac:dyDescent="0.3">
      <c r="B12" s="90" t="s">
        <v>129</v>
      </c>
      <c r="C12" s="91"/>
      <c r="D12" s="134"/>
      <c r="E12" s="134">
        <v>3</v>
      </c>
      <c r="F12" s="134"/>
      <c r="G12" s="134"/>
      <c r="H12" s="134"/>
      <c r="I12" s="134"/>
      <c r="J12" s="134"/>
      <c r="K12" s="134"/>
      <c r="L12" s="93">
        <f>IF(Table6220273233341718193051479[[#This Row],[Non-Member]]="X"," ",((IF(D12=" ",0,D12))+(IF(E12=" ",0,E12))+(IF(F12=" ",0,F12))+(IF(G12=" ",0,G12))+(IF(H12=" ",0,H12))+(IF(I12=" ",0,I12))+(IF(J12=" ",0,J12))+(IF(K12=" ",0,K12))))</f>
        <v>3</v>
      </c>
      <c r="M12" s="95">
        <f t="shared" si="0"/>
        <v>3</v>
      </c>
      <c r="N12" s="96">
        <f t="shared" si="1"/>
        <v>8</v>
      </c>
    </row>
    <row r="13" spans="2:14" x14ac:dyDescent="0.3">
      <c r="B13" s="90"/>
      <c r="C13" s="91"/>
      <c r="D13" s="134"/>
      <c r="E13" s="134"/>
      <c r="F13" s="134"/>
      <c r="G13" s="134"/>
      <c r="H13" s="134"/>
      <c r="I13" s="134"/>
      <c r="J13" s="134"/>
      <c r="K13" s="134"/>
      <c r="L13" s="93">
        <f>IF(Table6220273233341718193051479[[#This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IF(Table6220273233341718193051479[[#This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7">
        <f>IF(Table6220273233341718193051479[[#This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8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IF(Table6220273233341718193051479[[#This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IF(Table6220273233341718193051479[[#This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IF(Table6220273233341718193051479[[#This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IF(Table6220273233341718193051479[[#This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7">
        <f>IF(Table6220273233341718193051479[[#This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8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IF(Table6220273233341718193051479[[#This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IF(Table6220273233341718193051479[[#This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IF(Table6220273233341718193051479[[#This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IF(Table6220273233341718193051479[[#This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sNjqM4fgglKvH0N5reeaOjPp4YbiYvdrXwDwAcBv37ysRhk6aIbrsYe60PRqrTrpdFX1uz6EpfVTBI0EOTNlBg==" saltValue="uWNtMVCesCGOE4Sx/Prggg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8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7265625" style="39" customWidth="1"/>
    <col min="5" max="5" width="11.7265625" style="2" hidden="1" customWidth="1"/>
    <col min="6" max="6" width="11.7265625" style="2" customWidth="1"/>
    <col min="7" max="7" width="11.7265625" style="45" customWidth="1"/>
    <col min="8" max="8" width="11.7265625" style="35" customWidth="1"/>
    <col min="9" max="9" width="11.7265625" style="2" hidden="1" customWidth="1"/>
    <col min="10" max="10" width="11.7265625" style="2" customWidth="1"/>
    <col min="11" max="11" width="11.7265625" style="32" customWidth="1"/>
    <col min="12" max="12" width="12" style="35" customWidth="1"/>
    <col min="13" max="13" width="11.7265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7265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7265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7265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7265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83" t="s">
        <v>117</v>
      </c>
      <c r="C2" s="184"/>
      <c r="D2" s="181">
        <v>43226</v>
      </c>
      <c r="E2" s="181"/>
      <c r="F2" s="181"/>
      <c r="G2" s="182"/>
      <c r="H2" s="180">
        <v>43260</v>
      </c>
      <c r="I2" s="181"/>
      <c r="J2" s="181"/>
      <c r="K2" s="182"/>
      <c r="L2" s="180">
        <v>43288</v>
      </c>
      <c r="M2" s="181"/>
      <c r="N2" s="181"/>
      <c r="O2" s="182"/>
      <c r="P2" s="180">
        <v>43289</v>
      </c>
      <c r="Q2" s="181"/>
      <c r="R2" s="181"/>
      <c r="S2" s="182"/>
      <c r="T2" s="180">
        <v>43316</v>
      </c>
      <c r="U2" s="181"/>
      <c r="V2" s="181"/>
      <c r="W2" s="182"/>
      <c r="X2" s="180" t="s">
        <v>5</v>
      </c>
      <c r="Y2" s="181"/>
      <c r="Z2" s="181"/>
      <c r="AA2" s="182"/>
      <c r="AB2" s="180" t="s">
        <v>6</v>
      </c>
      <c r="AC2" s="181"/>
      <c r="AD2" s="181"/>
      <c r="AE2" s="182"/>
      <c r="AF2" s="180" t="s">
        <v>3</v>
      </c>
      <c r="AG2" s="181"/>
      <c r="AH2" s="181"/>
      <c r="AI2" s="182"/>
      <c r="AJ2" s="28"/>
      <c r="AK2" s="181" t="s">
        <v>4</v>
      </c>
      <c r="AL2" s="182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IF(Table6220273233341718193046[[#This Row],[Non-Member]]="X"," ",IF(AH5=" "," ",IFERROR(VLOOKUP(AG5,Points!$A$2:$B$14,2,FALSE)," ")))</f>
        <v xml:space="preserve"> </v>
      </c>
      <c r="AJ5" s="7">
        <f>IF(Table6220273233341718193046[[#This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IF(Table6220273233341718193046[[#This Row],[Non-Member]]="X"," ",IF(AH6=" "," ",IFERROR(VLOOKUP(AG6,Points!$A$2:$B$14,2,FALSE)," ")))</f>
        <v xml:space="preserve"> </v>
      </c>
      <c r="AJ6" s="9">
        <f>IF(Table6220273233341718193046[[#This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IF(Table6220273233341718193046[[#This Row],[Non-Member]]="X"," ",IF(AH7=" "," ",IFERROR(VLOOKUP(AG7,Points!$A$2:$B$14,2,FALSE)," ")))</f>
        <v xml:space="preserve"> </v>
      </c>
      <c r="AJ7" s="9">
        <f>IF(Table6220273233341718193046[[#This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IF(Table6220273233341718193046[[#This Row],[Non-Member]]="X"," ",IF(AH8=" "," ",IFERROR(VLOOKUP(AG8,Points!$A$2:$B$14,2,FALSE)," ")))</f>
        <v xml:space="preserve"> </v>
      </c>
      <c r="AJ8" s="9">
        <f>IF(Table6220273233341718193046[[#This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IF(Table6220273233341718193046[[#This Row],[Non-Member]]="X"," ",IF(AH9=" "," ",IFERROR(VLOOKUP(AG9,Points!$A$2:$B$14,2,FALSE)," ")))</f>
        <v xml:space="preserve"> </v>
      </c>
      <c r="AJ9" s="9">
        <f>IF(Table6220273233341718193046[[#This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IF(Table6220273233341718193046[[#This Row],[Non-Member]]="X"," ",IF(AH10=" "," ",IFERROR(VLOOKUP(AG10,Points!$A$2:$B$14,2,FALSE)," ")))</f>
        <v xml:space="preserve"> </v>
      </c>
      <c r="AJ10" s="9">
        <f>IF(Table6220273233341718193046[[#This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IF(Table6220273233341718193046[[#This Row],[Non-Member]]="X"," ",IF(AH11=" "," ",IFERROR(VLOOKUP(AG11,Points!$A$2:$B$14,2,FALSE)," ")))</f>
        <v xml:space="preserve"> </v>
      </c>
      <c r="AJ11" s="9">
        <f>IF(Table6220273233341718193046[[#This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IF(Table6220273233341718193046[[#This Row],[Non-Member]]="X"," ",IF(AH12=" "," ",IFERROR(VLOOKUP(AG12,Points!$A$2:$B$14,2,FALSE)," ")))</f>
        <v xml:space="preserve"> </v>
      </c>
      <c r="AJ12" s="9">
        <f>IF(Table6220273233341718193046[[#This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IF(Table6220273233341718193046[[#This Row],[Non-Member]]="X"," ",IF(AH13=" "," ",IFERROR(VLOOKUP(AG13,Points!$A$2:$B$14,2,FALSE)," ")))</f>
        <v xml:space="preserve"> </v>
      </c>
      <c r="AJ13" s="9">
        <f>IF(Table6220273233341718193046[[#This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IF(Table6220273233341718193046[[#This Row],[Non-Member]]="X"," ",IF(AH14=" "," ",IFERROR(VLOOKUP(AG14,Points!$A$2:$B$14,2,FALSE)," ")))</f>
        <v xml:space="preserve"> </v>
      </c>
      <c r="AJ14" s="9">
        <f>IF(Table6220273233341718193046[[#This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IF(Table6220273233341718193046[[#This Row],[Non-Member]]="X"," ",IF(AH15=" "," ",IFERROR(VLOOKUP(AG15,Points!$A$2:$B$14,2,FALSE)," ")))</f>
        <v xml:space="preserve"> </v>
      </c>
      <c r="AJ15" s="9">
        <f>IF(Table6220273233341718193046[[#This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IF(Table6220273233341718193046[[#This Row],[Non-Member]]="X"," ",IF(AH16=" "," ",IFERROR(VLOOKUP(AG16,Points!$A$2:$B$14,2,FALSE)," ")))</f>
        <v xml:space="preserve"> </v>
      </c>
      <c r="AJ16" s="23">
        <f>IF(Table6220273233341718193046[[#This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IF(Table6220273233341718193046[[#This Row],[Non-Member]]="X"," ",IF(AH17=" "," ",IFERROR(VLOOKUP(AG17,Points!$A$2:$B$14,2,FALSE)," ")))</f>
        <v xml:space="preserve"> </v>
      </c>
      <c r="AJ17" s="23">
        <f>IF(Table6220273233341718193046[[#This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IF(Table6220273233341718193046[[#This Row],[Non-Member]]="X"," ",IF(AH18=" "," ",IFERROR(VLOOKUP(AG18,Points!$A$2:$B$14,2,FALSE)," ")))</f>
        <v xml:space="preserve"> </v>
      </c>
      <c r="AJ18" s="23">
        <f>IF(Table6220273233341718193046[[#This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IF(Table6220273233341718193046[[#This Row],[Non-Member]]="X"," ",IF(AH19=" "," ",IFERROR(VLOOKUP(AG19,Points!$A$2:$B$14,2,FALSE)," ")))</f>
        <v xml:space="preserve"> </v>
      </c>
      <c r="AJ19" s="9">
        <f>IF(Table6220273233341718193046[[#This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IF(Table6220273233341718193046[[#This Row],[Non-Member]]="X"," ",IF(AH20=" "," ",IFERROR(VLOOKUP(AG20,Points!$A$2:$B$14,2,FALSE)," ")))</f>
        <v xml:space="preserve"> </v>
      </c>
      <c r="AJ20" s="9">
        <f>IF(Table6220273233341718193046[[#This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IF(Table6220273233341718193046[[#This Row],[Non-Member]]="X"," ",IF(AH21=" "," ",IFERROR(VLOOKUP(AG21,Points!$A$2:$B$14,2,FALSE)," ")))</f>
        <v xml:space="preserve"> </v>
      </c>
      <c r="AJ21" s="9">
        <f>IF(Table6220273233341718193046[[#This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IF(Table6220273233341718193046[[#This Row],[Non-Member]]="X"," ",IF(AH22=" "," ",IFERROR(VLOOKUP(AG22,Points!$A$2:$B$14,2,FALSE)," ")))</f>
        <v xml:space="preserve"> </v>
      </c>
      <c r="AJ22" s="9">
        <f>IF(Table6220273233341718193046[[#This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IF(Table6220273233341718193046[[#This Row],[Non-Member]]="X"," ",IF(AH23=" "," ",IFERROR(VLOOKUP(AG23,Points!$A$2:$B$14,2,FALSE)," ")))</f>
        <v xml:space="preserve"> </v>
      </c>
      <c r="AJ23" s="9">
        <f>IF(Table6220273233341718193046[[#This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IF(Table6220273233341718193046[[#This Row],[Non-Member]]="X"," ",IF(AH24=" "," ",IFERROR(VLOOKUP(AG24,Points!$A$2:$B$14,2,FALSE)," ")))</f>
        <v xml:space="preserve"> </v>
      </c>
      <c r="AJ24" s="9">
        <f>IF(Table6220273233341718193046[[#This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wJomZ3LbsR/cv7gnr9yuLh+Tei3GsPM9NUlUjZdjhi0r4EYjX+vveFqHw8zHjrNPlmfrdFc4EKwEhSmKVJSipw==" saltValue="I7xyjpawZTRcaPAnxQD/5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7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7" customWidth="1"/>
    <col min="5" max="5" width="11.7265625" style="57" hidden="1" customWidth="1"/>
    <col min="6" max="6" width="11.7265625" style="57" customWidth="1"/>
    <col min="7" max="7" width="11.7265625" style="60" customWidth="1"/>
    <col min="8" max="8" width="11.7265625" style="57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7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107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132</v>
      </c>
      <c r="C5" s="84"/>
      <c r="D5" s="145"/>
      <c r="E5" s="86" t="str">
        <f t="shared" ref="E5:E24" si="0">IF(D5=0," ",_xlfn.RANK.AVG(D5,D$5:D$24,0))</f>
        <v xml:space="preserve"> </v>
      </c>
      <c r="F5" s="86" t="str">
        <f t="shared" ref="F5:F24" si="1">IF(D5=0," ",IF((RANK(D5,D$5:D$24,0)&gt;6)," ",RANK(D5,D$5:D$24,0)))</f>
        <v xml:space="preserve"> </v>
      </c>
      <c r="G5" s="87" t="str">
        <f>IF(Table622027321526[[#This Row],[Non-Member]]="X"," ",IF(F5=" "," ",IFERROR(VLOOKUP(E5,Points!$A$2:$B$14,2,FALSE)," ")))</f>
        <v xml:space="preserve"> </v>
      </c>
      <c r="H5" s="145">
        <v>0</v>
      </c>
      <c r="I5" s="86" t="str">
        <f t="shared" ref="I5:I24" si="2">IF(H5=0," ",_xlfn.RANK.AVG(H5,H$5:H$24,0))</f>
        <v xml:space="preserve"> </v>
      </c>
      <c r="J5" s="86" t="str">
        <f t="shared" ref="J5:J24" si="3">IF(H5=0," ",IF((RANK(H5,H$5:H$24,0)&gt;6)," ",RANK(H5,H$5:H$24,0)))</f>
        <v xml:space="preserve"> </v>
      </c>
      <c r="K5" s="87" t="str">
        <f>IF(Table622027321526[[#This Row],[Non-Member]]="X"," ",IF(J5=" "," ",IFERROR(VLOOKUP(I5,Points!$A$2:$B$14,2,FALSE)," ")))</f>
        <v xml:space="preserve"> </v>
      </c>
      <c r="L5" s="145">
        <v>63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IF(Table622027321526[[#This Row],[Non-Member]]="X"," ",IF(N5=" "," ",IFERROR(VLOOKUP(M5,Points!$A$2:$B$14,2,FALSE)," ")))</f>
        <v>18</v>
      </c>
      <c r="P5" s="145">
        <v>55</v>
      </c>
      <c r="Q5" s="86">
        <f t="shared" ref="Q5:Q24" si="6">IF(P5=0," ",_xlfn.RANK.AVG(P5,P$5:P$24,0))</f>
        <v>2</v>
      </c>
      <c r="R5" s="86">
        <f t="shared" ref="R5:R24" si="7">IF(P5=0," ",IF((RANK(P5,P$5:P$24,0)&gt;6)," ",RANK(P5,P$5:P$24,0)))</f>
        <v>2</v>
      </c>
      <c r="S5" s="87">
        <f>IF(Table622027321526[[#This Row],[Non-Member]]="X"," ",IF(R5=" "," ",IFERROR(VLOOKUP(Q5,Points!$A$2:$B$14,2,FALSE)," ")))</f>
        <v>15</v>
      </c>
      <c r="T5" s="145"/>
      <c r="U5" s="86" t="str">
        <f t="shared" ref="U5:U24" si="8">IF(T5=0," ",_xlfn.RANK.AVG(T5,T$5:T$24,0))</f>
        <v xml:space="preserve"> </v>
      </c>
      <c r="V5" s="86" t="str">
        <f t="shared" ref="V5:V24" si="9">IF(T5=0," ",IF((RANK(T5,T$5:T$24,0)&gt;6)," ",RANK(T5,T$5:T$24,0)))</f>
        <v xml:space="preserve"> </v>
      </c>
      <c r="W5" s="87" t="str">
        <f>IF(Table622027321526[[#This Row],[Non-Member]]="X"," ",IF(V5=" "," ",IFERROR(VLOOKUP(U5,Points!$A$2:$B$14,2,FALSE)," ")))</f>
        <v xml:space="preserve"> </v>
      </c>
      <c r="X5" s="145"/>
      <c r="Y5" s="86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IF(Table622027321526[[#This Row],[Non-Member]]="X"," ",IF(Z5=" "," ",IFERROR(VLOOKUP(Y5,Points!$A$2:$B$14,2,FALSE)," ")))</f>
        <v xml:space="preserve"> </v>
      </c>
      <c r="AB5" s="145"/>
      <c r="AC5" s="86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IF(Table622027321526[[#This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89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IF(Table622027321526[[#This Row],[Non-Member]]="X"," ",IF(AH5=" "," ",IFERROR(VLOOKUP(AG5,Points!$A$2:$B$14,2,FALSE)," ")))</f>
        <v xml:space="preserve"> </v>
      </c>
      <c r="AJ5" s="86">
        <f>IF(Table622027321526[[#This Row],[Non-Member]]="X"," ",((IF(G5=" ",0,G5))+(IF(K5=" ",0,K5))+(IF(O5=" ",0,O5))+(IF(S5=" ",0,S5))+(IF(W5=" ",0,W5))+(IF(AA5=" ",0,AA5))+(IF(AE5=" ",0,AE5))+(IF(AI5=" ",0,AI5))))</f>
        <v>33</v>
      </c>
      <c r="AK5" s="88">
        <f t="shared" ref="AK5:AK24" si="17">IF(AJ5=0," ",AJ5)</f>
        <v>33</v>
      </c>
      <c r="AL5" s="89">
        <f t="shared" ref="AL5:AL24" si="18">IF(AK5=" "," ",RANK(AK5,$AK$5:$AK$24))</f>
        <v>1</v>
      </c>
    </row>
    <row r="6" spans="2:38" x14ac:dyDescent="0.3">
      <c r="B6" s="90" t="s">
        <v>134</v>
      </c>
      <c r="C6" s="91"/>
      <c r="D6" s="146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IF(Table622027321526[[#This Row],[Non-Member]]="X"," ",IF(F6=" "," ",IFERROR(VLOOKUP(E6,Points!$A$2:$B$14,2,FALSE)," ")))</f>
        <v xml:space="preserve"> </v>
      </c>
      <c r="H6" s="146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IF(Table622027321526[[#This Row],[Non-Member]]="X"," ",IF(J6=" "," ",IFERROR(VLOOKUP(I6,Points!$A$2:$B$14,2,FALSE)," ")))</f>
        <v xml:space="preserve"> </v>
      </c>
      <c r="L6" s="146">
        <v>58</v>
      </c>
      <c r="M6" s="93">
        <f t="shared" si="4"/>
        <v>3</v>
      </c>
      <c r="N6" s="93">
        <f t="shared" si="5"/>
        <v>3</v>
      </c>
      <c r="O6" s="94">
        <f>IF(Table622027321526[[#This Row],[Non-Member]]="X"," ",IF(N6=" "," ",IFERROR(VLOOKUP(M6,Points!$A$2:$B$14,2,FALSE)," ")))</f>
        <v>12</v>
      </c>
      <c r="P6" s="146">
        <v>62</v>
      </c>
      <c r="Q6" s="93">
        <f t="shared" si="6"/>
        <v>1</v>
      </c>
      <c r="R6" s="93">
        <f t="shared" si="7"/>
        <v>1</v>
      </c>
      <c r="S6" s="94">
        <f>IF(Table622027321526[[#This Row],[Non-Member]]="X"," ",IF(R6=" "," ",IFERROR(VLOOKUP(Q6,Points!$A$2:$B$14,2,FALSE)," ")))</f>
        <v>18</v>
      </c>
      <c r="T6" s="146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IF(Table622027321526[[#This Row],[Non-Member]]="X"," ",IF(V6=" "," ",IFERROR(VLOOKUP(U6,Points!$A$2:$B$14,2,FALSE)," ")))</f>
        <v xml:space="preserve"> 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IF(Table622027321526[[#This Row],[Non-Member]]="X"," ",IF(Z6=" "," ",IFERROR(VLOOKUP(Y6,Points!$A$2:$B$14,2,FALSE)," ")))</f>
        <v xml:space="preserve"> </v>
      </c>
      <c r="AB6" s="146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IF(Table622027321526[[#This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IF(Table622027321526[[#This Row],[Non-Member]]="X"," ",IF(AH6=" "," ",IFERROR(VLOOKUP(AG6,Points!$A$2:$B$14,2,FALSE)," ")))</f>
        <v xml:space="preserve"> </v>
      </c>
      <c r="AJ6" s="93">
        <f>IF(Table622027321526[[#This Row],[Non-Member]]="X"," ",((IF(G6=" ",0,G6))+(IF(K6=" ",0,K6))+(IF(O6=" ",0,O6))+(IF(S6=" ",0,S6))+(IF(W6=" ",0,W6))+(IF(AA6=" ",0,AA6))+(IF(AE6=" ",0,AE6))+(IF(AI6=" ",0,AI6))))</f>
        <v>30</v>
      </c>
      <c r="AK6" s="95">
        <f t="shared" si="17"/>
        <v>30</v>
      </c>
      <c r="AL6" s="96">
        <f t="shared" si="18"/>
        <v>2</v>
      </c>
    </row>
    <row r="7" spans="2:38" x14ac:dyDescent="0.3">
      <c r="B7" s="90" t="s">
        <v>135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IF(Table622027321526[[#This Row],[Non-Member]]="X"," ",IF(F7=" "," ",IFERROR(VLOOKUP(E7,Points!$A$2:$B$14,2,FALSE)," ")))</f>
        <v xml:space="preserve"> </v>
      </c>
      <c r="H7" s="146">
        <v>67</v>
      </c>
      <c r="I7" s="93">
        <f t="shared" si="2"/>
        <v>1</v>
      </c>
      <c r="J7" s="93">
        <f t="shared" si="3"/>
        <v>1</v>
      </c>
      <c r="K7" s="94">
        <f>IF(Table622027321526[[#This Row],[Non-Member]]="X"," ",IF(J7=" "," ",IFERROR(VLOOKUP(I7,Points!$A$2:$B$14,2,FALSE)," ")))</f>
        <v>18</v>
      </c>
      <c r="L7" s="146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IF(Table622027321526[[#This Row],[Non-Member]]="X"," ",IF(N7=" "," ",IFERROR(VLOOKUP(M7,Points!$A$2:$B$14,2,FALSE)," ")))</f>
        <v xml:space="preserve"> </v>
      </c>
      <c r="P7" s="146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IF(Table622027321526[[#This Row],[Non-Member]]="X"," ",IF(R7=" "," ",IFERROR(VLOOKUP(Q7,Points!$A$2:$B$14,2,FALSE)," ")))</f>
        <v xml:space="preserve"> </v>
      </c>
      <c r="T7" s="146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IF(Table622027321526[[#This Row],[Non-Member]]="X"," ",IF(V7=" "," ",IFERROR(VLOOKUP(U7,Points!$A$2:$B$14,2,FALSE)," ")))</f>
        <v xml:space="preserve"> 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IF(Table622027321526[[#This Row],[Non-Member]]="X"," ",IF(Z7=" "," ",IFERROR(VLOOKUP(Y7,Points!$A$2:$B$14,2,FALSE)," ")))</f>
        <v xml:space="preserve"> </v>
      </c>
      <c r="AB7" s="146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IF(Table622027321526[[#This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IF(Table622027321526[[#This Row],[Non-Member]]="X"," ",IF(AH7=" "," ",IFERROR(VLOOKUP(AG7,Points!$A$2:$B$14,2,FALSE)," ")))</f>
        <v xml:space="preserve"> </v>
      </c>
      <c r="AJ7" s="93">
        <f>IF(Table622027321526[[#This Row],[Non-Member]]="X"," ",((IF(G7=" ",0,G7))+(IF(K7=" ",0,K7))+(IF(O7=" ",0,O7))+(IF(S7=" ",0,S7))+(IF(W7=" ",0,W7))+(IF(AA7=" ",0,AA7))+(IF(AE7=" ",0,AE7))+(IF(AI7=" ",0,AI7))))</f>
        <v>18</v>
      </c>
      <c r="AK7" s="95">
        <f t="shared" si="17"/>
        <v>18</v>
      </c>
      <c r="AL7" s="96">
        <f t="shared" si="18"/>
        <v>3</v>
      </c>
    </row>
    <row r="8" spans="2:38" x14ac:dyDescent="0.3">
      <c r="B8" s="90" t="s">
        <v>220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IF(Table622027321526[[#This Row],[Non-Member]]="X"," ",IF(F8=" "," ",IFERROR(VLOOKUP(E8,Points!$A$2:$B$14,2,FALSE)," ")))</f>
        <v xml:space="preserve"> </v>
      </c>
      <c r="H8" s="146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IF(Table622027321526[[#This Row],[Non-Member]]="X"," ",IF(J8=" "," ",IFERROR(VLOOKUP(I8,Points!$A$2:$B$14,2,FALSE)," ")))</f>
        <v xml:space="preserve"> </v>
      </c>
      <c r="L8" s="146">
        <v>59</v>
      </c>
      <c r="M8" s="93">
        <f t="shared" si="4"/>
        <v>2</v>
      </c>
      <c r="N8" s="93">
        <f t="shared" si="5"/>
        <v>2</v>
      </c>
      <c r="O8" s="94">
        <f>IF(Table622027321526[[#This Row],[Non-Member]]="X"," ",IF(N8=" "," ",IFERROR(VLOOKUP(M8,Points!$A$2:$B$14,2,FALSE)," ")))</f>
        <v>15</v>
      </c>
      <c r="P8" s="146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IF(Table622027321526[[#This Row],[Non-Member]]="X"," ",IF(R8=" "," ",IFERROR(VLOOKUP(Q8,Points!$A$2:$B$14,2,FALSE)," ")))</f>
        <v xml:space="preserve"> </v>
      </c>
      <c r="T8" s="146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IF(Table622027321526[[#This Row],[Non-Member]]="X"," ",IF(V8=" "," ",IFERROR(VLOOKUP(U8,Points!$A$2:$B$14,2,FALSE)," ")))</f>
        <v xml:space="preserve"> 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IF(Table622027321526[[#This Row],[Non-Member]]="X"," ",IF(Z8=" "," ",IFERROR(VLOOKUP(Y8,Points!$A$2:$B$14,2,FALSE)," ")))</f>
        <v xml:space="preserve"> </v>
      </c>
      <c r="AB8" s="146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IF(Table622027321526[[#This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IF(Table622027321526[[#This Row],[Non-Member]]="X"," ",IF(AH8=" "," ",IFERROR(VLOOKUP(AG8,Points!$A$2:$B$14,2,FALSE)," ")))</f>
        <v xml:space="preserve"> </v>
      </c>
      <c r="AJ8" s="93">
        <f>IF(Table622027321526[[#This Row],[Non-Member]]="X"," ",((IF(G8=" ",0,G8))+(IF(K8=" ",0,K8))+(IF(O8=" ",0,O8))+(IF(S8=" ",0,S8))+(IF(W8=" ",0,W8))+(IF(AA8=" ",0,AA8))+(IF(AE8=" ",0,AE8))+(IF(AI8=" ",0,AI8))))</f>
        <v>15</v>
      </c>
      <c r="AK8" s="95">
        <f t="shared" si="17"/>
        <v>15</v>
      </c>
      <c r="AL8" s="96">
        <f t="shared" si="18"/>
        <v>4</v>
      </c>
    </row>
    <row r="9" spans="2:38" x14ac:dyDescent="0.3">
      <c r="B9" s="90" t="s">
        <v>128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IF(Table622027321526[[#This Row],[Non-Member]]="X"," ",IF(F9=" "," ",IFERROR(VLOOKUP(E9,Points!$A$2:$B$14,2,FALSE)," ")))</f>
        <v xml:space="preserve"> </v>
      </c>
      <c r="H9" s="146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IF(Table622027321526[[#This Row],[Non-Member]]="X"," ",IF(J9=" "," ",IFERROR(VLOOKUP(I9,Points!$A$2:$B$14,2,FALSE)," ")))</f>
        <v xml:space="preserve"> </v>
      </c>
      <c r="L9" s="146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IF(Table622027321526[[#This Row],[Non-Member]]="X"," ",IF(N9=" "," ",IFERROR(VLOOKUP(M9,Points!$A$2:$B$14,2,FALSE)," ")))</f>
        <v xml:space="preserve"> </v>
      </c>
      <c r="P9" s="146">
        <v>53</v>
      </c>
      <c r="Q9" s="93">
        <f t="shared" si="6"/>
        <v>3</v>
      </c>
      <c r="R9" s="93">
        <f t="shared" si="7"/>
        <v>3</v>
      </c>
      <c r="S9" s="94">
        <f>IF(Table622027321526[[#This Row],[Non-Member]]="X"," ",IF(R9=" "," ",IFERROR(VLOOKUP(Q9,Points!$A$2:$B$14,2,FALSE)," ")))</f>
        <v>12</v>
      </c>
      <c r="T9" s="146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IF(Table622027321526[[#This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IF(Table622027321526[[#This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IF(Table622027321526[[#This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IF(Table622027321526[[#This Row],[Non-Member]]="X"," ",IF(AH9=" "," ",IFERROR(VLOOKUP(AG9,Points!$A$2:$B$14,2,FALSE)," ")))</f>
        <v xml:space="preserve"> </v>
      </c>
      <c r="AJ9" s="93">
        <f>IF(Table622027321526[[#This Row],[Non-Member]]="X"," ",((IF(G9=" ",0,G9))+(IF(K9=" ",0,K9))+(IF(O9=" ",0,O9))+(IF(S9=" ",0,S9))+(IF(W9=" ",0,W9))+(IF(AA9=" ",0,AA9))+(IF(AE9=" ",0,AE9))+(IF(AI9=" ",0,AI9))))</f>
        <v>12</v>
      </c>
      <c r="AK9" s="95">
        <f t="shared" si="17"/>
        <v>12</v>
      </c>
      <c r="AL9" s="96">
        <f t="shared" si="18"/>
        <v>5</v>
      </c>
    </row>
    <row r="10" spans="2:38" x14ac:dyDescent="0.3">
      <c r="B10" s="90" t="s">
        <v>176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IF(Table622027321526[[#This Row],[Non-Member]]="X"," ",IF(F10=" "," ",IFERROR(VLOOKUP(E10,Points!$A$2:$B$14,2,FALSE)," ")))</f>
        <v xml:space="preserve"> </v>
      </c>
      <c r="H10" s="146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IF(Table622027321526[[#This Row],[Non-Member]]="X"," ",IF(J10=" "," ",IFERROR(VLOOKUP(I10,Points!$A$2:$B$14,2,FALSE)," ")))</f>
        <v xml:space="preserve"> </v>
      </c>
      <c r="L10" s="146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IF(Table622027321526[[#This Row],[Non-Member]]="X"," ",IF(N10=" "," ",IFERROR(VLOOKUP(M10,Points!$A$2:$B$14,2,FALSE)," ")))</f>
        <v xml:space="preserve"> </v>
      </c>
      <c r="P10" s="146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IF(Table622027321526[[#This Row],[Non-Member]]="X"," ",IF(R10=" "," ",IFERROR(VLOOKUP(Q10,Points!$A$2:$B$14,2,FALSE)," ")))</f>
        <v xml:space="preserve"> </v>
      </c>
      <c r="T10" s="146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IF(Table622027321526[[#This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IF(Table622027321526[[#This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IF(Table622027321526[[#This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IF(Table622027321526[[#This Row],[Non-Member]]="X"," ",IF(AH10=" "," ",IFERROR(VLOOKUP(AG10,Points!$A$2:$B$14,2,FALSE)," ")))</f>
        <v xml:space="preserve"> </v>
      </c>
      <c r="AJ10" s="93">
        <f>IF(Table622027321526[[#This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/>
      <c r="C11" s="91"/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IF(Table622027321526[[#This Row],[Non-Member]]="X"," ",IF(F11=" "," ",IFERROR(VLOOKUP(E11,Points!$A$2:$B$14,2,FALSE)," ")))</f>
        <v xml:space="preserve"> </v>
      </c>
      <c r="H11" s="146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IF(Table622027321526[[#This Row],[Non-Member]]="X"," ",IF(J11=" "," ",IFERROR(VLOOKUP(I11,Points!$A$2:$B$14,2,FALSE)," ")))</f>
        <v xml:space="preserve"> </v>
      </c>
      <c r="L11" s="146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IF(Table622027321526[[#This Row],[Non-Member]]="X"," ",IF(N11=" "," ",IFERROR(VLOOKUP(M11,Points!$A$2:$B$14,2,FALSE)," ")))</f>
        <v xml:space="preserve"> </v>
      </c>
      <c r="P11" s="146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IF(Table622027321526[[#This Row],[Non-Member]]="X"," ",IF(R11=" "," ",IFERROR(VLOOKUP(Q11,Points!$A$2:$B$14,2,FALSE)," ")))</f>
        <v xml:space="preserve"> </v>
      </c>
      <c r="T11" s="146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IF(Table622027321526[[#This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IF(Table622027321526[[#This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IF(Table622027321526[[#This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IF(Table622027321526[[#This Row],[Non-Member]]="X"," ",IF(AH11=" "," ",IFERROR(VLOOKUP(AG11,Points!$A$2:$B$14,2,FALSE)," ")))</f>
        <v xml:space="preserve"> </v>
      </c>
      <c r="AJ11" s="93">
        <f>IF(Table622027321526[[#This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/>
      <c r="C12" s="91"/>
      <c r="D12" s="146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IF(Table622027321526[[#This Row],[Non-Member]]="X"," ",IF(F12=" "," ",IFERROR(VLOOKUP(E12,Points!$A$2:$B$14,2,FALSE)," ")))</f>
        <v xml:space="preserve"> </v>
      </c>
      <c r="H12" s="146"/>
      <c r="I12" s="97" t="str">
        <f t="shared" si="2"/>
        <v xml:space="preserve"> </v>
      </c>
      <c r="J12" s="93" t="str">
        <f t="shared" si="3"/>
        <v xml:space="preserve"> </v>
      </c>
      <c r="K12" s="94" t="str">
        <f>IF(Table622027321526[[#This Row],[Non-Member]]="X"," ",IF(J12=" "," ",IFERROR(VLOOKUP(I12,Points!$A$2:$B$14,2,FALSE)," ")))</f>
        <v xml:space="preserve"> </v>
      </c>
      <c r="L12" s="146"/>
      <c r="M12" s="97" t="str">
        <f t="shared" si="4"/>
        <v xml:space="preserve"> </v>
      </c>
      <c r="N12" s="93" t="str">
        <f t="shared" si="5"/>
        <v xml:space="preserve"> </v>
      </c>
      <c r="O12" s="94" t="str">
        <f>IF(Table622027321526[[#This Row],[Non-Member]]="X"," ",IF(N12=" "," ",IFERROR(VLOOKUP(M12,Points!$A$2:$B$14,2,FALSE)," ")))</f>
        <v xml:space="preserve"> </v>
      </c>
      <c r="P12" s="146"/>
      <c r="Q12" s="97" t="str">
        <f t="shared" si="6"/>
        <v xml:space="preserve"> </v>
      </c>
      <c r="R12" s="93" t="str">
        <f t="shared" si="7"/>
        <v xml:space="preserve"> </v>
      </c>
      <c r="S12" s="94" t="str">
        <f>IF(Table622027321526[[#This Row],[Non-Member]]="X"," ",IF(R12=" "," ",IFERROR(VLOOKUP(Q12,Points!$A$2:$B$14,2,FALSE)," ")))</f>
        <v xml:space="preserve"> </v>
      </c>
      <c r="T12" s="146"/>
      <c r="U12" s="97" t="str">
        <f t="shared" si="8"/>
        <v xml:space="preserve"> </v>
      </c>
      <c r="V12" s="93" t="str">
        <f t="shared" si="9"/>
        <v xml:space="preserve"> </v>
      </c>
      <c r="W12" s="94" t="str">
        <f>IF(Table622027321526[[#This Row],[Non-Member]]="X"," ",IF(V12=" "," ",IFERROR(VLOOKUP(U12,Points!$A$2:$B$14,2,FALSE)," ")))</f>
        <v xml:space="preserve"> </v>
      </c>
      <c r="X12" s="146"/>
      <c r="Y12" s="97" t="str">
        <f t="shared" si="10"/>
        <v xml:space="preserve"> </v>
      </c>
      <c r="Z12" s="93" t="str">
        <f t="shared" si="11"/>
        <v xml:space="preserve"> </v>
      </c>
      <c r="AA12" s="94" t="str">
        <f>IF(Table622027321526[[#This Row],[Non-Member]]="X"," ",IF(Z12=" "," ",IFERROR(VLOOKUP(Y12,Points!$A$2:$B$14,2,FALSE)," ")))</f>
        <v xml:space="preserve"> </v>
      </c>
      <c r="AB12" s="146"/>
      <c r="AC12" s="97" t="str">
        <f t="shared" si="12"/>
        <v xml:space="preserve"> </v>
      </c>
      <c r="AD12" s="93" t="str">
        <f t="shared" si="13"/>
        <v xml:space="preserve"> </v>
      </c>
      <c r="AE12" s="94" t="str">
        <f>IF(Table622027321526[[#This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8" t="e">
        <f t="shared" si="15"/>
        <v>#VALUE!</v>
      </c>
      <c r="AH12" s="93" t="str">
        <f t="shared" si="16"/>
        <v xml:space="preserve"> </v>
      </c>
      <c r="AI12" s="94" t="str">
        <f>IF(Table622027321526[[#This Row],[Non-Member]]="X"," ",IF(AH12=" "," ",IFERROR(VLOOKUP(AG12,Points!$A$2:$B$14,2,FALSE)," ")))</f>
        <v xml:space="preserve"> </v>
      </c>
      <c r="AJ12" s="97">
        <f>IF(Table622027321526[[#This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8" t="str">
        <f t="shared" si="18"/>
        <v xml:space="preserve"> </v>
      </c>
    </row>
    <row r="13" spans="2:38" x14ac:dyDescent="0.3">
      <c r="B13" s="90"/>
      <c r="C13" s="91"/>
      <c r="D13" s="146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IF(Table622027321526[[#This Row],[Non-Member]]="X"," ",IF(F13=" "," ",IFERROR(VLOOKUP(E13,Points!$A$2:$B$14,2,FALSE)," ")))</f>
        <v xml:space="preserve"> </v>
      </c>
      <c r="H13" s="146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IF(Table622027321526[[#This Row],[Non-Member]]="X"," ",IF(J13=" "," ",IFERROR(VLOOKUP(I13,Points!$A$2:$B$14,2,FALSE)," ")))</f>
        <v xml:space="preserve"> </v>
      </c>
      <c r="L13" s="146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IF(Table622027321526[[#This Row],[Non-Member]]="X"," ",IF(N13=" "," ",IFERROR(VLOOKUP(M13,Points!$A$2:$B$14,2,FALSE)," ")))</f>
        <v xml:space="preserve"> </v>
      </c>
      <c r="P13" s="146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IF(Table622027321526[[#This Row],[Non-Member]]="X"," ",IF(R13=" "," ",IFERROR(VLOOKUP(Q13,Points!$A$2:$B$14,2,FALSE)," ")))</f>
        <v xml:space="preserve"> </v>
      </c>
      <c r="T13" s="146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IF(Table622027321526[[#This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IF(Table622027321526[[#This Row],[Non-Member]]="X"," ",IF(Z13=" "," ",IFERROR(VLOOKUP(Y13,Points!$A$2:$B$14,2,FALSE)," ")))</f>
        <v xml:space="preserve"> </v>
      </c>
      <c r="AB13" s="146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IF(Table622027321526[[#This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IF(Table622027321526[[#This Row],[Non-Member]]="X"," ",IF(AH13=" "," ",IFERROR(VLOOKUP(AG13,Points!$A$2:$B$14,2,FALSE)," ")))</f>
        <v xml:space="preserve"> </v>
      </c>
      <c r="AJ13" s="93">
        <f>IF(Table622027321526[[#This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/>
      <c r="C14" s="91"/>
      <c r="D14" s="146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IF(Table622027321526[[#This Row],[Non-Member]]="X"," ",IF(F14=" "," ",IFERROR(VLOOKUP(E14,Points!$A$2:$B$14,2,FALSE)," ")))</f>
        <v xml:space="preserve"> </v>
      </c>
      <c r="H14" s="146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IF(Table622027321526[[#This Row],[Non-Member]]="X"," ",IF(J14=" "," ",IFERROR(VLOOKUP(I14,Points!$A$2:$B$14,2,FALSE)," ")))</f>
        <v xml:space="preserve"> </v>
      </c>
      <c r="L14" s="146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IF(Table622027321526[[#This Row],[Non-Member]]="X"," ",IF(N14=" "," ",IFERROR(VLOOKUP(M14,Points!$A$2:$B$14,2,FALSE)," ")))</f>
        <v xml:space="preserve"> </v>
      </c>
      <c r="P14" s="146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IF(Table622027321526[[#This Row],[Non-Member]]="X"," ",IF(R14=" "," ",IFERROR(VLOOKUP(Q14,Points!$A$2:$B$14,2,FALSE)," ")))</f>
        <v xml:space="preserve"> </v>
      </c>
      <c r="T14" s="146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IF(Table622027321526[[#This Row],[Non-Member]]="X"," ",IF(V14=" "," ",IFERROR(VLOOKUP(U14,Points!$A$2:$B$14,2,FALSE)," ")))</f>
        <v xml:space="preserve"> </v>
      </c>
      <c r="X14" s="146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IF(Table622027321526[[#This Row],[Non-Member]]="X"," ",IF(Z14=" "," ",IFERROR(VLOOKUP(Y14,Points!$A$2:$B$14,2,FALSE)," ")))</f>
        <v xml:space="preserve"> </v>
      </c>
      <c r="AB14" s="146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IF(Table622027321526[[#This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IF(Table622027321526[[#This Row],[Non-Member]]="X"," ",IF(AH14=" "," ",IFERROR(VLOOKUP(AG14,Points!$A$2:$B$14,2,FALSE)," ")))</f>
        <v xml:space="preserve"> </v>
      </c>
      <c r="AJ14" s="93">
        <f>IF(Table622027321526[[#This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IF(Table622027321526[[#This Row],[Non-Member]]="X"," ",IF(F15=" "," ",IFERROR(VLOOKUP(E15,Points!$A$2:$B$14,2,FALSE)," ")))</f>
        <v xml:space="preserve"> </v>
      </c>
      <c r="H15" s="146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IF(Table622027321526[[#This Row],[Non-Member]]="X"," ",IF(J15=" "," ",IFERROR(VLOOKUP(I15,Points!$A$2:$B$14,2,FALSE)," ")))</f>
        <v xml:space="preserve"> </v>
      </c>
      <c r="L15" s="146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IF(Table622027321526[[#This Row],[Non-Member]]="X"," ",IF(N15=" "," ",IFERROR(VLOOKUP(M15,Points!$A$2:$B$14,2,FALSE)," ")))</f>
        <v xml:space="preserve"> </v>
      </c>
      <c r="P15" s="146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IF(Table622027321526[[#This Row],[Non-Member]]="X"," ",IF(R15=" "," ",IFERROR(VLOOKUP(Q15,Points!$A$2:$B$14,2,FALSE)," ")))</f>
        <v xml:space="preserve"> </v>
      </c>
      <c r="T15" s="146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IF(Table622027321526[[#This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IF(Table622027321526[[#This Row],[Non-Member]]="X"," ",IF(Z15=" "," ",IFERROR(VLOOKUP(Y15,Points!$A$2:$B$14,2,FALSE)," ")))</f>
        <v xml:space="preserve"> </v>
      </c>
      <c r="AB15" s="146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IF(Table622027321526[[#This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IF(Table622027321526[[#This Row],[Non-Member]]="X"," ",IF(AH15=" "," ",IFERROR(VLOOKUP(AG15,Points!$A$2:$B$14,2,FALSE)," ")))</f>
        <v xml:space="preserve"> </v>
      </c>
      <c r="AJ15" s="93">
        <f>IF(Table622027321526[[#This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IF(Table622027321526[[#This Row],[Non-Member]]="X"," ",IF(F16=" "," ",IFERROR(VLOOKUP(E16,Points!$A$2:$B$14,2,FALSE)," ")))</f>
        <v xml:space="preserve"> </v>
      </c>
      <c r="H16" s="146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IF(Table622027321526[[#This Row],[Non-Member]]="X"," ",IF(J16=" "," ",IFERROR(VLOOKUP(I16,Points!$A$2:$B$14,2,FALSE)," ")))</f>
        <v xml:space="preserve"> </v>
      </c>
      <c r="L16" s="146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IF(Table622027321526[[#This Row],[Non-Member]]="X"," ",IF(N16=" "," ",IFERROR(VLOOKUP(M16,Points!$A$2:$B$14,2,FALSE)," ")))</f>
        <v xml:space="preserve"> </v>
      </c>
      <c r="P16" s="146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IF(Table622027321526[[#This Row],[Non-Member]]="X"," ",IF(R16=" "," ",IFERROR(VLOOKUP(Q16,Points!$A$2:$B$14,2,FALSE)," ")))</f>
        <v xml:space="preserve"> </v>
      </c>
      <c r="T16" s="146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IF(Table622027321526[[#This Row],[Non-Member]]="X"," ",IF(V16=" "," ",IFERROR(VLOOKUP(U16,Points!$A$2:$B$14,2,FALSE)," ")))</f>
        <v xml:space="preserve"> 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IF(Table622027321526[[#This Row],[Non-Member]]="X"," ",IF(Z16=" "," ",IFERROR(VLOOKUP(Y16,Points!$A$2:$B$14,2,FALSE)," ")))</f>
        <v xml:space="preserve"> </v>
      </c>
      <c r="AB16" s="146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IF(Table622027321526[[#This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IF(Table622027321526[[#This Row],[Non-Member]]="X"," ",IF(AH16=" "," ",IFERROR(VLOOKUP(AG16,Points!$A$2:$B$14,2,FALSE)," ")))</f>
        <v xml:space="preserve"> </v>
      </c>
      <c r="AJ16" s="93">
        <f>IF(Table622027321526[[#This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146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IF(Table622027321526[[#This Row],[Non-Member]]="X"," ",IF(F17=" "," ",IFERROR(VLOOKUP(E17,Points!$A$2:$B$14,2,FALSE)," ")))</f>
        <v xml:space="preserve"> </v>
      </c>
      <c r="H17" s="146"/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IF(Table622027321526[[#This Row],[Non-Member]]="X"," ",IF(J17=" "," ",IFERROR(VLOOKUP(I17,Points!$A$2:$B$14,2,FALSE)," ")))</f>
        <v xml:space="preserve"> </v>
      </c>
      <c r="L17" s="146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IF(Table622027321526[[#This Row],[Non-Member]]="X"," ",IF(N17=" "," ",IFERROR(VLOOKUP(M17,Points!$A$2:$B$14,2,FALSE)," ")))</f>
        <v xml:space="preserve"> </v>
      </c>
      <c r="P17" s="146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IF(Table622027321526[[#This Row],[Non-Member]]="X"," ",IF(R17=" "," ",IFERROR(VLOOKUP(Q17,Points!$A$2:$B$14,2,FALSE)," ")))</f>
        <v xml:space="preserve"> </v>
      </c>
      <c r="T17" s="146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IF(Table622027321526[[#This Row],[Non-Member]]="X"," ",IF(V17=" "," ",IFERROR(VLOOKUP(U17,Points!$A$2:$B$14,2,FALSE)," ")))</f>
        <v xml:space="preserve"> </v>
      </c>
      <c r="X17" s="146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IF(Table622027321526[[#This Row],[Non-Member]]="X"," ",IF(Z17=" "," ",IFERROR(VLOOKUP(Y17,Points!$A$2:$B$14,2,FALSE)," ")))</f>
        <v xml:space="preserve"> </v>
      </c>
      <c r="AB17" s="146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IF(Table622027321526[[#This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IF(Table622027321526[[#This Row],[Non-Member]]="X"," ",IF(AH17=" "," ",IFERROR(VLOOKUP(AG17,Points!$A$2:$B$14,2,FALSE)," ")))</f>
        <v xml:space="preserve"> </v>
      </c>
      <c r="AJ17" s="97">
        <f>IF(Table622027321526[[#This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146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IF(Table622027321526[[#This Row],[Non-Member]]="X"," ",IF(F18=" "," ",IFERROR(VLOOKUP(E18,Points!$A$2:$B$14,2,FALSE)," ")))</f>
        <v xml:space="preserve"> </v>
      </c>
      <c r="H18" s="146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IF(Table622027321526[[#This Row],[Non-Member]]="X"," ",IF(J18=" "," ",IFERROR(VLOOKUP(I18,Points!$A$2:$B$14,2,FALSE)," ")))</f>
        <v xml:space="preserve"> </v>
      </c>
      <c r="L18" s="146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IF(Table622027321526[[#This Row],[Non-Member]]="X"," ",IF(N18=" "," ",IFERROR(VLOOKUP(M18,Points!$A$2:$B$14,2,FALSE)," ")))</f>
        <v xml:space="preserve"> </v>
      </c>
      <c r="P18" s="146"/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IF(Table622027321526[[#This Row],[Non-Member]]="X"," ",IF(R18=" "," ",IFERROR(VLOOKUP(Q18,Points!$A$2:$B$14,2,FALSE)," ")))</f>
        <v xml:space="preserve"> </v>
      </c>
      <c r="T18" s="146"/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IF(Table622027321526[[#This Row],[Non-Member]]="X"," ",IF(V18=" "," ",IFERROR(VLOOKUP(U18,Points!$A$2:$B$14,2,FALSE)," ")))</f>
        <v xml:space="preserve"> </v>
      </c>
      <c r="X18" s="146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IF(Table622027321526[[#This Row],[Non-Member]]="X"," ",IF(Z18=" "," ",IFERROR(VLOOKUP(Y18,Points!$A$2:$B$14,2,FALSE)," ")))</f>
        <v xml:space="preserve"> </v>
      </c>
      <c r="AB18" s="146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IF(Table622027321526[[#This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IF(Table622027321526[[#This Row],[Non-Member]]="X"," ",IF(AH18=" "," ",IFERROR(VLOOKUP(AG18,Points!$A$2:$B$14,2,FALSE)," ")))</f>
        <v xml:space="preserve"> </v>
      </c>
      <c r="AJ18" s="97">
        <f>IF(Table622027321526[[#This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146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IF(Table622027321526[[#This Row],[Non-Member]]="X"," ",IF(F19=" "," ",IFERROR(VLOOKUP(E19,Points!$A$2:$B$14,2,FALSE)," ")))</f>
        <v xml:space="preserve"> </v>
      </c>
      <c r="H19" s="146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IF(Table622027321526[[#This Row],[Non-Member]]="X"," ",IF(J19=" "," ",IFERROR(VLOOKUP(I19,Points!$A$2:$B$14,2,FALSE)," ")))</f>
        <v xml:space="preserve"> </v>
      </c>
      <c r="L19" s="146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IF(Table622027321526[[#This Row],[Non-Member]]="X"," ",IF(N19=" "," ",IFERROR(VLOOKUP(M19,Points!$A$2:$B$14,2,FALSE)," ")))</f>
        <v xml:space="preserve"> </v>
      </c>
      <c r="P19" s="146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IF(Table622027321526[[#This Row],[Non-Member]]="X"," ",IF(R19=" "," ",IFERROR(VLOOKUP(Q19,Points!$A$2:$B$14,2,FALSE)," ")))</f>
        <v xml:space="preserve"> </v>
      </c>
      <c r="T19" s="146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IF(Table622027321526[[#This Row],[Non-Member]]="X"," ",IF(V19=" "," ",IFERROR(VLOOKUP(U19,Points!$A$2:$B$14,2,FALSE)," ")))</f>
        <v xml:space="preserve"> </v>
      </c>
      <c r="X19" s="146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IF(Table622027321526[[#This Row],[Non-Member]]="X"," ",IF(Z19=" "," ",IFERROR(VLOOKUP(Y19,Points!$A$2:$B$14,2,FALSE)," ")))</f>
        <v xml:space="preserve"> </v>
      </c>
      <c r="AB19" s="146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IF(Table622027321526[[#This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IF(Table622027321526[[#This Row],[Non-Member]]="X"," ",IF(AH19=" "," ",IFERROR(VLOOKUP(AG19,Points!$A$2:$B$14,2,FALSE)," ")))</f>
        <v xml:space="preserve"> </v>
      </c>
      <c r="AJ19" s="93">
        <f>IF(Table622027321526[[#This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IF(Table622027321526[[#This Row],[Non-Member]]="X"," ",IF(F20=" "," ",IFERROR(VLOOKUP(E20,Points!$A$2:$B$14,2,FALSE)," ")))</f>
        <v xml:space="preserve"> </v>
      </c>
      <c r="H20" s="146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IF(Table622027321526[[#This Row],[Non-Member]]="X"," ",IF(J20=" "," ",IFERROR(VLOOKUP(I20,Points!$A$2:$B$14,2,FALSE)," ")))</f>
        <v xml:space="preserve"> </v>
      </c>
      <c r="L20" s="146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IF(Table622027321526[[#This Row],[Non-Member]]="X"," ",IF(N20=" "," ",IFERROR(VLOOKUP(M20,Points!$A$2:$B$14,2,FALSE)," ")))</f>
        <v xml:space="preserve"> </v>
      </c>
      <c r="P20" s="146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IF(Table622027321526[[#This Row],[Non-Member]]="X"," ",IF(R20=" "," ",IFERROR(VLOOKUP(Q20,Points!$A$2:$B$14,2,FALSE)," ")))</f>
        <v xml:space="preserve"> </v>
      </c>
      <c r="T20" s="146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IF(Table622027321526[[#This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IF(Table622027321526[[#This Row],[Non-Member]]="X"," ",IF(Z20=" "," ",IFERROR(VLOOKUP(Y20,Points!$A$2:$B$14,2,FALSE)," ")))</f>
        <v xml:space="preserve"> </v>
      </c>
      <c r="AB20" s="146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IF(Table622027321526[[#This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IF(Table622027321526[[#This Row],[Non-Member]]="X"," ",IF(AH20=" "," ",IFERROR(VLOOKUP(AG20,Points!$A$2:$B$14,2,FALSE)," ")))</f>
        <v xml:space="preserve"> </v>
      </c>
      <c r="AJ20" s="93">
        <f>IF(Table622027321526[[#This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IF(Table622027321526[[#This Row],[Non-Member]]="X"," ",IF(F21=" "," ",IFERROR(VLOOKUP(E21,Points!$A$2:$B$14,2,FALSE)," ")))</f>
        <v xml:space="preserve"> </v>
      </c>
      <c r="H21" s="146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IF(Table622027321526[[#This Row],[Non-Member]]="X"," ",IF(J21=" "," ",IFERROR(VLOOKUP(I21,Points!$A$2:$B$14,2,FALSE)," ")))</f>
        <v xml:space="preserve"> </v>
      </c>
      <c r="L21" s="146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IF(Table622027321526[[#This Row],[Non-Member]]="X"," ",IF(N21=" "," ",IFERROR(VLOOKUP(M21,Points!$A$2:$B$14,2,FALSE)," ")))</f>
        <v xml:space="preserve"> </v>
      </c>
      <c r="P21" s="146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IF(Table622027321526[[#This Row],[Non-Member]]="X"," ",IF(R21=" "," ",IFERROR(VLOOKUP(Q21,Points!$A$2:$B$14,2,FALSE)," ")))</f>
        <v xml:space="preserve"> </v>
      </c>
      <c r="T21" s="146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IF(Table622027321526[[#This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IF(Table622027321526[[#This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IF(Table622027321526[[#This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IF(Table622027321526[[#This Row],[Non-Member]]="X"," ",IF(AH21=" "," ",IFERROR(VLOOKUP(AG21,Points!$A$2:$B$14,2,FALSE)," ")))</f>
        <v xml:space="preserve"> </v>
      </c>
      <c r="AJ21" s="93">
        <f>IF(Table622027321526[[#This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IF(Table622027321526[[#This Row],[Non-Member]]="X"," ",IF(F22=" "," ",IFERROR(VLOOKUP(E22,Points!$A$2:$B$14,2,FALSE)," ")))</f>
        <v xml:space="preserve"> </v>
      </c>
      <c r="H22" s="146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IF(Table622027321526[[#This Row],[Non-Member]]="X"," ",IF(J22=" "," ",IFERROR(VLOOKUP(I22,Points!$A$2:$B$14,2,FALSE)," ")))</f>
        <v xml:space="preserve"> </v>
      </c>
      <c r="L22" s="146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IF(Table622027321526[[#This Row],[Non-Member]]="X"," ",IF(N22=" "," ",IFERROR(VLOOKUP(M22,Points!$A$2:$B$14,2,FALSE)," ")))</f>
        <v xml:space="preserve"> </v>
      </c>
      <c r="P22" s="146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IF(Table622027321526[[#This Row],[Non-Member]]="X"," ",IF(R22=" "," ",IFERROR(VLOOKUP(Q22,Points!$A$2:$B$14,2,FALSE)," ")))</f>
        <v xml:space="preserve"> </v>
      </c>
      <c r="T22" s="146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IF(Table622027321526[[#This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IF(Table622027321526[[#This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IF(Table622027321526[[#This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IF(Table622027321526[[#This Row],[Non-Member]]="X"," ",IF(AH22=" "," ",IFERROR(VLOOKUP(AG22,Points!$A$2:$B$14,2,FALSE)," ")))</f>
        <v xml:space="preserve"> </v>
      </c>
      <c r="AJ22" s="93">
        <f>IF(Table622027321526[[#This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IF(Table622027321526[[#This Row],[Non-Member]]="X"," ",IF(F23=" "," ",IFERROR(VLOOKUP(E23,Points!$A$2:$B$14,2,FALSE)," ")))</f>
        <v xml:space="preserve"> </v>
      </c>
      <c r="H23" s="146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IF(Table622027321526[[#This Row],[Non-Member]]="X"," ",IF(J23=" "," ",IFERROR(VLOOKUP(I23,Points!$A$2:$B$14,2,FALSE)," ")))</f>
        <v xml:space="preserve"> </v>
      </c>
      <c r="L23" s="146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IF(Table622027321526[[#This Row],[Non-Member]]="X"," ",IF(N23=" "," ",IFERROR(VLOOKUP(M23,Points!$A$2:$B$14,2,FALSE)," ")))</f>
        <v xml:space="preserve"> </v>
      </c>
      <c r="P23" s="146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IF(Table622027321526[[#This Row],[Non-Member]]="X"," ",IF(R23=" "," ",IFERROR(VLOOKUP(Q23,Points!$A$2:$B$14,2,FALSE)," ")))</f>
        <v xml:space="preserve"> </v>
      </c>
      <c r="T23" s="146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IF(Table622027321526[[#This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IF(Table622027321526[[#This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IF(Table622027321526[[#This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IF(Table622027321526[[#This Row],[Non-Member]]="X"," ",IF(AH23=" "," ",IFERROR(VLOOKUP(AG23,Points!$A$2:$B$14,2,FALSE)," ")))</f>
        <v xml:space="preserve"> </v>
      </c>
      <c r="AJ23" s="93">
        <f>IF(Table622027321526[[#This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7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IF(Table622027321526[[#This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IF(Table622027321526[[#This Row],[Non-Member]]="X"," ",IF(J24=" "," ",IFERROR(VLOOKUP(I24,Points!$A$2:$B$14,2,FALSE)," ")))</f>
        <v xml:space="preserve"> </v>
      </c>
      <c r="L24" s="146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IF(Table622027321526[[#This Row],[Non-Member]]="X"," ",IF(N24=" "," ",IFERROR(VLOOKUP(M24,Points!$A$2:$B$14,2,FALSE)," ")))</f>
        <v xml:space="preserve"> </v>
      </c>
      <c r="P24" s="146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IF(Table622027321526[[#This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IF(Table622027321526[[#This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IF(Table622027321526[[#This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IF(Table622027321526[[#This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IF(Table622027321526[[#This Row],[Non-Member]]="X"," ",IF(AH24=" "," ",IFERROR(VLOOKUP(AG24,Points!$A$2:$B$14,2,FALSE)," ")))</f>
        <v xml:space="preserve"> </v>
      </c>
      <c r="AJ24" s="93">
        <f>IF(Table622027321526[[#This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+GjPlSUyzlyXHpOjLJcU5I+apGGrhCwXr2z8S+KpfvNuzp3fpQHZhTk+qZ4o/CR3ZGO0tQME2+fuCuxXi6LSMg==" saltValue="X3M0mfjHX96AvH3jZlsqk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68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108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IF(Table62202732331627[[#This Row],[Non-Member]]="X"," ",IF(F5=" "," ",IFERROR(VLOOKUP(E5,Points!$A$2:$B$14,2,FALSE)," ")))</f>
        <v xml:space="preserve"> </v>
      </c>
      <c r="H5" s="85">
        <v>12.33</v>
      </c>
      <c r="I5" s="86">
        <f t="shared" ref="I5:I24" si="2">IF(H5=0," ",_xlfn.RANK.AVG(H5,H$5:H$24,1)-COUNTIF(H$5:H$24,0))</f>
        <v>3</v>
      </c>
      <c r="J5" s="86">
        <f t="shared" ref="J5:J24" si="3">IF(H5=0," ",IF((RANK(H5,H$5:H$24,1)-COUNTIF(H$5:H$24,0)&gt;6)," ",RANK(H5,H$5:H$24,1)-COUNTIF(H$5:H$24,0)))</f>
        <v>3</v>
      </c>
      <c r="K5" s="87">
        <f>IF(Table62202732331627[[#This Row],[Non-Member]]="X"," ",IF(J5=" "," ",IFERROR(VLOOKUP(I5,Points!$A$2:$B$14,2,FALSE)," ")))</f>
        <v>12</v>
      </c>
      <c r="L5" s="85">
        <v>11.01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171">
        <f>IF(Table62202732331627[[#This Row],[Non-Member]]="X"," ",IF(N5=" "," ",IFERROR(VLOOKUP(M5,Points!$A$2:$B$14,2,FALSE)," ")))</f>
        <v>18</v>
      </c>
      <c r="P5" s="85">
        <v>11.35</v>
      </c>
      <c r="Q5" s="86">
        <f t="shared" ref="Q5:Q24" si="6">IF(P5=0," ",_xlfn.RANK.AVG(P5,P$5:P$24,1)-COUNTIF(P$5:P$24,0))</f>
        <v>1.5</v>
      </c>
      <c r="R5" s="86">
        <f t="shared" ref="R5:R24" si="7">IF(P5=0," ",IF((RANK(P5,P$5:P$24,1)-COUNTIF(P$5:P$24,0)&gt;6)," ",RANK(P5,P$5:P$24,1)-COUNTIF(P$5:P$24,0)))</f>
        <v>1</v>
      </c>
      <c r="S5" s="87">
        <f>IF(Table62202732331627[[#This Row],[Non-Member]]="X"," ",IF(R5=" "," ",IFERROR(VLOOKUP(Q5,Points!$A$2:$B$14,2,FALSE)," ")))</f>
        <v>16.5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IF(Table62202732331627[[#This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IF(Table62202732331627[[#This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IF(Table62202732331627[[#This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IF(Table62202732331627[[#This Row],[Non-Member]]="X"," ",IF(AH5=" "," ",IFERROR(VLOOKUP(AG5,Points!$A$2:$B$14,2,FALSE)," ")))</f>
        <v xml:space="preserve"> </v>
      </c>
      <c r="AJ5" s="86">
        <f>IF(Table62202732331627[[#This Row],[Non-Member]]="X"," ",((IF(G5=" ",0,G5))+(IF(K5=" ",0,K5))+(IF(O5=" ",0,O5))+(IF(S5=" ",0,S5))+(IF(W5=" ",0,W5))+(IF(AA5=" ",0,AA5))+(IF(AE5=" ",0,AE5))+(IF(AI5=" ",0,AI5))))</f>
        <v>46.5</v>
      </c>
      <c r="AK5" s="88">
        <f t="shared" ref="AK5:AK24" si="17">IF(AJ5=0," ",AJ5)</f>
        <v>46.5</v>
      </c>
      <c r="AL5" s="89">
        <f t="shared" ref="AL5:AL24" si="18">IF(AK5=" "," ",RANK(AK5,$AK$5:$AK$24))</f>
        <v>1</v>
      </c>
    </row>
    <row r="6" spans="2:38" x14ac:dyDescent="0.3">
      <c r="B6" s="90" t="s">
        <v>133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IF(Table62202732331627[[#This Row],[Non-Member]]="X"," ",IF(F6=" "," ",IFERROR(VLOOKUP(E6,Points!$A$2:$B$14,2,FALSE)," ")))</f>
        <v xml:space="preserve"> </v>
      </c>
      <c r="H6" s="92">
        <v>12.02</v>
      </c>
      <c r="I6" s="93">
        <f t="shared" si="2"/>
        <v>2</v>
      </c>
      <c r="J6" s="93">
        <f t="shared" si="3"/>
        <v>2</v>
      </c>
      <c r="K6" s="94">
        <f>IF(Table62202732331627[[#This Row],[Non-Member]]="X"," ",IF(J6=" "," ",IFERROR(VLOOKUP(I6,Points!$A$2:$B$14,2,FALSE)," ")))</f>
        <v>15</v>
      </c>
      <c r="L6" s="92">
        <v>13.67</v>
      </c>
      <c r="M6" s="93">
        <f t="shared" si="4"/>
        <v>6</v>
      </c>
      <c r="N6" s="93">
        <f t="shared" si="5"/>
        <v>6</v>
      </c>
      <c r="O6" s="94">
        <f>IF(Table62202732331627[[#This Row],[Non-Member]]="X"," ",IF(N6=" "," ",IFERROR(VLOOKUP(M6,Points!$A$2:$B$14,2,FALSE)," ")))</f>
        <v>3</v>
      </c>
      <c r="P6" s="92">
        <v>11.35</v>
      </c>
      <c r="Q6" s="93">
        <f t="shared" si="6"/>
        <v>1.5</v>
      </c>
      <c r="R6" s="93">
        <f t="shared" si="7"/>
        <v>1</v>
      </c>
      <c r="S6" s="94">
        <f>IF(Table62202732331627[[#This Row],[Non-Member]]="X"," ",IF(R6=" "," ",IFERROR(VLOOKUP(Q6,Points!$A$2:$B$14,2,FALSE)," ")))</f>
        <v>16.5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IF(Table62202732331627[[#This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IF(Table62202732331627[[#This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IF(Table62202732331627[[#This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IF(Table62202732331627[[#This Row],[Non-Member]]="X"," ",IF(AH6=" "," ",IFERROR(VLOOKUP(AG6,Points!$A$2:$B$14,2,FALSE)," ")))</f>
        <v xml:space="preserve"> </v>
      </c>
      <c r="AJ6" s="93">
        <f>IF(Table62202732331627[[#This Row],[Non-Member]]="X"," ",((IF(G6=" ",0,G6))+(IF(K6=" ",0,K6))+(IF(O6=" ",0,O6))+(IF(S6=" ",0,S6))+(IF(W6=" ",0,W6))+(IF(AA6=" ",0,AA6))+(IF(AE6=" ",0,AE6))+(IF(AI6=" ",0,AI6))))</f>
        <v>34.5</v>
      </c>
      <c r="AK6" s="95">
        <f t="shared" si="17"/>
        <v>34.5</v>
      </c>
      <c r="AL6" s="96">
        <f t="shared" si="18"/>
        <v>2</v>
      </c>
    </row>
    <row r="7" spans="2:38" x14ac:dyDescent="0.3">
      <c r="B7" s="90" t="s">
        <v>222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IF(Table62202732331627[[#This Row],[Non-Member]]="X"," ",IF(F7=" "," ",IFERROR(VLOOKUP(E7,Points!$A$2:$B$14,2,FALSE)," ")))</f>
        <v xml:space="preserve"> </v>
      </c>
      <c r="H7" s="92">
        <v>11.89</v>
      </c>
      <c r="I7" s="93">
        <f t="shared" si="2"/>
        <v>1</v>
      </c>
      <c r="J7" s="93">
        <f t="shared" si="3"/>
        <v>1</v>
      </c>
      <c r="K7" s="94">
        <f>IF(Table62202732331627[[#This Row],[Non-Member]]="X"," ",IF(J7=" "," ",IFERROR(VLOOKUP(I7,Points!$A$2:$B$14,2,FALSE)," ")))</f>
        <v>18</v>
      </c>
      <c r="L7" s="92">
        <v>11.48</v>
      </c>
      <c r="M7" s="93">
        <f t="shared" si="4"/>
        <v>2</v>
      </c>
      <c r="N7" s="93">
        <f t="shared" si="5"/>
        <v>2</v>
      </c>
      <c r="O7" s="94">
        <f>IF(Table62202732331627[[#This Row],[Non-Member]]="X"," ",IF(N7=" "," ",IFERROR(VLOOKUP(M7,Points!$A$2:$B$14,2,FALSE)," ")))</f>
        <v>15</v>
      </c>
      <c r="P7" s="92">
        <v>13.57</v>
      </c>
      <c r="Q7" s="93">
        <f t="shared" si="6"/>
        <v>7</v>
      </c>
      <c r="R7" s="93" t="str">
        <f t="shared" si="7"/>
        <v xml:space="preserve"> </v>
      </c>
      <c r="S7" s="94" t="str">
        <f>IF(Table62202732331627[[#This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IF(Table62202732331627[[#This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IF(Table62202732331627[[#This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IF(Table62202732331627[[#This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IF(Table62202732331627[[#This Row],[Non-Member]]="X"," ",IF(AH7=" "," ",IFERROR(VLOOKUP(AG7,Points!$A$2:$B$14,2,FALSE)," ")))</f>
        <v xml:space="preserve"> </v>
      </c>
      <c r="AJ7" s="93">
        <f>IF(Table62202732331627[[#This Row],[Non-Member]]="X"," ",((IF(G7=" ",0,G7))+(IF(K7=" ",0,K7))+(IF(O7=" ",0,O7))+(IF(S7=" ",0,S7))+(IF(W7=" ",0,W7))+(IF(AA7=" ",0,AA7))+(IF(AE7=" ",0,AE7))+(IF(AI7=" ",0,AI7))))</f>
        <v>33</v>
      </c>
      <c r="AK7" s="95">
        <f t="shared" si="17"/>
        <v>33</v>
      </c>
      <c r="AL7" s="96">
        <f t="shared" si="18"/>
        <v>3</v>
      </c>
    </row>
    <row r="8" spans="2:38" x14ac:dyDescent="0.3">
      <c r="B8" s="90" t="s">
        <v>220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IF(Table62202732331627[[#This Row],[Non-Member]]="X"," ",IF(F8=" "," ",IFERROR(VLOOKUP(E8,Points!$A$2:$B$14,2,FALSE)," ")))</f>
        <v xml:space="preserve"> </v>
      </c>
      <c r="H8" s="92">
        <v>12.67</v>
      </c>
      <c r="I8" s="93">
        <f t="shared" si="2"/>
        <v>4</v>
      </c>
      <c r="J8" s="93">
        <f t="shared" si="3"/>
        <v>4</v>
      </c>
      <c r="K8" s="94">
        <f>IF(Table62202732331627[[#This Row],[Non-Member]]="X"," ",IF(J8=" "," ",IFERROR(VLOOKUP(I8,Points!$A$2:$B$14,2,FALSE)," ")))</f>
        <v>9</v>
      </c>
      <c r="L8" s="92">
        <v>13.23</v>
      </c>
      <c r="M8" s="93">
        <f t="shared" si="4"/>
        <v>4</v>
      </c>
      <c r="N8" s="93">
        <f t="shared" si="5"/>
        <v>4</v>
      </c>
      <c r="O8" s="94">
        <f>IF(Table62202732331627[[#This Row],[Non-Member]]="X"," ",IF(N8=" "," ",IFERROR(VLOOKUP(M8,Points!$A$2:$B$14,2,FALSE)," ")))</f>
        <v>9</v>
      </c>
      <c r="P8" s="92">
        <v>12.23</v>
      </c>
      <c r="Q8" s="93">
        <f t="shared" si="6"/>
        <v>4</v>
      </c>
      <c r="R8" s="93">
        <f t="shared" si="7"/>
        <v>4</v>
      </c>
      <c r="S8" s="94">
        <f>IF(Table62202732331627[[#This Row],[Non-Member]]="X"," ",IF(R8=" "," ",IFERROR(VLOOKUP(Q8,Points!$A$2:$B$14,2,FALSE)," ")))</f>
        <v>9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IF(Table62202732331627[[#This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IF(Table62202732331627[[#This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IF(Table62202732331627[[#This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IF(Table62202732331627[[#This Row],[Non-Member]]="X"," ",IF(AH8=" "," ",IFERROR(VLOOKUP(AG8,Points!$A$2:$B$14,2,FALSE)," ")))</f>
        <v xml:space="preserve"> </v>
      </c>
      <c r="AJ8" s="93">
        <f>IF(Table62202732331627[[#This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6">
        <f t="shared" si="18"/>
        <v>4</v>
      </c>
    </row>
    <row r="9" spans="2:38" x14ac:dyDescent="0.3">
      <c r="B9" s="90" t="s">
        <v>134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IF(Table62202732331627[[#This Row],[Non-Member]]="X"," ",IF(F9=" "," ",IFERROR(VLOOKUP(E9,Points!$A$2:$B$14,2,FALSE)," ")))</f>
        <v xml:space="preserve"> </v>
      </c>
      <c r="H9" s="92">
        <v>13.56</v>
      </c>
      <c r="I9" s="93">
        <f t="shared" si="2"/>
        <v>5</v>
      </c>
      <c r="J9" s="93">
        <f t="shared" si="3"/>
        <v>5</v>
      </c>
      <c r="K9" s="94">
        <f>IF(Table62202732331627[[#This Row],[Non-Member]]="X"," ",IF(J9=" "," ",IFERROR(VLOOKUP(I9,Points!$A$2:$B$14,2,FALSE)," ")))</f>
        <v>6</v>
      </c>
      <c r="L9" s="92">
        <v>12.8</v>
      </c>
      <c r="M9" s="93">
        <f t="shared" si="4"/>
        <v>3</v>
      </c>
      <c r="N9" s="93">
        <f t="shared" si="5"/>
        <v>3</v>
      </c>
      <c r="O9" s="94">
        <f>IF(Table62202732331627[[#This Row],[Non-Member]]="X"," ",IF(N9=" "," ",IFERROR(VLOOKUP(M9,Points!$A$2:$B$14,2,FALSE)," ")))</f>
        <v>12</v>
      </c>
      <c r="P9" s="92">
        <v>12.7</v>
      </c>
      <c r="Q9" s="93">
        <f t="shared" si="6"/>
        <v>6</v>
      </c>
      <c r="R9" s="93">
        <f t="shared" si="7"/>
        <v>6</v>
      </c>
      <c r="S9" s="94">
        <f>IF(Table62202732331627[[#This Row],[Non-Member]]="X"," ",IF(R9=" "," ",IFERROR(VLOOKUP(Q9,Points!$A$2:$B$14,2,FALSE)," ")))</f>
        <v>3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IF(Table62202732331627[[#This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IF(Table62202732331627[[#This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IF(Table62202732331627[[#This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IF(Table62202732331627[[#This Row],[Non-Member]]="X"," ",IF(AH9=" "," ",IFERROR(VLOOKUP(AG9,Points!$A$2:$B$14,2,FALSE)," ")))</f>
        <v xml:space="preserve"> </v>
      </c>
      <c r="AJ9" s="93">
        <f>IF(Table62202732331627[[#This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5</v>
      </c>
    </row>
    <row r="10" spans="2:38" x14ac:dyDescent="0.3">
      <c r="B10" s="90" t="s">
        <v>131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IF(Table62202732331627[[#This Row],[Non-Member]]="X"," ",IF(F10=" "," ",IFERROR(VLOOKUP(E10,Points!$A$2:$B$14,2,FALSE)," ")))</f>
        <v xml:space="preserve"> </v>
      </c>
      <c r="H10" s="92">
        <v>16.03</v>
      </c>
      <c r="I10" s="93">
        <f t="shared" si="2"/>
        <v>6</v>
      </c>
      <c r="J10" s="93">
        <f t="shared" si="3"/>
        <v>6</v>
      </c>
      <c r="K10" s="94">
        <f>IF(Table62202732331627[[#This Row],[Non-Member]]="X"," ",IF(J10=" "," ",IFERROR(VLOOKUP(I10,Points!$A$2:$B$14,2,FALSE)," ")))</f>
        <v>3</v>
      </c>
      <c r="L10" s="92">
        <v>17.84</v>
      </c>
      <c r="M10" s="93">
        <f t="shared" si="4"/>
        <v>9</v>
      </c>
      <c r="N10" s="93" t="str">
        <f t="shared" si="5"/>
        <v xml:space="preserve"> </v>
      </c>
      <c r="O10" s="94" t="str">
        <f>IF(Table62202732331627[[#This Row],[Non-Member]]="X"," ",IF(N10=" "," ",IFERROR(VLOOKUP(M10,Points!$A$2:$B$14,2,FALSE)," ")))</f>
        <v xml:space="preserve"> </v>
      </c>
      <c r="P10" s="92">
        <v>11.78</v>
      </c>
      <c r="Q10" s="93">
        <f t="shared" si="6"/>
        <v>3</v>
      </c>
      <c r="R10" s="93">
        <f t="shared" si="7"/>
        <v>3</v>
      </c>
      <c r="S10" s="94">
        <f>IF(Table62202732331627[[#This Row],[Non-Member]]="X"," ",IF(R10=" "," ",IFERROR(VLOOKUP(Q10,Points!$A$2:$B$14,2,FALSE)," ")))</f>
        <v>12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IF(Table62202732331627[[#This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IF(Table62202732331627[[#This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IF(Table62202732331627[[#This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IF(Table62202732331627[[#This Row],[Non-Member]]="X"," ",IF(AH10=" "," ",IFERROR(VLOOKUP(AG10,Points!$A$2:$B$14,2,FALSE)," ")))</f>
        <v xml:space="preserve"> </v>
      </c>
      <c r="AJ10" s="93">
        <f>IF(Table62202732331627[[#This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145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IF(Table62202732331627[[#This Row],[Non-Member]]="X"," ",IF(J11=" "," ",IFERROR(VLOOKUP(I11,Points!$A$2:$B$14,2,FALSE)," ")))</f>
        <v xml:space="preserve"> </v>
      </c>
      <c r="L11" s="92">
        <v>13.39</v>
      </c>
      <c r="M11" s="93">
        <f t="shared" si="4"/>
        <v>5</v>
      </c>
      <c r="N11" s="93">
        <f t="shared" si="5"/>
        <v>5</v>
      </c>
      <c r="O11" s="94">
        <f>IF(Table62202732331627[[#This Row],[Non-Member]]="X"," ",IF(N11=" "," ",IFERROR(VLOOKUP(M11,Points!$A$2:$B$14,2,FALSE)," ")))</f>
        <v>6</v>
      </c>
      <c r="P11" s="92">
        <v>12.31</v>
      </c>
      <c r="Q11" s="93">
        <f t="shared" si="6"/>
        <v>5</v>
      </c>
      <c r="R11" s="93">
        <f t="shared" si="7"/>
        <v>5</v>
      </c>
      <c r="S11" s="94">
        <f>IF(Table62202732331627[[#This Row],[Non-Member]]="X"," ",IF(R11=" "," ",IFERROR(VLOOKUP(Q11,Points!$A$2:$B$14,2,FALSE)," ")))</f>
        <v>6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IF(Table62202732331627[[#This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IF(Table62202732331627[[#This Row],[Non-Member]]="X"," ",IF(AH11=" "," ",IFERROR(VLOOKUP(AG11,Points!$A$2:$B$14,2,FALSE)," ")))</f>
        <v xml:space="preserve"> </v>
      </c>
      <c r="AJ11" s="93">
        <f>IF(Table62202732331627[[#This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3">
      <c r="B12" s="90" t="s">
        <v>225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IF(Table62202732331627[[#This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IF(Table62202732331627[[#This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IF(Table62202732331627[[#This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IF(Table62202732331627[[#This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IF(Table62202732331627[[#This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IF(Table62202732331627[[#This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IF(Table62202732331627[[#This Row],[Non-Member]]="X"," ",IF(AH12=" "," ",IFERROR(VLOOKUP(AG12,Points!$A$2:$B$14,2,FALSE)," ")))</f>
        <v xml:space="preserve"> </v>
      </c>
      <c r="AJ12" s="93">
        <f>IF(Table62202732331627[[#This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 t="s">
        <v>128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IF(Table62202732331627[[#This Row],[Non-Member]]="X"," ",IF(F13=" "," ",IFERROR(VLOOKUP(E13,Points!$A$2:$B$14,2,FALSE)," ")))</f>
        <v xml:space="preserve"> </v>
      </c>
      <c r="H13" s="92">
        <v>16.850000000000001</v>
      </c>
      <c r="I13" s="93">
        <f t="shared" si="2"/>
        <v>7</v>
      </c>
      <c r="J13" s="93" t="str">
        <f t="shared" si="3"/>
        <v xml:space="preserve"> </v>
      </c>
      <c r="K13" s="94" t="str">
        <f>IF(Table62202732331627[[#This Row],[Non-Member]]="X"," ",IF(J13=" "," ",IFERROR(VLOOKUP(I13,Points!$A$2:$B$14,2,FALSE)," ")))</f>
        <v xml:space="preserve"> </v>
      </c>
      <c r="L13" s="92">
        <v>16.600000000000001</v>
      </c>
      <c r="M13" s="93">
        <f t="shared" si="4"/>
        <v>7</v>
      </c>
      <c r="N13" s="93" t="str">
        <f t="shared" si="5"/>
        <v xml:space="preserve"> </v>
      </c>
      <c r="O13" s="94" t="str">
        <f>IF(Table62202732331627[[#This Row],[Non-Member]]="X"," ",IF(N13=" "," ",IFERROR(VLOOKUP(M13,Points!$A$2:$B$14,2,FALSE)," ")))</f>
        <v xml:space="preserve"> </v>
      </c>
      <c r="P13" s="92">
        <v>17.82</v>
      </c>
      <c r="Q13" s="93">
        <f t="shared" si="6"/>
        <v>9</v>
      </c>
      <c r="R13" s="93" t="str">
        <f t="shared" si="7"/>
        <v xml:space="preserve"> </v>
      </c>
      <c r="S13" s="94" t="str">
        <f>IF(Table62202732331627[[#This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IF(Table62202732331627[[#This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IF(Table62202732331627[[#This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IF(Table62202732331627[[#This Row],[Non-Member]]="X"," ",IF(AH13=" "," ",IFERROR(VLOOKUP(AG13,Points!$A$2:$B$14,2,FALSE)," ")))</f>
        <v xml:space="preserve"> </v>
      </c>
      <c r="AJ13" s="93">
        <f>IF(Table62202732331627[[#This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249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IF(Table62202732331627[[#This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IF(Table62202732331627[[#This Row],[Non-Member]]="X"," ",IF(J14=" "," ",IFERROR(VLOOKUP(I14,Points!$A$2:$B$14,2,FALSE)," ")))</f>
        <v xml:space="preserve"> </v>
      </c>
      <c r="L14" s="92">
        <v>17.7</v>
      </c>
      <c r="M14" s="97">
        <f t="shared" si="4"/>
        <v>8</v>
      </c>
      <c r="N14" s="97" t="str">
        <f t="shared" si="5"/>
        <v xml:space="preserve"> </v>
      </c>
      <c r="O14" s="94" t="str">
        <f>IF(Table62202732331627[[#This Row],[Non-Member]]="X"," ",IF(N14=" "," ",IFERROR(VLOOKUP(M14,Points!$A$2:$B$14,2,FALSE)," ")))</f>
        <v xml:space="preserve"> </v>
      </c>
      <c r="P14" s="92">
        <v>17.3</v>
      </c>
      <c r="Q14" s="97">
        <f t="shared" si="6"/>
        <v>8</v>
      </c>
      <c r="R14" s="97" t="str">
        <f t="shared" si="7"/>
        <v xml:space="preserve"> </v>
      </c>
      <c r="S14" s="94" t="str">
        <f>IF(Table62202732331627[[#This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IF(Table62202732331627[[#This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IF(Table62202732331627[[#This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IF(Table62202732331627[[#This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IF(Table62202732331627[[#This Row],[Non-Member]]="X"," ",IF(AH14=" "," ",IFERROR(VLOOKUP(AG14,Points!$A$2:$B$14,2,FALSE)," ")))</f>
        <v xml:space="preserve"> </v>
      </c>
      <c r="AJ14" s="97">
        <f>IF(Table62202732331627[[#This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8" t="str">
        <f t="shared" si="18"/>
        <v xml:space="preserve"> </v>
      </c>
    </row>
    <row r="15" spans="2:38" x14ac:dyDescent="0.3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IF(Table62202732331627[[#This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IF(Table62202732331627[[#This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IF(Table62202732331627[[#This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IF(Table62202732331627[[#This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IF(Table62202732331627[[#This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IF(Table62202732331627[[#This Row],[Non-Member]]="X"," ",IF(AH15=" "," ",IFERROR(VLOOKUP(AG15,Points!$A$2:$B$14,2,FALSE)," ")))</f>
        <v xml:space="preserve"> </v>
      </c>
      <c r="AJ15" s="93">
        <f>IF(Table62202732331627[[#This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 t="s">
        <v>214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IF(Table62202732331627[[#This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IF(Table62202732331627[[#This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IF(Table62202732331627[[#This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IF(Table62202732331627[[#This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IF(Table62202732331627[[#This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IF(Table62202732331627[[#This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IF(Table62202732331627[[#This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IF(Table62202732331627[[#This Row],[Non-Member]]="X"," ",IF(AH16=" "," ",IFERROR(VLOOKUP(AG16,Points!$A$2:$B$14,2,FALSE)," ")))</f>
        <v xml:space="preserve"> </v>
      </c>
      <c r="AJ16" s="93">
        <f>IF(Table62202732331627[[#This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IF(Table62202732331627[[#This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IF(Table62202732331627[[#This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IF(Table62202732331627[[#This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IF(Table62202732331627[[#This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IF(Table62202732331627[[#This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IF(Table62202732331627[[#This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IF(Table62202732331627[[#This Row],[Non-Member]]="X"," ",IF(AH17=" "," ",IFERROR(VLOOKUP(AG17,Points!$A$2:$B$14,2,FALSE)," ")))</f>
        <v xml:space="preserve"> </v>
      </c>
      <c r="AJ17" s="97">
        <f>IF(Table62202732331627[[#This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IF(Table62202732331627[[#This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IF(Table62202732331627[[#This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IF(Table62202732331627[[#This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IF(Table62202732331627[[#This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IF(Table62202732331627[[#This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IF(Table62202732331627[[#This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IF(Table62202732331627[[#This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IF(Table62202732331627[[#This Row],[Non-Member]]="X"," ",IF(AH18=" "," ",IFERROR(VLOOKUP(AG18,Points!$A$2:$B$14,2,FALSE)," ")))</f>
        <v xml:space="preserve"> </v>
      </c>
      <c r="AJ18" s="97">
        <f>IF(Table62202732331627[[#This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IF(Table62202732331627[[#This Row],[Non-Member]]="X"," ",IF(AH19=" "," ",IFERROR(VLOOKUP(AG19,Points!$A$2:$B$14,2,FALSE)," ")))</f>
        <v xml:space="preserve"> </v>
      </c>
      <c r="AJ19" s="93">
        <f>IF(Table62202732331627[[#This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IF(Table62202732331627[[#This Row],[Non-Member]]="X"," ",IF(AH20=" "," ",IFERROR(VLOOKUP(AG20,Points!$A$2:$B$14,2,FALSE)," ")))</f>
        <v xml:space="preserve"> </v>
      </c>
      <c r="AJ20" s="93">
        <f>IF(Table62202732331627[[#This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IF(Table62202732331627[[#This Row],[Non-Member]]="X"," ",IF(AH21=" "," ",IFERROR(VLOOKUP(AG21,Points!$A$2:$B$14,2,FALSE)," ")))</f>
        <v xml:space="preserve"> </v>
      </c>
      <c r="AJ21" s="93">
        <f>IF(Table62202732331627[[#This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IF(Table62202732331627[[#This Row],[Non-Member]]="X"," ",IF(AH22=" "," ",IFERROR(VLOOKUP(AG22,Points!$A$2:$B$14,2,FALSE)," ")))</f>
        <v xml:space="preserve"> </v>
      </c>
      <c r="AJ22" s="93">
        <f>IF(Table62202732331627[[#This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IF(Table62202732331627[[#This Row],[Non-Member]]="X"," ",IF(AH23=" "," ",IFERROR(VLOOKUP(AG23,Points!$A$2:$B$14,2,FALSE)," ")))</f>
        <v xml:space="preserve"> </v>
      </c>
      <c r="AJ23" s="93">
        <f>IF(Table62202732331627[[#This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IF(Table62202732331627[[#This Row],[Non-Member]]="X"," ",IF(AH24=" "," ",IFERROR(VLOOKUP(AG24,Points!$A$2:$B$14,2,FALSE)," ")))</f>
        <v xml:space="preserve"> </v>
      </c>
      <c r="AJ24" s="93">
        <f>IF(Table62202732331627[[#This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p2OV01yQcOwnTyys1PXQANSJzYNr1Wad2rRiDs7DtpKtWSL5b7mquy66PXzuAB0voKntULFyr46kv/NvVyCq2w==" saltValue="0Zc324GxI0D54CjcCqyAP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69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171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IF(Table6220273233341728[[#This Row],[Non-Member]]="X"," ",IF(F5=" "," ",IFERROR(VLOOKUP(E5,Points!$A$2:$B$14,2,FALSE)," ")))</f>
        <v xml:space="preserve"> </v>
      </c>
      <c r="H5" s="85">
        <v>6.96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IF(Table6220273233341728[[#This Row],[Non-Member]]="X"," ",IF(J5=" "," ",IFERROR(VLOOKUP(I5,Points!$A$2:$B$14,2,FALSE)," ")))</f>
        <v>18</v>
      </c>
      <c r="L5" s="85">
        <v>6.14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IF(Table6220273233341728[[#This Row],[Non-Member]]="X"," ",IF(N5=" "," ",IFERROR(VLOOKUP(M5,Points!$A$2:$B$14,2,FALSE)," ")))</f>
        <v>18</v>
      </c>
      <c r="P5" s="136">
        <v>6.53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IF(Table6220273233341728[[#This Row],[Non-Member]]="X"," ",IF(R5=" "," ",IFERROR(VLOOKUP(Q5,Points!$A$2:$B$14,2,FALSE)," ")))</f>
        <v>12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IF(Table6220273233341728[[#This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IF(Table6220273233341728[[#This Row],[Non-Member]]="X"," ",IF(AD5=" "," ",IFERROR(VLOOKUP(AC5,Points!$A$2:$B$14,2,FALSE)," ")))</f>
        <v xml:space="preserve"> </v>
      </c>
      <c r="AF5" s="85"/>
      <c r="AG5" s="86" t="str">
        <f t="shared" ref="AG5:AG24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IF(Table6220273233341728[[#This Row],[Non-Member]]="X"," ",IF(AH5=" "," ",IFERROR(VLOOKUP(AG5,Points!$A$2:$B$14,2,FALSE)," ")))</f>
        <v xml:space="preserve"> </v>
      </c>
      <c r="AJ5" s="86">
        <f>IF(Table6220273233341728[[#This Row],[Non-Member]]="X"," ",((IF(G5=" ",0,G5))+(IF(K5=" ",0,K5))+(IF(O5=" ",0,O5))+(IF(S5=" ",0,S5))+(IF(W5=" ",0,W5))+(IF(AA5=" ",0,AA5))+(IF(AE5=" ",0,AE5))+(IF(AI5=" ",0,AI5))))</f>
        <v>48</v>
      </c>
      <c r="AK5" s="88">
        <f t="shared" ref="AK5:AK24" si="16">IF(AJ5=0," ",AJ5)</f>
        <v>48</v>
      </c>
      <c r="AL5" s="89">
        <f t="shared" ref="AL5:AL24" si="17">IF(AK5=" "," ",RANK(AK5,$AK$5:$AK$24))</f>
        <v>1</v>
      </c>
    </row>
    <row r="6" spans="2:38" x14ac:dyDescent="0.3">
      <c r="B6" s="90" t="s">
        <v>223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IF(Table6220273233341728[[#This Row],[Non-Member]]="X"," ",IF(F6=" "," ",IFERROR(VLOOKUP(E6,Points!$A$2:$B$14,2,FALSE)," ")))</f>
        <v xml:space="preserve"> </v>
      </c>
      <c r="H6" s="92">
        <v>7.24</v>
      </c>
      <c r="I6" s="93">
        <f t="shared" si="2"/>
        <v>2</v>
      </c>
      <c r="J6" s="93">
        <f t="shared" si="3"/>
        <v>2</v>
      </c>
      <c r="K6" s="94">
        <f>IF(Table6220273233341728[[#This Row],[Non-Member]]="X"," ",IF(J6=" "," ",IFERROR(VLOOKUP(I6,Points!$A$2:$B$14,2,FALSE)," ")))</f>
        <v>15</v>
      </c>
      <c r="L6" s="92">
        <v>6.56</v>
      </c>
      <c r="M6" s="93">
        <f t="shared" si="4"/>
        <v>2</v>
      </c>
      <c r="N6" s="93">
        <f t="shared" si="5"/>
        <v>2</v>
      </c>
      <c r="O6" s="94">
        <f>IF(Table6220273233341728[[#This Row],[Non-Member]]="X"," ",IF(N6=" "," ",IFERROR(VLOOKUP(M6,Points!$A$2:$B$14,2,FALSE)," ")))</f>
        <v>15</v>
      </c>
      <c r="P6" s="135">
        <v>6.5</v>
      </c>
      <c r="Q6" s="93">
        <f t="shared" si="6"/>
        <v>2</v>
      </c>
      <c r="R6" s="93">
        <f t="shared" si="7"/>
        <v>2</v>
      </c>
      <c r="S6" s="94">
        <f>IF(Table6220273233341728[[#This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IF(Table6220273233341728[[#This Row],[Non-Member]]="X"," ",IF(AH6=" "," ",IFERROR(VLOOKUP(AG6,Points!$A$2:$B$14,2,FALSE)," ")))</f>
        <v xml:space="preserve"> </v>
      </c>
      <c r="AJ6" s="93">
        <f>IF(Table6220273233341728[[#This Row],[Non-Member]]="X"," ",((IF(G6=" ",0,G6))+(IF(K6=" ",0,K6))+(IF(O6=" ",0,O6))+(IF(S6=" ",0,S6))+(IF(W6=" ",0,W6))+(IF(AA6=" ",0,AA6))+(IF(AE6=" ",0,AE6))+(IF(AI6=" ",0,AI6))))</f>
        <v>45</v>
      </c>
      <c r="AK6" s="95">
        <f t="shared" si="16"/>
        <v>45</v>
      </c>
      <c r="AL6" s="96">
        <f t="shared" si="17"/>
        <v>2</v>
      </c>
    </row>
    <row r="7" spans="2:38" x14ac:dyDescent="0.3">
      <c r="B7" s="90" t="s">
        <v>132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IF(Table6220273233341728[[#This Row],[Non-Member]]="X"," ",IF(F7=" "," ",IFERROR(VLOOKUP(E7,Points!$A$2:$B$14,2,FALSE)," ")))</f>
        <v xml:space="preserve"> </v>
      </c>
      <c r="H7" s="92">
        <v>7.48</v>
      </c>
      <c r="I7" s="93">
        <f t="shared" si="2"/>
        <v>3</v>
      </c>
      <c r="J7" s="93">
        <f t="shared" si="3"/>
        <v>3</v>
      </c>
      <c r="K7" s="94">
        <f>IF(Table6220273233341728[[#This Row],[Non-Member]]="X"," ",IF(J7=" "," ",IFERROR(VLOOKUP(I7,Points!$A$2:$B$14,2,FALSE)," ")))</f>
        <v>12</v>
      </c>
      <c r="L7" s="92">
        <v>9.4</v>
      </c>
      <c r="M7" s="93">
        <f t="shared" si="4"/>
        <v>7</v>
      </c>
      <c r="N7" s="93" t="str">
        <f t="shared" si="5"/>
        <v xml:space="preserve"> </v>
      </c>
      <c r="O7" s="94" t="str">
        <f>IF(Table6220273233341728[[#This Row],[Non-Member]]="X"," ",IF(N7=" "," ",IFERROR(VLOOKUP(M7,Points!$A$2:$B$14,2,FALSE)," ")))</f>
        <v xml:space="preserve"> </v>
      </c>
      <c r="P7" s="135">
        <v>7.31</v>
      </c>
      <c r="Q7" s="93">
        <f t="shared" si="6"/>
        <v>4</v>
      </c>
      <c r="R7" s="93">
        <f t="shared" si="7"/>
        <v>4</v>
      </c>
      <c r="S7" s="94">
        <f>IF(Table6220273233341728[[#This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IF(Table6220273233341728[[#This Row],[Non-Member]]="X"," ",IF(AH7=" "," ",IFERROR(VLOOKUP(AG7,Points!$A$2:$B$14,2,FALSE)," ")))</f>
        <v xml:space="preserve"> </v>
      </c>
      <c r="AJ7" s="93">
        <f>IF(Table6220273233341728[[#This Row],[Non-Member]]="X"," ",((IF(G7=" ",0,G7))+(IF(K7=" ",0,K7))+(IF(O7=" ",0,O7))+(IF(S7=" ",0,S7))+(IF(W7=" ",0,W7))+(IF(AA7=" ",0,AA7))+(IF(AE7=" ",0,AE7))+(IF(AI7=" ",0,AI7))))</f>
        <v>21</v>
      </c>
      <c r="AK7" s="95">
        <f t="shared" si="16"/>
        <v>21</v>
      </c>
      <c r="AL7" s="96">
        <f t="shared" si="17"/>
        <v>3</v>
      </c>
    </row>
    <row r="8" spans="2:38" x14ac:dyDescent="0.3">
      <c r="B8" s="90" t="s">
        <v>134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IF(Table6220273233341728[[#This Row],[Non-Member]]="X"," ",IF(F8=" "," ",IFERROR(VLOOKUP(E8,Points!$A$2:$B$14,2,FALSE)," ")))</f>
        <v xml:space="preserve"> </v>
      </c>
      <c r="H8" s="92">
        <v>7.95</v>
      </c>
      <c r="I8" s="93">
        <f t="shared" si="2"/>
        <v>4</v>
      </c>
      <c r="J8" s="93">
        <f t="shared" si="3"/>
        <v>4</v>
      </c>
      <c r="K8" s="94">
        <f>IF(Table6220273233341728[[#This Row],[Non-Member]]="X"," ",IF(J8=" "," ",IFERROR(VLOOKUP(I8,Points!$A$2:$B$14,2,FALSE)," ")))</f>
        <v>9</v>
      </c>
      <c r="L8" s="92">
        <v>8.18</v>
      </c>
      <c r="M8" s="93">
        <f t="shared" si="4"/>
        <v>4</v>
      </c>
      <c r="N8" s="93">
        <f t="shared" si="5"/>
        <v>4</v>
      </c>
      <c r="O8" s="94">
        <f>IF(Table6220273233341728[[#This Row],[Non-Member]]="X"," ",IF(N8=" "," ",IFERROR(VLOOKUP(M8,Points!$A$2:$B$14,2,FALSE)," ")))</f>
        <v>9</v>
      </c>
      <c r="P8" s="135">
        <v>9.18</v>
      </c>
      <c r="Q8" s="93">
        <f t="shared" si="6"/>
        <v>8</v>
      </c>
      <c r="R8" s="93" t="str">
        <f t="shared" si="7"/>
        <v xml:space="preserve"> </v>
      </c>
      <c r="S8" s="94" t="str">
        <f>IF(Table6220273233341728[[#This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IF(Table6220273233341728[[#This Row],[Non-Member]]="X"," ",IF(AH8=" "," ",IFERROR(VLOOKUP(AG8,Points!$A$2:$B$14,2,FALSE)," ")))</f>
        <v xml:space="preserve"> </v>
      </c>
      <c r="AJ8" s="93">
        <f>IF(Table6220273233341728[[#This Row],[Non-Member]]="X"," ",((IF(G8=" ",0,G8))+(IF(K8=" ",0,K8))+(IF(O8=" ",0,O8))+(IF(S8=" ",0,S8))+(IF(W8=" ",0,W8))+(IF(AA8=" ",0,AA8))+(IF(AE8=" ",0,AE8))+(IF(AI8=" ",0,AI8))))</f>
        <v>18</v>
      </c>
      <c r="AK8" s="95">
        <f t="shared" si="16"/>
        <v>18</v>
      </c>
      <c r="AL8" s="96">
        <f t="shared" si="17"/>
        <v>4</v>
      </c>
    </row>
    <row r="9" spans="2:38" x14ac:dyDescent="0.3">
      <c r="B9" s="90" t="s">
        <v>220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IF(Table6220273233341728[[#This Row],[Non-Member]]="X"," ",IF(F9=" "," ",IFERROR(VLOOKUP(E9,Points!$A$2:$B$14,2,FALSE)," ")))</f>
        <v xml:space="preserve"> </v>
      </c>
      <c r="H9" s="92">
        <v>8.9600000000000009</v>
      </c>
      <c r="I9" s="93">
        <f t="shared" si="2"/>
        <v>8</v>
      </c>
      <c r="J9" s="93" t="str">
        <f t="shared" si="3"/>
        <v xml:space="preserve"> </v>
      </c>
      <c r="K9" s="94" t="str">
        <f>IF(Table6220273233341728[[#This Row],[Non-Member]]="X"," ",IF(J9=" "," ",IFERROR(VLOOKUP(I9,Points!$A$2:$B$14,2,FALSE)," ")))</f>
        <v xml:space="preserve"> </v>
      </c>
      <c r="L9" s="92">
        <v>11.73</v>
      </c>
      <c r="M9" s="93">
        <f t="shared" si="4"/>
        <v>9</v>
      </c>
      <c r="N9" s="93" t="str">
        <f t="shared" si="5"/>
        <v xml:space="preserve"> </v>
      </c>
      <c r="O9" s="94" t="str">
        <f>IF(Table6220273233341728[[#This Row],[Non-Member]]="X"," ",IF(N9=" "," ",IFERROR(VLOOKUP(M9,Points!$A$2:$B$14,2,FALSE)," ")))</f>
        <v xml:space="preserve"> </v>
      </c>
      <c r="P9" s="135">
        <v>6.25</v>
      </c>
      <c r="Q9" s="93">
        <f t="shared" si="6"/>
        <v>1</v>
      </c>
      <c r="R9" s="93">
        <f t="shared" si="7"/>
        <v>1</v>
      </c>
      <c r="S9" s="94">
        <f>IF(Table6220273233341728[[#This Row],[Non-Member]]="X"," ",IF(R9=" "," ",IFERROR(VLOOKUP(Q9,Points!$A$2:$B$14,2,FALSE)," ")))</f>
        <v>18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IF(Table6220273233341728[[#This Row],[Non-Member]]="X"," ",IF(AD9=" "," ",IFERROR(VLOOKUP(AC9,Points!$A$2:$B$14,2,FALSE)," ")))</f>
        <v xml:space="preserve"> </v>
      </c>
      <c r="AF9" s="92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IF(Table6220273233341728[[#This Row],[Non-Member]]="X"," ",IF(AH9=" "," ",IFERROR(VLOOKUP(AG9,Points!$A$2:$B$14,2,FALSE)," ")))</f>
        <v xml:space="preserve"> </v>
      </c>
      <c r="AJ9" s="93">
        <f>IF(Table6220273233341728[[#This Row],[Non-Member]]="X"," ",((IF(G9=" ",0,G9))+(IF(K9=" ",0,K9))+(IF(O9=" ",0,O9))+(IF(S9=" ",0,S9))+(IF(W9=" ",0,W9))+(IF(AA9=" ",0,AA9))+(IF(AE9=" ",0,AE9))+(IF(AI9=" ",0,AI9))))</f>
        <v>18</v>
      </c>
      <c r="AK9" s="95">
        <f t="shared" si="16"/>
        <v>18</v>
      </c>
      <c r="AL9" s="96">
        <f t="shared" si="17"/>
        <v>4</v>
      </c>
    </row>
    <row r="10" spans="2:38" x14ac:dyDescent="0.3">
      <c r="B10" s="90" t="s">
        <v>145</v>
      </c>
      <c r="C10" s="91" t="s">
        <v>214</v>
      </c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IF(Table6220273233341728[[#This Row],[Non-Member]]="X"," ",IF(F10=" "," ",IFERROR(VLOOKUP(E10,Points!$A$2:$B$14,2,FALSE)," ")))</f>
        <v xml:space="preserve"> </v>
      </c>
      <c r="H10" s="92">
        <v>10.11</v>
      </c>
      <c r="I10" s="93">
        <f t="shared" si="2"/>
        <v>9</v>
      </c>
      <c r="J10" s="93" t="str">
        <f t="shared" si="3"/>
        <v xml:space="preserve"> </v>
      </c>
      <c r="K10" s="94" t="str">
        <f>IF(Table6220273233341728[[#This Row],[Non-Member]]="X"," ",IF(J10=" "," ",IFERROR(VLOOKUP(I10,Points!$A$2:$B$14,2,FALSE)," ")))</f>
        <v xml:space="preserve"> </v>
      </c>
      <c r="L10" s="92">
        <v>7.88</v>
      </c>
      <c r="M10" s="93">
        <f t="shared" si="4"/>
        <v>3</v>
      </c>
      <c r="N10" s="93">
        <f t="shared" si="5"/>
        <v>3</v>
      </c>
      <c r="O10" s="94">
        <f>IF(Table6220273233341728[[#This Row],[Non-Member]]="X"," ",IF(N10=" "," ",IFERROR(VLOOKUP(M10,Points!$A$2:$B$14,2,FALSE)," ")))</f>
        <v>12</v>
      </c>
      <c r="P10" s="135">
        <v>8.9499999999999993</v>
      </c>
      <c r="Q10" s="93">
        <f t="shared" si="6"/>
        <v>6</v>
      </c>
      <c r="R10" s="93">
        <f t="shared" si="7"/>
        <v>6</v>
      </c>
      <c r="S10" s="94">
        <f>IF(Table6220273233341728[[#This Row],[Non-Member]]="X"," ",IF(R10=" "," ",IFERROR(VLOOKUP(Q10,Points!$A$2:$B$14,2,FALSE)," ")))</f>
        <v>3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IF(Table6220273233341728[[#This Row],[Non-Member]]="X"," ",IF(AD10=" "," ",IFERROR(VLOOKUP(AC10,Points!$A$2:$B$14,2,FALSE)," ")))</f>
        <v xml:space="preserve"> </v>
      </c>
      <c r="AF10" s="92"/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IF(Table6220273233341728[[#This Row],[Non-Member]]="X"," ",IF(AH10=" "," ",IFERROR(VLOOKUP(AG10,Points!$A$2:$B$14,2,FALSE)," ")))</f>
        <v xml:space="preserve"> </v>
      </c>
      <c r="AJ10" s="93">
        <f>IF(Table6220273233341728[[#This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6"/>
        <v>15</v>
      </c>
      <c r="AL10" s="96">
        <f t="shared" si="17"/>
        <v>6</v>
      </c>
    </row>
    <row r="11" spans="2:38" x14ac:dyDescent="0.3">
      <c r="B11" s="90" t="s">
        <v>133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IF(Table6220273233341728[[#This Row],[Non-Member]]="X"," ",IF(F11=" "," ",IFERROR(VLOOKUP(E11,Points!$A$2:$B$14,2,FALSE)," ")))</f>
        <v xml:space="preserve"> </v>
      </c>
      <c r="H11" s="92">
        <v>8.09</v>
      </c>
      <c r="I11" s="93">
        <f t="shared" si="2"/>
        <v>5</v>
      </c>
      <c r="J11" s="93">
        <f t="shared" si="3"/>
        <v>5</v>
      </c>
      <c r="K11" s="94">
        <f>IF(Table6220273233341728[[#This Row],[Non-Member]]="X"," ",IF(J11=" "," ",IFERROR(VLOOKUP(I11,Points!$A$2:$B$14,2,FALSE)," ")))</f>
        <v>6</v>
      </c>
      <c r="L11" s="92">
        <v>9.44</v>
      </c>
      <c r="M11" s="93">
        <f t="shared" si="4"/>
        <v>8</v>
      </c>
      <c r="N11" s="93" t="str">
        <f t="shared" si="5"/>
        <v xml:space="preserve"> </v>
      </c>
      <c r="O11" s="94" t="str">
        <f>IF(Table6220273233341728[[#This Row],[Non-Member]]="X"," ",IF(N11=" "," ",IFERROR(VLOOKUP(M11,Points!$A$2:$B$14,2,FALSE)," ")))</f>
        <v xml:space="preserve"> </v>
      </c>
      <c r="P11" s="135">
        <v>8.1</v>
      </c>
      <c r="Q11" s="93">
        <f t="shared" si="6"/>
        <v>5</v>
      </c>
      <c r="R11" s="93">
        <f t="shared" si="7"/>
        <v>5</v>
      </c>
      <c r="S11" s="94">
        <f>IF(Table6220273233341728[[#This Row],[Non-Member]]="X"," ",IF(R11=" "," ",IFERROR(VLOOKUP(Q11,Points!$A$2:$B$14,2,FALSE)," ")))</f>
        <v>6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IF(Table6220273233341728[[#This Row],[Non-Member]]="X"," ",IF(AD11=" "," ",IFERROR(VLOOKUP(AC11,Points!$A$2:$B$14,2,FALSE)," ")))</f>
        <v xml:space="preserve"> </v>
      </c>
      <c r="AF11" s="92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IF(Table6220273233341728[[#This Row],[Non-Member]]="X"," ",IF(AH11=" "," ",IFERROR(VLOOKUP(AG11,Points!$A$2:$B$14,2,FALSE)," ")))</f>
        <v xml:space="preserve"> </v>
      </c>
      <c r="AJ11" s="93">
        <f>IF(Table6220273233341728[[#This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6"/>
        <v>12</v>
      </c>
      <c r="AL11" s="96">
        <f t="shared" si="17"/>
        <v>7</v>
      </c>
    </row>
    <row r="12" spans="2:38" x14ac:dyDescent="0.3">
      <c r="B12" s="90" t="s">
        <v>144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IF(Table6220273233341728[[#This Row],[Non-Member]]="X"," ",IF(F12=" "," ",IFERROR(VLOOKUP(E12,Points!$A$2:$B$14,2,FALSE)," ")))</f>
        <v xml:space="preserve"> </v>
      </c>
      <c r="H12" s="92">
        <v>8.42</v>
      </c>
      <c r="I12" s="97">
        <f t="shared" si="2"/>
        <v>6</v>
      </c>
      <c r="J12" s="97">
        <f t="shared" si="3"/>
        <v>6</v>
      </c>
      <c r="K12" s="94">
        <f>IF(Table6220273233341728[[#This Row],[Non-Member]]="X"," ",IF(J12=" "," ",IFERROR(VLOOKUP(I12,Points!$A$2:$B$14,2,FALSE)," ")))</f>
        <v>3</v>
      </c>
      <c r="L12" s="92">
        <v>8.2799999999999994</v>
      </c>
      <c r="M12" s="97">
        <f t="shared" si="4"/>
        <v>5</v>
      </c>
      <c r="N12" s="97">
        <f t="shared" si="5"/>
        <v>5</v>
      </c>
      <c r="O12" s="94">
        <f>IF(Table6220273233341728[[#This Row],[Non-Member]]="X"," ",IF(N12=" "," ",IFERROR(VLOOKUP(M12,Points!$A$2:$B$14,2,FALSE)," ")))</f>
        <v>6</v>
      </c>
      <c r="P12" s="135">
        <v>10.42</v>
      </c>
      <c r="Q12" s="97">
        <f t="shared" si="6"/>
        <v>11</v>
      </c>
      <c r="R12" s="97" t="str">
        <f t="shared" si="7"/>
        <v xml:space="preserve"> </v>
      </c>
      <c r="S12" s="94" t="str">
        <f>IF(Table6220273233341728[[#This Row],[Non-Member]]="X"," ",IF(R12=" "," ",IFERROR(VLOOKUP(Q12,Points!$A$2:$B$14,2,FALSE)," ")))</f>
        <v xml:space="preserve"> 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IF(Table6220273233341728[[#This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IF(Table6220273233341728[[#This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IF(Table6220273233341728[[#This Row],[Non-Member]]="X"," ",IF(AD12=" "," ",IFERROR(VLOOKUP(AC12,Points!$A$2:$B$14,2,FALSE)," ")))</f>
        <v xml:space="preserve"> </v>
      </c>
      <c r="AF12" s="92"/>
      <c r="AG12" s="97" t="str">
        <f t="shared" si="14"/>
        <v xml:space="preserve"> </v>
      </c>
      <c r="AH12" s="97" t="str">
        <f t="shared" si="15"/>
        <v xml:space="preserve"> </v>
      </c>
      <c r="AI12" s="94" t="str">
        <f>IF(Table6220273233341728[[#This Row],[Non-Member]]="X"," ",IF(AH12=" "," ",IFERROR(VLOOKUP(AG12,Points!$A$2:$B$14,2,FALSE)," ")))</f>
        <v xml:space="preserve"> </v>
      </c>
      <c r="AJ12" s="97">
        <f>IF(Table6220273233341728[[#This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6"/>
        <v>9</v>
      </c>
      <c r="AL12" s="98">
        <f t="shared" si="17"/>
        <v>8</v>
      </c>
    </row>
    <row r="13" spans="2:38" x14ac:dyDescent="0.3">
      <c r="B13" s="90" t="s">
        <v>146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IF(Table6220273233341728[[#This Row],[Non-Member]]="X"," ",IF(F13=" "," ",IFERROR(VLOOKUP(E13,Points!$A$2:$B$14,2,FALSE)," ")))</f>
        <v xml:space="preserve"> </v>
      </c>
      <c r="H13" s="92">
        <v>8.9</v>
      </c>
      <c r="I13" s="93">
        <f t="shared" si="2"/>
        <v>7</v>
      </c>
      <c r="J13" s="93" t="str">
        <f t="shared" si="3"/>
        <v xml:space="preserve"> </v>
      </c>
      <c r="K13" s="94" t="str">
        <f>IF(Table6220273233341728[[#This Row],[Non-Member]]="X"," ",IF(J13=" "," ",IFERROR(VLOOKUP(I13,Points!$A$2:$B$14,2,FALSE)," ")))</f>
        <v xml:space="preserve"> </v>
      </c>
      <c r="L13" s="92">
        <v>9.11</v>
      </c>
      <c r="M13" s="93">
        <f t="shared" si="4"/>
        <v>6</v>
      </c>
      <c r="N13" s="93">
        <f t="shared" si="5"/>
        <v>6</v>
      </c>
      <c r="O13" s="94">
        <f>IF(Table6220273233341728[[#This Row],[Non-Member]]="X"," ",IF(N13=" "," ",IFERROR(VLOOKUP(M13,Points!$A$2:$B$14,2,FALSE)," ")))</f>
        <v>3</v>
      </c>
      <c r="P13" s="135">
        <v>9.14</v>
      </c>
      <c r="Q13" s="93">
        <f t="shared" si="6"/>
        <v>7</v>
      </c>
      <c r="R13" s="93" t="str">
        <f t="shared" si="7"/>
        <v xml:space="preserve"> </v>
      </c>
      <c r="S13" s="94" t="str">
        <f>IF(Table6220273233341728[[#This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IF(Table6220273233341728[[#This Row],[Non-Member]]="X"," ",IF(AD13=" "," ",IFERROR(VLOOKUP(AC13,Points!$A$2:$B$14,2,FALSE)," ")))</f>
        <v xml:space="preserve"> </v>
      </c>
      <c r="AF13" s="92"/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IF(Table6220273233341728[[#This Row],[Non-Member]]="X"," ",IF(AH13=" "," ",IFERROR(VLOOKUP(AG13,Points!$A$2:$B$14,2,FALSE)," ")))</f>
        <v xml:space="preserve"> </v>
      </c>
      <c r="AJ13" s="93">
        <f>IF(Table6220273233341728[[#This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6"/>
        <v>3</v>
      </c>
      <c r="AL13" s="96">
        <f t="shared" si="17"/>
        <v>9</v>
      </c>
    </row>
    <row r="14" spans="2:38" x14ac:dyDescent="0.3">
      <c r="B14" s="90" t="s">
        <v>131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IF(Table6220273233341728[[#This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IF(Table6220273233341728[[#This Row],[Non-Member]]="X"," ",IF(J14=" "," ",IFERROR(VLOOKUP(I14,Points!$A$2:$B$14,2,FALSE)," ")))</f>
        <v xml:space="preserve"> </v>
      </c>
      <c r="L14" s="92">
        <v>15.56</v>
      </c>
      <c r="M14" s="97">
        <f t="shared" si="4"/>
        <v>10</v>
      </c>
      <c r="N14" s="97" t="str">
        <f t="shared" si="5"/>
        <v xml:space="preserve"> </v>
      </c>
      <c r="O14" s="94" t="str">
        <f>IF(Table6220273233341728[[#This Row],[Non-Member]]="X"," ",IF(N14=" "," ",IFERROR(VLOOKUP(M14,Points!$A$2:$B$14,2,FALSE)," ")))</f>
        <v xml:space="preserve"> </v>
      </c>
      <c r="P14" s="135">
        <v>9.58</v>
      </c>
      <c r="Q14" s="97">
        <f t="shared" si="6"/>
        <v>9</v>
      </c>
      <c r="R14" s="97" t="str">
        <f t="shared" si="7"/>
        <v xml:space="preserve"> </v>
      </c>
      <c r="S14" s="94" t="str">
        <f>IF(Table6220273233341728[[#This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IF(Table6220273233341728[[#This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IF(Table6220273233341728[[#This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IF(Table6220273233341728[[#This Row],[Non-Member]]="X"," ",IF(AD14=" "," ",IFERROR(VLOOKUP(AC14,Points!$A$2:$B$14,2,FALSE)," ")))</f>
        <v xml:space="preserve"> </v>
      </c>
      <c r="AF14" s="92"/>
      <c r="AG14" s="97" t="str">
        <f t="shared" si="14"/>
        <v xml:space="preserve"> </v>
      </c>
      <c r="AH14" s="97" t="str">
        <f t="shared" si="15"/>
        <v xml:space="preserve"> </v>
      </c>
      <c r="AI14" s="94" t="str">
        <f>IF(Table6220273233341728[[#This Row],[Non-Member]]="X"," ",IF(AH14=" "," ",IFERROR(VLOOKUP(AG14,Points!$A$2:$B$14,2,FALSE)," ")))</f>
        <v xml:space="preserve"> </v>
      </c>
      <c r="AJ14" s="97">
        <f>IF(Table6220273233341728[[#This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6"/>
        <v xml:space="preserve"> </v>
      </c>
      <c r="AL14" s="98" t="str">
        <f t="shared" si="17"/>
        <v xml:space="preserve"> </v>
      </c>
    </row>
    <row r="15" spans="2:38" x14ac:dyDescent="0.3">
      <c r="B15" s="90" t="s">
        <v>135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IF(Table6220273233341728[[#This Row],[Non-Member]]="X"," ",IF(N15=" "," ",IFERROR(VLOOKUP(M15,Points!$A$2:$B$14,2,FALSE)," ")))</f>
        <v xml:space="preserve"> </v>
      </c>
      <c r="P15" s="135">
        <v>17.239999999999998</v>
      </c>
      <c r="Q15" s="93">
        <f t="shared" si="6"/>
        <v>13</v>
      </c>
      <c r="R15" s="93" t="str">
        <f t="shared" si="7"/>
        <v xml:space="preserve"> </v>
      </c>
      <c r="S15" s="94" t="str">
        <f>IF(Table6220273233341728[[#This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IF(Table6220273233341728[[#This Row],[Non-Member]]="X"," ",IF(AD15=" "," ",IFERROR(VLOOKUP(AC15,Points!$A$2:$B$14,2,FALSE)," ")))</f>
        <v xml:space="preserve"> </v>
      </c>
      <c r="AF15" s="92"/>
      <c r="AG15" s="93" t="str">
        <f t="shared" si="14"/>
        <v xml:space="preserve"> </v>
      </c>
      <c r="AH15" s="93" t="str">
        <f t="shared" si="15"/>
        <v xml:space="preserve"> </v>
      </c>
      <c r="AI15" s="94" t="str">
        <f>IF(Table6220273233341728[[#This Row],[Non-Member]]="X"," ",IF(AH15=" "," ",IFERROR(VLOOKUP(AG15,Points!$A$2:$B$14,2,FALSE)," ")))</f>
        <v xml:space="preserve"> </v>
      </c>
      <c r="AJ15" s="93">
        <f>IF(Table6220273233341728[[#This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6"/>
        <v xml:space="preserve"> </v>
      </c>
      <c r="AL15" s="96" t="str">
        <f t="shared" si="17"/>
        <v xml:space="preserve"> </v>
      </c>
    </row>
    <row r="16" spans="2:38" x14ac:dyDescent="0.3">
      <c r="B16" s="90" t="s">
        <v>225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IF(Table6220273233341728[[#This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IF(Table6220273233341728[[#This Row],[Non-Member]]="X"," ",IF(N16=" "," ",IFERROR(VLOOKUP(M16,Points!$A$2:$B$14,2,FALSE)," ")))</f>
        <v xml:space="preserve"> </v>
      </c>
      <c r="P16" s="135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IF(Table6220273233341728[[#This Row],[Non-Member]]="X"," ",IF(AD16=" "," ",IFERROR(VLOOKUP(AC16,Points!$A$2:$B$14,2,FALSE)," ")))</f>
        <v xml:space="preserve"> </v>
      </c>
      <c r="AF16" s="92"/>
      <c r="AG16" s="93" t="str">
        <f t="shared" si="14"/>
        <v xml:space="preserve"> </v>
      </c>
      <c r="AH16" s="93" t="str">
        <f t="shared" si="15"/>
        <v xml:space="preserve"> </v>
      </c>
      <c r="AI16" s="94" t="str">
        <f>IF(Table6220273233341728[[#This Row],[Non-Member]]="X"," ",IF(AH16=" "," ",IFERROR(VLOOKUP(AG16,Points!$A$2:$B$14,2,FALSE)," ")))</f>
        <v xml:space="preserve"> </v>
      </c>
      <c r="AJ16" s="93">
        <f>IF(Table6220273233341728[[#This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 t="s">
        <v>128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IF(Table6220273233341728[[#This Row],[Non-Member]]="X"," ",IF(F17=" "," ",IFERROR(VLOOKUP(E17,Points!$A$2:$B$14,2,FALSE)," ")))</f>
        <v xml:space="preserve"> </v>
      </c>
      <c r="H17" s="92">
        <v>12.54</v>
      </c>
      <c r="I17" s="97">
        <f t="shared" si="2"/>
        <v>10</v>
      </c>
      <c r="J17" s="97" t="str">
        <f t="shared" si="3"/>
        <v xml:space="preserve"> </v>
      </c>
      <c r="K17" s="94" t="str">
        <f>IF(Table6220273233341728[[#This Row],[Non-Member]]="X"," ",IF(J17=" "," ",IFERROR(VLOOKUP(I17,Points!$A$2:$B$14,2,FALSE)," ")))</f>
        <v xml:space="preserve"> </v>
      </c>
      <c r="L17" s="92">
        <v>21.81</v>
      </c>
      <c r="M17" s="97">
        <f t="shared" si="4"/>
        <v>11</v>
      </c>
      <c r="N17" s="97" t="str">
        <f t="shared" si="5"/>
        <v xml:space="preserve"> </v>
      </c>
      <c r="O17" s="94" t="str">
        <f>IF(Table6220273233341728[[#This Row],[Non-Member]]="X"," ",IF(N17=" "," ",IFERROR(VLOOKUP(M17,Points!$A$2:$B$14,2,FALSE)," ")))</f>
        <v xml:space="preserve"> </v>
      </c>
      <c r="P17" s="135">
        <v>13.01</v>
      </c>
      <c r="Q17" s="97">
        <f t="shared" si="6"/>
        <v>12</v>
      </c>
      <c r="R17" s="97" t="str">
        <f t="shared" si="7"/>
        <v xml:space="preserve"> </v>
      </c>
      <c r="S17" s="94" t="str">
        <f>IF(Table6220273233341728[[#This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IF(Table6220273233341728[[#This Row],[Non-Member]]="X"," ",IF(AD17=" "," ",IFERROR(VLOOKUP(AC17,Points!$A$2:$B$14,2,FALSE)," ")))</f>
        <v xml:space="preserve"> </v>
      </c>
      <c r="AF17" s="92"/>
      <c r="AG17" s="97" t="str">
        <f t="shared" si="14"/>
        <v xml:space="preserve"> </v>
      </c>
      <c r="AH17" s="97" t="str">
        <f t="shared" si="15"/>
        <v xml:space="preserve"> </v>
      </c>
      <c r="AI17" s="94" t="str">
        <f>IF(Table6220273233341728[[#This Row],[Non-Member]]="X"," ",IF(AH17=" "," ",IFERROR(VLOOKUP(AG17,Points!$A$2:$B$14,2,FALSE)," ")))</f>
        <v xml:space="preserve"> </v>
      </c>
      <c r="AJ17" s="97">
        <f>IF(Table6220273233341728[[#This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8" t="str">
        <f t="shared" si="17"/>
        <v xml:space="preserve"> </v>
      </c>
    </row>
    <row r="18" spans="2:38" x14ac:dyDescent="0.3">
      <c r="B18" s="90" t="s">
        <v>129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IF(Table6220273233341728[[#This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IF(Table6220273233341728[[#This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IF(Table6220273233341728[[#This Row],[Non-Member]]="X"," ",IF(N18=" "," ",IFERROR(VLOOKUP(M18,Points!$A$2:$B$14,2,FALSE)," ")))</f>
        <v xml:space="preserve"> </v>
      </c>
      <c r="P18" s="135">
        <v>9.85</v>
      </c>
      <c r="Q18" s="93">
        <f t="shared" si="6"/>
        <v>10</v>
      </c>
      <c r="R18" s="93" t="str">
        <f t="shared" si="7"/>
        <v xml:space="preserve"> </v>
      </c>
      <c r="S18" s="94" t="str">
        <f>IF(Table6220273233341728[[#This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IF(Table6220273233341728[[#This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IF(Table6220273233341728[[#This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IF(Table6220273233341728[[#This Row],[Non-Member]]="X"," ",IF(AD18=" "," ",IFERROR(VLOOKUP(AC18,Points!$A$2:$B$14,2,FALSE)," ")))</f>
        <v xml:space="preserve"> </v>
      </c>
      <c r="AF18" s="92"/>
      <c r="AG18" s="93" t="str">
        <f t="shared" si="14"/>
        <v xml:space="preserve"> </v>
      </c>
      <c r="AH18" s="93" t="str">
        <f t="shared" si="15"/>
        <v xml:space="preserve"> </v>
      </c>
      <c r="AI18" s="94" t="str">
        <f>IF(Table6220273233341728[[#This Row],[Non-Member]]="X"," ",IF(AH18=" "," ",IFERROR(VLOOKUP(AG18,Points!$A$2:$B$14,2,FALSE)," ")))</f>
        <v xml:space="preserve"> </v>
      </c>
      <c r="AJ18" s="93">
        <f>IF(Table6220273233341728[[#This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248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IF(Table6220273233341728[[#This Row],[Non-Member]]="X"," ",IF(N19=" "," ",IFERROR(VLOOKUP(M19,Points!$A$2:$B$14,2,FALSE)," ")))</f>
        <v xml:space="preserve"> </v>
      </c>
      <c r="P19" s="13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IF(Table6220273233341728[[#This Row],[Non-Member]]="X"," ",IF(AD19=" "," ",IFERROR(VLOOKUP(AC19,Points!$A$2:$B$14,2,FALSE)," ")))</f>
        <v xml:space="preserve"> </v>
      </c>
      <c r="AF19" s="92"/>
      <c r="AG19" s="93" t="str">
        <f t="shared" si="14"/>
        <v xml:space="preserve"> </v>
      </c>
      <c r="AH19" s="93" t="str">
        <f t="shared" si="15"/>
        <v xml:space="preserve"> </v>
      </c>
      <c r="AI19" s="94" t="str">
        <f>IF(Table6220273233341728[[#This Row],[Non-Member]]="X"," ",IF(AH19=" "," ",IFERROR(VLOOKUP(AG19,Points!$A$2:$B$14,2,FALSE)," ")))</f>
        <v xml:space="preserve"> </v>
      </c>
      <c r="AJ19" s="93" t="str">
        <f>IF(Table6220273233341728[[#This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IF(Table6220273233341728[[#This Row],[Non-Member]]="X"," ",IF(N20=" "," ",IFERROR(VLOOKUP(M20,Points!$A$2:$B$14,2,FALSE)," ")))</f>
        <v xml:space="preserve"> </v>
      </c>
      <c r="P20" s="13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IF(Table6220273233341728[[#This Row],[Non-Member]]="X"," ",IF(AD20=" "," ",IFERROR(VLOOKUP(AC20,Points!$A$2:$B$14,2,FALSE)," ")))</f>
        <v xml:space="preserve"> </v>
      </c>
      <c r="AF20" s="92"/>
      <c r="AG20" s="93" t="str">
        <f t="shared" si="14"/>
        <v xml:space="preserve"> </v>
      </c>
      <c r="AH20" s="93" t="str">
        <f t="shared" si="15"/>
        <v xml:space="preserve"> </v>
      </c>
      <c r="AI20" s="94" t="str">
        <f>IF(Table6220273233341728[[#This Row],[Non-Member]]="X"," ",IF(AH20=" "," ",IFERROR(VLOOKUP(AG20,Points!$A$2:$B$14,2,FALSE)," ")))</f>
        <v xml:space="preserve"> </v>
      </c>
      <c r="AJ20" s="93">
        <f>IF(Table6220273233341728[[#This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IF(Table6220273233341728[[#This Row],[Non-Member]]="X"," ",IF(AD21=" "," ",IFERROR(VLOOKUP(AC21,Points!$A$2:$B$14,2,FALSE)," ")))</f>
        <v xml:space="preserve"> </v>
      </c>
      <c r="AF21" s="92"/>
      <c r="AG21" s="93" t="str">
        <f t="shared" si="14"/>
        <v xml:space="preserve"> </v>
      </c>
      <c r="AH21" s="93" t="str">
        <f t="shared" si="15"/>
        <v xml:space="preserve"> </v>
      </c>
      <c r="AI21" s="94" t="str">
        <f>IF(Table6220273233341728[[#This Row],[Non-Member]]="X"," ",IF(AH21=" "," ",IFERROR(VLOOKUP(AG21,Points!$A$2:$B$14,2,FALSE)," ")))</f>
        <v xml:space="preserve"> </v>
      </c>
      <c r="AJ21" s="93">
        <f>IF(Table6220273233341728[[#This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4"/>
        <v xml:space="preserve"> </v>
      </c>
      <c r="AH22" s="93" t="str">
        <f t="shared" si="15"/>
        <v xml:space="preserve"> </v>
      </c>
      <c r="AI22" s="94" t="str">
        <f>IF(Table6220273233341728[[#This Row],[Non-Member]]="X"," ",IF(AH22=" "," ",IFERROR(VLOOKUP(AG22,Points!$A$2:$B$14,2,FALSE)," ")))</f>
        <v xml:space="preserve"> </v>
      </c>
      <c r="AJ22" s="93">
        <f>IF(Table6220273233341728[[#This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4"/>
        <v xml:space="preserve"> </v>
      </c>
      <c r="AH23" s="93" t="str">
        <f t="shared" si="15"/>
        <v xml:space="preserve"> </v>
      </c>
      <c r="AI23" s="94" t="str">
        <f>IF(Table6220273233341728[[#This Row],[Non-Member]]="X"," ",IF(AH23=" "," ",IFERROR(VLOOKUP(AG23,Points!$A$2:$B$14,2,FALSE)," ")))</f>
        <v xml:space="preserve"> </v>
      </c>
      <c r="AJ23" s="93">
        <f>IF(Table6220273233341728[[#This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4"/>
        <v xml:space="preserve"> </v>
      </c>
      <c r="AH24" s="103" t="str">
        <f t="shared" si="15"/>
        <v xml:space="preserve"> </v>
      </c>
      <c r="AI24" s="104" t="str">
        <f>IF(Table6220273233341728[[#This Row],[Non-Member]]="X"," ",IF(AH24=" "," ",IFERROR(VLOOKUP(AG24,Points!$A$2:$B$14,2,FALSE)," ")))</f>
        <v xml:space="preserve"> </v>
      </c>
      <c r="AJ24" s="93">
        <f>IF(Table6220273233341728[[#This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zso6cwmCNwFlhESDUsrNyLzNHxPmXE0tk8uCDTRRk65EtLQDjuNMFXvhR0a5AT6Z0QF/Lkxrf6iqnwDXx7RFXg==" saltValue="tFhWYS7Ls9Rd6IhdkJcCs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70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109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IF(Table622027323334171829[[#This Row],[Non-Member]]="X"," ",IF(F5=" "," ",IFERROR(VLOOKUP(E5,Points!$A$2:$B$14,2,FALSE)," ")))</f>
        <v xml:space="preserve"> </v>
      </c>
      <c r="H5" s="85">
        <v>8.66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IF(Table622027323334171829[[#This Row],[Non-Member]]="X"," ",IF(J5=" "," ",IFERROR(VLOOKUP(I5,Points!$A$2:$B$14,2,FALSE)," ")))</f>
        <v>15</v>
      </c>
      <c r="L5" s="85">
        <v>3.62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IF(Table622027323334171829[[#This Row],[Non-Member]]="X"," ",IF(N5=" "," ",IFERROR(VLOOKUP(M5,Points!$A$2:$B$14,2,FALSE)," ")))</f>
        <v>15</v>
      </c>
      <c r="P5" s="85">
        <v>3.35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IF(Table622027323334171829[[#This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IF(Table622027323334171829[[#This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IF(Table622027323334171829[[#This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IF(Table622027323334171829[[#This Row],[Non-Member]]="X"," ",IF(AD5=" "," ",IFERROR(VLOOKUP(AC5,Points!$A$2:$B$14,2,FALSE)," ")))</f>
        <v xml:space="preserve"> </v>
      </c>
      <c r="AF5" s="85"/>
      <c r="AG5" s="86" t="str">
        <f>IF(OR(AF5=0,AF5=" ")," ",_xlfn.RANK.AVG(AF5,AF$5:AF$24,1)-COUNTIF(AF$5:AF$24,0))</f>
        <v xml:space="preserve"> </v>
      </c>
      <c r="AH5" s="86" t="str">
        <f t="shared" ref="AH5:AH24" si="14">IF(OR(AF5=0,AF5=" ")," ",IF((RANK(AF5,AF$5:AF$24,1)-COUNTIF(AF$5:AF$24,0)&gt;6)," ",RANK(AF5,AF$5:AF$24,1)-COUNTIF(AF$5:AF$24,0)))</f>
        <v xml:space="preserve"> </v>
      </c>
      <c r="AI5" s="87" t="str">
        <f>IF(Table622027323334171829[[#This Row],[Non-Member]]="X"," ",IF(AH5=" "," ",IFERROR(VLOOKUP(AG5,Points!$A$2:$B$14,2,FALSE)," ")))</f>
        <v xml:space="preserve"> </v>
      </c>
      <c r="AJ5" s="86">
        <f>IF(Table622027323334171829[[#This Row],[Non-Member]]="X"," ",((IF(G5=" ",0,G5))+(IF(K5=" ",0,K5))+(IF(O5=" ",0,O5))+(IF(S5=" ",0,S5))+(IF(W5=" ",0,W5))+(IF(AA5=" ",0,AA5))+(IF(AE5=" ",0,AE5))+(IF(AI5=" ",0,AI5))))</f>
        <v>48</v>
      </c>
      <c r="AK5" s="88">
        <f t="shared" ref="AK5:AK24" si="15">IF(AJ5=0," ",AJ5)</f>
        <v>48</v>
      </c>
      <c r="AL5" s="89">
        <f t="shared" ref="AL5:AL24" si="16">IF(AK5=" "," ",RANK(AK5,$AK$5:$AK$24))</f>
        <v>1</v>
      </c>
    </row>
    <row r="6" spans="2:38" x14ac:dyDescent="0.3">
      <c r="B6" s="90" t="s">
        <v>222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IF(Table622027323334171829[[#This Row],[Non-Member]]="X"," ",IF(F6=" "," ",IFERROR(VLOOKUP(E6,Points!$A$2:$B$14,2,FALSE)," ")))</f>
        <v xml:space="preserve"> </v>
      </c>
      <c r="H6" s="92">
        <v>4.67</v>
      </c>
      <c r="I6" s="93">
        <f t="shared" si="2"/>
        <v>1</v>
      </c>
      <c r="J6" s="93">
        <f t="shared" si="3"/>
        <v>1</v>
      </c>
      <c r="K6" s="94">
        <f>IF(Table622027323334171829[[#This Row],[Non-Member]]="X"," ",IF(J6=" "," ",IFERROR(VLOOKUP(I6,Points!$A$2:$B$14,2,FALSE)," ")))</f>
        <v>18</v>
      </c>
      <c r="L6" s="92">
        <v>2.91</v>
      </c>
      <c r="M6" s="93">
        <f t="shared" si="4"/>
        <v>1</v>
      </c>
      <c r="N6" s="93">
        <f t="shared" si="5"/>
        <v>1</v>
      </c>
      <c r="O6" s="94">
        <f>IF(Table622027323334171829[[#This Row],[Non-Member]]="X"," ",IF(N6=" "," ",IFERROR(VLOOKUP(M6,Points!$A$2:$B$14,2,FALSE)," ")))</f>
        <v>18</v>
      </c>
      <c r="P6" s="92">
        <v>4.47</v>
      </c>
      <c r="Q6" s="93">
        <f t="shared" si="6"/>
        <v>4</v>
      </c>
      <c r="R6" s="93">
        <f t="shared" si="7"/>
        <v>4</v>
      </c>
      <c r="S6" s="94">
        <f>IF(Table622027323334171829[[#This Row],[Non-Member]]="X"," ",IF(R6=" "," ",IFERROR(VLOOKUP(Q6,Points!$A$2:$B$14,2,FALSE)," ")))</f>
        <v>9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IF(Table622027323334171829[[#This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IF(Table622027323334171829[[#This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IF(Table622027323334171829[[#This Row],[Non-Member]]="X"," ",IF(AD6=" "," ",IFERROR(VLOOKUP(AC6,Points!$A$2:$B$14,2,FALSE)," ")))</f>
        <v xml:space="preserve"> </v>
      </c>
      <c r="AF6" s="92"/>
      <c r="AG6" s="93" t="str">
        <f>IF(OR(AF6=0,AF6=" ")," ",_xlfn.RANK.AVG(AF6,AF$5:AF$24,1)-COUNTIF(AF$5:AF$24,0))</f>
        <v xml:space="preserve"> </v>
      </c>
      <c r="AH6" s="93" t="str">
        <f t="shared" si="14"/>
        <v xml:space="preserve"> </v>
      </c>
      <c r="AI6" s="94" t="str">
        <f>IF(Table622027323334171829[[#This Row],[Non-Member]]="X"," ",IF(AH6=" "," ",IFERROR(VLOOKUP(AG6,Points!$A$2:$B$14,2,FALSE)," ")))</f>
        <v xml:space="preserve"> </v>
      </c>
      <c r="AJ6" s="93">
        <f>IF(Table622027323334171829[[#This Row],[Non-Member]]="X"," ",((IF(G6=" ",0,G6))+(IF(K6=" ",0,K6))+(IF(O6=" ",0,O6))+(IF(S6=" ",0,S6))+(IF(W6=" ",0,W6))+(IF(AA6=" ",0,AA6))+(IF(AE6=" ",0,AE6))+(IF(AI6=" ",0,AI6))))</f>
        <v>45</v>
      </c>
      <c r="AK6" s="95">
        <f t="shared" si="15"/>
        <v>45</v>
      </c>
      <c r="AL6" s="96">
        <f t="shared" si="16"/>
        <v>2</v>
      </c>
    </row>
    <row r="7" spans="2:38" x14ac:dyDescent="0.3">
      <c r="B7" s="90" t="s">
        <v>146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IF(Table622027323334171829[[#This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IF(Table622027323334171829[[#This Row],[Non-Member]]="X"," ",IF(J7=" "," ",IFERROR(VLOOKUP(I7,Points!$A$2:$B$14,2,FALSE)," ")))</f>
        <v xml:space="preserve"> </v>
      </c>
      <c r="L7" s="92">
        <v>4.3899999999999997</v>
      </c>
      <c r="M7" s="93">
        <f t="shared" si="4"/>
        <v>4</v>
      </c>
      <c r="N7" s="93">
        <f t="shared" si="5"/>
        <v>4</v>
      </c>
      <c r="O7" s="94">
        <f>IF(Table622027323334171829[[#This Row],[Non-Member]]="X"," ",IF(N7=" "," ",IFERROR(VLOOKUP(M7,Points!$A$2:$B$14,2,FALSE)," ")))</f>
        <v>9</v>
      </c>
      <c r="P7" s="92">
        <v>3.57</v>
      </c>
      <c r="Q7" s="93">
        <f t="shared" si="6"/>
        <v>2</v>
      </c>
      <c r="R7" s="93">
        <f t="shared" si="7"/>
        <v>2</v>
      </c>
      <c r="S7" s="94">
        <f>IF(Table622027323334171829[[#This Row],[Non-Member]]="X"," ",IF(R7=" "," ",IFERROR(VLOOKUP(Q7,Points!$A$2:$B$14,2,FALSE)," ")))</f>
        <v>15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IF(Table622027323334171829[[#This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IF(Table622027323334171829[[#This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IF(Table622027323334171829[[#This Row],[Non-Member]]="X"," ",IF(AD7=" "," ",IFERROR(VLOOKUP(AC7,Points!$A$2:$B$14,2,FALSE)," ")))</f>
        <v xml:space="preserve"> </v>
      </c>
      <c r="AF7" s="92"/>
      <c r="AG7" s="93" t="str">
        <f>IF(OR(AF7=0,AF7=" ")," ",_xlfn.RANK.AVG(AF7,AF$5:AF$24,1)-COUNTIF(AF$5:AF$24,0))</f>
        <v xml:space="preserve"> </v>
      </c>
      <c r="AH7" s="93" t="str">
        <f t="shared" si="14"/>
        <v xml:space="preserve"> </v>
      </c>
      <c r="AI7" s="94" t="str">
        <f>IF(Table622027323334171829[[#This Row],[Non-Member]]="X"," ",IF(AH7=" "," ",IFERROR(VLOOKUP(AG7,Points!$A$2:$B$14,2,FALSE)," ")))</f>
        <v xml:space="preserve"> </v>
      </c>
      <c r="AJ7" s="93">
        <f>IF(Table622027323334171829[[#This Row],[Non-Member]]="X"," ",((IF(G7=" ",0,G7))+(IF(K7=" ",0,K7))+(IF(O7=" ",0,O7))+(IF(S7=" ",0,S7))+(IF(W7=" ",0,W7))+(IF(AA7=" ",0,AA7))+(IF(AE7=" ",0,AE7))+(IF(AI7=" ",0,AI7))))</f>
        <v>24</v>
      </c>
      <c r="AK7" s="95">
        <f t="shared" si="15"/>
        <v>24</v>
      </c>
      <c r="AL7" s="96">
        <f t="shared" si="16"/>
        <v>3</v>
      </c>
    </row>
    <row r="8" spans="2:38" x14ac:dyDescent="0.3">
      <c r="B8" s="90" t="s">
        <v>220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IF(Table622027323334171829[[#This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IF(Table622027323334171829[[#This Row],[Non-Member]]="X"," ",IF(J8=" "," ",IFERROR(VLOOKUP(I8,Points!$A$2:$B$14,2,FALSE)," ")))</f>
        <v xml:space="preserve"> </v>
      </c>
      <c r="L8" s="92">
        <v>3.8</v>
      </c>
      <c r="M8" s="93">
        <f t="shared" si="4"/>
        <v>3</v>
      </c>
      <c r="N8" s="93">
        <f t="shared" si="5"/>
        <v>3</v>
      </c>
      <c r="O8" s="94">
        <f>IF(Table622027323334171829[[#This Row],[Non-Member]]="X"," ",IF(N8=" "," ",IFERROR(VLOOKUP(M8,Points!$A$2:$B$14,2,FALSE)," ")))</f>
        <v>12</v>
      </c>
      <c r="P8" s="92">
        <v>3.63</v>
      </c>
      <c r="Q8" s="93">
        <f t="shared" si="6"/>
        <v>3</v>
      </c>
      <c r="R8" s="93">
        <f t="shared" si="7"/>
        <v>3</v>
      </c>
      <c r="S8" s="94">
        <f>IF(Table622027323334171829[[#This Row],[Non-Member]]="X"," ",IF(R8=" "," ",IFERROR(VLOOKUP(Q8,Points!$A$2:$B$14,2,FALSE)," ")))</f>
        <v>12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IF(Table622027323334171829[[#This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IF(Table622027323334171829[[#This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IF(Table622027323334171829[[#This Row],[Non-Member]]="X"," ",IF(AD8=" "," ",IFERROR(VLOOKUP(AC8,Points!$A$2:$B$14,2,FALSE)," ")))</f>
        <v xml:space="preserve"> </v>
      </c>
      <c r="AF8" s="160"/>
      <c r="AG8" s="93">
        <v>5</v>
      </c>
      <c r="AH8" s="93" t="str">
        <f t="shared" si="14"/>
        <v xml:space="preserve"> </v>
      </c>
      <c r="AI8" s="94" t="str">
        <f>IF(Table622027323334171829[[#This Row],[Non-Member]]="X"," ",IF(AH8=" "," ",IFERROR(VLOOKUP(AG8,Points!$A$2:$B$14,2,FALSE)," ")))</f>
        <v xml:space="preserve"> </v>
      </c>
      <c r="AJ8" s="93">
        <f>IF(Table622027323334171829[[#This Row],[Non-Member]]="X"," ",((IF(G8=" ",0,G8))+(IF(K8=" ",0,K8))+(IF(O8=" ",0,O8))+(IF(S8=" ",0,S8))+(IF(W8=" ",0,W8))+(IF(AA8=" ",0,AA8))+(IF(AE8=" ",0,AE8))+(IF(AI8=" ",0,AI8))))</f>
        <v>24</v>
      </c>
      <c r="AK8" s="95">
        <f t="shared" si="15"/>
        <v>24</v>
      </c>
      <c r="AL8" s="96">
        <f t="shared" si="16"/>
        <v>3</v>
      </c>
    </row>
    <row r="9" spans="2:38" x14ac:dyDescent="0.3">
      <c r="B9" s="90" t="s">
        <v>132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IF(Table622027323334171829[[#This Row],[Non-Member]]="X"," ",IF(F9=" "," ",IFERROR(VLOOKUP(E9,Points!$A$2:$B$14,2,FALSE)," ")))</f>
        <v xml:space="preserve"> </v>
      </c>
      <c r="H9" s="92">
        <v>0</v>
      </c>
      <c r="I9" s="97" t="str">
        <f t="shared" si="2"/>
        <v xml:space="preserve"> </v>
      </c>
      <c r="J9" s="97" t="str">
        <f t="shared" si="3"/>
        <v xml:space="preserve"> </v>
      </c>
      <c r="K9" s="94" t="str">
        <f>IF(Table622027323334171829[[#This Row],[Non-Member]]="X"," ",IF(J9=" "," ",IFERROR(VLOOKUP(I9,Points!$A$2:$B$14,2,FALSE)," ")))</f>
        <v xml:space="preserve"> </v>
      </c>
      <c r="L9" s="92">
        <v>0</v>
      </c>
      <c r="M9" s="97" t="str">
        <f t="shared" si="4"/>
        <v xml:space="preserve"> </v>
      </c>
      <c r="N9" s="97" t="str">
        <f t="shared" si="5"/>
        <v xml:space="preserve"> </v>
      </c>
      <c r="O9" s="94" t="str">
        <f>IF(Table622027323334171829[[#This Row],[Non-Member]]="X"," ",IF(N9=" "," ",IFERROR(VLOOKUP(M9,Points!$A$2:$B$14,2,FALSE)," ")))</f>
        <v xml:space="preserve"> </v>
      </c>
      <c r="P9" s="92">
        <v>5.18</v>
      </c>
      <c r="Q9" s="97">
        <f t="shared" si="6"/>
        <v>5</v>
      </c>
      <c r="R9" s="97">
        <f t="shared" si="7"/>
        <v>5</v>
      </c>
      <c r="S9" s="94">
        <f>IF(Table622027323334171829[[#This Row],[Non-Member]]="X"," ",IF(R9=" "," ",IFERROR(VLOOKUP(Q9,Points!$A$2:$B$14,2,FALSE)," ")))</f>
        <v>6</v>
      </c>
      <c r="T9" s="92"/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IF(Table622027323334171829[[#This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IF(Table622027323334171829[[#This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IF(Table622027323334171829[[#This Row],[Non-Member]]="X"," ",IF(AD9=" "," ",IFERROR(VLOOKUP(AC9,Points!$A$2:$B$14,2,FALSE)," ")))</f>
        <v xml:space="preserve"> </v>
      </c>
      <c r="AF9" s="160"/>
      <c r="AG9" s="97">
        <v>6</v>
      </c>
      <c r="AH9" s="93" t="str">
        <f t="shared" si="14"/>
        <v xml:space="preserve"> </v>
      </c>
      <c r="AI9" s="94" t="str">
        <f>IF(Table622027323334171829[[#This Row],[Non-Member]]="X"," ",IF(AH9=" "," ",IFERROR(VLOOKUP(AG9,Points!$A$2:$B$14,2,FALSE)," ")))</f>
        <v xml:space="preserve"> </v>
      </c>
      <c r="AJ9" s="97">
        <f>IF(Table622027323334171829[[#This Row],[Non-Member]]="X"," ",((IF(G9=" ",0,G9))+(IF(K9=" ",0,K9))+(IF(O9=" ",0,O9))+(IF(S9=" ",0,S9))+(IF(W9=" ",0,W9))+(IF(AA9=" ",0,AA9))+(IF(AE9=" ",0,AE9))+(IF(AI9=" ",0,AI9))))</f>
        <v>6</v>
      </c>
      <c r="AK9" s="95">
        <f t="shared" si="15"/>
        <v>6</v>
      </c>
      <c r="AL9" s="98">
        <f t="shared" si="16"/>
        <v>5</v>
      </c>
    </row>
    <row r="10" spans="2:38" x14ac:dyDescent="0.3">
      <c r="B10" s="90" t="s">
        <v>223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IF(Table622027323334171829[[#This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IF(Table622027323334171829[[#This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IF(Table622027323334171829[[#This Row],[Non-Member]]="X"," ",IF(N10=" "," ",IFERROR(VLOOKUP(M10,Points!$A$2:$B$14,2,FALSE)," ")))</f>
        <v xml:space="preserve"> </v>
      </c>
      <c r="P10" s="92">
        <v>5.37</v>
      </c>
      <c r="Q10" s="93">
        <f t="shared" si="6"/>
        <v>6</v>
      </c>
      <c r="R10" s="93">
        <f t="shared" si="7"/>
        <v>6</v>
      </c>
      <c r="S10" s="94">
        <f>IF(Table622027323334171829[[#This Row],[Non-Member]]="X"," ",IF(R10=" "," ",IFERROR(VLOOKUP(Q10,Points!$A$2:$B$14,2,FALSE)," ")))</f>
        <v>3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IF(Table622027323334171829[[#This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IF(Table622027323334171829[[#This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IF(Table622027323334171829[[#This Row],[Non-Member]]="X"," ",IF(AD10=" "," ",IFERROR(VLOOKUP(AC10,Points!$A$2:$B$14,2,FALSE)," ")))</f>
        <v xml:space="preserve"> </v>
      </c>
      <c r="AF10" s="92"/>
      <c r="AG10" s="93" t="str">
        <f t="shared" ref="AG10:AG24" si="17">IF(OR(AF10=0,AF10=" ")," ",_xlfn.RANK.AVG(AF10,AF$5:AF$24,1)-COUNTIF(AF$5:AF$24,0))</f>
        <v xml:space="preserve"> </v>
      </c>
      <c r="AH10" s="93" t="str">
        <f t="shared" si="14"/>
        <v xml:space="preserve"> </v>
      </c>
      <c r="AI10" s="94" t="str">
        <f>IF(Table622027323334171829[[#This Row],[Non-Member]]="X"," ",IF(AH10=" "," ",IFERROR(VLOOKUP(AG10,Points!$A$2:$B$14,2,FALSE)," ")))</f>
        <v xml:space="preserve"> </v>
      </c>
      <c r="AJ10" s="93">
        <f>IF(Table622027323334171829[[#This Row],[Non-Member]]="X"," ",((IF(G10=" ",0,G10))+(IF(K10=" ",0,K10))+(IF(O10=" ",0,O10))+(IF(S10=" ",0,S10))+(IF(W10=" ",0,W10))+(IF(AA10=" ",0,AA10))+(IF(AE10=" ",0,AE10))+(IF(AI10=" ",0,AI10))))</f>
        <v>3</v>
      </c>
      <c r="AK10" s="95">
        <f t="shared" si="15"/>
        <v>3</v>
      </c>
      <c r="AL10" s="96">
        <f t="shared" si="16"/>
        <v>6</v>
      </c>
    </row>
    <row r="11" spans="2:38" x14ac:dyDescent="0.3">
      <c r="B11" s="90" t="s">
        <v>131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IF(Table622027323334171829[[#This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IF(Table622027323334171829[[#This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IF(Table622027323334171829[[#This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IF(Table622027323334171829[[#This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IF(Table622027323334171829[[#This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IF(Table622027323334171829[[#This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IF(Table622027323334171829[[#This Row],[Non-Member]]="X"," ",IF(AD11=" "," ",IFERROR(VLOOKUP(AC11,Points!$A$2:$B$14,2,FALSE)," ")))</f>
        <v xml:space="preserve"> </v>
      </c>
      <c r="AF11" s="92"/>
      <c r="AG11" s="93" t="str">
        <f t="shared" si="17"/>
        <v xml:space="preserve"> </v>
      </c>
      <c r="AH11" s="93" t="str">
        <f t="shared" si="14"/>
        <v xml:space="preserve"> </v>
      </c>
      <c r="AI11" s="94" t="str">
        <f>IF(Table622027323334171829[[#This Row],[Non-Member]]="X"," ",IF(AH11=" "," ",IFERROR(VLOOKUP(AG11,Points!$A$2:$B$14,2,FALSE)," ")))</f>
        <v xml:space="preserve"> </v>
      </c>
      <c r="AJ11" s="93">
        <f>IF(Table622027323334171829[[#This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5"/>
        <v xml:space="preserve"> </v>
      </c>
      <c r="AL11" s="96" t="str">
        <f t="shared" si="16"/>
        <v xml:space="preserve"> </v>
      </c>
    </row>
    <row r="12" spans="2:38" x14ac:dyDescent="0.3">
      <c r="B12" s="90" t="s">
        <v>225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IF(Table622027323334171829[[#This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IF(Table622027323334171829[[#This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IF(Table622027323334171829[[#This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IF(Table622027323334171829[[#This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IF(Table622027323334171829[[#This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IF(Table622027323334171829[[#This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IF(Table622027323334171829[[#This Row],[Non-Member]]="X"," ",IF(AD12=" "," ",IFERROR(VLOOKUP(AC12,Points!$A$2:$B$14,2,FALSE)," ")))</f>
        <v xml:space="preserve"> </v>
      </c>
      <c r="AF12" s="92"/>
      <c r="AG12" s="93" t="str">
        <f t="shared" si="17"/>
        <v xml:space="preserve"> </v>
      </c>
      <c r="AH12" s="93" t="str">
        <f t="shared" si="14"/>
        <v xml:space="preserve"> </v>
      </c>
      <c r="AI12" s="94" t="str">
        <f>IF(Table622027323334171829[[#This Row],[Non-Member]]="X"," ",IF(AH12=" "," ",IFERROR(VLOOKUP(AG12,Points!$A$2:$B$14,2,FALSE)," ")))</f>
        <v xml:space="preserve"> </v>
      </c>
      <c r="AJ12" s="93">
        <f>IF(Table622027323334171829[[#This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5"/>
        <v xml:space="preserve"> </v>
      </c>
      <c r="AL12" s="96" t="str">
        <f t="shared" si="16"/>
        <v xml:space="preserve"> </v>
      </c>
    </row>
    <row r="13" spans="2:38" x14ac:dyDescent="0.3">
      <c r="B13" s="90" t="s">
        <v>176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IF(Table622027323334171829[[#This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IF(Table622027323334171829[[#This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IF(Table622027323334171829[[#This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IF(Table622027323334171829[[#This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IF(Table622027323334171829[[#This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IF(Table622027323334171829[[#This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IF(Table622027323334171829[[#This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 t="shared" si="17"/>
        <v xml:space="preserve"> </v>
      </c>
      <c r="AH13" s="93" t="str">
        <f t="shared" si="14"/>
        <v xml:space="preserve"> </v>
      </c>
      <c r="AI13" s="94" t="str">
        <f>IF(Table622027323334171829[[#This Row],[Non-Member]]="X"," ",IF(AH13=" "," ",IFERROR(VLOOKUP(AG13,Points!$A$2:$B$14,2,FALSE)," ")))</f>
        <v xml:space="preserve"> </v>
      </c>
      <c r="AJ13" s="93">
        <f>IF(Table622027323334171829[[#This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5"/>
        <v xml:space="preserve"> </v>
      </c>
      <c r="AL13" s="96" t="str">
        <f t="shared" si="16"/>
        <v xml:space="preserve"> </v>
      </c>
    </row>
    <row r="14" spans="2:38" x14ac:dyDescent="0.3">
      <c r="B14" s="90" t="s">
        <v>177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IF(Table622027323334171829[[#This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IF(Table622027323334171829[[#This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IF(Table622027323334171829[[#This Row],[Non-Member]]="X"," ",IF(N14=" "," ",IFERROR(VLOOKUP(M14,Points!$A$2:$B$14,2,FALSE)," ")))</f>
        <v xml:space="preserve"> </v>
      </c>
      <c r="P14" s="92">
        <v>15</v>
      </c>
      <c r="Q14" s="93">
        <f t="shared" si="6"/>
        <v>8</v>
      </c>
      <c r="R14" s="93" t="str">
        <f t="shared" si="7"/>
        <v xml:space="preserve"> </v>
      </c>
      <c r="S14" s="94" t="str">
        <f>IF(Table622027323334171829[[#This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IF(Table622027323334171829[[#This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IF(Table622027323334171829[[#This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IF(Table622027323334171829[[#This Row],[Non-Member]]="X"," ",IF(AD14=" "," ",IFERROR(VLOOKUP(AC14,Points!$A$2:$B$14,2,FALSE)," ")))</f>
        <v xml:space="preserve"> </v>
      </c>
      <c r="AF14" s="92"/>
      <c r="AG14" s="93" t="str">
        <f t="shared" si="17"/>
        <v xml:space="preserve"> </v>
      </c>
      <c r="AH14" s="93" t="str">
        <f t="shared" si="14"/>
        <v xml:space="preserve"> </v>
      </c>
      <c r="AI14" s="94" t="str">
        <f>IF(Table622027323334171829[[#This Row],[Non-Member]]="X"," ",IF(AH14=" "," ",IFERROR(VLOOKUP(AG14,Points!$A$2:$B$14,2,FALSE)," ")))</f>
        <v xml:space="preserve"> </v>
      </c>
      <c r="AJ14" s="93">
        <f>IF(Table622027323334171829[[#This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5"/>
        <v xml:space="preserve"> </v>
      </c>
      <c r="AL14" s="96" t="str">
        <f t="shared" si="16"/>
        <v xml:space="preserve"> </v>
      </c>
    </row>
    <row r="15" spans="2:38" x14ac:dyDescent="0.3">
      <c r="B15" s="90" t="s">
        <v>133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IF(Table622027323334171829[[#This Row],[Non-Member]]="X"," ",IF(F15=" "," ",IFERROR(VLOOKUP(E15,Points!$A$2:$B$14,2,FALSE)," ")))</f>
        <v xml:space="preserve"> </v>
      </c>
      <c r="H15" s="92">
        <v>0</v>
      </c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IF(Table622027323334171829[[#This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IF(Table622027323334171829[[#This Row],[Non-Member]]="X"," ",IF(N15=" "," ",IFERROR(VLOOKUP(M15,Points!$A$2:$B$14,2,FALSE)," ")))</f>
        <v xml:space="preserve"> </v>
      </c>
      <c r="P15" s="92">
        <v>0</v>
      </c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IF(Table622027323334171829[[#This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IF(Table622027323334171829[[#This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IF(Table622027323334171829[[#This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IF(Table622027323334171829[[#This Row],[Non-Member]]="X"," ",IF(AD15=" "," ",IFERROR(VLOOKUP(AC15,Points!$A$2:$B$14,2,FALSE)," ")))</f>
        <v xml:space="preserve"> </v>
      </c>
      <c r="AF15" s="92"/>
      <c r="AG15" s="97" t="str">
        <f t="shared" si="17"/>
        <v xml:space="preserve"> </v>
      </c>
      <c r="AH15" s="97" t="str">
        <f t="shared" si="14"/>
        <v xml:space="preserve"> </v>
      </c>
      <c r="AI15" s="94" t="str">
        <f>IF(Table622027323334171829[[#This Row],[Non-Member]]="X"," ",IF(AH15=" "," ",IFERROR(VLOOKUP(AG15,Points!$A$2:$B$14,2,FALSE)," ")))</f>
        <v xml:space="preserve"> </v>
      </c>
      <c r="AJ15" s="97">
        <f>IF(Table622027323334171829[[#This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8" t="str">
        <f t="shared" si="16"/>
        <v xml:space="preserve"> </v>
      </c>
    </row>
    <row r="16" spans="2:38" x14ac:dyDescent="0.3">
      <c r="B16" s="90" t="s">
        <v>128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IF(Table622027323334171829[[#This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IF(Table622027323334171829[[#This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IF(Table622027323334171829[[#This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IF(Table622027323334171829[[#This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IF(Table622027323334171829[[#This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IF(Table622027323334171829[[#This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IF(Table622027323334171829[[#This Row],[Non-Member]]="X"," ",IF(AD16=" "," ",IFERROR(VLOOKUP(AC16,Points!$A$2:$B$14,2,FALSE)," ")))</f>
        <v xml:space="preserve"> </v>
      </c>
      <c r="AF16" s="92"/>
      <c r="AG16" s="93" t="str">
        <f t="shared" si="17"/>
        <v xml:space="preserve"> </v>
      </c>
      <c r="AH16" s="93" t="str">
        <f t="shared" si="14"/>
        <v xml:space="preserve"> </v>
      </c>
      <c r="AI16" s="94" t="str">
        <f>IF(Table622027323334171829[[#This Row],[Non-Member]]="X"," ",IF(AH16=" "," ",IFERROR(VLOOKUP(AG16,Points!$A$2:$B$14,2,FALSE)," ")))</f>
        <v xml:space="preserve"> </v>
      </c>
      <c r="AJ16" s="93">
        <f>IF(Table622027323334171829[[#This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144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IF(Table622027323334171829[[#This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IF(Table622027323334171829[[#This Row],[Non-Member]]="X"," ",IF(J17=" "," ",IFERROR(VLOOKUP(I17,Points!$A$2:$B$14,2,FALSE)," ")))</f>
        <v xml:space="preserve"> </v>
      </c>
      <c r="L17" s="92">
        <v>0</v>
      </c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IF(Table622027323334171829[[#This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IF(Table622027323334171829[[#This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IF(Table622027323334171829[[#This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IF(Table622027323334171829[[#This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IF(Table622027323334171829[[#This Row],[Non-Member]]="X"," ",IF(AD17=" "," ",IFERROR(VLOOKUP(AC17,Points!$A$2:$B$14,2,FALSE)," ")))</f>
        <v xml:space="preserve"> </v>
      </c>
      <c r="AF17" s="92"/>
      <c r="AG17" s="97" t="str">
        <f t="shared" si="17"/>
        <v xml:space="preserve"> </v>
      </c>
      <c r="AH17" s="97" t="str">
        <f t="shared" si="14"/>
        <v xml:space="preserve"> </v>
      </c>
      <c r="AI17" s="94" t="str">
        <f>IF(Table622027323334171829[[#This Row],[Non-Member]]="X"," ",IF(AH17=" "," ",IFERROR(VLOOKUP(AG17,Points!$A$2:$B$14,2,FALSE)," ")))</f>
        <v xml:space="preserve"> </v>
      </c>
      <c r="AJ17" s="97">
        <f>IF(Table622027323334171829[[#This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8" t="str">
        <f t="shared" si="16"/>
        <v xml:space="preserve"> </v>
      </c>
    </row>
    <row r="18" spans="2:38" x14ac:dyDescent="0.3">
      <c r="B18" s="90" t="s">
        <v>145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IF(Table622027323334171829[[#This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IF(Table622027323334171829[[#This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IF(Table622027323334171829[[#This Row],[Non-Member]]="X"," ",IF(N18=" "," ",IFERROR(VLOOKUP(M18,Points!$A$2:$B$14,2,FALSE)," ")))</f>
        <v xml:space="preserve"> </v>
      </c>
      <c r="P18" s="92">
        <v>7.73</v>
      </c>
      <c r="Q18" s="93">
        <f t="shared" si="6"/>
        <v>7</v>
      </c>
      <c r="R18" s="93" t="str">
        <f t="shared" si="7"/>
        <v xml:space="preserve"> </v>
      </c>
      <c r="S18" s="94" t="str">
        <f>IF(Table622027323334171829[[#This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IF(Table622027323334171829[[#This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IF(Table622027323334171829[[#This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IF(Table622027323334171829[[#This Row],[Non-Member]]="X"," ",IF(AD18=" "," ",IFERROR(VLOOKUP(AC18,Points!$A$2:$B$14,2,FALSE)," ")))</f>
        <v xml:space="preserve"> </v>
      </c>
      <c r="AF18" s="92"/>
      <c r="AG18" s="93" t="str">
        <f t="shared" si="17"/>
        <v xml:space="preserve"> </v>
      </c>
      <c r="AH18" s="93" t="str">
        <f t="shared" si="14"/>
        <v xml:space="preserve"> </v>
      </c>
      <c r="AI18" s="94" t="str">
        <f>IF(Table622027323334171829[[#This Row],[Non-Member]]="X"," ",IF(AH18=" "," ",IFERROR(VLOOKUP(AG18,Points!$A$2:$B$14,2,FALSE)," ")))</f>
        <v xml:space="preserve"> </v>
      </c>
      <c r="AJ18" s="93">
        <f>IF(Table622027323334171829[[#This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248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IF(Table622027323334171829[[#This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IF(Table622027323334171829[[#This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IF(Table622027323334171829[[#This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IF(Table622027323334171829[[#This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IF(Table622027323334171829[[#This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IF(Table622027323334171829[[#This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IF(Table622027323334171829[[#This Row],[Non-Member]]="X"," ",IF(AD19=" "," ",IFERROR(VLOOKUP(AC19,Points!$A$2:$B$14,2,FALSE)," ")))</f>
        <v xml:space="preserve"> </v>
      </c>
      <c r="AF19" s="92"/>
      <c r="AG19" s="93" t="str">
        <f t="shared" si="17"/>
        <v xml:space="preserve"> </v>
      </c>
      <c r="AH19" s="93" t="str">
        <f t="shared" si="14"/>
        <v xml:space="preserve"> </v>
      </c>
      <c r="AI19" s="94" t="str">
        <f>IF(Table622027323334171829[[#This Row],[Non-Member]]="X"," ",IF(AH19=" "," ",IFERROR(VLOOKUP(AG19,Points!$A$2:$B$14,2,FALSE)," ")))</f>
        <v xml:space="preserve"> </v>
      </c>
      <c r="AJ19" s="93" t="str">
        <f>IF(Table622027323334171829[[#This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 t="s">
        <v>249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IF(Table622027323334171829[[#This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IF(Table622027323334171829[[#This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IF(Table622027323334171829[[#This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IF(Table622027323334171829[[#This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IF(Table622027323334171829[[#This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IF(Table622027323334171829[[#This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IF(Table622027323334171829[[#This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3" t="str">
        <f t="shared" si="17"/>
        <v xml:space="preserve"> </v>
      </c>
      <c r="AH20" s="93" t="str">
        <f t="shared" si="14"/>
        <v xml:space="preserve"> </v>
      </c>
      <c r="AI20" s="94" t="str">
        <f>IF(Table622027323334171829[[#This Row],[Non-Member]]="X"," ",IF(AH20=" "," ",IFERROR(VLOOKUP(AG20,Points!$A$2:$B$14,2,FALSE)," ")))</f>
        <v xml:space="preserve"> </v>
      </c>
      <c r="AJ20" s="93">
        <f>IF(Table622027323334171829[[#This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IF(Table622027323334171829[[#This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IF(Table622027323334171829[[#This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IF(Table622027323334171829[[#This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IF(Table622027323334171829[[#This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IF(Table622027323334171829[[#This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IF(Table622027323334171829[[#This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IF(Table622027323334171829[[#This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 t="shared" si="17"/>
        <v xml:space="preserve"> </v>
      </c>
      <c r="AH21" s="93" t="str">
        <f t="shared" si="14"/>
        <v xml:space="preserve"> </v>
      </c>
      <c r="AI21" s="94" t="str">
        <f>IF(Table622027323334171829[[#This Row],[Non-Member]]="X"," ",IF(AH21=" "," ",IFERROR(VLOOKUP(AG21,Points!$A$2:$B$14,2,FALSE)," ")))</f>
        <v xml:space="preserve"> </v>
      </c>
      <c r="AJ21" s="93">
        <f>IF(Table622027323334171829[[#This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IF(Table622027323334171829[[#This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IF(Table622027323334171829[[#This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IF(Table622027323334171829[[#This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IF(Table622027323334171829[[#This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IF(Table622027323334171829[[#This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IF(Table622027323334171829[[#This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IF(Table622027323334171829[[#This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7"/>
        <v xml:space="preserve"> </v>
      </c>
      <c r="AH22" s="93" t="str">
        <f t="shared" si="14"/>
        <v xml:space="preserve"> </v>
      </c>
      <c r="AI22" s="94" t="str">
        <f>IF(Table622027323334171829[[#This Row],[Non-Member]]="X"," ",IF(AH22=" "," ",IFERROR(VLOOKUP(AG22,Points!$A$2:$B$14,2,FALSE)," ")))</f>
        <v xml:space="preserve"> </v>
      </c>
      <c r="AJ22" s="93">
        <f>IF(Table622027323334171829[[#This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IF(Table622027323334171829[[#This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IF(Table622027323334171829[[#This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IF(Table622027323334171829[[#This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IF(Table622027323334171829[[#This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IF(Table622027323334171829[[#This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IF(Table622027323334171829[[#This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IF(Table622027323334171829[[#This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7"/>
        <v xml:space="preserve"> </v>
      </c>
      <c r="AH23" s="93" t="str">
        <f t="shared" si="14"/>
        <v xml:space="preserve"> </v>
      </c>
      <c r="AI23" s="94" t="str">
        <f>IF(Table622027323334171829[[#This Row],[Non-Member]]="X"," ",IF(AH23=" "," ",IFERROR(VLOOKUP(AG23,Points!$A$2:$B$14,2,FALSE)," ")))</f>
        <v xml:space="preserve"> </v>
      </c>
      <c r="AJ23" s="93">
        <f>IF(Table622027323334171829[[#This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IF(Table622027323334171829[[#This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IF(Table622027323334171829[[#This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IF(Table622027323334171829[[#This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IF(Table622027323334171829[[#This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IF(Table622027323334171829[[#This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IF(Table622027323334171829[[#This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IF(Table622027323334171829[[#This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7"/>
        <v xml:space="preserve"> </v>
      </c>
      <c r="AH24" s="103" t="str">
        <f t="shared" si="14"/>
        <v xml:space="preserve"> </v>
      </c>
      <c r="AI24" s="104" t="str">
        <f>IF(Table622027323334171829[[#This Row],[Non-Member]]="X"," ",IF(AH24=" "," ",IFERROR(VLOOKUP(AG24,Points!$A$2:$B$14,2,FALSE)," ")))</f>
        <v xml:space="preserve"> </v>
      </c>
      <c r="AJ24" s="93">
        <f>IF(Table622027323334171829[[#This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iG3n0Nblz/T7FLEjGhxIAIM2CdfsoU4Z8bnebrx2kpmsZiZocjPl0P/Z2n0IIqaNohO5wL6bK1+eJenfrXqUsg==" saltValue="p4PtUAZRNbLsrt6psfEV7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0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119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163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IF(Table62202732333738224248[[#This Row],[Non-Member]]="X"," ",IF(F5=" "," ",IFERROR(VLOOKUP(E5,Points!$A$2:$B$14,2,FALSE)," ")))</f>
        <v xml:space="preserve"> </v>
      </c>
      <c r="H5" s="170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IF(Table62202732333738224248[[#This Row],[Non-Member]]="X"," ",IF(J5=" "," ",IFERROR(VLOOKUP(I5,Points!$A$2:$B$14,2,FALSE)," ")))</f>
        <v xml:space="preserve"> </v>
      </c>
      <c r="L5" s="85">
        <v>22.04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IF(Table62202732333738224248[[#This Row],[Non-Member]]="X"," ",IF(N5=" "," ",IFERROR(VLOOKUP(M5,Points!$A$2:$B$14,2,FALSE)," ")))</f>
        <v>18</v>
      </c>
      <c r="P5" s="85">
        <v>21.91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IF(Table62202732333738224248[[#This Row],[Non-Member]]="X"," ",IF(R5=" "," ",IFERROR(VLOOKUP(Q5,Points!$A$2:$B$14,2,FALSE)," ")))</f>
        <v>12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IF(Table62202732333738224248[[#This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IF(Table62202732333738224248[[#This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IF(Table62202732333738224248[[#This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IF(Table62202732333738224248[[#This Row],[Non-Member]]="X"," ",IF(AH5=" "," ",IFERROR(VLOOKUP(AG5,Points!$A$2:$B$14,2,FALSE)," ")))</f>
        <v xml:space="preserve"> </v>
      </c>
      <c r="AJ5" s="86">
        <f>IF(Table62202732333738224248[[#This Row],[Non-Member]]="X"," ",((IF(G5=" ",0,G5))+(IF(K5=" ",0,K5))+(IF(O5=" ",0,O5))+(IF(S5=" ",0,S5))+(IF(W5=" ",0,W5))+(IF(AA5=" ",0,AA5))+(IF(AE5=" ",0,AE5))+(IF(AI5=" ",0,AI5))))</f>
        <v>30</v>
      </c>
      <c r="AK5" s="88">
        <f t="shared" ref="AK5:AK24" si="17">IF(AJ5=0," ",AJ5)</f>
        <v>30</v>
      </c>
      <c r="AL5" s="89">
        <f t="shared" ref="AL5:AL24" si="18">IF(AK5=" "," ",RANK(AK5,$AK$5:$AK$24))</f>
        <v>1</v>
      </c>
    </row>
    <row r="6" spans="2:38" x14ac:dyDescent="0.3">
      <c r="B6" s="90" t="s">
        <v>167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IF(Table62202732333738224248[[#This Row],[Non-Member]]="X"," ",IF(F6=" "," ",IFERROR(VLOOKUP(E6,Points!$A$2:$B$14,2,FALSE)," ")))</f>
        <v xml:space="preserve"> </v>
      </c>
      <c r="H6" s="92">
        <v>30.824000000000002</v>
      </c>
      <c r="I6" s="93">
        <f t="shared" si="2"/>
        <v>6</v>
      </c>
      <c r="J6" s="93">
        <f t="shared" si="3"/>
        <v>6</v>
      </c>
      <c r="K6" s="94">
        <f>IF(Table62202732333738224248[[#This Row],[Non-Member]]="X"," ",IF(J6=" "," ",IFERROR(VLOOKUP(I6,Points!$A$2:$B$14,2,FALSE)," ")))</f>
        <v>3</v>
      </c>
      <c r="L6" s="92">
        <v>26.53</v>
      </c>
      <c r="M6" s="93">
        <f t="shared" si="4"/>
        <v>5</v>
      </c>
      <c r="N6" s="93">
        <f t="shared" si="5"/>
        <v>5</v>
      </c>
      <c r="O6" s="94">
        <f>IF(Table62202732333738224248[[#This Row],[Non-Member]]="X"," ",IF(N6=" "," ",IFERROR(VLOOKUP(M6,Points!$A$2:$B$14,2,FALSE)," ")))</f>
        <v>6</v>
      </c>
      <c r="P6" s="92">
        <v>21.33</v>
      </c>
      <c r="Q6" s="93">
        <f t="shared" si="6"/>
        <v>2</v>
      </c>
      <c r="R6" s="93">
        <f t="shared" si="7"/>
        <v>2</v>
      </c>
      <c r="S6" s="94">
        <f>IF(Table62202732333738224248[[#This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IF(Table62202732333738224248[[#This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IF(Table62202732333738224248[[#This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IF(Table62202732333738224248[[#This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IF(Table62202732333738224248[[#This Row],[Non-Member]]="X"," ",IF(AH6=" "," ",IFERROR(VLOOKUP(AG6,Points!$A$2:$B$14,2,FALSE)," ")))</f>
        <v xml:space="preserve"> </v>
      </c>
      <c r="AJ6" s="93">
        <f>IF(Table62202732333738224248[[#This Row],[Non-Member]]="X"," ",((IF(G6=" ",0,G6))+(IF(K6=" ",0,K6))+(IF(O6=" ",0,O6))+(IF(S6=" ",0,S6))+(IF(W6=" ",0,W6))+(IF(AA6=" ",0,AA6))+(IF(AE6=" ",0,AE6))+(IF(AI6=" ",0,AI6))))</f>
        <v>24</v>
      </c>
      <c r="AK6" s="95">
        <f t="shared" si="17"/>
        <v>24</v>
      </c>
      <c r="AL6" s="96">
        <f t="shared" si="18"/>
        <v>2</v>
      </c>
    </row>
    <row r="7" spans="2:38" x14ac:dyDescent="0.3">
      <c r="B7" s="90" t="s">
        <v>279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IF(Table62202732333738224248[[#This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IF(Table62202732333738224248[[#This Row],[Non-Member]]="X"," ",IF(J7=" "," ",IFERROR(VLOOKUP(I7,Points!$A$2:$B$14,2,FALSE)," ")))</f>
        <v xml:space="preserve"> </v>
      </c>
      <c r="L7" s="92">
        <v>28.41</v>
      </c>
      <c r="M7" s="93">
        <f t="shared" si="4"/>
        <v>6</v>
      </c>
      <c r="N7" s="93">
        <f t="shared" si="5"/>
        <v>6</v>
      </c>
      <c r="O7" s="94">
        <f>IF(Table62202732333738224248[[#This Row],[Non-Member]]="X"," ",IF(N7=" "," ",IFERROR(VLOOKUP(M7,Points!$A$2:$B$14,2,FALSE)," ")))</f>
        <v>3</v>
      </c>
      <c r="P7" s="92">
        <v>20.79</v>
      </c>
      <c r="Q7" s="93">
        <f t="shared" si="6"/>
        <v>1</v>
      </c>
      <c r="R7" s="93">
        <f t="shared" si="7"/>
        <v>1</v>
      </c>
      <c r="S7" s="94">
        <f>IF(Table62202732333738224248[[#This Row],[Non-Member]]="X"," ",IF(R7=" "," ",IFERROR(VLOOKUP(Q7,Points!$A$2:$B$14,2,FALSE)," ")))</f>
        <v>18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IF(Table62202732333738224248[[#This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IF(Table62202732333738224248[[#This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IF(Table62202732333738224248[[#This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IF(Table62202732333738224248[[#This Row],[Non-Member]]="X"," ",IF(AH7=" "," ",IFERROR(VLOOKUP(AG7,Points!$A$2:$B$14,2,FALSE)," ")))</f>
        <v xml:space="preserve"> </v>
      </c>
      <c r="AJ7" s="93">
        <f>IF(Table62202732333738224248[[#This Row],[Non-Member]]="X"," ",((IF(G7=" ",0,G7))+(IF(K7=" ",0,K7))+(IF(O7=" ",0,O7))+(IF(S7=" ",0,S7))+(IF(W7=" ",0,W7))+(IF(AA7=" ",0,AA7))+(IF(AE7=" ",0,AE7))+(IF(AI7=" ",0,AI7))))</f>
        <v>21</v>
      </c>
      <c r="AK7" s="95">
        <f t="shared" si="17"/>
        <v>21</v>
      </c>
      <c r="AL7" s="96">
        <f t="shared" si="18"/>
        <v>3</v>
      </c>
    </row>
    <row r="8" spans="2:38" x14ac:dyDescent="0.3">
      <c r="B8" s="90" t="s">
        <v>207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IF(Table62202732333738224248[[#This Row],[Non-Member]]="X"," ",IF(F8=" "," ",IFERROR(VLOOKUP(E8,Points!$A$2:$B$14,2,FALSE)," ")))</f>
        <v xml:space="preserve"> </v>
      </c>
      <c r="H8" s="92"/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IF(Table62202732333738224248[[#This Row],[Non-Member]]="X"," ",IF(J8=" "," ",IFERROR(VLOOKUP(I8,Points!$A$2:$B$14,2,FALSE)," ")))</f>
        <v xml:space="preserve"> </v>
      </c>
      <c r="L8" s="92">
        <v>23.52</v>
      </c>
      <c r="M8" s="97">
        <f t="shared" si="4"/>
        <v>3</v>
      </c>
      <c r="N8" s="97">
        <f t="shared" si="5"/>
        <v>3</v>
      </c>
      <c r="O8" s="94">
        <f>IF(Table62202732333738224248[[#This Row],[Non-Member]]="X"," ",IF(N8=" "," ",IFERROR(VLOOKUP(M8,Points!$A$2:$B$14,2,FALSE)," ")))</f>
        <v>12</v>
      </c>
      <c r="P8" s="92">
        <v>23.51</v>
      </c>
      <c r="Q8" s="97">
        <f t="shared" si="6"/>
        <v>4</v>
      </c>
      <c r="R8" s="97">
        <f t="shared" si="7"/>
        <v>4</v>
      </c>
      <c r="S8" s="94">
        <f>IF(Table62202732333738224248[[#This Row],[Non-Member]]="X"," ",IF(R8=" "," ",IFERROR(VLOOKUP(Q8,Points!$A$2:$B$14,2,FALSE)," ")))</f>
        <v>9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IF(Table62202732333738224248[[#This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IF(Table62202732333738224248[[#This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IF(Table62202732333738224248[[#This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IF(Table62202732333738224248[[#This Row],[Non-Member]]="X"," ",IF(AH8=" "," ",IFERROR(VLOOKUP(AG8,Points!$A$2:$B$14,2,FALSE)," ")))</f>
        <v xml:space="preserve"> </v>
      </c>
      <c r="AJ8" s="97">
        <f>IF(Table62202732333738224248[[#This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8">
        <f t="shared" si="18"/>
        <v>3</v>
      </c>
    </row>
    <row r="9" spans="2:38" x14ac:dyDescent="0.3">
      <c r="B9" s="90" t="s">
        <v>164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IF(Table62202732333738224248[[#This Row],[Non-Member]]="X"," ",IF(F9=" "," ",IFERROR(VLOOKUP(E9,Points!$A$2:$B$14,2,FALSE)," ")))</f>
        <v xml:space="preserve"> </v>
      </c>
      <c r="H9" s="92">
        <v>38.200000000000003</v>
      </c>
      <c r="I9" s="93">
        <f t="shared" si="2"/>
        <v>9</v>
      </c>
      <c r="J9" s="93" t="str">
        <f t="shared" si="3"/>
        <v xml:space="preserve"> </v>
      </c>
      <c r="K9" s="94" t="str">
        <f>IF(Table62202732333738224248[[#This Row],[Non-Member]]="X"," ",IF(J9=" "," ",IFERROR(VLOOKUP(I9,Points!$A$2:$B$14,2,FALSE)," ")))</f>
        <v xml:space="preserve"> </v>
      </c>
      <c r="L9" s="92">
        <v>23.39</v>
      </c>
      <c r="M9" s="93">
        <f t="shared" si="4"/>
        <v>2</v>
      </c>
      <c r="N9" s="93">
        <f t="shared" si="5"/>
        <v>2</v>
      </c>
      <c r="O9" s="94">
        <f>IF(Table62202732333738224248[[#This Row],[Non-Member]]="X"," ",IF(N9=" "," ",IFERROR(VLOOKUP(M9,Points!$A$2:$B$14,2,FALSE)," ")))</f>
        <v>15</v>
      </c>
      <c r="P9" s="92">
        <v>28.75</v>
      </c>
      <c r="Q9" s="93">
        <f t="shared" si="6"/>
        <v>6</v>
      </c>
      <c r="R9" s="93">
        <f t="shared" si="7"/>
        <v>6</v>
      </c>
      <c r="S9" s="94">
        <f>IF(Table62202732333738224248[[#This Row],[Non-Member]]="X"," ",IF(R9=" "," ",IFERROR(VLOOKUP(Q9,Points!$A$2:$B$14,2,FALSE)," ")))</f>
        <v>3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IF(Table62202732333738224248[[#This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IF(Table62202732333738224248[[#This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IF(Table62202732333738224248[[#This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IF(Table62202732333738224248[[#This Row],[Non-Member]]="X"," ",IF(AH9=" "," ",IFERROR(VLOOKUP(AG9,Points!$A$2:$B$14,2,FALSE)," ")))</f>
        <v xml:space="preserve"> </v>
      </c>
      <c r="AJ9" s="93">
        <f>IF(Table62202732333738224248[[#This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210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IF(Table62202732333738224248[[#This Row],[Non-Member]]="X"," ",IF(F10=" "," ",IFERROR(VLOOKUP(E10,Points!$A$2:$B$14,2,FALSE)," ")))</f>
        <v xml:space="preserve"> </v>
      </c>
      <c r="H10" s="92">
        <v>23.916</v>
      </c>
      <c r="I10" s="93">
        <f t="shared" si="2"/>
        <v>1</v>
      </c>
      <c r="J10" s="93">
        <f t="shared" si="3"/>
        <v>1</v>
      </c>
      <c r="K10" s="94">
        <f>IF(Table62202732333738224248[[#This Row],[Non-Member]]="X"," ",IF(J10=" "," ",IFERROR(VLOOKUP(I10,Points!$A$2:$B$14,2,FALSE)," ")))</f>
        <v>18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IF(Table62202732333738224248[[#This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IF(Table62202732333738224248[[#This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IF(Table62202732333738224248[[#This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IF(Table62202732333738224248[[#This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IF(Table62202732333738224248[[#This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IF(Table62202732333738224248[[#This Row],[Non-Member]]="X"," ",IF(AH10=" "," ",IFERROR(VLOOKUP(AG10,Points!$A$2:$B$14,2,FALSE)," ")))</f>
        <v xml:space="preserve"> </v>
      </c>
      <c r="AJ10" s="93">
        <f>IF(Table62202732333738224248[[#This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5</v>
      </c>
    </row>
    <row r="11" spans="2:38" x14ac:dyDescent="0.3">
      <c r="B11" s="90" t="s">
        <v>196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IF(Table62202732333738224248[[#This Row],[Non-Member]]="X"," ",IF(F11=" "," ",IFERROR(VLOOKUP(E11,Points!$A$2:$B$14,2,FALSE)," ")))</f>
        <v xml:space="preserve"> </v>
      </c>
      <c r="H11" s="92">
        <v>28.873999999999999</v>
      </c>
      <c r="I11" s="93">
        <f t="shared" si="2"/>
        <v>4</v>
      </c>
      <c r="J11" s="93">
        <f t="shared" si="3"/>
        <v>4</v>
      </c>
      <c r="K11" s="94">
        <f>IF(Table62202732333738224248[[#This Row],[Non-Member]]="X"," ",IF(J11=" "," ",IFERROR(VLOOKUP(I11,Points!$A$2:$B$14,2,FALSE)," ")))</f>
        <v>9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IF(Table62202732333738224248[[#This Row],[Non-Member]]="X"," ",IF(N11=" "," ",IFERROR(VLOOKUP(M11,Points!$A$2:$B$14,2,FALSE)," ")))</f>
        <v xml:space="preserve"> </v>
      </c>
      <c r="P11" s="92">
        <v>28.26</v>
      </c>
      <c r="Q11" s="93">
        <f t="shared" si="6"/>
        <v>5</v>
      </c>
      <c r="R11" s="93">
        <f t="shared" si="7"/>
        <v>5</v>
      </c>
      <c r="S11" s="94">
        <f>IF(Table62202732333738224248[[#This Row],[Non-Member]]="X"," ",IF(R11=" "," ",IFERROR(VLOOKUP(Q11,Points!$A$2:$B$14,2,FALSE)," ")))</f>
        <v>6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IF(Table62202732333738224248[[#This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IF(Table62202732333738224248[[#This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IF(Table62202732333738224248[[#This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IF(Table62202732333738224248[[#This Row],[Non-Member]]="X"," ",IF(AH11=" "," ",IFERROR(VLOOKUP(AG11,Points!$A$2:$B$14,2,FALSE)," ")))</f>
        <v xml:space="preserve"> </v>
      </c>
      <c r="AJ11" s="93">
        <f>IF(Table62202732333738224248[[#This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7</v>
      </c>
    </row>
    <row r="12" spans="2:38" x14ac:dyDescent="0.3">
      <c r="B12" s="90" t="s">
        <v>282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IF(Table62202732333738224248[[#This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IF(Table62202732333738224248[[#This Row],[Non-Member]]="X"," ",IF(J12=" "," ",IFERROR(VLOOKUP(I12,Points!$A$2:$B$14,2,FALSE)," ")))</f>
        <v xml:space="preserve"> </v>
      </c>
      <c r="L12" s="92">
        <v>24.46</v>
      </c>
      <c r="M12" s="93">
        <f t="shared" si="4"/>
        <v>4</v>
      </c>
      <c r="N12" s="93">
        <f t="shared" si="5"/>
        <v>4</v>
      </c>
      <c r="O12" s="94">
        <f>IF(Table62202732333738224248[[#This Row],[Non-Member]]="X"," ",IF(N12=" "," ",IFERROR(VLOOKUP(M12,Points!$A$2:$B$14,2,FALSE)," ")))</f>
        <v>9</v>
      </c>
      <c r="P12" s="92">
        <v>32.79</v>
      </c>
      <c r="Q12" s="93">
        <f t="shared" si="6"/>
        <v>8</v>
      </c>
      <c r="R12" s="93" t="str">
        <f t="shared" si="7"/>
        <v xml:space="preserve"> </v>
      </c>
      <c r="S12" s="94" t="str">
        <f>IF(Table62202732333738224248[[#This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IF(Table62202732333738224248[[#This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IF(Table62202732333738224248[[#This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IF(Table62202732333738224248[[#This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IF(Table62202732333738224248[[#This Row],[Non-Member]]="X"," ",IF(AH12=" "," ",IFERROR(VLOOKUP(AG12,Points!$A$2:$B$14,2,FALSE)," ")))</f>
        <v xml:space="preserve"> </v>
      </c>
      <c r="AJ12" s="93">
        <f>IF(Table62202732333738224248[[#This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151</v>
      </c>
      <c r="C13" s="91" t="s">
        <v>325</v>
      </c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IF(Table62202732333738224248[[#This Row],[Non-Member]]="X"," ",IF(F13=" "," ",IFERROR(VLOOKUP(E13,Points!$A$2:$B$14,2,FALSE)," ")))</f>
        <v xml:space="preserve"> </v>
      </c>
      <c r="H13" s="92">
        <v>32.494</v>
      </c>
      <c r="I13" s="97">
        <f t="shared" si="2"/>
        <v>8</v>
      </c>
      <c r="J13" s="97" t="str">
        <f t="shared" si="3"/>
        <v xml:space="preserve"> </v>
      </c>
      <c r="K13" s="94" t="str">
        <f>IF(Table62202732333738224248[[#This Row],[Non-Member]]="X"," ",IF(J13=" "," ",IFERROR(VLOOKUP(I13,Points!$A$2:$B$14,2,FALSE)," ")))</f>
        <v xml:space="preserve"> </v>
      </c>
      <c r="L13" s="92"/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IF(Table62202732333738224248[[#This Row],[Non-Member]]="X"," ",IF(N13=" "," ",IFERROR(VLOOKUP(M13,Points!$A$2:$B$14,2,FALSE)," ")))</f>
        <v xml:space="preserve"> </v>
      </c>
      <c r="P13" s="92"/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IF(Table62202732333738224248[[#This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IF(Table62202732333738224248[[#This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IF(Table62202732333738224248[[#This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IF(Table62202732333738224248[[#This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IF(Table62202732333738224248[[#This Row],[Non-Member]]="X"," ",IF(AH13=" "," ",IFERROR(VLOOKUP(AG13,Points!$A$2:$B$14,2,FALSE)," ")))</f>
        <v xml:space="preserve"> </v>
      </c>
      <c r="AJ13" s="97" t="str">
        <f>IF(Table62202732333738224248[[#This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7"/>
        <v xml:space="preserve"> </v>
      </c>
      <c r="AL13" s="98" t="str">
        <f t="shared" si="18"/>
        <v xml:space="preserve"> </v>
      </c>
    </row>
    <row r="14" spans="2:38" x14ac:dyDescent="0.3">
      <c r="B14" s="90" t="s">
        <v>280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IF(Table62202732333738224248[[#This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IF(Table62202732333738224248[[#This Row],[Non-Member]]="X"," ",IF(J14=" "," ",IFERROR(VLOOKUP(I14,Points!$A$2:$B$14,2,FALSE)," ")))</f>
        <v xml:space="preserve"> </v>
      </c>
      <c r="L14" s="92">
        <v>38.89</v>
      </c>
      <c r="M14" s="93">
        <f t="shared" si="4"/>
        <v>7</v>
      </c>
      <c r="N14" s="93" t="str">
        <f t="shared" si="5"/>
        <v xml:space="preserve"> </v>
      </c>
      <c r="O14" s="94" t="str">
        <f>IF(Table62202732333738224248[[#This Row],[Non-Member]]="X"," ",IF(N14=" "," ",IFERROR(VLOOKUP(M14,Points!$A$2:$B$14,2,FALSE)," ")))</f>
        <v xml:space="preserve"> </v>
      </c>
      <c r="P14" s="92">
        <v>29.59</v>
      </c>
      <c r="Q14" s="93">
        <f t="shared" si="6"/>
        <v>7</v>
      </c>
      <c r="R14" s="93" t="str">
        <f t="shared" si="7"/>
        <v xml:space="preserve"> </v>
      </c>
      <c r="S14" s="94" t="str">
        <f>IF(Table62202732333738224248[[#This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IF(Table62202732333738224248[[#This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IF(Table62202732333738224248[[#This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IF(Table62202732333738224248[[#This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IF(Table62202732333738224248[[#This Row],[Non-Member]]="X"," ",IF(AH14=" "," ",IFERROR(VLOOKUP(AG14,Points!$A$2:$B$14,2,FALSE)," ")))</f>
        <v xml:space="preserve"> </v>
      </c>
      <c r="AJ14" s="93">
        <f>IF(Table62202732333738224248[[#This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205</v>
      </c>
      <c r="C15" s="91" t="s">
        <v>325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IF(Table62202732333738224248[[#This Row],[Non-Member]]="X"," ",IF(F15=" "," ",IFERROR(VLOOKUP(E15,Points!$A$2:$B$14,2,FALSE)," ")))</f>
        <v xml:space="preserve"> </v>
      </c>
      <c r="H15" s="92">
        <v>28.728000000000002</v>
      </c>
      <c r="I15" s="97">
        <f t="shared" si="2"/>
        <v>3</v>
      </c>
      <c r="J15" s="97">
        <f t="shared" si="3"/>
        <v>3</v>
      </c>
      <c r="K15" s="94" t="str">
        <f>IF(Table62202732333738224248[[#This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IF(Table62202732333738224248[[#This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IF(Table62202732333738224248[[#This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IF(Table62202732333738224248[[#This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IF(Table62202732333738224248[[#This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IF(Table62202732333738224248[[#This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IF(Table62202732333738224248[[#This Row],[Non-Member]]="X"," ",IF(AH15=" "," ",IFERROR(VLOOKUP(AG15,Points!$A$2:$B$14,2,FALSE)," ")))</f>
        <v xml:space="preserve"> </v>
      </c>
      <c r="AJ15" s="97" t="str">
        <f>IF(Table62202732333738224248[[#This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 t="s">
        <v>212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IF(Table62202732333738224248[[#This Row],[Non-Member]]="X"," ",IF(F16=" "," ",IFERROR(VLOOKUP(E16,Points!$A$2:$B$14,2,FALSE)," ")))</f>
        <v xml:space="preserve"> </v>
      </c>
      <c r="H16" s="92">
        <v>27.989000000000001</v>
      </c>
      <c r="I16" s="93">
        <f t="shared" si="2"/>
        <v>2</v>
      </c>
      <c r="J16" s="93">
        <f t="shared" si="3"/>
        <v>2</v>
      </c>
      <c r="K16" s="94" t="str">
        <f>IF(Table62202732333738224248[[#This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IF(Table62202732333738224248[[#This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IF(Table62202732333738224248[[#This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IF(Table62202732333738224248[[#This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IF(Table62202732333738224248[[#This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IF(Table62202732333738224248[[#This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IF(Table62202732333738224248[[#This Row],[Non-Member]]="X"," ",IF(AH16=" "," ",IFERROR(VLOOKUP(AG16,Points!$A$2:$B$14,2,FALSE)," ")))</f>
        <v xml:space="preserve"> </v>
      </c>
      <c r="AJ16" s="93" t="str">
        <f>IF(Table62202732333738224248[[#This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209</v>
      </c>
      <c r="C17" s="91" t="s">
        <v>325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IF(Table62202732333738224248[[#This Row],[Non-Member]]="X"," ",IF(F17=" "," ",IFERROR(VLOOKUP(E17,Points!$A$2:$B$14,2,FALSE)," ")))</f>
        <v xml:space="preserve"> </v>
      </c>
      <c r="H17" s="92">
        <v>30.486999999999998</v>
      </c>
      <c r="I17" s="93">
        <f t="shared" si="2"/>
        <v>5</v>
      </c>
      <c r="J17" s="93">
        <f t="shared" si="3"/>
        <v>5</v>
      </c>
      <c r="K17" s="94" t="str">
        <f>IF(Table62202732333738224248[[#This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IF(Table62202732333738224248[[#This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IF(Table62202732333738224248[[#This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IF(Table62202732333738224248[[#This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IF(Table62202732333738224248[[#This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IF(Table62202732333738224248[[#This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IF(Table62202732333738224248[[#This Row],[Non-Member]]="X"," ",IF(AH17=" "," ",IFERROR(VLOOKUP(AG17,Points!$A$2:$B$14,2,FALSE)," ")))</f>
        <v xml:space="preserve"> </v>
      </c>
      <c r="AJ17" s="93" t="str">
        <f>IF(Table62202732333738224248[[#This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281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IF(Table62202732333738224248[[#This Row],[Non-Member]]="X"," ",IF(F18=" "," ",IFERROR(VLOOKUP(E18,Points!$A$2:$B$14,2,FALSE)," ")))</f>
        <v xml:space="preserve"> </v>
      </c>
      <c r="H18" s="135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IF(Table62202732333738224248[[#This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IF(Table62202732333738224248[[#This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IF(Table62202732333738224248[[#This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IF(Table62202732333738224248[[#This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IF(Table62202732333738224248[[#This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IF(Table62202732333738224248[[#This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IF(Table62202732333738224248[[#This Row],[Non-Member]]="X"," ",IF(AH18=" "," ",IFERROR(VLOOKUP(AG18,Points!$A$2:$B$14,2,FALSE)," ")))</f>
        <v xml:space="preserve"> </v>
      </c>
      <c r="AJ18" s="93" t="str">
        <f>IF(Table62202732333738224248[[#This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213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IF(Table62202732333738224248[[#This Row],[Non-Member]]="X"," ",IF(F19=" "," ",IFERROR(VLOOKUP(E19,Points!$A$2:$B$14,2,FALSE)," ")))</f>
        <v xml:space="preserve"> </v>
      </c>
      <c r="H19" s="92">
        <v>32.417000000000002</v>
      </c>
      <c r="I19" s="93">
        <f t="shared" si="2"/>
        <v>7</v>
      </c>
      <c r="J19" s="93" t="str">
        <f t="shared" si="3"/>
        <v xml:space="preserve"> </v>
      </c>
      <c r="K19" s="94" t="str">
        <f>IF(Table62202732333738224248[[#This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IF(Table62202732333738224248[[#This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IF(Table62202732333738224248[[#This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IF(Table62202732333738224248[[#This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IF(Table62202732333738224248[[#This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IF(Table62202732333738224248[[#This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IF(Table62202732333738224248[[#This Row],[Non-Member]]="X"," ",IF(AH19=" "," ",IFERROR(VLOOKUP(AG19,Points!$A$2:$B$14,2,FALSE)," ")))</f>
        <v xml:space="preserve"> </v>
      </c>
      <c r="AJ19" s="93">
        <f>IF(Table62202732333738224248[[#This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IF(Table62202732333738224248[[#This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IF(Table62202732333738224248[[#This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IF(Table62202732333738224248[[#This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IF(Table62202732333738224248[[#This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IF(Table62202732333738224248[[#This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IF(Table62202732333738224248[[#This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IF(Table62202732333738224248[[#This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IF(Table62202732333738224248[[#This Row],[Non-Member]]="X"," ",IF(AH20=" "," ",IFERROR(VLOOKUP(AG20,Points!$A$2:$B$14,2,FALSE)," ")))</f>
        <v xml:space="preserve"> </v>
      </c>
      <c r="AJ20" s="93">
        <f>IF(Table62202732333738224248[[#This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IF(Table62202732333738224248[[#This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IF(Table62202732333738224248[[#This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IF(Table62202732333738224248[[#This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IF(Table62202732333738224248[[#This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IF(Table62202732333738224248[[#This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IF(Table62202732333738224248[[#This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IF(Table62202732333738224248[[#This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IF(Table62202732333738224248[[#This Row],[Non-Member]]="X"," ",IF(AH21=" "," ",IFERROR(VLOOKUP(AG21,Points!$A$2:$B$14,2,FALSE)," ")))</f>
        <v xml:space="preserve"> </v>
      </c>
      <c r="AJ21" s="93">
        <f>IF(Table62202732333738224248[[#This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IF(Table62202732333738224248[[#This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IF(Table62202732333738224248[[#This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IF(Table62202732333738224248[[#This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IF(Table62202732333738224248[[#This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IF(Table62202732333738224248[[#This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IF(Table62202732333738224248[[#This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IF(Table62202732333738224248[[#This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IF(Table62202732333738224248[[#This Row],[Non-Member]]="X"," ",IF(AH22=" "," ",IFERROR(VLOOKUP(AG22,Points!$A$2:$B$14,2,FALSE)," ")))</f>
        <v xml:space="preserve"> </v>
      </c>
      <c r="AJ22" s="93">
        <f>IF(Table62202732333738224248[[#This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IF(Table62202732333738224248[[#This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IF(Table62202732333738224248[[#This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IF(Table62202732333738224248[[#This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IF(Table62202732333738224248[[#This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IF(Table62202732333738224248[[#This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IF(Table62202732333738224248[[#This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IF(Table62202732333738224248[[#This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IF(Table62202732333738224248[[#This Row],[Non-Member]]="X"," ",IF(AH23=" "," ",IFERROR(VLOOKUP(AG23,Points!$A$2:$B$14,2,FALSE)," ")))</f>
        <v xml:space="preserve"> </v>
      </c>
      <c r="AJ23" s="93">
        <f>IF(Table62202732333738224248[[#This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IF(Table62202732333738224248[[#This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IF(Table62202732333738224248[[#This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IF(Table62202732333738224248[[#This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IF(Table62202732333738224248[[#This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IF(Table62202732333738224248[[#This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IF(Table62202732333738224248[[#This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IF(Table62202732333738224248[[#This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IF(Table62202732333738224248[[#This Row],[Non-Member]]="X"," ",IF(AH24=" "," ",IFERROR(VLOOKUP(AG24,Points!$A$2:$B$14,2,FALSE)," ")))</f>
        <v xml:space="preserve"> </v>
      </c>
      <c r="AJ24" s="93">
        <f>IF(Table62202732333738224248[[#This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W1T4i8GYu0Wg6M0Q/POPy+Z61qDLyKbxoThl2sduI2/8S+6J1a1gJruS4RS8yfZdYh5MTiNNnsxlBbhN/na1Gw==" saltValue="auyIi7v7mXIHXct3XimcQ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72">
    <tabColor theme="8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AI5" sqref="AI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110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222</v>
      </c>
      <c r="C5" s="118">
        <f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f>
        <v>69</v>
      </c>
      <c r="G5" s="88">
        <f t="shared" ref="G5:G24" si="2">IF(F5&gt;0,F5," ")</f>
        <v>69</v>
      </c>
      <c r="H5" s="84">
        <f t="shared" ref="H5:H24" si="3">IF(F5=0," ",RANK(F5,F$5:F$24,0))</f>
        <v>1</v>
      </c>
      <c r="I5" s="119">
        <f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f>
        <v>78</v>
      </c>
      <c r="J5" s="88">
        <f t="shared" ref="J5:J24" si="4">IF(I5&gt;0,I5," ")</f>
        <v>78</v>
      </c>
      <c r="K5" s="84">
        <f t="shared" ref="K5:K24" si="5">IF(I5=0," ",RANK(I5,I$5:I$24,0))</f>
        <v>1</v>
      </c>
      <c r="L5" s="119">
        <f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f>
        <v>24</v>
      </c>
      <c r="M5" s="88">
        <f t="shared" ref="M5:M24" si="6">IF(L5&gt;0,L5," ")</f>
        <v>24</v>
      </c>
      <c r="N5" s="84">
        <f t="shared" ref="N5:N24" si="7">IF(L5=0," ",RANK(L5,L$5:L$24,0))</f>
        <v>7</v>
      </c>
      <c r="O5" s="119">
        <f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9">
        <f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171</v>
      </c>
      <c r="AB5" s="88">
        <f t="shared" ref="AB5:AB24" si="16">IF(AA5&gt;0,AA5," ")</f>
        <v>171</v>
      </c>
      <c r="AC5" s="84">
        <f t="shared" ref="AC5:AC24" si="17">IF(AB5=" "," ",RANK(AB5,AB$5:AB$24))</f>
        <v>1</v>
      </c>
    </row>
    <row r="6" spans="2:29" x14ac:dyDescent="0.3">
      <c r="B6" s="140" t="s">
        <v>134</v>
      </c>
      <c r="C6" s="120">
        <f>IFERROR(IF(VLOOKUP($B6,'JR-Team Roping-Header'!$B$5:$N$24,3,FALSE)=" ",0,VLOOKUP($B6,'JR-Team Roping-Header'!$B$5:$N$24,3,FALSE)),0)+IFERROR(IF(VLOOKUP($B6,'JR-Team Roping-Heeler'!$B$5:$N$24,3,FALSE)=" ",0,VLOOKUP($B6,'JR-Team Roping-Heeler'!$B$5:$N$24,3,FALSE)),0)+IFERROR(IF(VLOOKUP($B6,'JR B-Steer Riding'!$B$5:$AI$24,6,FALSE)=" ",0,VLOOKUP($B6,'JR B-Steer Riding'!$B$5:$AI$24,6,FALSE)),0)+IFERROR(IF(VLOOKUP($B6,'JR B-Goats'!$B$5:$AI$24,6,FALSE)=" ",0,VLOOKUP($B6,'JR B-Goats'!$B$5:$AI$24,6,FALSE)),0)+IFERROR(IF(VLOOKUP($B6,'JR B-Calf Tying'!$B$5:$AI$24,6,FALSE)=" ",0,VLOOKUP($B6,'JR B-Calf Tying'!$B$5:$AI$24,6,FALSE)),0)+IFERROR(IF(VLOOKUP($B6,'JR B-Breakaway'!$B$5:$AI$24,6,FALSE)=" ",0,VLOOKUP($B6,'JR B-Breakaway'!$B$5:$AI$24,6,FALSE)),0)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IFERROR(IF(VLOOKUP($B6,'JR-Team Roping-Header'!$B$5:$N$24,4,FALSE)=" ",0,VLOOKUP($B6,'JR-Team Roping-Header'!$B$5:$N$24,4,FALSE)),0)+IFERROR(IF(VLOOKUP($B6,'JR-Team Roping-Heeler'!$B$5:$N$24,4,FALSE)=" ",0,VLOOKUP($B6,'JR-Team Roping-Heeler'!$B$5:$N$24,4,FALSE)),0)+IFERROR(IF(VLOOKUP($B6,'JR B-Steer Riding'!$B$5:$AI$24,10,FALSE)=" ",0,VLOOKUP($B6,'JR B-Steer Riding'!$B$5:$AI$24,10,FALSE)),0)+IFERROR(IF(VLOOKUP($B6,'JR B-Goats'!$B$5:$AI$24,10,FALSE)=" ",0,VLOOKUP($B6,'JR B-Goats'!$B$5:$AI$24,10,FALSE)),0)+IFERROR(IF(VLOOKUP($B6,'JR B-Calf Tying'!$B$5:$AI$24,10,FALSE)=" ",0,VLOOKUP($B6,'JR B-Calf Tying'!$B$5:$AI$24,10,FALSE)),0)+IFERROR(IF(VLOOKUP($B6,'JR B-Breakaway'!$B$5:$AI$24,10,FALSE)=" ",0,VLOOKUP($B6,'JR B-Breakaway'!$B$5:$AI$24,10,FALSE)),0)</f>
        <v>33</v>
      </c>
      <c r="G6" s="95">
        <f t="shared" si="2"/>
        <v>33</v>
      </c>
      <c r="H6" s="91">
        <f t="shared" si="3"/>
        <v>2</v>
      </c>
      <c r="I6" s="121">
        <f>IFERROR(IF(VLOOKUP($B6,'JR-Team Roping-Header'!$B$5:$N$24,5,FALSE)=" ",0,VLOOKUP($B6,'JR-Team Roping-Header'!$B$5:$N$24,5,FALSE)),0)+IFERROR(IF(VLOOKUP($B6,'JR-Team Roping-Heeler'!$B$5:$N$24,5,FALSE)=" ",0,VLOOKUP($B6,'JR-Team Roping-Heeler'!$B$5:$N$24,5,FALSE)),0)+IFERROR(IF(VLOOKUP($B6,'JR B-Steer Riding'!$B$5:$AI$24,14,FALSE)=" ",0,VLOOKUP($B6,'JR B-Steer Riding'!$B$5:$AI$24,14,FALSE)),0)+IFERROR(IF(VLOOKUP($B6,'JR B-Goats'!$B$5:$AI$24,14,FALSE)=" ",0,VLOOKUP($B6,'JR B-Goats'!$B$5:$AI$24,14,FALSE)),0)+IFERROR(IF(VLOOKUP($B6,'JR B-Calf Tying'!$B$5:$AI$24,14,FALSE)=" ",0,VLOOKUP($B6,'JR B-Calf Tying'!$B$5:$AI$24,14,FALSE)),0)+IFERROR(IF(VLOOKUP($B6,'JR B-Breakaway'!$B$5:$AI$24,14,FALSE)=" ",0,VLOOKUP($B6,'JR B-Breakaway'!$B$5:$AI$24,14,FALSE)),0)</f>
        <v>48</v>
      </c>
      <c r="J6" s="95">
        <f t="shared" si="4"/>
        <v>48</v>
      </c>
      <c r="K6" s="91">
        <f t="shared" si="5"/>
        <v>3</v>
      </c>
      <c r="L6" s="121">
        <f>IFERROR(IF(VLOOKUP($B6,'JR-Team Roping-Header'!$B$5:$N$24,6,FALSE)=" ",0,VLOOKUP($B6,'JR-Team Roping-Header'!$B$5:$N$24,6,FALSE)),0)+IFERROR(IF(VLOOKUP($B6,'JR-Team Roping-Heeler'!$B$5:$N$24,6,FALSE)=" ",0,VLOOKUP($B6,'JR-Team Roping-Heeler'!$B$5:$N$24,6,FALSE)),0)+IFERROR(IF(VLOOKUP($B6,'JR B-Steer Riding'!$B$5:$AI$24,18,FALSE)=" ",0,VLOOKUP($B6,'JR B-Steer Riding'!$B$5:$AI$24,18,FALSE)),0)+IFERROR(IF(VLOOKUP($B6,'JR B-Goats'!$B$5:$AI$24,18,FALSE)=" ",0,VLOOKUP($B6,'JR B-Goats'!$B$5:$AI$24,18,FALSE)),0)+IFERROR(IF(VLOOKUP($B6,'JR B-Calf Tying'!$B$5:$AI$24,18,FALSE)=" ",0,VLOOKUP($B6,'JR B-Calf Tying'!$B$5:$AI$24,18,FALSE)),0)+IFERROR(IF(VLOOKUP($B6,'JR B-Breakaway'!$B$5:$AI$24,18,FALSE)=" ",0,VLOOKUP($B6,'JR B-Breakaway'!$B$5:$AI$24,18,FALSE)),0)</f>
        <v>54</v>
      </c>
      <c r="M6" s="95">
        <f t="shared" si="6"/>
        <v>54</v>
      </c>
      <c r="N6" s="91">
        <f t="shared" si="7"/>
        <v>3</v>
      </c>
      <c r="O6" s="121">
        <f>IFERROR(IF(VLOOKUP($B6,'JR-Team Roping-Header'!$B$5:$N$24,7,FALSE)=" ",0,VLOOKUP($B6,'JR-Team Roping-Header'!$B$5:$N$24,7,FALSE)),0)+IFERROR(IF(VLOOKUP($B6,'JR-Team Roping-Heeler'!$B$5:$N$24,7,FALSE)=" ",0,VLOOKUP($B6,'JR-Team Roping-Heeler'!$B$5:$N$24,7,FALSE)),0)+IFERROR(IF(VLOOKUP($B6,'JR B-Steer Riding'!$B$5:$AI$24,22,FALSE)=" ",0,VLOOKUP($B6,'JR B-Steer Riding'!$B$5:$AI$24,22,FALSE)),0)+IFERROR(IF(VLOOKUP($B6,'JR B-Goats'!$B$5:$AI$24,22,FALSE)=" ",0,VLOOKUP($B6,'JR B-Goats'!$B$5:$AI$24,22,FALSE)),0)+IFERROR(IF(VLOOKUP($B6,'JR B-Calf Tying'!$B$5:$AI$24,22,FALSE)=" ",0,VLOOKUP($B6,'JR B-Calf Tying'!$B$5:$AI$24,22,FALSE)),0)+IFERROR(IF(VLOOKUP($B6,'JR B-Breakaway'!$B$5:$AI$24,22,FALSE)=" ",0,VLOOKUP($B6,'JR B-Breakaway'!$B$5:$AI$24,22,FALSE)),0)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IFERROR(IF(VLOOKUP($B6,'JR-Team Roping-Header'!$B$5:$N$24,8,FALSE)=" ",0,VLOOKUP($B6,'JR-Team Roping-Header'!$B$5:$N$24,8,FALSE)),0)+IFERROR(IF(VLOOKUP($B6,'JR-Team Roping-Heeler'!$B$5:$N$24,8,FALSE)=" ",0,VLOOKUP($B6,'JR-Team Roping-Heeler'!$B$5:$N$24,8,FALSE)),0)+IFERROR(IF(VLOOKUP($B6,'JR B-Steer Riding'!$B$5:$AI$24,26,FALSE)=" ",0,VLOOKUP($B6,'JR B-Steer Riding'!$B$5:$AI$24,26,FALSE)),0)+IFERROR(IF(VLOOKUP($B6,'JR B-Goats'!$B$5:$AI$24,26,FALSE)=" ",0,VLOOKUP($B6,'JR B-Goats'!$B$5:$AI$24,26,FALSE)),0)+IFERROR(IF(VLOOKUP($B6,'JR B-Calf Tying'!$B$5:$AI$24,26,FALSE)=" ",0,VLOOKUP($B6,'JR B-Calf Tying'!$B$5:$AI$24,26,FALSE)),0)+IFERROR(IF(VLOOKUP($B6,'JR B-Breakaway'!$B$5:$AI$24,26,FALSE)=" ",0,VLOOKUP($B6,'JR B-Breakaway'!$B$5:$AI$24,26,FALSE)),0)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IFERROR(IF(VLOOKUP($B6,'JR-Team Roping-Header'!$B$5:$N$24,9,FALSE)=" ",0,VLOOKUP($B6,'JR-Team Roping-Header'!$B$5:$N$24,9,FALSE)),0)+IFERROR(IF(VLOOKUP($B6,'JR-Team Roping-Heeler'!$B$5:$N$24,9,FALSE)=" ",0,VLOOKUP($B6,'JR-Team Roping-Heeler'!$B$5:$N$24,9,FALSE)),0)+IFERROR(IF(VLOOKUP($B6,'JR B-Steer Riding'!$B$5:$AI$24,30,FALSE)=" ",0,VLOOKUP($B6,'JR B-Steer Riding'!$B$5:$AI$24,30,FALSE)),0)+IFERROR(IF(VLOOKUP($B6,'JR B-Goats'!$B$5:$AI$24,30,FALSE)=" ",0,VLOOKUP($B6,'JR B-Goats'!$B$5:$AI$24,30,FALSE)),0)+IFERROR(IF(VLOOKUP($B6,'JR B-Calf Tying'!$B$5:$AI$24,30,FALSE)=" ",0,VLOOKUP($B6,'JR B-Calf Tying'!$B$5:$AI$24,30,FALSE)),0)+IFERROR(IF(VLOOKUP($B6,'JR B-Breakaway'!$B$5:$AI$24,30,FALSE)=" ",0,VLOOKUP($B6,'JR B-Breakaway'!$B$5:$AI$24,30,FALSE)),0)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IFERROR(IF(VLOOKUP($B6,'JR-Team Roping-Header'!$B$5:$N$24,10,FALSE)=" ",0,VLOOKUP($B6,'JR-Team Roping-Header'!$B$5:$N$24,10,FALSE)),0)+IFERROR(IF(VLOOKUP($B6,'JR-Team Roping-Heeler'!$B$5:$N$24,10,FALSE)=" ",0,VLOOKUP($B6,'JR-Team Roping-Heeler'!$B$5:$N$24,10,FALSE)),0)+IFERROR(IF(VLOOKUP($B6,'JR B-Steer Riding'!$B$5:$AI$24,34,FALSE)=" ",0,VLOOKUP($B6,'JR B-Steer Riding'!$B$5:$AI$24,34,FALSE)),0)+IFERROR(IF(VLOOKUP($B6,'JR B-Goats'!$B$5:$AI$24,34,FALSE)=" ",0,VLOOKUP($B6,'JR B-Goats'!$B$5:$AI$24,34,FALSE)),0)+IFERROR(IF(VLOOKUP($B6,'JR B-Calf Tying'!$B$5:$AI$24,34,FALSE)=" ",0,VLOOKUP($B6,'JR B-Calf Tying'!$B$5:$AI$24,34,FALSE)),0)+IFERROR(IF(VLOOKUP($B6,'JR B-Breakaway'!$B$5:$AI$24,34,FALSE)=" ",0,VLOOKUP($B6,'JR B-Breakaway'!$B$5:$AI$24,34,FALSE)),0)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135</v>
      </c>
      <c r="AB6" s="95">
        <f t="shared" si="16"/>
        <v>135</v>
      </c>
      <c r="AC6" s="91">
        <f t="shared" si="17"/>
        <v>2</v>
      </c>
    </row>
    <row r="7" spans="2:29" x14ac:dyDescent="0.3">
      <c r="B7" s="152" t="s">
        <v>132</v>
      </c>
      <c r="C7" s="120">
        <f>IFERROR(IF(VLOOKUP($B7,'JR-Team Roping-Header'!$B$5:$N$24,3,FALSE)=" ",0,VLOOKUP($B7,'JR-Team Roping-Header'!$B$5:$N$24,3,FALSE)),0)+IFERROR(IF(VLOOKUP($B7,'JR-Team Roping-Heeler'!$B$5:$N$24,3,FALSE)=" ",0,VLOOKUP($B7,'JR-Team Roping-Heeler'!$B$5:$N$24,3,FALSE)),0)+IFERROR(IF(VLOOKUP($B7,'JR B-Steer Riding'!$B$5:$AI$24,6,FALSE)=" ",0,VLOOKUP($B7,'JR B-Steer Riding'!$B$5:$AI$24,6,FALSE)),0)+IFERROR(IF(VLOOKUP($B7,'JR B-Goats'!$B$5:$AI$24,6,FALSE)=" ",0,VLOOKUP($B7,'JR B-Goats'!$B$5:$AI$24,6,FALSE)),0)+IFERROR(IF(VLOOKUP($B7,'JR B-Calf Tying'!$B$5:$AI$24,6,FALSE)=" ",0,VLOOKUP($B7,'JR B-Calf Tying'!$B$5:$AI$24,6,FALSE)),0)+IFERROR(IF(VLOOKUP($B7,'JR B-Breakaway'!$B$5:$AI$24,6,FALSE)=" ",0,VLOOKUP($B7,'JR B-Breakaway'!$B$5:$AI$24,6,FALSE)),0)</f>
        <v>0</v>
      </c>
      <c r="D7" s="95" t="str">
        <f t="shared" si="0"/>
        <v xml:space="preserve"> </v>
      </c>
      <c r="E7" s="122" t="str">
        <f t="shared" si="1"/>
        <v xml:space="preserve"> </v>
      </c>
      <c r="F7" s="121">
        <f>IFERROR(IF(VLOOKUP($B7,'JR-Team Roping-Header'!$B$5:$N$24,4,FALSE)=" ",0,VLOOKUP($B7,'JR-Team Roping-Header'!$B$5:$N$24,4,FALSE)),0)+IFERROR(IF(VLOOKUP($B7,'JR-Team Roping-Heeler'!$B$5:$N$24,4,FALSE)=" ",0,VLOOKUP($B7,'JR-Team Roping-Heeler'!$B$5:$N$24,4,FALSE)),0)+IFERROR(IF(VLOOKUP($B7,'JR B-Steer Riding'!$B$5:$AI$24,10,FALSE)=" ",0,VLOOKUP($B7,'JR B-Steer Riding'!$B$5:$AI$24,10,FALSE)),0)+IFERROR(IF(VLOOKUP($B7,'JR B-Goats'!$B$5:$AI$24,10,FALSE)=" ",0,VLOOKUP($B7,'JR B-Goats'!$B$5:$AI$24,10,FALSE)),0)+IFERROR(IF(VLOOKUP($B7,'JR B-Calf Tying'!$B$5:$AI$24,10,FALSE)=" ",0,VLOOKUP($B7,'JR B-Calf Tying'!$B$5:$AI$24,10,FALSE)),0)+IFERROR(IF(VLOOKUP($B7,'JR B-Breakaway'!$B$5:$AI$24,10,FALSE)=" ",0,VLOOKUP($B7,'JR B-Breakaway'!$B$5:$AI$24,10,FALSE)),0)</f>
        <v>33</v>
      </c>
      <c r="G7" s="95">
        <f t="shared" si="2"/>
        <v>33</v>
      </c>
      <c r="H7" s="122">
        <f t="shared" si="3"/>
        <v>2</v>
      </c>
      <c r="I7" s="121">
        <f>IFERROR(IF(VLOOKUP($B7,'JR-Team Roping-Header'!$B$5:$N$24,5,FALSE)=" ",0,VLOOKUP($B7,'JR-Team Roping-Header'!$B$5:$N$24,5,FALSE)),0)+IFERROR(IF(VLOOKUP($B7,'JR-Team Roping-Heeler'!$B$5:$N$24,5,FALSE)=" ",0,VLOOKUP($B7,'JR-Team Roping-Heeler'!$B$5:$N$24,5,FALSE)),0)+IFERROR(IF(VLOOKUP($B7,'JR B-Steer Riding'!$B$5:$AI$24,14,FALSE)=" ",0,VLOOKUP($B7,'JR B-Steer Riding'!$B$5:$AI$24,14,FALSE)),0)+IFERROR(IF(VLOOKUP($B7,'JR B-Goats'!$B$5:$AI$24,14,FALSE)=" ",0,VLOOKUP($B7,'JR B-Goats'!$B$5:$AI$24,14,FALSE)),0)+IFERROR(IF(VLOOKUP($B7,'JR B-Calf Tying'!$B$5:$AI$24,14,FALSE)=" ",0,VLOOKUP($B7,'JR B-Calf Tying'!$B$5:$AI$24,14,FALSE)),0)+IFERROR(IF(VLOOKUP($B7,'JR B-Breakaway'!$B$5:$AI$24,14,FALSE)=" ",0,VLOOKUP($B7,'JR B-Breakaway'!$B$5:$AI$24,14,FALSE)),0)</f>
        <v>36</v>
      </c>
      <c r="J7" s="95">
        <f t="shared" si="4"/>
        <v>36</v>
      </c>
      <c r="K7" s="122">
        <f t="shared" si="5"/>
        <v>4</v>
      </c>
      <c r="L7" s="121">
        <f>IFERROR(IF(VLOOKUP($B7,'JR-Team Roping-Header'!$B$5:$N$24,6,FALSE)=" ",0,VLOOKUP($B7,'JR-Team Roping-Header'!$B$5:$N$24,6,FALSE)),0)+IFERROR(IF(VLOOKUP($B7,'JR-Team Roping-Heeler'!$B$5:$N$24,6,FALSE)=" ",0,VLOOKUP($B7,'JR-Team Roping-Heeler'!$B$5:$N$24,6,FALSE)),0)+IFERROR(IF(VLOOKUP($B7,'JR B-Steer Riding'!$B$5:$AI$24,18,FALSE)=" ",0,VLOOKUP($B7,'JR B-Steer Riding'!$B$5:$AI$24,18,FALSE)),0)+IFERROR(IF(VLOOKUP($B7,'JR B-Goats'!$B$5:$AI$24,18,FALSE)=" ",0,VLOOKUP($B7,'JR B-Goats'!$B$5:$AI$24,18,FALSE)),0)+IFERROR(IF(VLOOKUP($B7,'JR B-Calf Tying'!$B$5:$AI$24,18,FALSE)=" ",0,VLOOKUP($B7,'JR B-Calf Tying'!$B$5:$AI$24,18,FALSE)),0)+IFERROR(IF(VLOOKUP($B7,'JR B-Breakaway'!$B$5:$AI$24,18,FALSE)=" ",0,VLOOKUP($B7,'JR B-Breakaway'!$B$5:$AI$24,18,FALSE)),0)</f>
        <v>61.5</v>
      </c>
      <c r="M7" s="95">
        <f t="shared" si="6"/>
        <v>61.5</v>
      </c>
      <c r="N7" s="122">
        <f t="shared" si="7"/>
        <v>2</v>
      </c>
      <c r="O7" s="121">
        <f>IFERROR(IF(VLOOKUP($B7,'JR-Team Roping-Header'!$B$5:$N$24,7,FALSE)=" ",0,VLOOKUP($B7,'JR-Team Roping-Header'!$B$5:$N$24,7,FALSE)),0)+IFERROR(IF(VLOOKUP($B7,'JR-Team Roping-Heeler'!$B$5:$N$24,7,FALSE)=" ",0,VLOOKUP($B7,'JR-Team Roping-Heeler'!$B$5:$N$24,7,FALSE)),0)+IFERROR(IF(VLOOKUP($B7,'JR B-Steer Riding'!$B$5:$AI$24,22,FALSE)=" ",0,VLOOKUP($B7,'JR B-Steer Riding'!$B$5:$AI$24,22,FALSE)),0)+IFERROR(IF(VLOOKUP($B7,'JR B-Goats'!$B$5:$AI$24,22,FALSE)=" ",0,VLOOKUP($B7,'JR B-Goats'!$B$5:$AI$24,22,FALSE)),0)+IFERROR(IF(VLOOKUP($B7,'JR B-Calf Tying'!$B$5:$AI$24,22,FALSE)=" ",0,VLOOKUP($B7,'JR B-Calf Tying'!$B$5:$AI$24,22,FALSE)),0)+IFERROR(IF(VLOOKUP($B7,'JR B-Breakaway'!$B$5:$AI$24,22,FALSE)=" ",0,VLOOKUP($B7,'JR B-Breakaway'!$B$5:$AI$24,22,FALSE)),0)</f>
        <v>0</v>
      </c>
      <c r="P7" s="95" t="str">
        <f t="shared" si="8"/>
        <v xml:space="preserve"> </v>
      </c>
      <c r="Q7" s="122" t="str">
        <f t="shared" si="9"/>
        <v xml:space="preserve"> </v>
      </c>
      <c r="R7" s="121">
        <f>IFERROR(IF(VLOOKUP($B7,'JR-Team Roping-Header'!$B$5:$N$24,8,FALSE)=" ",0,VLOOKUP($B7,'JR-Team Roping-Header'!$B$5:$N$24,8,FALSE)),0)+IFERROR(IF(VLOOKUP($B7,'JR-Team Roping-Heeler'!$B$5:$N$24,8,FALSE)=" ",0,VLOOKUP($B7,'JR-Team Roping-Heeler'!$B$5:$N$24,8,FALSE)),0)+IFERROR(IF(VLOOKUP($B7,'JR B-Steer Riding'!$B$5:$AI$24,26,FALSE)=" ",0,VLOOKUP($B7,'JR B-Steer Riding'!$B$5:$AI$24,26,FALSE)),0)+IFERROR(IF(VLOOKUP($B7,'JR B-Goats'!$B$5:$AI$24,26,FALSE)=" ",0,VLOOKUP($B7,'JR B-Goats'!$B$5:$AI$24,26,FALSE)),0)+IFERROR(IF(VLOOKUP($B7,'JR B-Calf Tying'!$B$5:$AI$24,26,FALSE)=" ",0,VLOOKUP($B7,'JR B-Calf Tying'!$B$5:$AI$24,26,FALSE)),0)+IFERROR(IF(VLOOKUP($B7,'JR B-Breakaway'!$B$5:$AI$24,26,FALSE)=" ",0,VLOOKUP($B7,'JR B-Breakaway'!$B$5:$AI$24,26,FALSE)),0)</f>
        <v>0</v>
      </c>
      <c r="S7" s="95" t="str">
        <f t="shared" si="10"/>
        <v xml:space="preserve"> </v>
      </c>
      <c r="T7" s="122" t="str">
        <f t="shared" si="11"/>
        <v xml:space="preserve"> </v>
      </c>
      <c r="U7" s="121">
        <f>IFERROR(IF(VLOOKUP($B7,'JR-Team Roping-Header'!$B$5:$N$24,9,FALSE)=" ",0,VLOOKUP($B7,'JR-Team Roping-Header'!$B$5:$N$24,9,FALSE)),0)+IFERROR(IF(VLOOKUP($B7,'JR-Team Roping-Heeler'!$B$5:$N$24,9,FALSE)=" ",0,VLOOKUP($B7,'JR-Team Roping-Heeler'!$B$5:$N$24,9,FALSE)),0)+IFERROR(IF(VLOOKUP($B7,'JR B-Steer Riding'!$B$5:$AI$24,30,FALSE)=" ",0,VLOOKUP($B7,'JR B-Steer Riding'!$B$5:$AI$24,30,FALSE)),0)+IFERROR(IF(VLOOKUP($B7,'JR B-Goats'!$B$5:$AI$24,30,FALSE)=" ",0,VLOOKUP($B7,'JR B-Goats'!$B$5:$AI$24,30,FALSE)),0)+IFERROR(IF(VLOOKUP($B7,'JR B-Calf Tying'!$B$5:$AI$24,30,FALSE)=" ",0,VLOOKUP($B7,'JR B-Calf Tying'!$B$5:$AI$24,30,FALSE)),0)+IFERROR(IF(VLOOKUP($B7,'JR B-Breakaway'!$B$5:$AI$24,30,FALSE)=" ",0,VLOOKUP($B7,'JR B-Breakaway'!$B$5:$AI$24,30,FALSE)),0)</f>
        <v>0</v>
      </c>
      <c r="V7" s="95" t="str">
        <f t="shared" si="12"/>
        <v xml:space="preserve"> </v>
      </c>
      <c r="W7" s="122" t="str">
        <f t="shared" si="13"/>
        <v xml:space="preserve"> </v>
      </c>
      <c r="X7" s="121">
        <f>IFERROR(IF(VLOOKUP($B7,'JR-Team Roping-Header'!$B$5:$N$24,10,FALSE)=" ",0,VLOOKUP($B7,'JR-Team Roping-Header'!$B$5:$N$24,10,FALSE)),0)+IFERROR(IF(VLOOKUP($B7,'JR-Team Roping-Heeler'!$B$5:$N$24,10,FALSE)=" ",0,VLOOKUP($B7,'JR-Team Roping-Heeler'!$B$5:$N$24,10,FALSE)),0)+IFERROR(IF(VLOOKUP($B7,'JR B-Steer Riding'!$B$5:$AI$24,34,FALSE)=" ",0,VLOOKUP($B7,'JR B-Steer Riding'!$B$5:$AI$24,34,FALSE)),0)+IFERROR(IF(VLOOKUP($B7,'JR B-Goats'!$B$5:$AI$24,34,FALSE)=" ",0,VLOOKUP($B7,'JR B-Goats'!$B$5:$AI$24,34,FALSE)),0)+IFERROR(IF(VLOOKUP($B7,'JR B-Calf Tying'!$B$5:$AI$24,34,FALSE)=" ",0,VLOOKUP($B7,'JR B-Calf Tying'!$B$5:$AI$24,34,FALSE)),0)+IFERROR(IF(VLOOKUP($B7,'JR B-Breakaway'!$B$5:$AI$24,34,FALSE)=" ",0,VLOOKUP($B7,'JR B-Breakaway'!$B$5:$AI$24,34,FALSE)),0)</f>
        <v>0</v>
      </c>
      <c r="Y7" s="95" t="str">
        <f t="shared" si="14"/>
        <v xml:space="preserve"> </v>
      </c>
      <c r="Z7" s="122" t="str">
        <f t="shared" si="15"/>
        <v xml:space="preserve"> </v>
      </c>
      <c r="AA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130.5</v>
      </c>
      <c r="AB7" s="95">
        <f t="shared" si="16"/>
        <v>130.5</v>
      </c>
      <c r="AC7" s="122">
        <f t="shared" si="17"/>
        <v>3</v>
      </c>
    </row>
    <row r="8" spans="2:29" x14ac:dyDescent="0.3">
      <c r="B8" s="152" t="s">
        <v>220</v>
      </c>
      <c r="C8" s="120">
        <f>IFERROR(IF(VLOOKUP($B8,'JR-Team Roping-Header'!$B$5:$N$24,3,FALSE)=" ",0,VLOOKUP($B8,'JR-Team Roping-Header'!$B$5:$N$24,3,FALSE)),0)+IFERROR(IF(VLOOKUP($B8,'JR-Team Roping-Heeler'!$B$5:$N$24,3,FALSE)=" ",0,VLOOKUP($B8,'JR-Team Roping-Heeler'!$B$5:$N$24,3,FALSE)),0)+IFERROR(IF(VLOOKUP($B8,'JR B-Steer Riding'!$B$5:$AI$24,6,FALSE)=" ",0,VLOOKUP($B8,'JR B-Steer Riding'!$B$5:$AI$24,6,FALSE)),0)+IFERROR(IF(VLOOKUP($B8,'JR B-Goats'!$B$5:$AI$24,6,FALSE)=" ",0,VLOOKUP($B8,'JR B-Goats'!$B$5:$AI$24,6,FALSE)),0)+IFERROR(IF(VLOOKUP($B8,'JR B-Calf Tying'!$B$5:$AI$24,6,FALSE)=" ",0,VLOOKUP($B8,'JR B-Calf Tying'!$B$5:$AI$24,6,FALSE)),0)+IFERROR(IF(VLOOKUP($B8,'JR B-Breakaway'!$B$5:$AI$24,6,FALSE)=" ",0,VLOOKUP($B8,'JR B-Breakaway'!$B$5:$AI$24,6,FALSE)),0)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IFERROR(IF(VLOOKUP($B8,'JR-Team Roping-Header'!$B$5:$N$24,4,FALSE)=" ",0,VLOOKUP($B8,'JR-Team Roping-Header'!$B$5:$N$24,4,FALSE)),0)+IFERROR(IF(VLOOKUP($B8,'JR-Team Roping-Heeler'!$B$5:$N$24,4,FALSE)=" ",0,VLOOKUP($B8,'JR-Team Roping-Heeler'!$B$5:$N$24,4,FALSE)),0)+IFERROR(IF(VLOOKUP($B8,'JR B-Steer Riding'!$B$5:$AI$24,10,FALSE)=" ",0,VLOOKUP($B8,'JR B-Steer Riding'!$B$5:$AI$24,10,FALSE)),0)+IFERROR(IF(VLOOKUP($B8,'JR B-Goats'!$B$5:$AI$24,10,FALSE)=" ",0,VLOOKUP($B8,'JR B-Goats'!$B$5:$AI$24,10,FALSE)),0)+IFERROR(IF(VLOOKUP($B8,'JR B-Calf Tying'!$B$5:$AI$24,10,FALSE)=" ",0,VLOOKUP($B8,'JR B-Calf Tying'!$B$5:$AI$24,10,FALSE)),0)+IFERROR(IF(VLOOKUP($B8,'JR B-Breakaway'!$B$5:$AI$24,10,FALSE)=" ",0,VLOOKUP($B8,'JR B-Breakaway'!$B$5:$AI$24,10,FALSE)),0)</f>
        <v>9</v>
      </c>
      <c r="G8" s="95">
        <f t="shared" si="2"/>
        <v>9</v>
      </c>
      <c r="H8" s="91">
        <f t="shared" si="3"/>
        <v>8</v>
      </c>
      <c r="I8" s="121">
        <f>IFERROR(IF(VLOOKUP($B8,'JR-Team Roping-Header'!$B$5:$N$24,5,FALSE)=" ",0,VLOOKUP($B8,'JR-Team Roping-Header'!$B$5:$N$24,5,FALSE)),0)+IFERROR(IF(VLOOKUP($B8,'JR-Team Roping-Heeler'!$B$5:$N$24,5,FALSE)=" ",0,VLOOKUP($B8,'JR-Team Roping-Heeler'!$B$5:$N$24,5,FALSE)),0)+IFERROR(IF(VLOOKUP($B8,'JR B-Steer Riding'!$B$5:$AI$24,14,FALSE)=" ",0,VLOOKUP($B8,'JR B-Steer Riding'!$B$5:$AI$24,14,FALSE)),0)+IFERROR(IF(VLOOKUP($B8,'JR B-Goats'!$B$5:$AI$24,14,FALSE)=" ",0,VLOOKUP($B8,'JR B-Goats'!$B$5:$AI$24,14,FALSE)),0)+IFERROR(IF(VLOOKUP($B8,'JR B-Calf Tying'!$B$5:$AI$24,14,FALSE)=" ",0,VLOOKUP($B8,'JR B-Calf Tying'!$B$5:$AI$24,14,FALSE)),0)+IFERROR(IF(VLOOKUP($B8,'JR B-Breakaway'!$B$5:$AI$24,14,FALSE)=" ",0,VLOOKUP($B8,'JR B-Breakaway'!$B$5:$AI$24,14,FALSE)),0)</f>
        <v>51</v>
      </c>
      <c r="J8" s="95">
        <f t="shared" si="4"/>
        <v>51</v>
      </c>
      <c r="K8" s="91">
        <f t="shared" si="5"/>
        <v>2</v>
      </c>
      <c r="L8" s="121">
        <f>IFERROR(IF(VLOOKUP($B8,'JR-Team Roping-Header'!$B$5:$N$24,6,FALSE)=" ",0,VLOOKUP($B8,'JR-Team Roping-Header'!$B$5:$N$24,6,FALSE)),0)+IFERROR(IF(VLOOKUP($B8,'JR-Team Roping-Heeler'!$B$5:$N$24,6,FALSE)=" ",0,VLOOKUP($B8,'JR-Team Roping-Heeler'!$B$5:$N$24,6,FALSE)),0)+IFERROR(IF(VLOOKUP($B8,'JR B-Steer Riding'!$B$5:$AI$24,18,FALSE)=" ",0,VLOOKUP($B8,'JR B-Steer Riding'!$B$5:$AI$24,18,FALSE)),0)+IFERROR(IF(VLOOKUP($B8,'JR B-Goats'!$B$5:$AI$24,18,FALSE)=" ",0,VLOOKUP($B8,'JR B-Goats'!$B$5:$AI$24,18,FALSE)),0)+IFERROR(IF(VLOOKUP($B8,'JR B-Calf Tying'!$B$5:$AI$24,18,FALSE)=" ",0,VLOOKUP($B8,'JR B-Calf Tying'!$B$5:$AI$24,18,FALSE)),0)+IFERROR(IF(VLOOKUP($B8,'JR B-Breakaway'!$B$5:$AI$24,18,FALSE)=" ",0,VLOOKUP($B8,'JR B-Breakaway'!$B$5:$AI$24,18,FALSE)),0)</f>
        <v>63</v>
      </c>
      <c r="M8" s="95">
        <f t="shared" si="6"/>
        <v>63</v>
      </c>
      <c r="N8" s="91">
        <f t="shared" si="7"/>
        <v>1</v>
      </c>
      <c r="O8" s="121">
        <f>IFERROR(IF(VLOOKUP($B8,'JR-Team Roping-Header'!$B$5:$N$24,7,FALSE)=" ",0,VLOOKUP($B8,'JR-Team Roping-Header'!$B$5:$N$24,7,FALSE)),0)+IFERROR(IF(VLOOKUP($B8,'JR-Team Roping-Heeler'!$B$5:$N$24,7,FALSE)=" ",0,VLOOKUP($B8,'JR-Team Roping-Heeler'!$B$5:$N$24,7,FALSE)),0)+IFERROR(IF(VLOOKUP($B8,'JR B-Steer Riding'!$B$5:$AI$24,22,FALSE)=" ",0,VLOOKUP($B8,'JR B-Steer Riding'!$B$5:$AI$24,22,FALSE)),0)+IFERROR(IF(VLOOKUP($B8,'JR B-Goats'!$B$5:$AI$24,22,FALSE)=" ",0,VLOOKUP($B8,'JR B-Goats'!$B$5:$AI$24,22,FALSE)),0)+IFERROR(IF(VLOOKUP($B8,'JR B-Calf Tying'!$B$5:$AI$24,22,FALSE)=" ",0,VLOOKUP($B8,'JR B-Calf Tying'!$B$5:$AI$24,22,FALSE)),0)+IFERROR(IF(VLOOKUP($B8,'JR B-Breakaway'!$B$5:$AI$24,22,FALSE)=" ",0,VLOOKUP($B8,'JR B-Breakaway'!$B$5:$AI$24,22,FALSE)),0)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IFERROR(IF(VLOOKUP($B8,'JR-Team Roping-Header'!$B$5:$N$24,8,FALSE)=" ",0,VLOOKUP($B8,'JR-Team Roping-Header'!$B$5:$N$24,8,FALSE)),0)+IFERROR(IF(VLOOKUP($B8,'JR-Team Roping-Heeler'!$B$5:$N$24,8,FALSE)=" ",0,VLOOKUP($B8,'JR-Team Roping-Heeler'!$B$5:$N$24,8,FALSE)),0)+IFERROR(IF(VLOOKUP($B8,'JR B-Steer Riding'!$B$5:$AI$24,26,FALSE)=" ",0,VLOOKUP($B8,'JR B-Steer Riding'!$B$5:$AI$24,26,FALSE)),0)+IFERROR(IF(VLOOKUP($B8,'JR B-Goats'!$B$5:$AI$24,26,FALSE)=" ",0,VLOOKUP($B8,'JR B-Goats'!$B$5:$AI$24,26,FALSE)),0)+IFERROR(IF(VLOOKUP($B8,'JR B-Calf Tying'!$B$5:$AI$24,26,FALSE)=" ",0,VLOOKUP($B8,'JR B-Calf Tying'!$B$5:$AI$24,26,FALSE)),0)+IFERROR(IF(VLOOKUP($B8,'JR B-Breakaway'!$B$5:$AI$24,26,FALSE)=" ",0,VLOOKUP($B8,'JR B-Breakaway'!$B$5:$AI$24,26,FALSE)),0)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IFERROR(IF(VLOOKUP($B8,'JR-Team Roping-Header'!$B$5:$N$24,9,FALSE)=" ",0,VLOOKUP($B8,'JR-Team Roping-Header'!$B$5:$N$24,9,FALSE)),0)+IFERROR(IF(VLOOKUP($B8,'JR-Team Roping-Heeler'!$B$5:$N$24,9,FALSE)=" ",0,VLOOKUP($B8,'JR-Team Roping-Heeler'!$B$5:$N$24,9,FALSE)),0)+IFERROR(IF(VLOOKUP($B8,'JR B-Steer Riding'!$B$5:$AI$24,30,FALSE)=" ",0,VLOOKUP($B8,'JR B-Steer Riding'!$B$5:$AI$24,30,FALSE)),0)+IFERROR(IF(VLOOKUP($B8,'JR B-Goats'!$B$5:$AI$24,30,FALSE)=" ",0,VLOOKUP($B8,'JR B-Goats'!$B$5:$AI$24,30,FALSE)),0)+IFERROR(IF(VLOOKUP($B8,'JR B-Calf Tying'!$B$5:$AI$24,30,FALSE)=" ",0,VLOOKUP($B8,'JR B-Calf Tying'!$B$5:$AI$24,30,FALSE)),0)+IFERROR(IF(VLOOKUP($B8,'JR B-Breakaway'!$B$5:$AI$24,30,FALSE)=" ",0,VLOOKUP($B8,'JR B-Breakaway'!$B$5:$AI$24,30,FALSE)),0)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IFERROR(IF(VLOOKUP($B8,'JR-Team Roping-Header'!$B$5:$N$24,10,FALSE)=" ",0,VLOOKUP($B8,'JR-Team Roping-Header'!$B$5:$N$24,10,FALSE)),0)+IFERROR(IF(VLOOKUP($B8,'JR-Team Roping-Heeler'!$B$5:$N$24,10,FALSE)=" ",0,VLOOKUP($B8,'JR-Team Roping-Heeler'!$B$5:$N$24,10,FALSE)),0)+IFERROR(IF(VLOOKUP($B8,'JR B-Steer Riding'!$B$5:$AI$24,34,FALSE)=" ",0,VLOOKUP($B8,'JR B-Steer Riding'!$B$5:$AI$24,34,FALSE)),0)+IFERROR(IF(VLOOKUP($B8,'JR B-Goats'!$B$5:$AI$24,34,FALSE)=" ",0,VLOOKUP($B8,'JR B-Goats'!$B$5:$AI$24,34,FALSE)),0)+IFERROR(IF(VLOOKUP($B8,'JR B-Calf Tying'!$B$5:$AI$24,34,FALSE)=" ",0,VLOOKUP($B8,'JR B-Calf Tying'!$B$5:$AI$24,34,FALSE)),0)+IFERROR(IF(VLOOKUP($B8,'JR B-Breakaway'!$B$5:$AI$24,34,FALSE)=" ",0,VLOOKUP($B8,'JR B-Breakaway'!$B$5:$AI$24,34,FALSE)),0)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123</v>
      </c>
      <c r="AB8" s="95">
        <f t="shared" si="16"/>
        <v>123</v>
      </c>
      <c r="AC8" s="91">
        <f t="shared" si="17"/>
        <v>4</v>
      </c>
    </row>
    <row r="9" spans="2:29" x14ac:dyDescent="0.3">
      <c r="B9" s="152" t="s">
        <v>223</v>
      </c>
      <c r="C9" s="120">
        <f>IFERROR(IF(VLOOKUP($B9,'JR-Team Roping-Header'!$B$5:$N$24,3,FALSE)=" ",0,VLOOKUP($B9,'JR-Team Roping-Header'!$B$5:$N$24,3,FALSE)),0)+IFERROR(IF(VLOOKUP($B9,'JR-Team Roping-Heeler'!$B$5:$N$24,3,FALSE)=" ",0,VLOOKUP($B9,'JR-Team Roping-Heeler'!$B$5:$N$24,3,FALSE)),0)+IFERROR(IF(VLOOKUP($B9,'JR B-Steer Riding'!$B$5:$AI$24,6,FALSE)=" ",0,VLOOKUP($B9,'JR B-Steer Riding'!$B$5:$AI$24,6,FALSE)),0)+IFERROR(IF(VLOOKUP($B9,'JR B-Goats'!$B$5:$AI$24,6,FALSE)=" ",0,VLOOKUP($B9,'JR B-Goats'!$B$5:$AI$24,6,FALSE)),0)+IFERROR(IF(VLOOKUP($B9,'JR B-Calf Tying'!$B$5:$AI$24,6,FALSE)=" ",0,VLOOKUP($B9,'JR B-Calf Tying'!$B$5:$AI$24,6,FALSE)),0)+IFERROR(IF(VLOOKUP($B9,'JR B-Breakaway'!$B$5:$AI$24,6,FALSE)=" ",0,VLOOKUP($B9,'JR B-Breakaway'!$B$5:$AI$24,6,FALSE)),0)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IFERROR(IF(VLOOKUP($B9,'JR-Team Roping-Header'!$B$5:$N$24,4,FALSE)=" ",0,VLOOKUP($B9,'JR-Team Roping-Header'!$B$5:$N$24,4,FALSE)),0)+IFERROR(IF(VLOOKUP($B9,'JR-Team Roping-Heeler'!$B$5:$N$24,4,FALSE)=" ",0,VLOOKUP($B9,'JR-Team Roping-Heeler'!$B$5:$N$24,4,FALSE)),0)+IFERROR(IF(VLOOKUP($B9,'JR B-Steer Riding'!$B$5:$AI$24,10,FALSE)=" ",0,VLOOKUP($B9,'JR B-Steer Riding'!$B$5:$AI$24,10,FALSE)),0)+IFERROR(IF(VLOOKUP($B9,'JR B-Goats'!$B$5:$AI$24,10,FALSE)=" ",0,VLOOKUP($B9,'JR B-Goats'!$B$5:$AI$24,10,FALSE)),0)+IFERROR(IF(VLOOKUP($B9,'JR B-Calf Tying'!$B$5:$AI$24,10,FALSE)=" ",0,VLOOKUP($B9,'JR B-Calf Tying'!$B$5:$AI$24,10,FALSE)),0)+IFERROR(IF(VLOOKUP($B9,'JR B-Breakaway'!$B$5:$AI$24,10,FALSE)=" ",0,VLOOKUP($B9,'JR B-Breakaway'!$B$5:$AI$24,10,FALSE)),0)</f>
        <v>15</v>
      </c>
      <c r="G9" s="95">
        <f t="shared" si="2"/>
        <v>15</v>
      </c>
      <c r="H9" s="91">
        <f t="shared" si="3"/>
        <v>6</v>
      </c>
      <c r="I9" s="121">
        <f>IFERROR(IF(VLOOKUP($B9,'JR-Team Roping-Header'!$B$5:$N$24,5,FALSE)=" ",0,VLOOKUP($B9,'JR-Team Roping-Header'!$B$5:$N$24,5,FALSE)),0)+IFERROR(IF(VLOOKUP($B9,'JR-Team Roping-Heeler'!$B$5:$N$24,5,FALSE)=" ",0,VLOOKUP($B9,'JR-Team Roping-Heeler'!$B$5:$N$24,5,FALSE)),0)+IFERROR(IF(VLOOKUP($B9,'JR B-Steer Riding'!$B$5:$AI$24,14,FALSE)=" ",0,VLOOKUP($B9,'JR B-Steer Riding'!$B$5:$AI$24,14,FALSE)),0)+IFERROR(IF(VLOOKUP($B9,'JR B-Goats'!$B$5:$AI$24,14,FALSE)=" ",0,VLOOKUP($B9,'JR B-Goats'!$B$5:$AI$24,14,FALSE)),0)+IFERROR(IF(VLOOKUP($B9,'JR B-Calf Tying'!$B$5:$AI$24,14,FALSE)=" ",0,VLOOKUP($B9,'JR B-Calf Tying'!$B$5:$AI$24,14,FALSE)),0)+IFERROR(IF(VLOOKUP($B9,'JR B-Breakaway'!$B$5:$AI$24,14,FALSE)=" ",0,VLOOKUP($B9,'JR B-Breakaway'!$B$5:$AI$24,14,FALSE)),0)</f>
        <v>30</v>
      </c>
      <c r="J9" s="95">
        <f t="shared" si="4"/>
        <v>30</v>
      </c>
      <c r="K9" s="91">
        <f t="shared" si="5"/>
        <v>5</v>
      </c>
      <c r="L9" s="121">
        <f>IFERROR(IF(VLOOKUP($B9,'JR-Team Roping-Header'!$B$5:$N$24,6,FALSE)=" ",0,VLOOKUP($B9,'JR-Team Roping-Header'!$B$5:$N$24,6,FALSE)),0)+IFERROR(IF(VLOOKUP($B9,'JR-Team Roping-Heeler'!$B$5:$N$24,6,FALSE)=" ",0,VLOOKUP($B9,'JR-Team Roping-Heeler'!$B$5:$N$24,6,FALSE)),0)+IFERROR(IF(VLOOKUP($B9,'JR B-Steer Riding'!$B$5:$AI$24,18,FALSE)=" ",0,VLOOKUP($B9,'JR B-Steer Riding'!$B$5:$AI$24,18,FALSE)),0)+IFERROR(IF(VLOOKUP($B9,'JR B-Goats'!$B$5:$AI$24,18,FALSE)=" ",0,VLOOKUP($B9,'JR B-Goats'!$B$5:$AI$24,18,FALSE)),0)+IFERROR(IF(VLOOKUP($B9,'JR B-Calf Tying'!$B$5:$AI$24,18,FALSE)=" ",0,VLOOKUP($B9,'JR B-Calf Tying'!$B$5:$AI$24,18,FALSE)),0)+IFERROR(IF(VLOOKUP($B9,'JR B-Breakaway'!$B$5:$AI$24,18,FALSE)=" ",0,VLOOKUP($B9,'JR B-Breakaway'!$B$5:$AI$24,18,FALSE)),0)</f>
        <v>42</v>
      </c>
      <c r="M9" s="95">
        <f t="shared" si="6"/>
        <v>42</v>
      </c>
      <c r="N9" s="91">
        <f t="shared" si="7"/>
        <v>4</v>
      </c>
      <c r="O9" s="121">
        <f>IFERROR(IF(VLOOKUP($B9,'JR-Team Roping-Header'!$B$5:$N$24,7,FALSE)=" ",0,VLOOKUP($B9,'JR-Team Roping-Header'!$B$5:$N$24,7,FALSE)),0)+IFERROR(IF(VLOOKUP($B9,'JR-Team Roping-Heeler'!$B$5:$N$24,7,FALSE)=" ",0,VLOOKUP($B9,'JR-Team Roping-Heeler'!$B$5:$N$24,7,FALSE)),0)+IFERROR(IF(VLOOKUP($B9,'JR B-Steer Riding'!$B$5:$AI$24,22,FALSE)=" ",0,VLOOKUP($B9,'JR B-Steer Riding'!$B$5:$AI$24,22,FALSE)),0)+IFERROR(IF(VLOOKUP($B9,'JR B-Goats'!$B$5:$AI$24,22,FALSE)=" ",0,VLOOKUP($B9,'JR B-Goats'!$B$5:$AI$24,22,FALSE)),0)+IFERROR(IF(VLOOKUP($B9,'JR B-Calf Tying'!$B$5:$AI$24,22,FALSE)=" ",0,VLOOKUP($B9,'JR B-Calf Tying'!$B$5:$AI$24,22,FALSE)),0)+IFERROR(IF(VLOOKUP($B9,'JR B-Breakaway'!$B$5:$AI$24,22,FALSE)=" ",0,VLOOKUP($B9,'JR B-Breakaway'!$B$5:$AI$24,22,FALSE)),0)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IFERROR(IF(VLOOKUP($B9,'JR-Team Roping-Header'!$B$5:$N$24,8,FALSE)=" ",0,VLOOKUP($B9,'JR-Team Roping-Header'!$B$5:$N$24,8,FALSE)),0)+IFERROR(IF(VLOOKUP($B9,'JR-Team Roping-Heeler'!$B$5:$N$24,8,FALSE)=" ",0,VLOOKUP($B9,'JR-Team Roping-Heeler'!$B$5:$N$24,8,FALSE)),0)+IFERROR(IF(VLOOKUP($B9,'JR B-Steer Riding'!$B$5:$AI$24,26,FALSE)=" ",0,VLOOKUP($B9,'JR B-Steer Riding'!$B$5:$AI$24,26,FALSE)),0)+IFERROR(IF(VLOOKUP($B9,'JR B-Goats'!$B$5:$AI$24,26,FALSE)=" ",0,VLOOKUP($B9,'JR B-Goats'!$B$5:$AI$24,26,FALSE)),0)+IFERROR(IF(VLOOKUP($B9,'JR B-Calf Tying'!$B$5:$AI$24,26,FALSE)=" ",0,VLOOKUP($B9,'JR B-Calf Tying'!$B$5:$AI$24,26,FALSE)),0)+IFERROR(IF(VLOOKUP($B9,'JR B-Breakaway'!$B$5:$AI$24,26,FALSE)=" ",0,VLOOKUP($B9,'JR B-Breakaway'!$B$5:$AI$24,26,FALSE)),0)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IFERROR(IF(VLOOKUP($B9,'JR-Team Roping-Header'!$B$5:$N$24,9,FALSE)=" ",0,VLOOKUP($B9,'JR-Team Roping-Header'!$B$5:$N$24,9,FALSE)),0)+IFERROR(IF(VLOOKUP($B9,'JR-Team Roping-Heeler'!$B$5:$N$24,9,FALSE)=" ",0,VLOOKUP($B9,'JR-Team Roping-Heeler'!$B$5:$N$24,9,FALSE)),0)+IFERROR(IF(VLOOKUP($B9,'JR B-Steer Riding'!$B$5:$AI$24,30,FALSE)=" ",0,VLOOKUP($B9,'JR B-Steer Riding'!$B$5:$AI$24,30,FALSE)),0)+IFERROR(IF(VLOOKUP($B9,'JR B-Goats'!$B$5:$AI$24,30,FALSE)=" ",0,VLOOKUP($B9,'JR B-Goats'!$B$5:$AI$24,30,FALSE)),0)+IFERROR(IF(VLOOKUP($B9,'JR B-Calf Tying'!$B$5:$AI$24,30,FALSE)=" ",0,VLOOKUP($B9,'JR B-Calf Tying'!$B$5:$AI$24,30,FALSE)),0)+IFERROR(IF(VLOOKUP($B9,'JR B-Breakaway'!$B$5:$AI$24,30,FALSE)=" ",0,VLOOKUP($B9,'JR B-Breakaway'!$B$5:$AI$24,30,FALSE)),0)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IFERROR(IF(VLOOKUP($B9,'JR-Team Roping-Header'!$B$5:$N$24,10,FALSE)=" ",0,VLOOKUP($B9,'JR-Team Roping-Header'!$B$5:$N$24,10,FALSE)),0)+IFERROR(IF(VLOOKUP($B9,'JR-Team Roping-Heeler'!$B$5:$N$24,10,FALSE)=" ",0,VLOOKUP($B9,'JR-Team Roping-Heeler'!$B$5:$N$24,10,FALSE)),0)+IFERROR(IF(VLOOKUP($B9,'JR B-Steer Riding'!$B$5:$AI$24,34,FALSE)=" ",0,VLOOKUP($B9,'JR B-Steer Riding'!$B$5:$AI$24,34,FALSE)),0)+IFERROR(IF(VLOOKUP($B9,'JR B-Goats'!$B$5:$AI$24,34,FALSE)=" ",0,VLOOKUP($B9,'JR B-Goats'!$B$5:$AI$24,34,FALSE)),0)+IFERROR(IF(VLOOKUP($B9,'JR B-Calf Tying'!$B$5:$AI$24,34,FALSE)=" ",0,VLOOKUP($B9,'JR B-Calf Tying'!$B$5:$AI$24,34,FALSE)),0)+IFERROR(IF(VLOOKUP($B9,'JR B-Breakaway'!$B$5:$AI$24,34,FALSE)=" ",0,VLOOKUP($B9,'JR B-Breakaway'!$B$5:$AI$24,34,FALSE)),0)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87</v>
      </c>
      <c r="AB9" s="95">
        <f t="shared" si="16"/>
        <v>87</v>
      </c>
      <c r="AC9" s="91">
        <f t="shared" si="17"/>
        <v>5</v>
      </c>
    </row>
    <row r="10" spans="2:29" x14ac:dyDescent="0.3">
      <c r="B10" s="152" t="s">
        <v>133</v>
      </c>
      <c r="C10" s="120">
        <f>IFERROR(IF(VLOOKUP($B10,'JR-Team Roping-Header'!$B$5:$N$24,3,FALSE)=" ",0,VLOOKUP($B10,'JR-Team Roping-Header'!$B$5:$N$24,3,FALSE)),0)+IFERROR(IF(VLOOKUP($B10,'JR-Team Roping-Heeler'!$B$5:$N$24,3,FALSE)=" ",0,VLOOKUP($B10,'JR-Team Roping-Heeler'!$B$5:$N$24,3,FALSE)),0)+IFERROR(IF(VLOOKUP($B10,'JR B-Steer Riding'!$B$5:$AI$24,6,FALSE)=" ",0,VLOOKUP($B10,'JR B-Steer Riding'!$B$5:$AI$24,6,FALSE)),0)+IFERROR(IF(VLOOKUP($B10,'JR B-Goats'!$B$5:$AI$24,6,FALSE)=" ",0,VLOOKUP($B10,'JR B-Goats'!$B$5:$AI$24,6,FALSE)),0)+IFERROR(IF(VLOOKUP($B10,'JR B-Calf Tying'!$B$5:$AI$24,6,FALSE)=" ",0,VLOOKUP($B10,'JR B-Calf Tying'!$B$5:$AI$24,6,FALSE)),0)+IFERROR(IF(VLOOKUP($B10,'JR B-Breakaway'!$B$5:$AI$24,6,FALSE)=" ",0,VLOOKUP($B10,'JR B-Breakaway'!$B$5:$AI$24,6,FALSE)),0)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IFERROR(IF(VLOOKUP($B10,'JR-Team Roping-Header'!$B$5:$N$24,4,FALSE)=" ",0,VLOOKUP($B10,'JR-Team Roping-Header'!$B$5:$N$24,4,FALSE)),0)+IFERROR(IF(VLOOKUP($B10,'JR-Team Roping-Heeler'!$B$5:$N$24,4,FALSE)=" ",0,VLOOKUP($B10,'JR-Team Roping-Heeler'!$B$5:$N$24,4,FALSE)),0)+IFERROR(IF(VLOOKUP($B10,'JR B-Steer Riding'!$B$5:$AI$24,10,FALSE)=" ",0,VLOOKUP($B10,'JR B-Steer Riding'!$B$5:$AI$24,10,FALSE)),0)+IFERROR(IF(VLOOKUP($B10,'JR B-Goats'!$B$5:$AI$24,10,FALSE)=" ",0,VLOOKUP($B10,'JR B-Goats'!$B$5:$AI$24,10,FALSE)),0)+IFERROR(IF(VLOOKUP($B10,'JR B-Calf Tying'!$B$5:$AI$24,10,FALSE)=" ",0,VLOOKUP($B10,'JR B-Calf Tying'!$B$5:$AI$24,10,FALSE)),0)+IFERROR(IF(VLOOKUP($B10,'JR B-Breakaway'!$B$5:$AI$24,10,FALSE)=" ",0,VLOOKUP($B10,'JR B-Breakaway'!$B$5:$AI$24,10,FALSE)),0)</f>
        <v>21</v>
      </c>
      <c r="G10" s="95">
        <f t="shared" si="2"/>
        <v>21</v>
      </c>
      <c r="H10" s="91">
        <f t="shared" si="3"/>
        <v>4</v>
      </c>
      <c r="I10" s="121">
        <f>IFERROR(IF(VLOOKUP($B10,'JR-Team Roping-Header'!$B$5:$N$24,5,FALSE)=" ",0,VLOOKUP($B10,'JR-Team Roping-Header'!$B$5:$N$24,5,FALSE)),0)+IFERROR(IF(VLOOKUP($B10,'JR-Team Roping-Heeler'!$B$5:$N$24,5,FALSE)=" ",0,VLOOKUP($B10,'JR-Team Roping-Heeler'!$B$5:$N$24,5,FALSE)),0)+IFERROR(IF(VLOOKUP($B10,'JR B-Steer Riding'!$B$5:$AI$24,14,FALSE)=" ",0,VLOOKUP($B10,'JR B-Steer Riding'!$B$5:$AI$24,14,FALSE)),0)+IFERROR(IF(VLOOKUP($B10,'JR B-Goats'!$B$5:$AI$24,14,FALSE)=" ",0,VLOOKUP($B10,'JR B-Goats'!$B$5:$AI$24,14,FALSE)),0)+IFERROR(IF(VLOOKUP($B10,'JR B-Calf Tying'!$B$5:$AI$24,14,FALSE)=" ",0,VLOOKUP($B10,'JR B-Calf Tying'!$B$5:$AI$24,14,FALSE)),0)+IFERROR(IF(VLOOKUP($B10,'JR B-Breakaway'!$B$5:$AI$24,14,FALSE)=" ",0,VLOOKUP($B10,'JR B-Breakaway'!$B$5:$AI$24,14,FALSE)),0)</f>
        <v>24</v>
      </c>
      <c r="J10" s="95">
        <f t="shared" si="4"/>
        <v>24</v>
      </c>
      <c r="K10" s="91">
        <f t="shared" si="5"/>
        <v>6</v>
      </c>
      <c r="L10" s="121">
        <f>IFERROR(IF(VLOOKUP($B10,'JR-Team Roping-Header'!$B$5:$N$24,6,FALSE)=" ",0,VLOOKUP($B10,'JR-Team Roping-Header'!$B$5:$N$24,6,FALSE)),0)+IFERROR(IF(VLOOKUP($B10,'JR-Team Roping-Heeler'!$B$5:$N$24,6,FALSE)=" ",0,VLOOKUP($B10,'JR-Team Roping-Heeler'!$B$5:$N$24,6,FALSE)),0)+IFERROR(IF(VLOOKUP($B10,'JR B-Steer Riding'!$B$5:$AI$24,18,FALSE)=" ",0,VLOOKUP($B10,'JR B-Steer Riding'!$B$5:$AI$24,18,FALSE)),0)+IFERROR(IF(VLOOKUP($B10,'JR B-Goats'!$B$5:$AI$24,18,FALSE)=" ",0,VLOOKUP($B10,'JR B-Goats'!$B$5:$AI$24,18,FALSE)),0)+IFERROR(IF(VLOOKUP($B10,'JR B-Calf Tying'!$B$5:$AI$24,18,FALSE)=" ",0,VLOOKUP($B10,'JR B-Calf Tying'!$B$5:$AI$24,18,FALSE)),0)+IFERROR(IF(VLOOKUP($B10,'JR B-Breakaway'!$B$5:$AI$24,18,FALSE)=" ",0,VLOOKUP($B10,'JR B-Breakaway'!$B$5:$AI$24,18,FALSE)),0)</f>
        <v>25.5</v>
      </c>
      <c r="M10" s="95">
        <f t="shared" si="6"/>
        <v>25.5</v>
      </c>
      <c r="N10" s="91">
        <f t="shared" si="7"/>
        <v>6</v>
      </c>
      <c r="O10" s="121">
        <f>IFERROR(IF(VLOOKUP($B10,'JR-Team Roping-Header'!$B$5:$N$24,7,FALSE)=" ",0,VLOOKUP($B10,'JR-Team Roping-Header'!$B$5:$N$24,7,FALSE)),0)+IFERROR(IF(VLOOKUP($B10,'JR-Team Roping-Heeler'!$B$5:$N$24,7,FALSE)=" ",0,VLOOKUP($B10,'JR-Team Roping-Heeler'!$B$5:$N$24,7,FALSE)),0)+IFERROR(IF(VLOOKUP($B10,'JR B-Steer Riding'!$B$5:$AI$24,22,FALSE)=" ",0,VLOOKUP($B10,'JR B-Steer Riding'!$B$5:$AI$24,22,FALSE)),0)+IFERROR(IF(VLOOKUP($B10,'JR B-Goats'!$B$5:$AI$24,22,FALSE)=" ",0,VLOOKUP($B10,'JR B-Goats'!$B$5:$AI$24,22,FALSE)),0)+IFERROR(IF(VLOOKUP($B10,'JR B-Calf Tying'!$B$5:$AI$24,22,FALSE)=" ",0,VLOOKUP($B10,'JR B-Calf Tying'!$B$5:$AI$24,22,FALSE)),0)+IFERROR(IF(VLOOKUP($B10,'JR B-Breakaway'!$B$5:$AI$24,22,FALSE)=" ",0,VLOOKUP($B10,'JR B-Breakaway'!$B$5:$AI$24,22,FALSE)),0)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IFERROR(IF(VLOOKUP($B10,'JR-Team Roping-Header'!$B$5:$N$24,8,FALSE)=" ",0,VLOOKUP($B10,'JR-Team Roping-Header'!$B$5:$N$24,8,FALSE)),0)+IFERROR(IF(VLOOKUP($B10,'JR-Team Roping-Heeler'!$B$5:$N$24,8,FALSE)=" ",0,VLOOKUP($B10,'JR-Team Roping-Heeler'!$B$5:$N$24,8,FALSE)),0)+IFERROR(IF(VLOOKUP($B10,'JR B-Steer Riding'!$B$5:$AI$24,26,FALSE)=" ",0,VLOOKUP($B10,'JR B-Steer Riding'!$B$5:$AI$24,26,FALSE)),0)+IFERROR(IF(VLOOKUP($B10,'JR B-Goats'!$B$5:$AI$24,26,FALSE)=" ",0,VLOOKUP($B10,'JR B-Goats'!$B$5:$AI$24,26,FALSE)),0)+IFERROR(IF(VLOOKUP($B10,'JR B-Calf Tying'!$B$5:$AI$24,26,FALSE)=" ",0,VLOOKUP($B10,'JR B-Calf Tying'!$B$5:$AI$24,26,FALSE)),0)+IFERROR(IF(VLOOKUP($B10,'JR B-Breakaway'!$B$5:$AI$24,26,FALSE)=" ",0,VLOOKUP($B10,'JR B-Breakaway'!$B$5:$AI$24,26,FALSE)),0)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IFERROR(IF(VLOOKUP($B10,'JR-Team Roping-Header'!$B$5:$N$24,9,FALSE)=" ",0,VLOOKUP($B10,'JR-Team Roping-Header'!$B$5:$N$24,9,FALSE)),0)+IFERROR(IF(VLOOKUP($B10,'JR-Team Roping-Heeler'!$B$5:$N$24,9,FALSE)=" ",0,VLOOKUP($B10,'JR-Team Roping-Heeler'!$B$5:$N$24,9,FALSE)),0)+IFERROR(IF(VLOOKUP($B10,'JR B-Steer Riding'!$B$5:$AI$24,30,FALSE)=" ",0,VLOOKUP($B10,'JR B-Steer Riding'!$B$5:$AI$24,30,FALSE)),0)+IFERROR(IF(VLOOKUP($B10,'JR B-Goats'!$B$5:$AI$24,30,FALSE)=" ",0,VLOOKUP($B10,'JR B-Goats'!$B$5:$AI$24,30,FALSE)),0)+IFERROR(IF(VLOOKUP($B10,'JR B-Calf Tying'!$B$5:$AI$24,30,FALSE)=" ",0,VLOOKUP($B10,'JR B-Calf Tying'!$B$5:$AI$24,30,FALSE)),0)+IFERROR(IF(VLOOKUP($B10,'JR B-Breakaway'!$B$5:$AI$24,30,FALSE)=" ",0,VLOOKUP($B10,'JR B-Breakaway'!$B$5:$AI$24,30,FALSE)),0)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IFERROR(IF(VLOOKUP($B10,'JR-Team Roping-Header'!$B$5:$N$24,10,FALSE)=" ",0,VLOOKUP($B10,'JR-Team Roping-Header'!$B$5:$N$24,10,FALSE)),0)+IFERROR(IF(VLOOKUP($B10,'JR-Team Roping-Heeler'!$B$5:$N$24,10,FALSE)=" ",0,VLOOKUP($B10,'JR-Team Roping-Heeler'!$B$5:$N$24,10,FALSE)),0)+IFERROR(IF(VLOOKUP($B10,'JR B-Steer Riding'!$B$5:$AI$24,34,FALSE)=" ",0,VLOOKUP($B10,'JR B-Steer Riding'!$B$5:$AI$24,34,FALSE)),0)+IFERROR(IF(VLOOKUP($B10,'JR B-Goats'!$B$5:$AI$24,34,FALSE)=" ",0,VLOOKUP($B10,'JR B-Goats'!$B$5:$AI$24,34,FALSE)),0)+IFERROR(IF(VLOOKUP($B10,'JR B-Calf Tying'!$B$5:$AI$24,34,FALSE)=" ",0,VLOOKUP($B10,'JR B-Calf Tying'!$B$5:$AI$24,34,FALSE)),0)+IFERROR(IF(VLOOKUP($B10,'JR B-Breakaway'!$B$5:$AI$24,34,FALSE)=" ",0,VLOOKUP($B10,'JR B-Breakaway'!$B$5:$AI$24,34,FALSE)),0)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70.5</v>
      </c>
      <c r="AB10" s="95">
        <f t="shared" si="16"/>
        <v>70.5</v>
      </c>
      <c r="AC10" s="91">
        <f t="shared" si="17"/>
        <v>6</v>
      </c>
    </row>
    <row r="11" spans="2:29" x14ac:dyDescent="0.3">
      <c r="B11" s="152" t="s">
        <v>146</v>
      </c>
      <c r="C11" s="120">
        <f>IFERROR(IF(VLOOKUP($B11,'JR-Team Roping-Header'!$B$5:$N$24,3,FALSE)=" ",0,VLOOKUP($B11,'JR-Team Roping-Header'!$B$5:$N$24,3,FALSE)),0)+IFERROR(IF(VLOOKUP($B11,'JR-Team Roping-Heeler'!$B$5:$N$24,3,FALSE)=" ",0,VLOOKUP($B11,'JR-Team Roping-Heeler'!$B$5:$N$24,3,FALSE)),0)+IFERROR(IF(VLOOKUP($B11,'JR B-Steer Riding'!$B$5:$AI$24,6,FALSE)=" ",0,VLOOKUP($B11,'JR B-Steer Riding'!$B$5:$AI$24,6,FALSE)),0)+IFERROR(IF(VLOOKUP($B11,'JR B-Goats'!$B$5:$AI$24,6,FALSE)=" ",0,VLOOKUP($B11,'JR B-Goats'!$B$5:$AI$24,6,FALSE)),0)+IFERROR(IF(VLOOKUP($B11,'JR B-Calf Tying'!$B$5:$AI$24,6,FALSE)=" ",0,VLOOKUP($B11,'JR B-Calf Tying'!$B$5:$AI$24,6,FALSE)),0)+IFERROR(IF(VLOOKUP($B11,'JR B-Breakaway'!$B$5:$AI$24,6,FALSE)=" ",0,VLOOKUP($B11,'JR B-Breakaway'!$B$5:$AI$24,6,FALSE)),0)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IFERROR(IF(VLOOKUP($B11,'JR-Team Roping-Header'!$B$5:$N$24,4,FALSE)=" ",0,VLOOKUP($B11,'JR-Team Roping-Header'!$B$5:$N$24,4,FALSE)),0)+IFERROR(IF(VLOOKUP($B11,'JR-Team Roping-Heeler'!$B$5:$N$24,4,FALSE)=" ",0,VLOOKUP($B11,'JR-Team Roping-Heeler'!$B$5:$N$24,4,FALSE)),0)+IFERROR(IF(VLOOKUP($B11,'JR B-Steer Riding'!$B$5:$AI$24,10,FALSE)=" ",0,VLOOKUP($B11,'JR B-Steer Riding'!$B$5:$AI$24,10,FALSE)),0)+IFERROR(IF(VLOOKUP($B11,'JR B-Goats'!$B$5:$AI$24,10,FALSE)=" ",0,VLOOKUP($B11,'JR B-Goats'!$B$5:$AI$24,10,FALSE)),0)+IFERROR(IF(VLOOKUP($B11,'JR B-Calf Tying'!$B$5:$AI$24,10,FALSE)=" ",0,VLOOKUP($B11,'JR B-Calf Tying'!$B$5:$AI$24,10,FALSE)),0)+IFERROR(IF(VLOOKUP($B11,'JR B-Breakaway'!$B$5:$AI$24,10,FALSE)=" ",0,VLOOKUP($B11,'JR B-Breakaway'!$B$5:$AI$24,10,FALSE)),0)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IFERROR(IF(VLOOKUP($B11,'JR-Team Roping-Header'!$B$5:$N$24,5,FALSE)=" ",0,VLOOKUP($B11,'JR-Team Roping-Header'!$B$5:$N$24,5,FALSE)),0)+IFERROR(IF(VLOOKUP($B11,'JR-Team Roping-Heeler'!$B$5:$N$24,5,FALSE)=" ",0,VLOOKUP($B11,'JR-Team Roping-Heeler'!$B$5:$N$24,5,FALSE)),0)+IFERROR(IF(VLOOKUP($B11,'JR B-Steer Riding'!$B$5:$AI$24,14,FALSE)=" ",0,VLOOKUP($B11,'JR B-Steer Riding'!$B$5:$AI$24,14,FALSE)),0)+IFERROR(IF(VLOOKUP($B11,'JR B-Goats'!$B$5:$AI$24,14,FALSE)=" ",0,VLOOKUP($B11,'JR B-Goats'!$B$5:$AI$24,14,FALSE)),0)+IFERROR(IF(VLOOKUP($B11,'JR B-Calf Tying'!$B$5:$AI$24,14,FALSE)=" ",0,VLOOKUP($B11,'JR B-Calf Tying'!$B$5:$AI$24,14,FALSE)),0)+IFERROR(IF(VLOOKUP($B11,'JR B-Breakaway'!$B$5:$AI$24,14,FALSE)=" ",0,VLOOKUP($B11,'JR B-Breakaway'!$B$5:$AI$24,14,FALSE)),0)</f>
        <v>24</v>
      </c>
      <c r="J11" s="95">
        <f t="shared" si="4"/>
        <v>24</v>
      </c>
      <c r="K11" s="122">
        <f t="shared" si="5"/>
        <v>6</v>
      </c>
      <c r="L11" s="121">
        <f>IFERROR(IF(VLOOKUP($B11,'JR-Team Roping-Header'!$B$5:$N$24,6,FALSE)=" ",0,VLOOKUP($B11,'JR-Team Roping-Header'!$B$5:$N$24,6,FALSE)),0)+IFERROR(IF(VLOOKUP($B11,'JR-Team Roping-Heeler'!$B$5:$N$24,6,FALSE)=" ",0,VLOOKUP($B11,'JR-Team Roping-Heeler'!$B$5:$N$24,6,FALSE)),0)+IFERROR(IF(VLOOKUP($B11,'JR B-Steer Riding'!$B$5:$AI$24,18,FALSE)=" ",0,VLOOKUP($B11,'JR B-Steer Riding'!$B$5:$AI$24,18,FALSE)),0)+IFERROR(IF(VLOOKUP($B11,'JR B-Goats'!$B$5:$AI$24,18,FALSE)=" ",0,VLOOKUP($B11,'JR B-Goats'!$B$5:$AI$24,18,FALSE)),0)+IFERROR(IF(VLOOKUP($B11,'JR B-Calf Tying'!$B$5:$AI$24,18,FALSE)=" ",0,VLOOKUP($B11,'JR B-Calf Tying'!$B$5:$AI$24,18,FALSE)),0)+IFERROR(IF(VLOOKUP($B11,'JR B-Breakaway'!$B$5:$AI$24,18,FALSE)=" ",0,VLOOKUP($B11,'JR B-Breakaway'!$B$5:$AI$24,18,FALSE)),0)</f>
        <v>27</v>
      </c>
      <c r="M11" s="95">
        <f t="shared" si="6"/>
        <v>27</v>
      </c>
      <c r="N11" s="122">
        <f t="shared" si="7"/>
        <v>5</v>
      </c>
      <c r="O11" s="121">
        <f>IFERROR(IF(VLOOKUP($B11,'JR-Team Roping-Header'!$B$5:$N$24,7,FALSE)=" ",0,VLOOKUP($B11,'JR-Team Roping-Header'!$B$5:$N$24,7,FALSE)),0)+IFERROR(IF(VLOOKUP($B11,'JR-Team Roping-Heeler'!$B$5:$N$24,7,FALSE)=" ",0,VLOOKUP($B11,'JR-Team Roping-Heeler'!$B$5:$N$24,7,FALSE)),0)+IFERROR(IF(VLOOKUP($B11,'JR B-Steer Riding'!$B$5:$AI$24,22,FALSE)=" ",0,VLOOKUP($B11,'JR B-Steer Riding'!$B$5:$AI$24,22,FALSE)),0)+IFERROR(IF(VLOOKUP($B11,'JR B-Goats'!$B$5:$AI$24,22,FALSE)=" ",0,VLOOKUP($B11,'JR B-Goats'!$B$5:$AI$24,22,FALSE)),0)+IFERROR(IF(VLOOKUP($B11,'JR B-Calf Tying'!$B$5:$AI$24,22,FALSE)=" ",0,VLOOKUP($B11,'JR B-Calf Tying'!$B$5:$AI$24,22,FALSE)),0)+IFERROR(IF(VLOOKUP($B11,'JR B-Breakaway'!$B$5:$AI$24,22,FALSE)=" ",0,VLOOKUP($B11,'JR B-Breakaway'!$B$5:$AI$24,22,FALSE)),0)</f>
        <v>0</v>
      </c>
      <c r="P11" s="95" t="str">
        <f t="shared" si="8"/>
        <v xml:space="preserve"> </v>
      </c>
      <c r="Q11" s="122" t="str">
        <f t="shared" si="9"/>
        <v xml:space="preserve"> </v>
      </c>
      <c r="R11" s="121">
        <f>IFERROR(IF(VLOOKUP($B11,'JR-Team Roping-Header'!$B$5:$N$24,8,FALSE)=" ",0,VLOOKUP($B11,'JR-Team Roping-Header'!$B$5:$N$24,8,FALSE)),0)+IFERROR(IF(VLOOKUP($B11,'JR-Team Roping-Heeler'!$B$5:$N$24,8,FALSE)=" ",0,VLOOKUP($B11,'JR-Team Roping-Heeler'!$B$5:$N$24,8,FALSE)),0)+IFERROR(IF(VLOOKUP($B11,'JR B-Steer Riding'!$B$5:$AI$24,26,FALSE)=" ",0,VLOOKUP($B11,'JR B-Steer Riding'!$B$5:$AI$24,26,FALSE)),0)+IFERROR(IF(VLOOKUP($B11,'JR B-Goats'!$B$5:$AI$24,26,FALSE)=" ",0,VLOOKUP($B11,'JR B-Goats'!$B$5:$AI$24,26,FALSE)),0)+IFERROR(IF(VLOOKUP($B11,'JR B-Calf Tying'!$B$5:$AI$24,26,FALSE)=" ",0,VLOOKUP($B11,'JR B-Calf Tying'!$B$5:$AI$24,26,FALSE)),0)+IFERROR(IF(VLOOKUP($B11,'JR B-Breakaway'!$B$5:$AI$24,26,FALSE)=" ",0,VLOOKUP($B11,'JR B-Breakaway'!$B$5:$AI$24,26,FALSE)),0)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IFERROR(IF(VLOOKUP($B11,'JR-Team Roping-Header'!$B$5:$N$24,9,FALSE)=" ",0,VLOOKUP($B11,'JR-Team Roping-Header'!$B$5:$N$24,9,FALSE)),0)+IFERROR(IF(VLOOKUP($B11,'JR-Team Roping-Heeler'!$B$5:$N$24,9,FALSE)=" ",0,VLOOKUP($B11,'JR-Team Roping-Heeler'!$B$5:$N$24,9,FALSE)),0)+IFERROR(IF(VLOOKUP($B11,'JR B-Steer Riding'!$B$5:$AI$24,30,FALSE)=" ",0,VLOOKUP($B11,'JR B-Steer Riding'!$B$5:$AI$24,30,FALSE)),0)+IFERROR(IF(VLOOKUP($B11,'JR B-Goats'!$B$5:$AI$24,30,FALSE)=" ",0,VLOOKUP($B11,'JR B-Goats'!$B$5:$AI$24,30,FALSE)),0)+IFERROR(IF(VLOOKUP($B11,'JR B-Calf Tying'!$B$5:$AI$24,30,FALSE)=" ",0,VLOOKUP($B11,'JR B-Calf Tying'!$B$5:$AI$24,30,FALSE)),0)+IFERROR(IF(VLOOKUP($B11,'JR B-Breakaway'!$B$5:$AI$24,30,FALSE)=" ",0,VLOOKUP($B11,'JR B-Breakaway'!$B$5:$AI$24,30,FALSE)),0)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IFERROR(IF(VLOOKUP($B11,'JR-Team Roping-Header'!$B$5:$N$24,10,FALSE)=" ",0,VLOOKUP($B11,'JR-Team Roping-Header'!$B$5:$N$24,10,FALSE)),0)+IFERROR(IF(VLOOKUP($B11,'JR-Team Roping-Heeler'!$B$5:$N$24,10,FALSE)=" ",0,VLOOKUP($B11,'JR-Team Roping-Heeler'!$B$5:$N$24,10,FALSE)),0)+IFERROR(IF(VLOOKUP($B11,'JR B-Steer Riding'!$B$5:$AI$24,34,FALSE)=" ",0,VLOOKUP($B11,'JR B-Steer Riding'!$B$5:$AI$24,34,FALSE)),0)+IFERROR(IF(VLOOKUP($B11,'JR B-Goats'!$B$5:$AI$24,34,FALSE)=" ",0,VLOOKUP($B11,'JR B-Goats'!$B$5:$AI$24,34,FALSE)),0)+IFERROR(IF(VLOOKUP($B11,'JR B-Calf Tying'!$B$5:$AI$24,34,FALSE)=" ",0,VLOOKUP($B11,'JR B-Calf Tying'!$B$5:$AI$24,34,FALSE)),0)+IFERROR(IF(VLOOKUP($B11,'JR B-Breakaway'!$B$5:$AI$24,34,FALSE)=" ",0,VLOOKUP($B11,'JR B-Breakaway'!$B$5:$AI$24,34,FALSE)),0)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51</v>
      </c>
      <c r="AB11" s="95">
        <f t="shared" si="16"/>
        <v>51</v>
      </c>
      <c r="AC11" s="122">
        <f t="shared" si="17"/>
        <v>7</v>
      </c>
    </row>
    <row r="12" spans="2:29" x14ac:dyDescent="0.3">
      <c r="B12" s="140" t="s">
        <v>131</v>
      </c>
      <c r="C12" s="120">
        <f>IFERROR(IF(VLOOKUP($B12,'JR-Team Roping-Header'!$B$5:$N$24,3,FALSE)=" ",0,VLOOKUP($B12,'JR-Team Roping-Header'!$B$5:$N$24,3,FALSE)),0)+IFERROR(IF(VLOOKUP($B12,'JR-Team Roping-Heeler'!$B$5:$N$24,3,FALSE)=" ",0,VLOOKUP($B12,'JR-Team Roping-Heeler'!$B$5:$N$24,3,FALSE)),0)+IFERROR(IF(VLOOKUP($B12,'JR B-Steer Riding'!$B$5:$AI$24,6,FALSE)=" ",0,VLOOKUP($B12,'JR B-Steer Riding'!$B$5:$AI$24,6,FALSE)),0)+IFERROR(IF(VLOOKUP($B12,'JR B-Goats'!$B$5:$AI$24,6,FALSE)=" ",0,VLOOKUP($B12,'JR B-Goats'!$B$5:$AI$24,6,FALSE)),0)+IFERROR(IF(VLOOKUP($B12,'JR B-Calf Tying'!$B$5:$AI$24,6,FALSE)=" ",0,VLOOKUP($B12,'JR B-Calf Tying'!$B$5:$AI$24,6,FALSE)),0)+IFERROR(IF(VLOOKUP($B12,'JR B-Breakaway'!$B$5:$AI$24,6,FALSE)=" ",0,VLOOKUP($B12,'JR B-Breakaway'!$B$5:$AI$24,6,FALSE)),0)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IFERROR(IF(VLOOKUP($B12,'JR-Team Roping-Header'!$B$5:$N$24,4,FALSE)=" ",0,VLOOKUP($B12,'JR-Team Roping-Header'!$B$5:$N$24,4,FALSE)),0)+IFERROR(IF(VLOOKUP($B12,'JR-Team Roping-Heeler'!$B$5:$N$24,4,FALSE)=" ",0,VLOOKUP($B12,'JR-Team Roping-Heeler'!$B$5:$N$24,4,FALSE)),0)+IFERROR(IF(VLOOKUP($B12,'JR B-Steer Riding'!$B$5:$AI$24,10,FALSE)=" ",0,VLOOKUP($B12,'JR B-Steer Riding'!$B$5:$AI$24,10,FALSE)),0)+IFERROR(IF(VLOOKUP($B12,'JR B-Goats'!$B$5:$AI$24,10,FALSE)=" ",0,VLOOKUP($B12,'JR B-Goats'!$B$5:$AI$24,10,FALSE)),0)+IFERROR(IF(VLOOKUP($B12,'JR B-Calf Tying'!$B$5:$AI$24,10,FALSE)=" ",0,VLOOKUP($B12,'JR B-Calf Tying'!$B$5:$AI$24,10,FALSE)),0)+IFERROR(IF(VLOOKUP($B12,'JR B-Breakaway'!$B$5:$AI$24,10,FALSE)=" ",0,VLOOKUP($B12,'JR B-Breakaway'!$B$5:$AI$24,10,FALSE)),0)</f>
        <v>21</v>
      </c>
      <c r="G12" s="95">
        <f t="shared" si="2"/>
        <v>21</v>
      </c>
      <c r="H12" s="91">
        <f t="shared" si="3"/>
        <v>4</v>
      </c>
      <c r="I12" s="121">
        <f>IFERROR(IF(VLOOKUP($B12,'JR-Team Roping-Header'!$B$5:$N$24,5,FALSE)=" ",0,VLOOKUP($B12,'JR-Team Roping-Header'!$B$5:$N$24,5,FALSE)),0)+IFERROR(IF(VLOOKUP($B12,'JR-Team Roping-Heeler'!$B$5:$N$24,5,FALSE)=" ",0,VLOOKUP($B12,'JR-Team Roping-Heeler'!$B$5:$N$24,5,FALSE)),0)+IFERROR(IF(VLOOKUP($B12,'JR B-Steer Riding'!$B$5:$AI$24,14,FALSE)=" ",0,VLOOKUP($B12,'JR B-Steer Riding'!$B$5:$AI$24,14,FALSE)),0)+IFERROR(IF(VLOOKUP($B12,'JR B-Goats'!$B$5:$AI$24,14,FALSE)=" ",0,VLOOKUP($B12,'JR B-Goats'!$B$5:$AI$24,14,FALSE)),0)+IFERROR(IF(VLOOKUP($B12,'JR B-Calf Tying'!$B$5:$AI$24,14,FALSE)=" ",0,VLOOKUP($B12,'JR B-Calf Tying'!$B$5:$AI$24,14,FALSE)),0)+IFERROR(IF(VLOOKUP($B12,'JR B-Breakaway'!$B$5:$AI$24,14,FALSE)=" ",0,VLOOKUP($B12,'JR B-Breakaway'!$B$5:$AI$24,14,FALSE)),0)</f>
        <v>0</v>
      </c>
      <c r="J12" s="95" t="str">
        <f t="shared" si="4"/>
        <v xml:space="preserve"> </v>
      </c>
      <c r="K12" s="91" t="str">
        <f t="shared" si="5"/>
        <v xml:space="preserve"> </v>
      </c>
      <c r="L12" s="121">
        <f>IFERROR(IF(VLOOKUP($B12,'JR-Team Roping-Header'!$B$5:$N$24,6,FALSE)=" ",0,VLOOKUP($B12,'JR-Team Roping-Header'!$B$5:$N$24,6,FALSE)),0)+IFERROR(IF(VLOOKUP($B12,'JR-Team Roping-Heeler'!$B$5:$N$24,6,FALSE)=" ",0,VLOOKUP($B12,'JR-Team Roping-Heeler'!$B$5:$N$24,6,FALSE)),0)+IFERROR(IF(VLOOKUP($B12,'JR B-Steer Riding'!$B$5:$AI$24,18,FALSE)=" ",0,VLOOKUP($B12,'JR B-Steer Riding'!$B$5:$AI$24,18,FALSE)),0)+IFERROR(IF(VLOOKUP($B12,'JR B-Goats'!$B$5:$AI$24,18,FALSE)=" ",0,VLOOKUP($B12,'JR B-Goats'!$B$5:$AI$24,18,FALSE)),0)+IFERROR(IF(VLOOKUP($B12,'JR B-Calf Tying'!$B$5:$AI$24,18,FALSE)=" ",0,VLOOKUP($B12,'JR B-Calf Tying'!$B$5:$AI$24,18,FALSE)),0)+IFERROR(IF(VLOOKUP($B12,'JR B-Breakaway'!$B$5:$AI$24,18,FALSE)=" ",0,VLOOKUP($B12,'JR B-Breakaway'!$B$5:$AI$24,18,FALSE)),0)</f>
        <v>24</v>
      </c>
      <c r="M12" s="95">
        <f t="shared" si="6"/>
        <v>24</v>
      </c>
      <c r="N12" s="91">
        <f t="shared" si="7"/>
        <v>7</v>
      </c>
      <c r="O12" s="121">
        <f>IFERROR(IF(VLOOKUP($B12,'JR-Team Roping-Header'!$B$5:$N$24,7,FALSE)=" ",0,VLOOKUP($B12,'JR-Team Roping-Header'!$B$5:$N$24,7,FALSE)),0)+IFERROR(IF(VLOOKUP($B12,'JR-Team Roping-Heeler'!$B$5:$N$24,7,FALSE)=" ",0,VLOOKUP($B12,'JR-Team Roping-Heeler'!$B$5:$N$24,7,FALSE)),0)+IFERROR(IF(VLOOKUP($B12,'JR B-Steer Riding'!$B$5:$AI$24,22,FALSE)=" ",0,VLOOKUP($B12,'JR B-Steer Riding'!$B$5:$AI$24,22,FALSE)),0)+IFERROR(IF(VLOOKUP($B12,'JR B-Goats'!$B$5:$AI$24,22,FALSE)=" ",0,VLOOKUP($B12,'JR B-Goats'!$B$5:$AI$24,22,FALSE)),0)+IFERROR(IF(VLOOKUP($B12,'JR B-Calf Tying'!$B$5:$AI$24,22,FALSE)=" ",0,VLOOKUP($B12,'JR B-Calf Tying'!$B$5:$AI$24,22,FALSE)),0)+IFERROR(IF(VLOOKUP($B12,'JR B-Breakaway'!$B$5:$AI$24,22,FALSE)=" ",0,VLOOKUP($B12,'JR B-Breakaway'!$B$5:$AI$24,22,FALSE)),0)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IFERROR(IF(VLOOKUP($B12,'JR-Team Roping-Header'!$B$5:$N$24,8,FALSE)=" ",0,VLOOKUP($B12,'JR-Team Roping-Header'!$B$5:$N$24,8,FALSE)),0)+IFERROR(IF(VLOOKUP($B12,'JR-Team Roping-Heeler'!$B$5:$N$24,8,FALSE)=" ",0,VLOOKUP($B12,'JR-Team Roping-Heeler'!$B$5:$N$24,8,FALSE)),0)+IFERROR(IF(VLOOKUP($B12,'JR B-Steer Riding'!$B$5:$AI$24,26,FALSE)=" ",0,VLOOKUP($B12,'JR B-Steer Riding'!$B$5:$AI$24,26,FALSE)),0)+IFERROR(IF(VLOOKUP($B12,'JR B-Goats'!$B$5:$AI$24,26,FALSE)=" ",0,VLOOKUP($B12,'JR B-Goats'!$B$5:$AI$24,26,FALSE)),0)+IFERROR(IF(VLOOKUP($B12,'JR B-Calf Tying'!$B$5:$AI$24,26,FALSE)=" ",0,VLOOKUP($B12,'JR B-Calf Tying'!$B$5:$AI$24,26,FALSE)),0)+IFERROR(IF(VLOOKUP($B12,'JR B-Breakaway'!$B$5:$AI$24,26,FALSE)=" ",0,VLOOKUP($B12,'JR B-Breakaway'!$B$5:$AI$24,26,FALSE)),0)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IFERROR(IF(VLOOKUP($B12,'JR-Team Roping-Header'!$B$5:$N$24,9,FALSE)=" ",0,VLOOKUP($B12,'JR-Team Roping-Header'!$B$5:$N$24,9,FALSE)),0)+IFERROR(IF(VLOOKUP($B12,'JR-Team Roping-Heeler'!$B$5:$N$24,9,FALSE)=" ",0,VLOOKUP($B12,'JR-Team Roping-Heeler'!$B$5:$N$24,9,FALSE)),0)+IFERROR(IF(VLOOKUP($B12,'JR B-Steer Riding'!$B$5:$AI$24,30,FALSE)=" ",0,VLOOKUP($B12,'JR B-Steer Riding'!$B$5:$AI$24,30,FALSE)),0)+IFERROR(IF(VLOOKUP($B12,'JR B-Goats'!$B$5:$AI$24,30,FALSE)=" ",0,VLOOKUP($B12,'JR B-Goats'!$B$5:$AI$24,30,FALSE)),0)+IFERROR(IF(VLOOKUP($B12,'JR B-Calf Tying'!$B$5:$AI$24,30,FALSE)=" ",0,VLOOKUP($B12,'JR B-Calf Tying'!$B$5:$AI$24,30,FALSE)),0)+IFERROR(IF(VLOOKUP($B12,'JR B-Breakaway'!$B$5:$AI$24,30,FALSE)=" ",0,VLOOKUP($B12,'JR B-Breakaway'!$B$5:$AI$24,30,FALSE)),0)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IFERROR(IF(VLOOKUP($B12,'JR-Team Roping-Header'!$B$5:$N$24,10,FALSE)=" ",0,VLOOKUP($B12,'JR-Team Roping-Header'!$B$5:$N$24,10,FALSE)),0)+IFERROR(IF(VLOOKUP($B12,'JR-Team Roping-Heeler'!$B$5:$N$24,10,FALSE)=" ",0,VLOOKUP($B12,'JR-Team Roping-Heeler'!$B$5:$N$24,10,FALSE)),0)+IFERROR(IF(VLOOKUP($B12,'JR B-Steer Riding'!$B$5:$AI$24,34,FALSE)=" ",0,VLOOKUP($B12,'JR B-Steer Riding'!$B$5:$AI$24,34,FALSE)),0)+IFERROR(IF(VLOOKUP($B12,'JR B-Goats'!$B$5:$AI$24,34,FALSE)=" ",0,VLOOKUP($B12,'JR B-Goats'!$B$5:$AI$24,34,FALSE)),0)+IFERROR(IF(VLOOKUP($B12,'JR B-Calf Tying'!$B$5:$AI$24,34,FALSE)=" ",0,VLOOKUP($B12,'JR B-Calf Tying'!$B$5:$AI$24,34,FALSE)),0)+IFERROR(IF(VLOOKUP($B12,'JR B-Breakaway'!$B$5:$AI$24,34,FALSE)=" ",0,VLOOKUP($B12,'JR B-Breakaway'!$B$5:$AI$24,34,FALSE)),0)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45</v>
      </c>
      <c r="AB12" s="95">
        <f t="shared" si="16"/>
        <v>45</v>
      </c>
      <c r="AC12" s="91">
        <f t="shared" si="17"/>
        <v>8</v>
      </c>
    </row>
    <row r="13" spans="2:29" x14ac:dyDescent="0.3">
      <c r="B13" s="152" t="s">
        <v>145</v>
      </c>
      <c r="C13" s="120">
        <f>IFERROR(IF(VLOOKUP($B13,'JR-Team Roping-Header'!$B$5:$N$24,3,FALSE)=" ",0,VLOOKUP($B13,'JR-Team Roping-Header'!$B$5:$N$24,3,FALSE)),0)+IFERROR(IF(VLOOKUP($B13,'JR-Team Roping-Heeler'!$B$5:$N$24,3,FALSE)=" ",0,VLOOKUP($B13,'JR-Team Roping-Heeler'!$B$5:$N$24,3,FALSE)),0)+IFERROR(IF(VLOOKUP($B13,'JR B-Steer Riding'!$B$5:$AI$24,6,FALSE)=" ",0,VLOOKUP($B13,'JR B-Steer Riding'!$B$5:$AI$24,6,FALSE)),0)+IFERROR(IF(VLOOKUP($B13,'JR B-Goats'!$B$5:$AI$24,6,FALSE)=" ",0,VLOOKUP($B13,'JR B-Goats'!$B$5:$AI$24,6,FALSE)),0)+IFERROR(IF(VLOOKUP($B13,'JR B-Calf Tying'!$B$5:$AI$24,6,FALSE)=" ",0,VLOOKUP($B13,'JR B-Calf Tying'!$B$5:$AI$24,6,FALSE)),0)+IFERROR(IF(VLOOKUP($B13,'JR B-Breakaway'!$B$5:$AI$24,6,FALSE)=" ",0,VLOOKUP($B13,'JR B-Breakaway'!$B$5:$AI$24,6,FALSE)),0)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IFERROR(IF(VLOOKUP($B13,'JR-Team Roping-Header'!$B$5:$N$24,4,FALSE)=" ",0,VLOOKUP($B13,'JR-Team Roping-Header'!$B$5:$N$24,4,FALSE)),0)+IFERROR(IF(VLOOKUP($B13,'JR-Team Roping-Heeler'!$B$5:$N$24,4,FALSE)=" ",0,VLOOKUP($B13,'JR-Team Roping-Heeler'!$B$5:$N$24,4,FALSE)),0)+IFERROR(IF(VLOOKUP($B13,'JR B-Steer Riding'!$B$5:$AI$24,10,FALSE)=" ",0,VLOOKUP($B13,'JR B-Steer Riding'!$B$5:$AI$24,10,FALSE)),0)+IFERROR(IF(VLOOKUP($B13,'JR B-Goats'!$B$5:$AI$24,10,FALSE)=" ",0,VLOOKUP($B13,'JR B-Goats'!$B$5:$AI$24,10,FALSE)),0)+IFERROR(IF(VLOOKUP($B13,'JR B-Calf Tying'!$B$5:$AI$24,10,FALSE)=" ",0,VLOOKUP($B13,'JR B-Calf Tying'!$B$5:$AI$24,10,FALSE)),0)+IFERROR(IF(VLOOKUP($B13,'JR B-Breakaway'!$B$5:$AI$24,10,FALSE)=" ",0,VLOOKUP($B13,'JR B-Breakaway'!$B$5:$AI$24,10,FALSE)),0)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IFERROR(IF(VLOOKUP($B13,'JR-Team Roping-Header'!$B$5:$N$24,5,FALSE)=" ",0,VLOOKUP($B13,'JR-Team Roping-Header'!$B$5:$N$24,5,FALSE)),0)+IFERROR(IF(VLOOKUP($B13,'JR-Team Roping-Heeler'!$B$5:$N$24,5,FALSE)=" ",0,VLOOKUP($B13,'JR-Team Roping-Heeler'!$B$5:$N$24,5,FALSE)),0)+IFERROR(IF(VLOOKUP($B13,'JR B-Steer Riding'!$B$5:$AI$24,14,FALSE)=" ",0,VLOOKUP($B13,'JR B-Steer Riding'!$B$5:$AI$24,14,FALSE)),0)+IFERROR(IF(VLOOKUP($B13,'JR B-Goats'!$B$5:$AI$24,14,FALSE)=" ",0,VLOOKUP($B13,'JR B-Goats'!$B$5:$AI$24,14,FALSE)),0)+IFERROR(IF(VLOOKUP($B13,'JR B-Calf Tying'!$B$5:$AI$24,14,FALSE)=" ",0,VLOOKUP($B13,'JR B-Calf Tying'!$B$5:$AI$24,14,FALSE)),0)+IFERROR(IF(VLOOKUP($B13,'JR B-Breakaway'!$B$5:$AI$24,14,FALSE)=" ",0,VLOOKUP($B13,'JR B-Breakaway'!$B$5:$AI$24,14,FALSE)),0)</f>
        <v>18</v>
      </c>
      <c r="J13" s="95">
        <f t="shared" si="4"/>
        <v>18</v>
      </c>
      <c r="K13" s="91">
        <f t="shared" si="5"/>
        <v>8</v>
      </c>
      <c r="L13" s="121">
        <f>IFERROR(IF(VLOOKUP($B13,'JR-Team Roping-Header'!$B$5:$N$24,6,FALSE)=" ",0,VLOOKUP($B13,'JR-Team Roping-Header'!$B$5:$N$24,6,FALSE)),0)+IFERROR(IF(VLOOKUP($B13,'JR-Team Roping-Heeler'!$B$5:$N$24,6,FALSE)=" ",0,VLOOKUP($B13,'JR-Team Roping-Heeler'!$B$5:$N$24,6,FALSE)),0)+IFERROR(IF(VLOOKUP($B13,'JR B-Steer Riding'!$B$5:$AI$24,18,FALSE)=" ",0,VLOOKUP($B13,'JR B-Steer Riding'!$B$5:$AI$24,18,FALSE)),0)+IFERROR(IF(VLOOKUP($B13,'JR B-Goats'!$B$5:$AI$24,18,FALSE)=" ",0,VLOOKUP($B13,'JR B-Goats'!$B$5:$AI$24,18,FALSE)),0)+IFERROR(IF(VLOOKUP($B13,'JR B-Calf Tying'!$B$5:$AI$24,18,FALSE)=" ",0,VLOOKUP($B13,'JR B-Calf Tying'!$B$5:$AI$24,18,FALSE)),0)+IFERROR(IF(VLOOKUP($B13,'JR B-Breakaway'!$B$5:$AI$24,18,FALSE)=" ",0,VLOOKUP($B13,'JR B-Breakaway'!$B$5:$AI$24,18,FALSE)),0)</f>
        <v>9</v>
      </c>
      <c r="M13" s="95">
        <f t="shared" si="6"/>
        <v>9</v>
      </c>
      <c r="N13" s="91">
        <f t="shared" si="7"/>
        <v>10</v>
      </c>
      <c r="O13" s="121">
        <f>IFERROR(IF(VLOOKUP($B13,'JR-Team Roping-Header'!$B$5:$N$24,7,FALSE)=" ",0,VLOOKUP($B13,'JR-Team Roping-Header'!$B$5:$N$24,7,FALSE)),0)+IFERROR(IF(VLOOKUP($B13,'JR-Team Roping-Heeler'!$B$5:$N$24,7,FALSE)=" ",0,VLOOKUP($B13,'JR-Team Roping-Heeler'!$B$5:$N$24,7,FALSE)),0)+IFERROR(IF(VLOOKUP($B13,'JR B-Steer Riding'!$B$5:$AI$24,22,FALSE)=" ",0,VLOOKUP($B13,'JR B-Steer Riding'!$B$5:$AI$24,22,FALSE)),0)+IFERROR(IF(VLOOKUP($B13,'JR B-Goats'!$B$5:$AI$24,22,FALSE)=" ",0,VLOOKUP($B13,'JR B-Goats'!$B$5:$AI$24,22,FALSE)),0)+IFERROR(IF(VLOOKUP($B13,'JR B-Calf Tying'!$B$5:$AI$24,22,FALSE)=" ",0,VLOOKUP($B13,'JR B-Calf Tying'!$B$5:$AI$24,22,FALSE)),0)+IFERROR(IF(VLOOKUP($B13,'JR B-Breakaway'!$B$5:$AI$24,22,FALSE)=" ",0,VLOOKUP($B13,'JR B-Breakaway'!$B$5:$AI$24,22,FALSE)),0)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IFERROR(IF(VLOOKUP($B13,'JR-Team Roping-Header'!$B$5:$N$24,8,FALSE)=" ",0,VLOOKUP($B13,'JR-Team Roping-Header'!$B$5:$N$24,8,FALSE)),0)+IFERROR(IF(VLOOKUP($B13,'JR-Team Roping-Heeler'!$B$5:$N$24,8,FALSE)=" ",0,VLOOKUP($B13,'JR-Team Roping-Heeler'!$B$5:$N$24,8,FALSE)),0)+IFERROR(IF(VLOOKUP($B13,'JR B-Steer Riding'!$B$5:$AI$24,26,FALSE)=" ",0,VLOOKUP($B13,'JR B-Steer Riding'!$B$5:$AI$24,26,FALSE)),0)+IFERROR(IF(VLOOKUP($B13,'JR B-Goats'!$B$5:$AI$24,26,FALSE)=" ",0,VLOOKUP($B13,'JR B-Goats'!$B$5:$AI$24,26,FALSE)),0)+IFERROR(IF(VLOOKUP($B13,'JR B-Calf Tying'!$B$5:$AI$24,26,FALSE)=" ",0,VLOOKUP($B13,'JR B-Calf Tying'!$B$5:$AI$24,26,FALSE)),0)+IFERROR(IF(VLOOKUP($B13,'JR B-Breakaway'!$B$5:$AI$24,26,FALSE)=" ",0,VLOOKUP($B13,'JR B-Breakaway'!$B$5:$AI$24,26,FALSE)),0)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IFERROR(IF(VLOOKUP($B13,'JR-Team Roping-Header'!$B$5:$N$24,9,FALSE)=" ",0,VLOOKUP($B13,'JR-Team Roping-Header'!$B$5:$N$24,9,FALSE)),0)+IFERROR(IF(VLOOKUP($B13,'JR-Team Roping-Heeler'!$B$5:$N$24,9,FALSE)=" ",0,VLOOKUP($B13,'JR-Team Roping-Heeler'!$B$5:$N$24,9,FALSE)),0)+IFERROR(IF(VLOOKUP($B13,'JR B-Steer Riding'!$B$5:$AI$24,30,FALSE)=" ",0,VLOOKUP($B13,'JR B-Steer Riding'!$B$5:$AI$24,30,FALSE)),0)+IFERROR(IF(VLOOKUP($B13,'JR B-Goats'!$B$5:$AI$24,30,FALSE)=" ",0,VLOOKUP($B13,'JR B-Goats'!$B$5:$AI$24,30,FALSE)),0)+IFERROR(IF(VLOOKUP($B13,'JR B-Calf Tying'!$B$5:$AI$24,30,FALSE)=" ",0,VLOOKUP($B13,'JR B-Calf Tying'!$B$5:$AI$24,30,FALSE)),0)+IFERROR(IF(VLOOKUP($B13,'JR B-Breakaway'!$B$5:$AI$24,30,FALSE)=" ",0,VLOOKUP($B13,'JR B-Breakaway'!$B$5:$AI$24,30,FALSE)),0)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IFERROR(IF(VLOOKUP($B13,'JR-Team Roping-Header'!$B$5:$N$24,10,FALSE)=" ",0,VLOOKUP($B13,'JR-Team Roping-Header'!$B$5:$N$24,10,FALSE)),0)+IFERROR(IF(VLOOKUP($B13,'JR-Team Roping-Heeler'!$B$5:$N$24,10,FALSE)=" ",0,VLOOKUP($B13,'JR-Team Roping-Heeler'!$B$5:$N$24,10,FALSE)),0)+IFERROR(IF(VLOOKUP($B13,'JR B-Steer Riding'!$B$5:$AI$24,34,FALSE)=" ",0,VLOOKUP($B13,'JR B-Steer Riding'!$B$5:$AI$24,34,FALSE)),0)+IFERROR(IF(VLOOKUP($B13,'JR B-Goats'!$B$5:$AI$24,34,FALSE)=" ",0,VLOOKUP($B13,'JR B-Goats'!$B$5:$AI$24,34,FALSE)),0)+IFERROR(IF(VLOOKUP($B13,'JR B-Calf Tying'!$B$5:$AI$24,34,FALSE)=" ",0,VLOOKUP($B13,'JR B-Calf Tying'!$B$5:$AI$24,34,FALSE)),0)+IFERROR(IF(VLOOKUP($B13,'JR B-Breakaway'!$B$5:$AI$24,34,FALSE)=" ",0,VLOOKUP($B13,'JR B-Breakaway'!$B$5:$AI$24,34,FALSE)),0)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27</v>
      </c>
      <c r="AB13" s="95">
        <f t="shared" si="16"/>
        <v>27</v>
      </c>
      <c r="AC13" s="91">
        <f t="shared" si="17"/>
        <v>9</v>
      </c>
    </row>
    <row r="14" spans="2:29" x14ac:dyDescent="0.3">
      <c r="B14" s="141" t="s">
        <v>225</v>
      </c>
      <c r="C14" s="120">
        <f>IFERROR(IF(VLOOKUP($B14,'JR-Team Roping-Header'!$B$5:$N$24,3,FALSE)=" ",0,VLOOKUP($B14,'JR-Team Roping-Header'!$B$5:$N$24,3,FALSE)),0)+IFERROR(IF(VLOOKUP($B14,'JR-Team Roping-Heeler'!$B$5:$N$24,3,FALSE)=" ",0,VLOOKUP($B14,'JR-Team Roping-Heeler'!$B$5:$N$24,3,FALSE)),0)+IFERROR(IF(VLOOKUP($B14,'JR B-Steer Riding'!$B$5:$AI$24,6,FALSE)=" ",0,VLOOKUP($B14,'JR B-Steer Riding'!$B$5:$AI$24,6,FALSE)),0)+IFERROR(IF(VLOOKUP($B14,'JR B-Goats'!$B$5:$AI$24,6,FALSE)=" ",0,VLOOKUP($B14,'JR B-Goats'!$B$5:$AI$24,6,FALSE)),0)+IFERROR(IF(VLOOKUP($B14,'JR B-Calf Tying'!$B$5:$AI$24,6,FALSE)=" ",0,VLOOKUP($B14,'JR B-Calf Tying'!$B$5:$AI$24,6,FALSE)),0)+IFERROR(IF(VLOOKUP($B14,'JR B-Breakaway'!$B$5:$AI$24,6,FALSE)=" ",0,VLOOKUP($B14,'JR B-Breakaway'!$B$5:$AI$24,6,FALSE)),0)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IFERROR(IF(VLOOKUP($B14,'JR-Team Roping-Header'!$B$5:$N$24,4,FALSE)=" ",0,VLOOKUP($B14,'JR-Team Roping-Header'!$B$5:$N$24,4,FALSE)),0)+IFERROR(IF(VLOOKUP($B14,'JR-Team Roping-Heeler'!$B$5:$N$24,4,FALSE)=" ",0,VLOOKUP($B14,'JR-Team Roping-Heeler'!$B$5:$N$24,4,FALSE)),0)+IFERROR(IF(VLOOKUP($B14,'JR B-Steer Riding'!$B$5:$AI$24,10,FALSE)=" ",0,VLOOKUP($B14,'JR B-Steer Riding'!$B$5:$AI$24,10,FALSE)),0)+IFERROR(IF(VLOOKUP($B14,'JR B-Goats'!$B$5:$AI$24,10,FALSE)=" ",0,VLOOKUP($B14,'JR B-Goats'!$B$5:$AI$24,10,FALSE)),0)+IFERROR(IF(VLOOKUP($B14,'JR B-Calf Tying'!$B$5:$AI$24,10,FALSE)=" ",0,VLOOKUP($B14,'JR B-Calf Tying'!$B$5:$AI$24,10,FALSE)),0)+IFERROR(IF(VLOOKUP($B14,'JR B-Breakaway'!$B$5:$AI$24,10,FALSE)=" ",0,VLOOKUP($B14,'JR B-Breakaway'!$B$5:$AI$24,10,FALSE)),0)</f>
        <v>12</v>
      </c>
      <c r="G14" s="95">
        <f t="shared" si="2"/>
        <v>12</v>
      </c>
      <c r="H14" s="122">
        <f t="shared" si="3"/>
        <v>7</v>
      </c>
      <c r="I14" s="121">
        <f>IFERROR(IF(VLOOKUP($B14,'JR-Team Roping-Header'!$B$5:$N$24,5,FALSE)=" ",0,VLOOKUP($B14,'JR-Team Roping-Header'!$B$5:$N$24,5,FALSE)),0)+IFERROR(IF(VLOOKUP($B14,'JR-Team Roping-Heeler'!$B$5:$N$24,5,FALSE)=" ",0,VLOOKUP($B14,'JR-Team Roping-Heeler'!$B$5:$N$24,5,FALSE)),0)+IFERROR(IF(VLOOKUP($B14,'JR B-Steer Riding'!$B$5:$AI$24,14,FALSE)=" ",0,VLOOKUP($B14,'JR B-Steer Riding'!$B$5:$AI$24,14,FALSE)),0)+IFERROR(IF(VLOOKUP($B14,'JR B-Goats'!$B$5:$AI$24,14,FALSE)=" ",0,VLOOKUP($B14,'JR B-Goats'!$B$5:$AI$24,14,FALSE)),0)+IFERROR(IF(VLOOKUP($B14,'JR B-Calf Tying'!$B$5:$AI$24,14,FALSE)=" ",0,VLOOKUP($B14,'JR B-Calf Tying'!$B$5:$AI$24,14,FALSE)),0)+IFERROR(IF(VLOOKUP($B14,'JR B-Breakaway'!$B$5:$AI$24,14,FALSE)=" ",0,VLOOKUP($B14,'JR B-Breakaway'!$B$5:$AI$24,14,FALSE)),0)</f>
        <v>0</v>
      </c>
      <c r="J14" s="95" t="str">
        <f t="shared" si="4"/>
        <v xml:space="preserve"> </v>
      </c>
      <c r="K14" s="122" t="str">
        <f t="shared" si="5"/>
        <v xml:space="preserve"> </v>
      </c>
      <c r="L14" s="121">
        <f>IFERROR(IF(VLOOKUP($B14,'JR-Team Roping-Header'!$B$5:$N$24,6,FALSE)=" ",0,VLOOKUP($B14,'JR-Team Roping-Header'!$B$5:$N$24,6,FALSE)),0)+IFERROR(IF(VLOOKUP($B14,'JR-Team Roping-Heeler'!$B$5:$N$24,6,FALSE)=" ",0,VLOOKUP($B14,'JR-Team Roping-Heeler'!$B$5:$N$24,6,FALSE)),0)+IFERROR(IF(VLOOKUP($B14,'JR B-Steer Riding'!$B$5:$AI$24,18,FALSE)=" ",0,VLOOKUP($B14,'JR B-Steer Riding'!$B$5:$AI$24,18,FALSE)),0)+IFERROR(IF(VLOOKUP($B14,'JR B-Goats'!$B$5:$AI$24,18,FALSE)=" ",0,VLOOKUP($B14,'JR B-Goats'!$B$5:$AI$24,18,FALSE)),0)+IFERROR(IF(VLOOKUP($B14,'JR B-Calf Tying'!$B$5:$AI$24,18,FALSE)=" ",0,VLOOKUP($B14,'JR B-Calf Tying'!$B$5:$AI$24,18,FALSE)),0)+IFERROR(IF(VLOOKUP($B14,'JR B-Breakaway'!$B$5:$AI$24,18,FALSE)=" ",0,VLOOKUP($B14,'JR B-Breakaway'!$B$5:$AI$24,18,FALSE)),0)</f>
        <v>0</v>
      </c>
      <c r="M14" s="95" t="str">
        <f t="shared" si="6"/>
        <v xml:space="preserve"> </v>
      </c>
      <c r="N14" s="122" t="str">
        <f t="shared" si="7"/>
        <v xml:space="preserve"> </v>
      </c>
      <c r="O14" s="121">
        <f>IFERROR(IF(VLOOKUP($B14,'JR-Team Roping-Header'!$B$5:$N$24,7,FALSE)=" ",0,VLOOKUP($B14,'JR-Team Roping-Header'!$B$5:$N$24,7,FALSE)),0)+IFERROR(IF(VLOOKUP($B14,'JR-Team Roping-Heeler'!$B$5:$N$24,7,FALSE)=" ",0,VLOOKUP($B14,'JR-Team Roping-Heeler'!$B$5:$N$24,7,FALSE)),0)+IFERROR(IF(VLOOKUP($B14,'JR B-Steer Riding'!$B$5:$AI$24,22,FALSE)=" ",0,VLOOKUP($B14,'JR B-Steer Riding'!$B$5:$AI$24,22,FALSE)),0)+IFERROR(IF(VLOOKUP($B14,'JR B-Goats'!$B$5:$AI$24,22,FALSE)=" ",0,VLOOKUP($B14,'JR B-Goats'!$B$5:$AI$24,22,FALSE)),0)+IFERROR(IF(VLOOKUP($B14,'JR B-Calf Tying'!$B$5:$AI$24,22,FALSE)=" ",0,VLOOKUP($B14,'JR B-Calf Tying'!$B$5:$AI$24,22,FALSE)),0)+IFERROR(IF(VLOOKUP($B14,'JR B-Breakaway'!$B$5:$AI$24,22,FALSE)=" ",0,VLOOKUP($B14,'JR B-Breakaway'!$B$5:$AI$24,22,FALSE)),0)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IFERROR(IF(VLOOKUP($B14,'JR-Team Roping-Header'!$B$5:$N$24,8,FALSE)=" ",0,VLOOKUP($B14,'JR-Team Roping-Header'!$B$5:$N$24,8,FALSE)),0)+IFERROR(IF(VLOOKUP($B14,'JR-Team Roping-Heeler'!$B$5:$N$24,8,FALSE)=" ",0,VLOOKUP($B14,'JR-Team Roping-Heeler'!$B$5:$N$24,8,FALSE)),0)+IFERROR(IF(VLOOKUP($B14,'JR B-Steer Riding'!$B$5:$AI$24,26,FALSE)=" ",0,VLOOKUP($B14,'JR B-Steer Riding'!$B$5:$AI$24,26,FALSE)),0)+IFERROR(IF(VLOOKUP($B14,'JR B-Goats'!$B$5:$AI$24,26,FALSE)=" ",0,VLOOKUP($B14,'JR B-Goats'!$B$5:$AI$24,26,FALSE)),0)+IFERROR(IF(VLOOKUP($B14,'JR B-Calf Tying'!$B$5:$AI$24,26,FALSE)=" ",0,VLOOKUP($B14,'JR B-Calf Tying'!$B$5:$AI$24,26,FALSE)),0)+IFERROR(IF(VLOOKUP($B14,'JR B-Breakaway'!$B$5:$AI$24,26,FALSE)=" ",0,VLOOKUP($B14,'JR B-Breakaway'!$B$5:$AI$24,26,FALSE)),0)</f>
        <v>0</v>
      </c>
      <c r="S14" s="95" t="str">
        <f t="shared" si="10"/>
        <v xml:space="preserve"> </v>
      </c>
      <c r="T14" s="122" t="str">
        <f t="shared" si="11"/>
        <v xml:space="preserve"> </v>
      </c>
      <c r="U14" s="121">
        <f>IFERROR(IF(VLOOKUP($B14,'JR-Team Roping-Header'!$B$5:$N$24,9,FALSE)=" ",0,VLOOKUP($B14,'JR-Team Roping-Header'!$B$5:$N$24,9,FALSE)),0)+IFERROR(IF(VLOOKUP($B14,'JR-Team Roping-Heeler'!$B$5:$N$24,9,FALSE)=" ",0,VLOOKUP($B14,'JR-Team Roping-Heeler'!$B$5:$N$24,9,FALSE)),0)+IFERROR(IF(VLOOKUP($B14,'JR B-Steer Riding'!$B$5:$AI$24,30,FALSE)=" ",0,VLOOKUP($B14,'JR B-Steer Riding'!$B$5:$AI$24,30,FALSE)),0)+IFERROR(IF(VLOOKUP($B14,'JR B-Goats'!$B$5:$AI$24,30,FALSE)=" ",0,VLOOKUP($B14,'JR B-Goats'!$B$5:$AI$24,30,FALSE)),0)+IFERROR(IF(VLOOKUP($B14,'JR B-Calf Tying'!$B$5:$AI$24,30,FALSE)=" ",0,VLOOKUP($B14,'JR B-Calf Tying'!$B$5:$AI$24,30,FALSE)),0)+IFERROR(IF(VLOOKUP($B14,'JR B-Breakaway'!$B$5:$AI$24,30,FALSE)=" ",0,VLOOKUP($B14,'JR B-Breakaway'!$B$5:$AI$24,30,FALSE)),0)</f>
        <v>0</v>
      </c>
      <c r="V14" s="95" t="str">
        <f t="shared" si="12"/>
        <v xml:space="preserve"> </v>
      </c>
      <c r="W14" s="122" t="str">
        <f t="shared" si="13"/>
        <v xml:space="preserve"> </v>
      </c>
      <c r="X14" s="121">
        <f>IFERROR(IF(VLOOKUP($B14,'JR-Team Roping-Header'!$B$5:$N$24,10,FALSE)=" ",0,VLOOKUP($B14,'JR-Team Roping-Header'!$B$5:$N$24,10,FALSE)),0)+IFERROR(IF(VLOOKUP($B14,'JR-Team Roping-Heeler'!$B$5:$N$24,10,FALSE)=" ",0,VLOOKUP($B14,'JR-Team Roping-Heeler'!$B$5:$N$24,10,FALSE)),0)+IFERROR(IF(VLOOKUP($B14,'JR B-Steer Riding'!$B$5:$AI$24,34,FALSE)=" ",0,VLOOKUP($B14,'JR B-Steer Riding'!$B$5:$AI$24,34,FALSE)),0)+IFERROR(IF(VLOOKUP($B14,'JR B-Goats'!$B$5:$AI$24,34,FALSE)=" ",0,VLOOKUP($B14,'JR B-Goats'!$B$5:$AI$24,34,FALSE)),0)+IFERROR(IF(VLOOKUP($B14,'JR B-Calf Tying'!$B$5:$AI$24,34,FALSE)=" ",0,VLOOKUP($B14,'JR B-Calf Tying'!$B$5:$AI$24,34,FALSE)),0)+IFERROR(IF(VLOOKUP($B14,'JR B-Breakaway'!$B$5:$AI$24,34,FALSE)=" ",0,VLOOKUP($B14,'JR B-Breakaway'!$B$5:$AI$24,34,FALSE)),0)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</v>
      </c>
      <c r="AB14" s="95">
        <f t="shared" si="16"/>
        <v>12</v>
      </c>
      <c r="AC14" s="122">
        <f t="shared" si="17"/>
        <v>10</v>
      </c>
    </row>
    <row r="15" spans="2:29" x14ac:dyDescent="0.3">
      <c r="B15" s="141" t="s">
        <v>128</v>
      </c>
      <c r="C15" s="120">
        <f>IFERROR(IF(VLOOKUP($B15,'JR-Team Roping-Header'!$B$5:$N$24,3,FALSE)=" ",0,VLOOKUP($B15,'JR-Team Roping-Header'!$B$5:$N$24,3,FALSE)),0)+IFERROR(IF(VLOOKUP($B15,'JR-Team Roping-Heeler'!$B$5:$N$24,3,FALSE)=" ",0,VLOOKUP($B15,'JR-Team Roping-Heeler'!$B$5:$N$24,3,FALSE)),0)+IFERROR(IF(VLOOKUP($B15,'JR B-Steer Riding'!$B$5:$AI$24,6,FALSE)=" ",0,VLOOKUP($B15,'JR B-Steer Riding'!$B$5:$AI$24,6,FALSE)),0)+IFERROR(IF(VLOOKUP($B15,'JR B-Goats'!$B$5:$AI$24,6,FALSE)=" ",0,VLOOKUP($B15,'JR B-Goats'!$B$5:$AI$24,6,FALSE)),0)+IFERROR(IF(VLOOKUP($B15,'JR B-Calf Tying'!$B$5:$AI$24,6,FALSE)=" ",0,VLOOKUP($B15,'JR B-Calf Tying'!$B$5:$AI$24,6,FALSE)),0)+IFERROR(IF(VLOOKUP($B15,'JR B-Breakaway'!$B$5:$AI$24,6,FALSE)=" ",0,VLOOKUP($B15,'JR B-Breakaway'!$B$5:$AI$24,6,FALSE)),0)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IFERROR(IF(VLOOKUP($B15,'JR-Team Roping-Header'!$B$5:$N$24,4,FALSE)=" ",0,VLOOKUP($B15,'JR-Team Roping-Header'!$B$5:$N$24,4,FALSE)),0)+IFERROR(IF(VLOOKUP($B15,'JR-Team Roping-Heeler'!$B$5:$N$24,4,FALSE)=" ",0,VLOOKUP($B15,'JR-Team Roping-Heeler'!$B$5:$N$24,4,FALSE)),0)+IFERROR(IF(VLOOKUP($B15,'JR B-Steer Riding'!$B$5:$AI$24,10,FALSE)=" ",0,VLOOKUP($B15,'JR B-Steer Riding'!$B$5:$AI$24,10,FALSE)),0)+IFERROR(IF(VLOOKUP($B15,'JR B-Goats'!$B$5:$AI$24,10,FALSE)=" ",0,VLOOKUP($B15,'JR B-Goats'!$B$5:$AI$24,10,FALSE)),0)+IFERROR(IF(VLOOKUP($B15,'JR B-Calf Tying'!$B$5:$AI$24,10,FALSE)=" ",0,VLOOKUP($B15,'JR B-Calf Tying'!$B$5:$AI$24,10,FALSE)),0)+IFERROR(IF(VLOOKUP($B15,'JR B-Breakaway'!$B$5:$AI$24,10,FALSE)=" ",0,VLOOKUP($B15,'JR B-Breakaway'!$B$5:$AI$24,10,FALSE)),0)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IFERROR(IF(VLOOKUP($B15,'JR-Team Roping-Header'!$B$5:$N$24,5,FALSE)=" ",0,VLOOKUP($B15,'JR-Team Roping-Header'!$B$5:$N$24,5,FALSE)),0)+IFERROR(IF(VLOOKUP($B15,'JR-Team Roping-Heeler'!$B$5:$N$24,5,FALSE)=" ",0,VLOOKUP($B15,'JR-Team Roping-Heeler'!$B$5:$N$24,5,FALSE)),0)+IFERROR(IF(VLOOKUP($B15,'JR B-Steer Riding'!$B$5:$AI$24,14,FALSE)=" ",0,VLOOKUP($B15,'JR B-Steer Riding'!$B$5:$AI$24,14,FALSE)),0)+IFERROR(IF(VLOOKUP($B15,'JR B-Goats'!$B$5:$AI$24,14,FALSE)=" ",0,VLOOKUP($B15,'JR B-Goats'!$B$5:$AI$24,14,FALSE)),0)+IFERROR(IF(VLOOKUP($B15,'JR B-Calf Tying'!$B$5:$AI$24,14,FALSE)=" ",0,VLOOKUP($B15,'JR B-Calf Tying'!$B$5:$AI$24,14,FALSE)),0)+IFERROR(IF(VLOOKUP($B15,'JR B-Breakaway'!$B$5:$AI$24,14,FALSE)=" ",0,VLOOKUP($B15,'JR B-Breakaway'!$B$5:$AI$24,14,FALSE)),0)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IFERROR(IF(VLOOKUP($B15,'JR-Team Roping-Header'!$B$5:$N$24,6,FALSE)=" ",0,VLOOKUP($B15,'JR-Team Roping-Header'!$B$5:$N$24,6,FALSE)),0)+IFERROR(IF(VLOOKUP($B15,'JR-Team Roping-Heeler'!$B$5:$N$24,6,FALSE)=" ",0,VLOOKUP($B15,'JR-Team Roping-Heeler'!$B$5:$N$24,6,FALSE)),0)+IFERROR(IF(VLOOKUP($B15,'JR B-Steer Riding'!$B$5:$AI$24,18,FALSE)=" ",0,VLOOKUP($B15,'JR B-Steer Riding'!$B$5:$AI$24,18,FALSE)),0)+IFERROR(IF(VLOOKUP($B15,'JR B-Goats'!$B$5:$AI$24,18,FALSE)=" ",0,VLOOKUP($B15,'JR B-Goats'!$B$5:$AI$24,18,FALSE)),0)+IFERROR(IF(VLOOKUP($B15,'JR B-Calf Tying'!$B$5:$AI$24,18,FALSE)=" ",0,VLOOKUP($B15,'JR B-Calf Tying'!$B$5:$AI$24,18,FALSE)),0)+IFERROR(IF(VLOOKUP($B15,'JR B-Breakaway'!$B$5:$AI$24,18,FALSE)=" ",0,VLOOKUP($B15,'JR B-Breakaway'!$B$5:$AI$24,18,FALSE)),0)</f>
        <v>12</v>
      </c>
      <c r="M15" s="95">
        <f t="shared" si="6"/>
        <v>12</v>
      </c>
      <c r="N15" s="91">
        <f t="shared" si="7"/>
        <v>9</v>
      </c>
      <c r="O15" s="121">
        <f>IFERROR(IF(VLOOKUP($B15,'JR-Team Roping-Header'!$B$5:$N$24,7,FALSE)=" ",0,VLOOKUP($B15,'JR-Team Roping-Header'!$B$5:$N$24,7,FALSE)),0)+IFERROR(IF(VLOOKUP($B15,'JR-Team Roping-Heeler'!$B$5:$N$24,7,FALSE)=" ",0,VLOOKUP($B15,'JR-Team Roping-Heeler'!$B$5:$N$24,7,FALSE)),0)+IFERROR(IF(VLOOKUP($B15,'JR B-Steer Riding'!$B$5:$AI$24,22,FALSE)=" ",0,VLOOKUP($B15,'JR B-Steer Riding'!$B$5:$AI$24,22,FALSE)),0)+IFERROR(IF(VLOOKUP($B15,'JR B-Goats'!$B$5:$AI$24,22,FALSE)=" ",0,VLOOKUP($B15,'JR B-Goats'!$B$5:$AI$24,22,FALSE)),0)+IFERROR(IF(VLOOKUP($B15,'JR B-Calf Tying'!$B$5:$AI$24,22,FALSE)=" ",0,VLOOKUP($B15,'JR B-Calf Tying'!$B$5:$AI$24,22,FALSE)),0)+IFERROR(IF(VLOOKUP($B15,'JR B-Breakaway'!$B$5:$AI$24,22,FALSE)=" ",0,VLOOKUP($B15,'JR B-Breakaway'!$B$5:$AI$24,22,FALSE)),0)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IFERROR(IF(VLOOKUP($B15,'JR-Team Roping-Header'!$B$5:$N$24,8,FALSE)=" ",0,VLOOKUP($B15,'JR-Team Roping-Header'!$B$5:$N$24,8,FALSE)),0)+IFERROR(IF(VLOOKUP($B15,'JR-Team Roping-Heeler'!$B$5:$N$24,8,FALSE)=" ",0,VLOOKUP($B15,'JR-Team Roping-Heeler'!$B$5:$N$24,8,FALSE)),0)+IFERROR(IF(VLOOKUP($B15,'JR B-Steer Riding'!$B$5:$AI$24,26,FALSE)=" ",0,VLOOKUP($B15,'JR B-Steer Riding'!$B$5:$AI$24,26,FALSE)),0)+IFERROR(IF(VLOOKUP($B15,'JR B-Goats'!$B$5:$AI$24,26,FALSE)=" ",0,VLOOKUP($B15,'JR B-Goats'!$B$5:$AI$24,26,FALSE)),0)+IFERROR(IF(VLOOKUP($B15,'JR B-Calf Tying'!$B$5:$AI$24,26,FALSE)=" ",0,VLOOKUP($B15,'JR B-Calf Tying'!$B$5:$AI$24,26,FALSE)),0)+IFERROR(IF(VLOOKUP($B15,'JR B-Breakaway'!$B$5:$AI$24,26,FALSE)=" ",0,VLOOKUP($B15,'JR B-Breakaway'!$B$5:$AI$24,26,FALSE)),0)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IFERROR(IF(VLOOKUP($B15,'JR-Team Roping-Header'!$B$5:$N$24,9,FALSE)=" ",0,VLOOKUP($B15,'JR-Team Roping-Header'!$B$5:$N$24,9,FALSE)),0)+IFERROR(IF(VLOOKUP($B15,'JR-Team Roping-Heeler'!$B$5:$N$24,9,FALSE)=" ",0,VLOOKUP($B15,'JR-Team Roping-Heeler'!$B$5:$N$24,9,FALSE)),0)+IFERROR(IF(VLOOKUP($B15,'JR B-Steer Riding'!$B$5:$AI$24,30,FALSE)=" ",0,VLOOKUP($B15,'JR B-Steer Riding'!$B$5:$AI$24,30,FALSE)),0)+IFERROR(IF(VLOOKUP($B15,'JR B-Goats'!$B$5:$AI$24,30,FALSE)=" ",0,VLOOKUP($B15,'JR B-Goats'!$B$5:$AI$24,30,FALSE)),0)+IFERROR(IF(VLOOKUP($B15,'JR B-Calf Tying'!$B$5:$AI$24,30,FALSE)=" ",0,VLOOKUP($B15,'JR B-Calf Tying'!$B$5:$AI$24,30,FALSE)),0)+IFERROR(IF(VLOOKUP($B15,'JR B-Breakaway'!$B$5:$AI$24,30,FALSE)=" ",0,VLOOKUP($B15,'JR B-Breakaway'!$B$5:$AI$24,30,FALSE)),0)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IFERROR(IF(VLOOKUP($B15,'JR-Team Roping-Header'!$B$5:$N$24,10,FALSE)=" ",0,VLOOKUP($B15,'JR-Team Roping-Header'!$B$5:$N$24,10,FALSE)),0)+IFERROR(IF(VLOOKUP($B15,'JR-Team Roping-Heeler'!$B$5:$N$24,10,FALSE)=" ",0,VLOOKUP($B15,'JR-Team Roping-Heeler'!$B$5:$N$24,10,FALSE)),0)+IFERROR(IF(VLOOKUP($B15,'JR B-Steer Riding'!$B$5:$AI$24,34,FALSE)=" ",0,VLOOKUP($B15,'JR B-Steer Riding'!$B$5:$AI$24,34,FALSE)),0)+IFERROR(IF(VLOOKUP($B15,'JR B-Goats'!$B$5:$AI$24,34,FALSE)=" ",0,VLOOKUP($B15,'JR B-Goats'!$B$5:$AI$24,34,FALSE)),0)+IFERROR(IF(VLOOKUP($B15,'JR B-Calf Tying'!$B$5:$AI$24,34,FALSE)=" ",0,VLOOKUP($B15,'JR B-Calf Tying'!$B$5:$AI$24,34,FALSE)),0)+IFERROR(IF(VLOOKUP($B15,'JR B-Breakaway'!$B$5:$AI$24,34,FALSE)=" ",0,VLOOKUP($B15,'JR B-Breakaway'!$B$5:$AI$24,34,FALSE)),0)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</v>
      </c>
      <c r="AB15" s="95">
        <f t="shared" si="16"/>
        <v>12</v>
      </c>
      <c r="AC15" s="91">
        <f t="shared" si="17"/>
        <v>10</v>
      </c>
    </row>
    <row r="16" spans="2:29" x14ac:dyDescent="0.3">
      <c r="B16" s="141" t="s">
        <v>144</v>
      </c>
      <c r="C16" s="120">
        <f>IFERROR(IF(VLOOKUP($B16,'JR-Team Roping-Header'!$B$5:$N$24,3,FALSE)=" ",0,VLOOKUP($B16,'JR-Team Roping-Header'!$B$5:$N$24,3,FALSE)),0)+IFERROR(IF(VLOOKUP($B16,'JR-Team Roping-Heeler'!$B$5:$N$24,3,FALSE)=" ",0,VLOOKUP($B16,'JR-Team Roping-Heeler'!$B$5:$N$24,3,FALSE)),0)+IFERROR(IF(VLOOKUP($B16,'JR B-Steer Riding'!$B$5:$AI$24,6,FALSE)=" ",0,VLOOKUP($B16,'JR B-Steer Riding'!$B$5:$AI$24,6,FALSE)),0)+IFERROR(IF(VLOOKUP($B16,'JR B-Goats'!$B$5:$AI$24,6,FALSE)=" ",0,VLOOKUP($B16,'JR B-Goats'!$B$5:$AI$24,6,FALSE)),0)+IFERROR(IF(VLOOKUP($B16,'JR B-Calf Tying'!$B$5:$AI$24,6,FALSE)=" ",0,VLOOKUP($B16,'JR B-Calf Tying'!$B$5:$AI$24,6,FALSE)),0)+IFERROR(IF(VLOOKUP($B16,'JR B-Breakaway'!$B$5:$AI$24,6,FALSE)=" ",0,VLOOKUP($B16,'JR B-Breakaway'!$B$5:$AI$24,6,FALSE)),0)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IFERROR(IF(VLOOKUP($B16,'JR-Team Roping-Header'!$B$5:$N$24,4,FALSE)=" ",0,VLOOKUP($B16,'JR-Team Roping-Header'!$B$5:$N$24,4,FALSE)),0)+IFERROR(IF(VLOOKUP($B16,'JR-Team Roping-Heeler'!$B$5:$N$24,4,FALSE)=" ",0,VLOOKUP($B16,'JR-Team Roping-Heeler'!$B$5:$N$24,4,FALSE)),0)+IFERROR(IF(VLOOKUP($B16,'JR B-Steer Riding'!$B$5:$AI$24,10,FALSE)=" ",0,VLOOKUP($B16,'JR B-Steer Riding'!$B$5:$AI$24,10,FALSE)),0)+IFERROR(IF(VLOOKUP($B16,'JR B-Goats'!$B$5:$AI$24,10,FALSE)=" ",0,VLOOKUP($B16,'JR B-Goats'!$B$5:$AI$24,10,FALSE)),0)+IFERROR(IF(VLOOKUP($B16,'JR B-Calf Tying'!$B$5:$AI$24,10,FALSE)=" ",0,VLOOKUP($B16,'JR B-Calf Tying'!$B$5:$AI$24,10,FALSE)),0)+IFERROR(IF(VLOOKUP($B16,'JR B-Breakaway'!$B$5:$AI$24,10,FALSE)=" ",0,VLOOKUP($B16,'JR B-Breakaway'!$B$5:$AI$24,10,FALSE)),0)</f>
        <v>3</v>
      </c>
      <c r="G16" s="95">
        <f t="shared" si="2"/>
        <v>3</v>
      </c>
      <c r="H16" s="91">
        <f t="shared" si="3"/>
        <v>9</v>
      </c>
      <c r="I16" s="121">
        <f>IFERROR(IF(VLOOKUP($B16,'JR-Team Roping-Header'!$B$5:$N$24,5,FALSE)=" ",0,VLOOKUP($B16,'JR-Team Roping-Header'!$B$5:$N$24,5,FALSE)),0)+IFERROR(IF(VLOOKUP($B16,'JR-Team Roping-Heeler'!$B$5:$N$24,5,FALSE)=" ",0,VLOOKUP($B16,'JR-Team Roping-Heeler'!$B$5:$N$24,5,FALSE)),0)+IFERROR(IF(VLOOKUP($B16,'JR B-Steer Riding'!$B$5:$AI$24,14,FALSE)=" ",0,VLOOKUP($B16,'JR B-Steer Riding'!$B$5:$AI$24,14,FALSE)),0)+IFERROR(IF(VLOOKUP($B16,'JR B-Goats'!$B$5:$AI$24,14,FALSE)=" ",0,VLOOKUP($B16,'JR B-Goats'!$B$5:$AI$24,14,FALSE)),0)+IFERROR(IF(VLOOKUP($B16,'JR B-Calf Tying'!$B$5:$AI$24,14,FALSE)=" ",0,VLOOKUP($B16,'JR B-Calf Tying'!$B$5:$AI$24,14,FALSE)),0)+IFERROR(IF(VLOOKUP($B16,'JR B-Breakaway'!$B$5:$AI$24,14,FALSE)=" ",0,VLOOKUP($B16,'JR B-Breakaway'!$B$5:$AI$24,14,FALSE)),0)</f>
        <v>6</v>
      </c>
      <c r="J16" s="95">
        <f t="shared" si="4"/>
        <v>6</v>
      </c>
      <c r="K16" s="91">
        <f t="shared" si="5"/>
        <v>9</v>
      </c>
      <c r="L16" s="121">
        <f>IFERROR(IF(VLOOKUP($B16,'JR-Team Roping-Header'!$B$5:$N$24,6,FALSE)=" ",0,VLOOKUP($B16,'JR-Team Roping-Header'!$B$5:$N$24,6,FALSE)),0)+IFERROR(IF(VLOOKUP($B16,'JR-Team Roping-Heeler'!$B$5:$N$24,6,FALSE)=" ",0,VLOOKUP($B16,'JR-Team Roping-Heeler'!$B$5:$N$24,6,FALSE)),0)+IFERROR(IF(VLOOKUP($B16,'JR B-Steer Riding'!$B$5:$AI$24,18,FALSE)=" ",0,VLOOKUP($B16,'JR B-Steer Riding'!$B$5:$AI$24,18,FALSE)),0)+IFERROR(IF(VLOOKUP($B16,'JR B-Goats'!$B$5:$AI$24,18,FALSE)=" ",0,VLOOKUP($B16,'JR B-Goats'!$B$5:$AI$24,18,FALSE)),0)+IFERROR(IF(VLOOKUP($B16,'JR B-Calf Tying'!$B$5:$AI$24,18,FALSE)=" ",0,VLOOKUP($B16,'JR B-Calf Tying'!$B$5:$AI$24,18,FALSE)),0)+IFERROR(IF(VLOOKUP($B16,'JR B-Breakaway'!$B$5:$AI$24,18,FALSE)=" ",0,VLOOKUP($B16,'JR B-Breakaway'!$B$5:$AI$24,18,FALSE)),0)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IFERROR(IF(VLOOKUP($B16,'JR-Team Roping-Header'!$B$5:$N$24,7,FALSE)=" ",0,VLOOKUP($B16,'JR-Team Roping-Header'!$B$5:$N$24,7,FALSE)),0)+IFERROR(IF(VLOOKUP($B16,'JR-Team Roping-Heeler'!$B$5:$N$24,7,FALSE)=" ",0,VLOOKUP($B16,'JR-Team Roping-Heeler'!$B$5:$N$24,7,FALSE)),0)+IFERROR(IF(VLOOKUP($B16,'JR B-Steer Riding'!$B$5:$AI$24,22,FALSE)=" ",0,VLOOKUP($B16,'JR B-Steer Riding'!$B$5:$AI$24,22,FALSE)),0)+IFERROR(IF(VLOOKUP($B16,'JR B-Goats'!$B$5:$AI$24,22,FALSE)=" ",0,VLOOKUP($B16,'JR B-Goats'!$B$5:$AI$24,22,FALSE)),0)+IFERROR(IF(VLOOKUP($B16,'JR B-Calf Tying'!$B$5:$AI$24,22,FALSE)=" ",0,VLOOKUP($B16,'JR B-Calf Tying'!$B$5:$AI$24,22,FALSE)),0)+IFERROR(IF(VLOOKUP($B16,'JR B-Breakaway'!$B$5:$AI$24,22,FALSE)=" ",0,VLOOKUP($B16,'JR B-Breakaway'!$B$5:$AI$24,22,FALSE)),0)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IFERROR(IF(VLOOKUP($B16,'JR-Team Roping-Header'!$B$5:$N$24,8,FALSE)=" ",0,VLOOKUP($B16,'JR-Team Roping-Header'!$B$5:$N$24,8,FALSE)),0)+IFERROR(IF(VLOOKUP($B16,'JR-Team Roping-Heeler'!$B$5:$N$24,8,FALSE)=" ",0,VLOOKUP($B16,'JR-Team Roping-Heeler'!$B$5:$N$24,8,FALSE)),0)+IFERROR(IF(VLOOKUP($B16,'JR B-Steer Riding'!$B$5:$AI$24,26,FALSE)=" ",0,VLOOKUP($B16,'JR B-Steer Riding'!$B$5:$AI$24,26,FALSE)),0)+IFERROR(IF(VLOOKUP($B16,'JR B-Goats'!$B$5:$AI$24,26,FALSE)=" ",0,VLOOKUP($B16,'JR B-Goats'!$B$5:$AI$24,26,FALSE)),0)+IFERROR(IF(VLOOKUP($B16,'JR B-Calf Tying'!$B$5:$AI$24,26,FALSE)=" ",0,VLOOKUP($B16,'JR B-Calf Tying'!$B$5:$AI$24,26,FALSE)),0)+IFERROR(IF(VLOOKUP($B16,'JR B-Breakaway'!$B$5:$AI$24,26,FALSE)=" ",0,VLOOKUP($B16,'JR B-Breakaway'!$B$5:$AI$24,26,FALSE)),0)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IFERROR(IF(VLOOKUP($B16,'JR-Team Roping-Header'!$B$5:$N$24,9,FALSE)=" ",0,VLOOKUP($B16,'JR-Team Roping-Header'!$B$5:$N$24,9,FALSE)),0)+IFERROR(IF(VLOOKUP($B16,'JR-Team Roping-Heeler'!$B$5:$N$24,9,FALSE)=" ",0,VLOOKUP($B16,'JR-Team Roping-Heeler'!$B$5:$N$24,9,FALSE)),0)+IFERROR(IF(VLOOKUP($B16,'JR B-Steer Riding'!$B$5:$AI$24,30,FALSE)=" ",0,VLOOKUP($B16,'JR B-Steer Riding'!$B$5:$AI$24,30,FALSE)),0)+IFERROR(IF(VLOOKUP($B16,'JR B-Goats'!$B$5:$AI$24,30,FALSE)=" ",0,VLOOKUP($B16,'JR B-Goats'!$B$5:$AI$24,30,FALSE)),0)+IFERROR(IF(VLOOKUP($B16,'JR B-Calf Tying'!$B$5:$AI$24,30,FALSE)=" ",0,VLOOKUP($B16,'JR B-Calf Tying'!$B$5:$AI$24,30,FALSE)),0)+IFERROR(IF(VLOOKUP($B16,'JR B-Breakaway'!$B$5:$AI$24,30,FALSE)=" ",0,VLOOKUP($B16,'JR B-Breakaway'!$B$5:$AI$24,30,FALSE)),0)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IFERROR(IF(VLOOKUP($B16,'JR-Team Roping-Header'!$B$5:$N$24,10,FALSE)=" ",0,VLOOKUP($B16,'JR-Team Roping-Header'!$B$5:$N$24,10,FALSE)),0)+IFERROR(IF(VLOOKUP($B16,'JR-Team Roping-Heeler'!$B$5:$N$24,10,FALSE)=" ",0,VLOOKUP($B16,'JR-Team Roping-Heeler'!$B$5:$N$24,10,FALSE)),0)+IFERROR(IF(VLOOKUP($B16,'JR B-Steer Riding'!$B$5:$AI$24,34,FALSE)=" ",0,VLOOKUP($B16,'JR B-Steer Riding'!$B$5:$AI$24,34,FALSE)),0)+IFERROR(IF(VLOOKUP($B16,'JR B-Goats'!$B$5:$AI$24,34,FALSE)=" ",0,VLOOKUP($B16,'JR B-Goats'!$B$5:$AI$24,34,FALSE)),0)+IFERROR(IF(VLOOKUP($B16,'JR B-Calf Tying'!$B$5:$AI$24,34,FALSE)=" ",0,VLOOKUP($B16,'JR B-Calf Tying'!$B$5:$AI$24,34,FALSE)),0)+IFERROR(IF(VLOOKUP($B16,'JR B-Breakaway'!$B$5:$AI$24,34,FALSE)=" ",0,VLOOKUP($B16,'JR B-Breakaway'!$B$5:$AI$24,34,FALSE)),0)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9</v>
      </c>
      <c r="AB16" s="95">
        <f t="shared" si="16"/>
        <v>9</v>
      </c>
      <c r="AC16" s="91">
        <f t="shared" si="17"/>
        <v>12</v>
      </c>
    </row>
    <row r="17" spans="2:29" x14ac:dyDescent="0.3">
      <c r="B17" s="141" t="s">
        <v>176</v>
      </c>
      <c r="C17" s="120">
        <f>IFERROR(IF(VLOOKUP($B17,'JR-Team Roping-Header'!$B$5:$N$24,3,FALSE)=" ",0,VLOOKUP($B17,'JR-Team Roping-Header'!$B$5:$N$24,3,FALSE)),0)+IFERROR(IF(VLOOKUP($B17,'JR-Team Roping-Heeler'!$B$5:$N$24,3,FALSE)=" ",0,VLOOKUP($B17,'JR-Team Roping-Heeler'!$B$5:$N$24,3,FALSE)),0)+IFERROR(IF(VLOOKUP($B17,'JR B-Steer Riding'!$B$5:$AI$24,6,FALSE)=" ",0,VLOOKUP($B17,'JR B-Steer Riding'!$B$5:$AI$24,6,FALSE)),0)+IFERROR(IF(VLOOKUP($B17,'JR B-Goats'!$B$5:$AI$24,6,FALSE)=" ",0,VLOOKUP($B17,'JR B-Goats'!$B$5:$AI$24,6,FALSE)),0)+IFERROR(IF(VLOOKUP($B17,'JR B-Calf Tying'!$B$5:$AI$24,6,FALSE)=" ",0,VLOOKUP($B17,'JR B-Calf Tying'!$B$5:$AI$24,6,FALSE)),0)+IFERROR(IF(VLOOKUP($B17,'JR B-Breakaway'!$B$5:$AI$24,6,FALSE)=" ",0,VLOOKUP($B17,'JR B-Breakaway'!$B$5:$AI$24,6,FALSE)),0)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IFERROR(IF(VLOOKUP($B17,'JR-Team Roping-Header'!$B$5:$N$24,4,FALSE)=" ",0,VLOOKUP($B17,'JR-Team Roping-Header'!$B$5:$N$24,4,FALSE)),0)+IFERROR(IF(VLOOKUP($B17,'JR-Team Roping-Heeler'!$B$5:$N$24,4,FALSE)=" ",0,VLOOKUP($B17,'JR-Team Roping-Heeler'!$B$5:$N$24,4,FALSE)),0)+IFERROR(IF(VLOOKUP($B17,'JR B-Steer Riding'!$B$5:$AI$24,10,FALSE)=" ",0,VLOOKUP($B17,'JR B-Steer Riding'!$B$5:$AI$24,10,FALSE)),0)+IFERROR(IF(VLOOKUP($B17,'JR B-Goats'!$B$5:$AI$24,10,FALSE)=" ",0,VLOOKUP($B17,'JR B-Goats'!$B$5:$AI$24,10,FALSE)),0)+IFERROR(IF(VLOOKUP($B17,'JR B-Calf Tying'!$B$5:$AI$24,10,FALSE)=" ",0,VLOOKUP($B17,'JR B-Calf Tying'!$B$5:$AI$24,10,FALSE)),0)+IFERROR(IF(VLOOKUP($B17,'JR B-Breakaway'!$B$5:$AI$24,10,FALSE)=" ",0,VLOOKUP($B17,'JR B-Breakaway'!$B$5:$AI$24,10,FALSE)),0)</f>
        <v>0</v>
      </c>
      <c r="G17" s="95" t="str">
        <f t="shared" si="2"/>
        <v xml:space="preserve"> </v>
      </c>
      <c r="H17" s="122" t="str">
        <f t="shared" si="3"/>
        <v xml:space="preserve"> </v>
      </c>
      <c r="I17" s="121">
        <f>IFERROR(IF(VLOOKUP($B17,'JR-Team Roping-Header'!$B$5:$N$24,5,FALSE)=" ",0,VLOOKUP($B17,'JR-Team Roping-Header'!$B$5:$N$24,5,FALSE)),0)+IFERROR(IF(VLOOKUP($B17,'JR-Team Roping-Heeler'!$B$5:$N$24,5,FALSE)=" ",0,VLOOKUP($B17,'JR-Team Roping-Heeler'!$B$5:$N$24,5,FALSE)),0)+IFERROR(IF(VLOOKUP($B17,'JR B-Steer Riding'!$B$5:$AI$24,14,FALSE)=" ",0,VLOOKUP($B17,'JR B-Steer Riding'!$B$5:$AI$24,14,FALSE)),0)+IFERROR(IF(VLOOKUP($B17,'JR B-Goats'!$B$5:$AI$24,14,FALSE)=" ",0,VLOOKUP($B17,'JR B-Goats'!$B$5:$AI$24,14,FALSE)),0)+IFERROR(IF(VLOOKUP($B17,'JR B-Calf Tying'!$B$5:$AI$24,14,FALSE)=" ",0,VLOOKUP($B17,'JR B-Calf Tying'!$B$5:$AI$24,14,FALSE)),0)+IFERROR(IF(VLOOKUP($B17,'JR B-Breakaway'!$B$5:$AI$24,14,FALSE)=" ",0,VLOOKUP($B17,'JR B-Breakaway'!$B$5:$AI$24,14,FALSE)),0)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IFERROR(IF(VLOOKUP($B17,'JR-Team Roping-Header'!$B$5:$N$24,6,FALSE)=" ",0,VLOOKUP($B17,'JR-Team Roping-Header'!$B$5:$N$24,6,FALSE)),0)+IFERROR(IF(VLOOKUP($B17,'JR-Team Roping-Heeler'!$B$5:$N$24,6,FALSE)=" ",0,VLOOKUP($B17,'JR-Team Roping-Heeler'!$B$5:$N$24,6,FALSE)),0)+IFERROR(IF(VLOOKUP($B17,'JR B-Steer Riding'!$B$5:$AI$24,18,FALSE)=" ",0,VLOOKUP($B17,'JR B-Steer Riding'!$B$5:$AI$24,18,FALSE)),0)+IFERROR(IF(VLOOKUP($B17,'JR B-Goats'!$B$5:$AI$24,18,FALSE)=" ",0,VLOOKUP($B17,'JR B-Goats'!$B$5:$AI$24,18,FALSE)),0)+IFERROR(IF(VLOOKUP($B17,'JR B-Calf Tying'!$B$5:$AI$24,18,FALSE)=" ",0,VLOOKUP($B17,'JR B-Calf Tying'!$B$5:$AI$24,18,FALSE)),0)+IFERROR(IF(VLOOKUP($B17,'JR B-Breakaway'!$B$5:$AI$24,18,FALSE)=" ",0,VLOOKUP($B17,'JR B-Breakaway'!$B$5:$AI$24,18,FALSE)),0)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IFERROR(IF(VLOOKUP($B17,'JR-Team Roping-Header'!$B$5:$N$24,7,FALSE)=" ",0,VLOOKUP($B17,'JR-Team Roping-Header'!$B$5:$N$24,7,FALSE)),0)+IFERROR(IF(VLOOKUP($B17,'JR-Team Roping-Heeler'!$B$5:$N$24,7,FALSE)=" ",0,VLOOKUP($B17,'JR-Team Roping-Heeler'!$B$5:$N$24,7,FALSE)),0)+IFERROR(IF(VLOOKUP($B17,'JR B-Steer Riding'!$B$5:$AI$24,22,FALSE)=" ",0,VLOOKUP($B17,'JR B-Steer Riding'!$B$5:$AI$24,22,FALSE)),0)+IFERROR(IF(VLOOKUP($B17,'JR B-Goats'!$B$5:$AI$24,22,FALSE)=" ",0,VLOOKUP($B17,'JR B-Goats'!$B$5:$AI$24,22,FALSE)),0)+IFERROR(IF(VLOOKUP($B17,'JR B-Calf Tying'!$B$5:$AI$24,22,FALSE)=" ",0,VLOOKUP($B17,'JR B-Calf Tying'!$B$5:$AI$24,22,FALSE)),0)+IFERROR(IF(VLOOKUP($B17,'JR B-Breakaway'!$B$5:$AI$24,22,FALSE)=" ",0,VLOOKUP($B17,'JR B-Breakaway'!$B$5:$AI$24,22,FALSE)),0)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IFERROR(IF(VLOOKUP($B17,'JR-Team Roping-Header'!$B$5:$N$24,8,FALSE)=" ",0,VLOOKUP($B17,'JR-Team Roping-Header'!$B$5:$N$24,8,FALSE)),0)+IFERROR(IF(VLOOKUP($B17,'JR-Team Roping-Heeler'!$B$5:$N$24,8,FALSE)=" ",0,VLOOKUP($B17,'JR-Team Roping-Heeler'!$B$5:$N$24,8,FALSE)),0)+IFERROR(IF(VLOOKUP($B17,'JR B-Steer Riding'!$B$5:$AI$24,26,FALSE)=" ",0,VLOOKUP($B17,'JR B-Steer Riding'!$B$5:$AI$24,26,FALSE)),0)+IFERROR(IF(VLOOKUP($B17,'JR B-Goats'!$B$5:$AI$24,26,FALSE)=" ",0,VLOOKUP($B17,'JR B-Goats'!$B$5:$AI$24,26,FALSE)),0)+IFERROR(IF(VLOOKUP($B17,'JR B-Calf Tying'!$B$5:$AI$24,26,FALSE)=" ",0,VLOOKUP($B17,'JR B-Calf Tying'!$B$5:$AI$24,26,FALSE)),0)+IFERROR(IF(VLOOKUP($B17,'JR B-Breakaway'!$B$5:$AI$24,26,FALSE)=" ",0,VLOOKUP($B17,'JR B-Breakaway'!$B$5:$AI$24,26,FALSE)),0)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IFERROR(IF(VLOOKUP($B17,'JR-Team Roping-Header'!$B$5:$N$24,9,FALSE)=" ",0,VLOOKUP($B17,'JR-Team Roping-Header'!$B$5:$N$24,9,FALSE)),0)+IFERROR(IF(VLOOKUP($B17,'JR-Team Roping-Heeler'!$B$5:$N$24,9,FALSE)=" ",0,VLOOKUP($B17,'JR-Team Roping-Heeler'!$B$5:$N$24,9,FALSE)),0)+IFERROR(IF(VLOOKUP($B17,'JR B-Steer Riding'!$B$5:$AI$24,30,FALSE)=" ",0,VLOOKUP($B17,'JR B-Steer Riding'!$B$5:$AI$24,30,FALSE)),0)+IFERROR(IF(VLOOKUP($B17,'JR B-Goats'!$B$5:$AI$24,30,FALSE)=" ",0,VLOOKUP($B17,'JR B-Goats'!$B$5:$AI$24,30,FALSE)),0)+IFERROR(IF(VLOOKUP($B17,'JR B-Calf Tying'!$B$5:$AI$24,30,FALSE)=" ",0,VLOOKUP($B17,'JR B-Calf Tying'!$B$5:$AI$24,30,FALSE)),0)+IFERROR(IF(VLOOKUP($B17,'JR B-Breakaway'!$B$5:$AI$24,30,FALSE)=" ",0,VLOOKUP($B17,'JR B-Breakaway'!$B$5:$AI$24,30,FALSE)),0)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IFERROR(IF(VLOOKUP($B17,'JR-Team Roping-Header'!$B$5:$N$24,10,FALSE)=" ",0,VLOOKUP($B17,'JR-Team Roping-Header'!$B$5:$N$24,10,FALSE)),0)+IFERROR(IF(VLOOKUP($B17,'JR-Team Roping-Heeler'!$B$5:$N$24,10,FALSE)=" ",0,VLOOKUP($B17,'JR-Team Roping-Heeler'!$B$5:$N$24,10,FALSE)),0)+IFERROR(IF(VLOOKUP($B17,'JR B-Steer Riding'!$B$5:$AI$24,34,FALSE)=" ",0,VLOOKUP($B17,'JR B-Steer Riding'!$B$5:$AI$24,34,FALSE)),0)+IFERROR(IF(VLOOKUP($B17,'JR B-Goats'!$B$5:$AI$24,34,FALSE)=" ",0,VLOOKUP($B17,'JR B-Goats'!$B$5:$AI$24,34,FALSE)),0)+IFERROR(IF(VLOOKUP($B17,'JR B-Calf Tying'!$B$5:$AI$24,34,FALSE)=" ",0,VLOOKUP($B17,'JR B-Calf Tying'!$B$5:$AI$24,34,FALSE)),0)+IFERROR(IF(VLOOKUP($B17,'JR B-Breakaway'!$B$5:$AI$24,34,FALSE)=" ",0,VLOOKUP($B17,'JR B-Breakaway'!$B$5:$AI$24,34,FALSE)),0)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7" s="95" t="str">
        <f t="shared" si="16"/>
        <v xml:space="preserve"> </v>
      </c>
      <c r="AC17" s="122" t="str">
        <f t="shared" si="17"/>
        <v xml:space="preserve"> </v>
      </c>
    </row>
    <row r="18" spans="2:29" x14ac:dyDescent="0.3">
      <c r="B18" s="141" t="s">
        <v>177</v>
      </c>
      <c r="C18" s="120">
        <f>IFERROR(IF(VLOOKUP($B18,'JR-Team Roping-Header'!$B$5:$N$24,3,FALSE)=" ",0,VLOOKUP($B18,'JR-Team Roping-Header'!$B$5:$N$24,3,FALSE)),0)+IFERROR(IF(VLOOKUP($B18,'JR-Team Roping-Heeler'!$B$5:$N$24,3,FALSE)=" ",0,VLOOKUP($B18,'JR-Team Roping-Heeler'!$B$5:$N$24,3,FALSE)),0)+IFERROR(IF(VLOOKUP($B18,'JR B-Steer Riding'!$B$5:$AI$24,6,FALSE)=" ",0,VLOOKUP($B18,'JR B-Steer Riding'!$B$5:$AI$24,6,FALSE)),0)+IFERROR(IF(VLOOKUP($B18,'JR B-Goats'!$B$5:$AI$24,6,FALSE)=" ",0,VLOOKUP($B18,'JR B-Goats'!$B$5:$AI$24,6,FALSE)),0)+IFERROR(IF(VLOOKUP($B18,'JR B-Calf Tying'!$B$5:$AI$24,6,FALSE)=" ",0,VLOOKUP($B18,'JR B-Calf Tying'!$B$5:$AI$24,6,FALSE)),0)+IFERROR(IF(VLOOKUP($B18,'JR B-Breakaway'!$B$5:$AI$24,6,FALSE)=" ",0,VLOOKUP($B18,'JR B-Breakaway'!$B$5:$AI$24,6,FALSE)),0)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IFERROR(IF(VLOOKUP($B18,'JR-Team Roping-Header'!$B$5:$N$24,4,FALSE)=" ",0,VLOOKUP($B18,'JR-Team Roping-Header'!$B$5:$N$24,4,FALSE)),0)+IFERROR(IF(VLOOKUP($B18,'JR-Team Roping-Heeler'!$B$5:$N$24,4,FALSE)=" ",0,VLOOKUP($B18,'JR-Team Roping-Heeler'!$B$5:$N$24,4,FALSE)),0)+IFERROR(IF(VLOOKUP($B18,'JR B-Steer Riding'!$B$5:$AI$24,10,FALSE)=" ",0,VLOOKUP($B18,'JR B-Steer Riding'!$B$5:$AI$24,10,FALSE)),0)+IFERROR(IF(VLOOKUP($B18,'JR B-Goats'!$B$5:$AI$24,10,FALSE)=" ",0,VLOOKUP($B18,'JR B-Goats'!$B$5:$AI$24,10,FALSE)),0)+IFERROR(IF(VLOOKUP($B18,'JR B-Calf Tying'!$B$5:$AI$24,10,FALSE)=" ",0,VLOOKUP($B18,'JR B-Calf Tying'!$B$5:$AI$24,10,FALSE)),0)+IFERROR(IF(VLOOKUP($B18,'JR B-Breakaway'!$B$5:$AI$24,10,FALSE)=" ",0,VLOOKUP($B18,'JR B-Breakaway'!$B$5:$AI$24,10,FALSE)),0)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IFERROR(IF(VLOOKUP($B18,'JR-Team Roping-Header'!$B$5:$N$24,5,FALSE)=" ",0,VLOOKUP($B18,'JR-Team Roping-Header'!$B$5:$N$24,5,FALSE)),0)+IFERROR(IF(VLOOKUP($B18,'JR-Team Roping-Heeler'!$B$5:$N$24,5,FALSE)=" ",0,VLOOKUP($B18,'JR-Team Roping-Heeler'!$B$5:$N$24,5,FALSE)),0)+IFERROR(IF(VLOOKUP($B18,'JR B-Steer Riding'!$B$5:$AI$24,14,FALSE)=" ",0,VLOOKUP($B18,'JR B-Steer Riding'!$B$5:$AI$24,14,FALSE)),0)+IFERROR(IF(VLOOKUP($B18,'JR B-Goats'!$B$5:$AI$24,14,FALSE)=" ",0,VLOOKUP($B18,'JR B-Goats'!$B$5:$AI$24,14,FALSE)),0)+IFERROR(IF(VLOOKUP($B18,'JR B-Calf Tying'!$B$5:$AI$24,14,FALSE)=" ",0,VLOOKUP($B18,'JR B-Calf Tying'!$B$5:$AI$24,14,FALSE)),0)+IFERROR(IF(VLOOKUP($B18,'JR B-Breakaway'!$B$5:$AI$24,14,FALSE)=" ",0,VLOOKUP($B18,'JR B-Breakaway'!$B$5:$AI$24,14,FALSE)),0)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IFERROR(IF(VLOOKUP($B18,'JR-Team Roping-Header'!$B$5:$N$24,6,FALSE)=" ",0,VLOOKUP($B18,'JR-Team Roping-Header'!$B$5:$N$24,6,FALSE)),0)+IFERROR(IF(VLOOKUP($B18,'JR-Team Roping-Heeler'!$B$5:$N$24,6,FALSE)=" ",0,VLOOKUP($B18,'JR-Team Roping-Heeler'!$B$5:$N$24,6,FALSE)),0)+IFERROR(IF(VLOOKUP($B18,'JR B-Steer Riding'!$B$5:$AI$24,18,FALSE)=" ",0,VLOOKUP($B18,'JR B-Steer Riding'!$B$5:$AI$24,18,FALSE)),0)+IFERROR(IF(VLOOKUP($B18,'JR B-Goats'!$B$5:$AI$24,18,FALSE)=" ",0,VLOOKUP($B18,'JR B-Goats'!$B$5:$AI$24,18,FALSE)),0)+IFERROR(IF(VLOOKUP($B18,'JR B-Calf Tying'!$B$5:$AI$24,18,FALSE)=" ",0,VLOOKUP($B18,'JR B-Calf Tying'!$B$5:$AI$24,18,FALSE)),0)+IFERROR(IF(VLOOKUP($B18,'JR B-Breakaway'!$B$5:$AI$24,18,FALSE)=" ",0,VLOOKUP($B18,'JR B-Breakaway'!$B$5:$AI$24,18,FALSE)),0)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IFERROR(IF(VLOOKUP($B18,'JR-Team Roping-Header'!$B$5:$N$24,7,FALSE)=" ",0,VLOOKUP($B18,'JR-Team Roping-Header'!$B$5:$N$24,7,FALSE)),0)+IFERROR(IF(VLOOKUP($B18,'JR-Team Roping-Heeler'!$B$5:$N$24,7,FALSE)=" ",0,VLOOKUP($B18,'JR-Team Roping-Heeler'!$B$5:$N$24,7,FALSE)),0)+IFERROR(IF(VLOOKUP($B18,'JR B-Steer Riding'!$B$5:$AI$24,22,FALSE)=" ",0,VLOOKUP($B18,'JR B-Steer Riding'!$B$5:$AI$24,22,FALSE)),0)+IFERROR(IF(VLOOKUP($B18,'JR B-Goats'!$B$5:$AI$24,22,FALSE)=" ",0,VLOOKUP($B18,'JR B-Goats'!$B$5:$AI$24,22,FALSE)),0)+IFERROR(IF(VLOOKUP($B18,'JR B-Calf Tying'!$B$5:$AI$24,22,FALSE)=" ",0,VLOOKUP($B18,'JR B-Calf Tying'!$B$5:$AI$24,22,FALSE)),0)+IFERROR(IF(VLOOKUP($B18,'JR B-Breakaway'!$B$5:$AI$24,22,FALSE)=" ",0,VLOOKUP($B18,'JR B-Breakaway'!$B$5:$AI$24,22,FALSE)),0)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IFERROR(IF(VLOOKUP($B18,'JR-Team Roping-Header'!$B$5:$N$24,8,FALSE)=" ",0,VLOOKUP($B18,'JR-Team Roping-Header'!$B$5:$N$24,8,FALSE)),0)+IFERROR(IF(VLOOKUP($B18,'JR-Team Roping-Heeler'!$B$5:$N$24,8,FALSE)=" ",0,VLOOKUP($B18,'JR-Team Roping-Heeler'!$B$5:$N$24,8,FALSE)),0)+IFERROR(IF(VLOOKUP($B18,'JR B-Steer Riding'!$B$5:$AI$24,26,FALSE)=" ",0,VLOOKUP($B18,'JR B-Steer Riding'!$B$5:$AI$24,26,FALSE)),0)+IFERROR(IF(VLOOKUP($B18,'JR B-Goats'!$B$5:$AI$24,26,FALSE)=" ",0,VLOOKUP($B18,'JR B-Goats'!$B$5:$AI$24,26,FALSE)),0)+IFERROR(IF(VLOOKUP($B18,'JR B-Calf Tying'!$B$5:$AI$24,26,FALSE)=" ",0,VLOOKUP($B18,'JR B-Calf Tying'!$B$5:$AI$24,26,FALSE)),0)+IFERROR(IF(VLOOKUP($B18,'JR B-Breakaway'!$B$5:$AI$24,26,FALSE)=" ",0,VLOOKUP($B18,'JR B-Breakaway'!$B$5:$AI$24,26,FALSE)),0)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IFERROR(IF(VLOOKUP($B18,'JR-Team Roping-Header'!$B$5:$N$24,9,FALSE)=" ",0,VLOOKUP($B18,'JR-Team Roping-Header'!$B$5:$N$24,9,FALSE)),0)+IFERROR(IF(VLOOKUP($B18,'JR-Team Roping-Heeler'!$B$5:$N$24,9,FALSE)=" ",0,VLOOKUP($B18,'JR-Team Roping-Heeler'!$B$5:$N$24,9,FALSE)),0)+IFERROR(IF(VLOOKUP($B18,'JR B-Steer Riding'!$B$5:$AI$24,30,FALSE)=" ",0,VLOOKUP($B18,'JR B-Steer Riding'!$B$5:$AI$24,30,FALSE)),0)+IFERROR(IF(VLOOKUP($B18,'JR B-Goats'!$B$5:$AI$24,30,FALSE)=" ",0,VLOOKUP($B18,'JR B-Goats'!$B$5:$AI$24,30,FALSE)),0)+IFERROR(IF(VLOOKUP($B18,'JR B-Calf Tying'!$B$5:$AI$24,30,FALSE)=" ",0,VLOOKUP($B18,'JR B-Calf Tying'!$B$5:$AI$24,30,FALSE)),0)+IFERROR(IF(VLOOKUP($B18,'JR B-Breakaway'!$B$5:$AI$24,30,FALSE)=" ",0,VLOOKUP($B18,'JR B-Breakaway'!$B$5:$AI$24,30,FALSE)),0)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IFERROR(IF(VLOOKUP($B18,'JR-Team Roping-Header'!$B$5:$N$24,10,FALSE)=" ",0,VLOOKUP($B18,'JR-Team Roping-Header'!$B$5:$N$24,10,FALSE)),0)+IFERROR(IF(VLOOKUP($B18,'JR-Team Roping-Heeler'!$B$5:$N$24,10,FALSE)=" ",0,VLOOKUP($B18,'JR-Team Roping-Heeler'!$B$5:$N$24,10,FALSE)),0)+IFERROR(IF(VLOOKUP($B18,'JR B-Steer Riding'!$B$5:$AI$24,34,FALSE)=" ",0,VLOOKUP($B18,'JR B-Steer Riding'!$B$5:$AI$24,34,FALSE)),0)+IFERROR(IF(VLOOKUP($B18,'JR B-Goats'!$B$5:$AI$24,34,FALSE)=" ",0,VLOOKUP($B18,'JR B-Goats'!$B$5:$AI$24,34,FALSE)),0)+IFERROR(IF(VLOOKUP($B18,'JR B-Calf Tying'!$B$5:$AI$24,34,FALSE)=" ",0,VLOOKUP($B18,'JR B-Calf Tying'!$B$5:$AI$24,34,FALSE)),0)+IFERROR(IF(VLOOKUP($B18,'JR B-Breakaway'!$B$5:$AI$24,34,FALSE)=" ",0,VLOOKUP($B18,'JR B-Breakaway'!$B$5:$AI$24,34,FALSE)),0)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41" t="s">
        <v>249</v>
      </c>
      <c r="C19" s="120">
        <f>IFERROR(IF(VLOOKUP($B19,'JR-Team Roping-Header'!$B$5:$N$24,3,FALSE)=" ",0,VLOOKUP($B19,'JR-Team Roping-Header'!$B$5:$N$24,3,FALSE)),0)+IFERROR(IF(VLOOKUP($B19,'JR-Team Roping-Heeler'!$B$5:$N$24,3,FALSE)=" ",0,VLOOKUP($B19,'JR-Team Roping-Heeler'!$B$5:$N$24,3,FALSE)),0)+IFERROR(IF(VLOOKUP($B19,'JR B-Steer Riding'!$B$5:$AI$24,6,FALSE)=" ",0,VLOOKUP($B19,'JR B-Steer Riding'!$B$5:$AI$24,6,FALSE)),0)+IFERROR(IF(VLOOKUP($B19,'JR B-Goats'!$B$5:$AI$24,6,FALSE)=" ",0,VLOOKUP($B19,'JR B-Goats'!$B$5:$AI$24,6,FALSE)),0)+IFERROR(IF(VLOOKUP($B19,'JR B-Calf Tying'!$B$5:$AI$24,6,FALSE)=" ",0,VLOOKUP($B19,'JR B-Calf Tying'!$B$5:$AI$24,6,FALSE)),0)+IFERROR(IF(VLOOKUP($B19,'JR B-Breakaway'!$B$5:$AI$24,6,FALSE)=" ",0,VLOOKUP($B19,'JR B-Breakaway'!$B$5:$AI$24,6,FALSE)),0)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IFERROR(IF(VLOOKUP($B19,'JR-Team Roping-Header'!$B$5:$N$24,4,FALSE)=" ",0,VLOOKUP($B19,'JR-Team Roping-Header'!$B$5:$N$24,4,FALSE)),0)+IFERROR(IF(VLOOKUP($B19,'JR-Team Roping-Heeler'!$B$5:$N$24,4,FALSE)=" ",0,VLOOKUP($B19,'JR-Team Roping-Heeler'!$B$5:$N$24,4,FALSE)),0)+IFERROR(IF(VLOOKUP($B19,'JR B-Steer Riding'!$B$5:$AI$24,10,FALSE)=" ",0,VLOOKUP($B19,'JR B-Steer Riding'!$B$5:$AI$24,10,FALSE)),0)+IFERROR(IF(VLOOKUP($B19,'JR B-Goats'!$B$5:$AI$24,10,FALSE)=" ",0,VLOOKUP($B19,'JR B-Goats'!$B$5:$AI$24,10,FALSE)),0)+IFERROR(IF(VLOOKUP($B19,'JR B-Calf Tying'!$B$5:$AI$24,10,FALSE)=" ",0,VLOOKUP($B19,'JR B-Calf Tying'!$B$5:$AI$24,10,FALSE)),0)+IFERROR(IF(VLOOKUP($B19,'JR B-Breakaway'!$B$5:$AI$24,10,FALSE)=" ",0,VLOOKUP($B19,'JR B-Breakaway'!$B$5:$AI$24,10,FALSE)),0)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IFERROR(IF(VLOOKUP($B19,'JR-Team Roping-Header'!$B$5:$N$24,5,FALSE)=" ",0,VLOOKUP($B19,'JR-Team Roping-Header'!$B$5:$N$24,5,FALSE)),0)+IFERROR(IF(VLOOKUP($B19,'JR-Team Roping-Heeler'!$B$5:$N$24,5,FALSE)=" ",0,VLOOKUP($B19,'JR-Team Roping-Heeler'!$B$5:$N$24,5,FALSE)),0)+IFERROR(IF(VLOOKUP($B19,'JR B-Steer Riding'!$B$5:$AI$24,14,FALSE)=" ",0,VLOOKUP($B19,'JR B-Steer Riding'!$B$5:$AI$24,14,FALSE)),0)+IFERROR(IF(VLOOKUP($B19,'JR B-Goats'!$B$5:$AI$24,14,FALSE)=" ",0,VLOOKUP($B19,'JR B-Goats'!$B$5:$AI$24,14,FALSE)),0)+IFERROR(IF(VLOOKUP($B19,'JR B-Calf Tying'!$B$5:$AI$24,14,FALSE)=" ",0,VLOOKUP($B19,'JR B-Calf Tying'!$B$5:$AI$24,14,FALSE)),0)+IFERROR(IF(VLOOKUP($B19,'JR B-Breakaway'!$B$5:$AI$24,14,FALSE)=" ",0,VLOOKUP($B19,'JR B-Breakaway'!$B$5:$AI$24,14,FALSE)),0)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IFERROR(IF(VLOOKUP($B19,'JR-Team Roping-Header'!$B$5:$N$24,6,FALSE)=" ",0,VLOOKUP($B19,'JR-Team Roping-Header'!$B$5:$N$24,6,FALSE)),0)+IFERROR(IF(VLOOKUP($B19,'JR-Team Roping-Heeler'!$B$5:$N$24,6,FALSE)=" ",0,VLOOKUP($B19,'JR-Team Roping-Heeler'!$B$5:$N$24,6,FALSE)),0)+IFERROR(IF(VLOOKUP($B19,'JR B-Steer Riding'!$B$5:$AI$24,18,FALSE)=" ",0,VLOOKUP($B19,'JR B-Steer Riding'!$B$5:$AI$24,18,FALSE)),0)+IFERROR(IF(VLOOKUP($B19,'JR B-Goats'!$B$5:$AI$24,18,FALSE)=" ",0,VLOOKUP($B19,'JR B-Goats'!$B$5:$AI$24,18,FALSE)),0)+IFERROR(IF(VLOOKUP($B19,'JR B-Calf Tying'!$B$5:$AI$24,18,FALSE)=" ",0,VLOOKUP($B19,'JR B-Calf Tying'!$B$5:$AI$24,18,FALSE)),0)+IFERROR(IF(VLOOKUP($B19,'JR B-Breakaway'!$B$5:$AI$24,18,FALSE)=" ",0,VLOOKUP($B19,'JR B-Breakaway'!$B$5:$AI$24,18,FALSE)),0)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IFERROR(IF(VLOOKUP($B19,'JR-Team Roping-Header'!$B$5:$N$24,7,FALSE)=" ",0,VLOOKUP($B19,'JR-Team Roping-Header'!$B$5:$N$24,7,FALSE)),0)+IFERROR(IF(VLOOKUP($B19,'JR-Team Roping-Heeler'!$B$5:$N$24,7,FALSE)=" ",0,VLOOKUP($B19,'JR-Team Roping-Heeler'!$B$5:$N$24,7,FALSE)),0)+IFERROR(IF(VLOOKUP($B19,'JR B-Steer Riding'!$B$5:$AI$24,22,FALSE)=" ",0,VLOOKUP($B19,'JR B-Steer Riding'!$B$5:$AI$24,22,FALSE)),0)+IFERROR(IF(VLOOKUP($B19,'JR B-Goats'!$B$5:$AI$24,22,FALSE)=" ",0,VLOOKUP($B19,'JR B-Goats'!$B$5:$AI$24,22,FALSE)),0)+IFERROR(IF(VLOOKUP($B19,'JR B-Calf Tying'!$B$5:$AI$24,22,FALSE)=" ",0,VLOOKUP($B19,'JR B-Calf Tying'!$B$5:$AI$24,22,FALSE)),0)+IFERROR(IF(VLOOKUP($B19,'JR B-Breakaway'!$B$5:$AI$24,22,FALSE)=" ",0,VLOOKUP($B19,'JR B-Breakaway'!$B$5:$AI$24,22,FALSE)),0)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IFERROR(IF(VLOOKUP($B19,'JR-Team Roping-Header'!$B$5:$N$24,8,FALSE)=" ",0,VLOOKUP($B19,'JR-Team Roping-Header'!$B$5:$N$24,8,FALSE)),0)+IFERROR(IF(VLOOKUP($B19,'JR-Team Roping-Heeler'!$B$5:$N$24,8,FALSE)=" ",0,VLOOKUP($B19,'JR-Team Roping-Heeler'!$B$5:$N$24,8,FALSE)),0)+IFERROR(IF(VLOOKUP($B19,'JR B-Steer Riding'!$B$5:$AI$24,26,FALSE)=" ",0,VLOOKUP($B19,'JR B-Steer Riding'!$B$5:$AI$24,26,FALSE)),0)+IFERROR(IF(VLOOKUP($B19,'JR B-Goats'!$B$5:$AI$24,26,FALSE)=" ",0,VLOOKUP($B19,'JR B-Goats'!$B$5:$AI$24,26,FALSE)),0)+IFERROR(IF(VLOOKUP($B19,'JR B-Calf Tying'!$B$5:$AI$24,26,FALSE)=" ",0,VLOOKUP($B19,'JR B-Calf Tying'!$B$5:$AI$24,26,FALSE)),0)+IFERROR(IF(VLOOKUP($B19,'JR B-Breakaway'!$B$5:$AI$24,26,FALSE)=" ",0,VLOOKUP($B19,'JR B-Breakaway'!$B$5:$AI$24,26,FALSE)),0)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IFERROR(IF(VLOOKUP($B19,'JR-Team Roping-Header'!$B$5:$N$24,9,FALSE)=" ",0,VLOOKUP($B19,'JR-Team Roping-Header'!$B$5:$N$24,9,FALSE)),0)+IFERROR(IF(VLOOKUP($B19,'JR-Team Roping-Heeler'!$B$5:$N$24,9,FALSE)=" ",0,VLOOKUP($B19,'JR-Team Roping-Heeler'!$B$5:$N$24,9,FALSE)),0)+IFERROR(IF(VLOOKUP($B19,'JR B-Steer Riding'!$B$5:$AI$24,30,FALSE)=" ",0,VLOOKUP($B19,'JR B-Steer Riding'!$B$5:$AI$24,30,FALSE)),0)+IFERROR(IF(VLOOKUP($B19,'JR B-Goats'!$B$5:$AI$24,30,FALSE)=" ",0,VLOOKUP($B19,'JR B-Goats'!$B$5:$AI$24,30,FALSE)),0)+IFERROR(IF(VLOOKUP($B19,'JR B-Calf Tying'!$B$5:$AI$24,30,FALSE)=" ",0,VLOOKUP($B19,'JR B-Calf Tying'!$B$5:$AI$24,30,FALSE)),0)+IFERROR(IF(VLOOKUP($B19,'JR B-Breakaway'!$B$5:$AI$24,30,FALSE)=" ",0,VLOOKUP($B19,'JR B-Breakaway'!$B$5:$AI$24,30,FALSE)),0)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IFERROR(IF(VLOOKUP($B19,'JR-Team Roping-Header'!$B$5:$N$24,10,FALSE)=" ",0,VLOOKUP($B19,'JR-Team Roping-Header'!$B$5:$N$24,10,FALSE)),0)+IFERROR(IF(VLOOKUP($B19,'JR-Team Roping-Heeler'!$B$5:$N$24,10,FALSE)=" ",0,VLOOKUP($B19,'JR-Team Roping-Heeler'!$B$5:$N$24,10,FALSE)),0)+IFERROR(IF(VLOOKUP($B19,'JR B-Steer Riding'!$B$5:$AI$24,34,FALSE)=" ",0,VLOOKUP($B19,'JR B-Steer Riding'!$B$5:$AI$24,34,FALSE)),0)+IFERROR(IF(VLOOKUP($B19,'JR B-Goats'!$B$5:$AI$24,34,FALSE)=" ",0,VLOOKUP($B19,'JR B-Goats'!$B$5:$AI$24,34,FALSE)),0)+IFERROR(IF(VLOOKUP($B19,'JR B-Calf Tying'!$B$5:$AI$24,34,FALSE)=" ",0,VLOOKUP($B19,'JR B-Calf Tying'!$B$5:$AI$24,34,FALSE)),0)+IFERROR(IF(VLOOKUP($B19,'JR B-Breakaway'!$B$5:$AI$24,34,FALSE)=" ",0,VLOOKUP($B19,'JR B-Breakaway'!$B$5:$AI$24,34,FALSE)),0)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52"/>
      <c r="C20" s="120">
        <f>IFERROR(IF(VLOOKUP($B20,'JR-Team Roping-Header'!$B$5:$N$24,3,FALSE)=" ",0,VLOOKUP($B20,'JR-Team Roping-Header'!$B$5:$N$24,3,FALSE)),0)+IFERROR(IF(VLOOKUP($B20,'JR-Team Roping-Heeler'!$B$5:$N$24,3,FALSE)=" ",0,VLOOKUP($B20,'JR-Team Roping-Heeler'!$B$5:$N$24,3,FALSE)),0)+IFERROR(IF(VLOOKUP($B20,'JR B-Steer Riding'!$B$5:$AI$24,6,FALSE)=" ",0,VLOOKUP($B20,'JR B-Steer Riding'!$B$5:$AI$24,6,FALSE)),0)+IFERROR(IF(VLOOKUP($B20,'JR B-Goats'!$B$5:$AI$24,6,FALSE)=" ",0,VLOOKUP($B20,'JR B-Goats'!$B$5:$AI$24,6,FALSE)),0)+IFERROR(IF(VLOOKUP($B20,'JR B-Calf Tying'!$B$5:$AI$24,6,FALSE)=" ",0,VLOOKUP($B20,'JR B-Calf Tying'!$B$5:$AI$24,6,FALSE)),0)+IFERROR(IF(VLOOKUP($B20,'JR B-Breakaway'!$B$5:$AI$24,6,FALSE)=" ",0,VLOOKUP($B20,'JR B-Breakaway'!$B$5:$AI$24,6,FALSE)),0)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IFERROR(IF(VLOOKUP($B20,'JR-Team Roping-Header'!$B$5:$N$24,4,FALSE)=" ",0,VLOOKUP($B20,'JR-Team Roping-Header'!$B$5:$N$24,4,FALSE)),0)+IFERROR(IF(VLOOKUP($B20,'JR-Team Roping-Heeler'!$B$5:$N$24,4,FALSE)=" ",0,VLOOKUP($B20,'JR-Team Roping-Heeler'!$B$5:$N$24,4,FALSE)),0)+IFERROR(IF(VLOOKUP($B20,'JR B-Steer Riding'!$B$5:$AI$24,10,FALSE)=" ",0,VLOOKUP($B20,'JR B-Steer Riding'!$B$5:$AI$24,10,FALSE)),0)+IFERROR(IF(VLOOKUP($B20,'JR B-Goats'!$B$5:$AI$24,10,FALSE)=" ",0,VLOOKUP($B20,'JR B-Goats'!$B$5:$AI$24,10,FALSE)),0)+IFERROR(IF(VLOOKUP($B20,'JR B-Calf Tying'!$B$5:$AI$24,10,FALSE)=" ",0,VLOOKUP($B20,'JR B-Calf Tying'!$B$5:$AI$24,10,FALSE)),0)+IFERROR(IF(VLOOKUP($B20,'JR B-Breakaway'!$B$5:$AI$24,10,FALSE)=" ",0,VLOOKUP($B20,'JR B-Breakaway'!$B$5:$AI$24,10,FALSE)),0)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IFERROR(IF(VLOOKUP($B20,'JR-Team Roping-Header'!$B$5:$N$24,5,FALSE)=" ",0,VLOOKUP($B20,'JR-Team Roping-Header'!$B$5:$N$24,5,FALSE)),0)+IFERROR(IF(VLOOKUP($B20,'JR-Team Roping-Heeler'!$B$5:$N$24,5,FALSE)=" ",0,VLOOKUP($B20,'JR-Team Roping-Heeler'!$B$5:$N$24,5,FALSE)),0)+IFERROR(IF(VLOOKUP($B20,'JR B-Steer Riding'!$B$5:$AI$24,14,FALSE)=" ",0,VLOOKUP($B20,'JR B-Steer Riding'!$B$5:$AI$24,14,FALSE)),0)+IFERROR(IF(VLOOKUP($B20,'JR B-Goats'!$B$5:$AI$24,14,FALSE)=" ",0,VLOOKUP($B20,'JR B-Goats'!$B$5:$AI$24,14,FALSE)),0)+IFERROR(IF(VLOOKUP($B20,'JR B-Calf Tying'!$B$5:$AI$24,14,FALSE)=" ",0,VLOOKUP($B20,'JR B-Calf Tying'!$B$5:$AI$24,14,FALSE)),0)+IFERROR(IF(VLOOKUP($B20,'JR B-Breakaway'!$B$5:$AI$24,14,FALSE)=" ",0,VLOOKUP($B20,'JR B-Breakaway'!$B$5:$AI$24,14,FALSE)),0)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IFERROR(IF(VLOOKUP($B20,'JR-Team Roping-Header'!$B$5:$N$24,6,FALSE)=" ",0,VLOOKUP($B20,'JR-Team Roping-Header'!$B$5:$N$24,6,FALSE)),0)+IFERROR(IF(VLOOKUP($B20,'JR-Team Roping-Heeler'!$B$5:$N$24,6,FALSE)=" ",0,VLOOKUP($B20,'JR-Team Roping-Heeler'!$B$5:$N$24,6,FALSE)),0)+IFERROR(IF(VLOOKUP($B20,'JR B-Steer Riding'!$B$5:$AI$24,18,FALSE)=" ",0,VLOOKUP($B20,'JR B-Steer Riding'!$B$5:$AI$24,18,FALSE)),0)+IFERROR(IF(VLOOKUP($B20,'JR B-Goats'!$B$5:$AI$24,18,FALSE)=" ",0,VLOOKUP($B20,'JR B-Goats'!$B$5:$AI$24,18,FALSE)),0)+IFERROR(IF(VLOOKUP($B20,'JR B-Calf Tying'!$B$5:$AI$24,18,FALSE)=" ",0,VLOOKUP($B20,'JR B-Calf Tying'!$B$5:$AI$24,18,FALSE)),0)+IFERROR(IF(VLOOKUP($B20,'JR B-Breakaway'!$B$5:$AI$24,18,FALSE)=" ",0,VLOOKUP($B20,'JR B-Breakaway'!$B$5:$AI$24,18,FALSE)),0)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IFERROR(IF(VLOOKUP($B20,'JR-Team Roping-Header'!$B$5:$N$24,7,FALSE)=" ",0,VLOOKUP($B20,'JR-Team Roping-Header'!$B$5:$N$24,7,FALSE)),0)+IFERROR(IF(VLOOKUP($B20,'JR-Team Roping-Heeler'!$B$5:$N$24,7,FALSE)=" ",0,VLOOKUP($B20,'JR-Team Roping-Heeler'!$B$5:$N$24,7,FALSE)),0)+IFERROR(IF(VLOOKUP($B20,'JR B-Steer Riding'!$B$5:$AI$24,22,FALSE)=" ",0,VLOOKUP($B20,'JR B-Steer Riding'!$B$5:$AI$24,22,FALSE)),0)+IFERROR(IF(VLOOKUP($B20,'JR B-Goats'!$B$5:$AI$24,22,FALSE)=" ",0,VLOOKUP($B20,'JR B-Goats'!$B$5:$AI$24,22,FALSE)),0)+IFERROR(IF(VLOOKUP($B20,'JR B-Calf Tying'!$B$5:$AI$24,22,FALSE)=" ",0,VLOOKUP($B20,'JR B-Calf Tying'!$B$5:$AI$24,22,FALSE)),0)+IFERROR(IF(VLOOKUP($B20,'JR B-Breakaway'!$B$5:$AI$24,22,FALSE)=" ",0,VLOOKUP($B20,'JR B-Breakaway'!$B$5:$AI$24,22,FALSE)),0)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IFERROR(IF(VLOOKUP($B20,'JR-Team Roping-Header'!$B$5:$N$24,8,FALSE)=" ",0,VLOOKUP($B20,'JR-Team Roping-Header'!$B$5:$N$24,8,FALSE)),0)+IFERROR(IF(VLOOKUP($B20,'JR-Team Roping-Heeler'!$B$5:$N$24,8,FALSE)=" ",0,VLOOKUP($B20,'JR-Team Roping-Heeler'!$B$5:$N$24,8,FALSE)),0)+IFERROR(IF(VLOOKUP($B20,'JR B-Steer Riding'!$B$5:$AI$24,26,FALSE)=" ",0,VLOOKUP($B20,'JR B-Steer Riding'!$B$5:$AI$24,26,FALSE)),0)+IFERROR(IF(VLOOKUP($B20,'JR B-Goats'!$B$5:$AI$24,26,FALSE)=" ",0,VLOOKUP($B20,'JR B-Goats'!$B$5:$AI$24,26,FALSE)),0)+IFERROR(IF(VLOOKUP($B20,'JR B-Calf Tying'!$B$5:$AI$24,26,FALSE)=" ",0,VLOOKUP($B20,'JR B-Calf Tying'!$B$5:$AI$24,26,FALSE)),0)+IFERROR(IF(VLOOKUP($B20,'JR B-Breakaway'!$B$5:$AI$24,26,FALSE)=" ",0,VLOOKUP($B20,'JR B-Breakaway'!$B$5:$AI$24,26,FALSE)),0)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IFERROR(IF(VLOOKUP($B20,'JR-Team Roping-Header'!$B$5:$N$24,9,FALSE)=" ",0,VLOOKUP($B20,'JR-Team Roping-Header'!$B$5:$N$24,9,FALSE)),0)+IFERROR(IF(VLOOKUP($B20,'JR-Team Roping-Heeler'!$B$5:$N$24,9,FALSE)=" ",0,VLOOKUP($B20,'JR-Team Roping-Heeler'!$B$5:$N$24,9,FALSE)),0)+IFERROR(IF(VLOOKUP($B20,'JR B-Steer Riding'!$B$5:$AI$24,30,FALSE)=" ",0,VLOOKUP($B20,'JR B-Steer Riding'!$B$5:$AI$24,30,FALSE)),0)+IFERROR(IF(VLOOKUP($B20,'JR B-Goats'!$B$5:$AI$24,30,FALSE)=" ",0,VLOOKUP($B20,'JR B-Goats'!$B$5:$AI$24,30,FALSE)),0)+IFERROR(IF(VLOOKUP($B20,'JR B-Calf Tying'!$B$5:$AI$24,30,FALSE)=" ",0,VLOOKUP($B20,'JR B-Calf Tying'!$B$5:$AI$24,30,FALSE)),0)+IFERROR(IF(VLOOKUP($B20,'JR B-Breakaway'!$B$5:$AI$24,30,FALSE)=" ",0,VLOOKUP($B20,'JR B-Breakaway'!$B$5:$AI$24,30,FALSE)),0)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IFERROR(IF(VLOOKUP($B20,'JR-Team Roping-Header'!$B$5:$N$24,10,FALSE)=" ",0,VLOOKUP($B20,'JR-Team Roping-Header'!$B$5:$N$24,10,FALSE)),0)+IFERROR(IF(VLOOKUP($B20,'JR-Team Roping-Heeler'!$B$5:$N$24,10,FALSE)=" ",0,VLOOKUP($B20,'JR-Team Roping-Heeler'!$B$5:$N$24,10,FALSE)),0)+IFERROR(IF(VLOOKUP($B20,'JR B-Steer Riding'!$B$5:$AI$24,34,FALSE)=" ",0,VLOOKUP($B20,'JR B-Steer Riding'!$B$5:$AI$24,34,FALSE)),0)+IFERROR(IF(VLOOKUP($B20,'JR B-Goats'!$B$5:$AI$24,34,FALSE)=" ",0,VLOOKUP($B20,'JR B-Goats'!$B$5:$AI$24,34,FALSE)),0)+IFERROR(IF(VLOOKUP($B20,'JR B-Calf Tying'!$B$5:$AI$24,34,FALSE)=" ",0,VLOOKUP($B20,'JR B-Calf Tying'!$B$5:$AI$24,34,FALSE)),0)+IFERROR(IF(VLOOKUP($B20,'JR B-Breakaway'!$B$5:$AI$24,34,FALSE)=" ",0,VLOOKUP($B20,'JR B-Breakaway'!$B$5:$AI$24,34,FALSE)),0)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52"/>
      <c r="C21" s="120">
        <f>IFERROR(IF(VLOOKUP($B21,'JR-Team Roping-Header'!$B$5:$N$24,3,FALSE)=" ",0,VLOOKUP($B21,'JR-Team Roping-Header'!$B$5:$N$24,3,FALSE)),0)+IFERROR(IF(VLOOKUP($B21,'JR-Team Roping-Heeler'!$B$5:$N$24,3,FALSE)=" ",0,VLOOKUP($B21,'JR-Team Roping-Heeler'!$B$5:$N$24,3,FALSE)),0)+IFERROR(IF(VLOOKUP($B21,'JR B-Steer Riding'!$B$5:$AI$24,6,FALSE)=" ",0,VLOOKUP($B21,'JR B-Steer Riding'!$B$5:$AI$24,6,FALSE)),0)+IFERROR(IF(VLOOKUP($B21,'JR B-Goats'!$B$5:$AI$24,6,FALSE)=" ",0,VLOOKUP($B21,'JR B-Goats'!$B$5:$AI$24,6,FALSE)),0)+IFERROR(IF(VLOOKUP($B21,'JR B-Calf Tying'!$B$5:$AI$24,6,FALSE)=" ",0,VLOOKUP($B21,'JR B-Calf Tying'!$B$5:$AI$24,6,FALSE)),0)+IFERROR(IF(VLOOKUP($B21,'JR B-Breakaway'!$B$5:$AI$24,6,FALSE)=" ",0,VLOOKUP($B21,'JR B-Breakaway'!$B$5:$AI$24,6,FALSE)),0)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IFERROR(IF(VLOOKUP($B21,'JR-Team Roping-Header'!$B$5:$N$24,4,FALSE)=" ",0,VLOOKUP($B21,'JR-Team Roping-Header'!$B$5:$N$24,4,FALSE)),0)+IFERROR(IF(VLOOKUP($B21,'JR-Team Roping-Heeler'!$B$5:$N$24,4,FALSE)=" ",0,VLOOKUP($B21,'JR-Team Roping-Heeler'!$B$5:$N$24,4,FALSE)),0)+IFERROR(IF(VLOOKUP($B21,'JR B-Steer Riding'!$B$5:$AI$24,10,FALSE)=" ",0,VLOOKUP($B21,'JR B-Steer Riding'!$B$5:$AI$24,10,FALSE)),0)+IFERROR(IF(VLOOKUP($B21,'JR B-Goats'!$B$5:$AI$24,10,FALSE)=" ",0,VLOOKUP($B21,'JR B-Goats'!$B$5:$AI$24,10,FALSE)),0)+IFERROR(IF(VLOOKUP($B21,'JR B-Calf Tying'!$B$5:$AI$24,10,FALSE)=" ",0,VLOOKUP($B21,'JR B-Calf Tying'!$B$5:$AI$24,10,FALSE)),0)+IFERROR(IF(VLOOKUP($B21,'JR B-Breakaway'!$B$5:$AI$24,10,FALSE)=" ",0,VLOOKUP($B21,'JR B-Breakaway'!$B$5:$AI$24,10,FALSE)),0)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IFERROR(IF(VLOOKUP($B21,'JR-Team Roping-Header'!$B$5:$N$24,5,FALSE)=" ",0,VLOOKUP($B21,'JR-Team Roping-Header'!$B$5:$N$24,5,FALSE)),0)+IFERROR(IF(VLOOKUP($B21,'JR-Team Roping-Heeler'!$B$5:$N$24,5,FALSE)=" ",0,VLOOKUP($B21,'JR-Team Roping-Heeler'!$B$5:$N$24,5,FALSE)),0)+IFERROR(IF(VLOOKUP($B21,'JR B-Steer Riding'!$B$5:$AI$24,14,FALSE)=" ",0,VLOOKUP($B21,'JR B-Steer Riding'!$B$5:$AI$24,14,FALSE)),0)+IFERROR(IF(VLOOKUP($B21,'JR B-Goats'!$B$5:$AI$24,14,FALSE)=" ",0,VLOOKUP($B21,'JR B-Goats'!$B$5:$AI$24,14,FALSE)),0)+IFERROR(IF(VLOOKUP($B21,'JR B-Calf Tying'!$B$5:$AI$24,14,FALSE)=" ",0,VLOOKUP($B21,'JR B-Calf Tying'!$B$5:$AI$24,14,FALSE)),0)+IFERROR(IF(VLOOKUP($B21,'JR B-Breakaway'!$B$5:$AI$24,14,FALSE)=" ",0,VLOOKUP($B21,'JR B-Breakaway'!$B$5:$AI$24,14,FALSE)),0)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IFERROR(IF(VLOOKUP($B21,'JR-Team Roping-Header'!$B$5:$N$24,6,FALSE)=" ",0,VLOOKUP($B21,'JR-Team Roping-Header'!$B$5:$N$24,6,FALSE)),0)+IFERROR(IF(VLOOKUP($B21,'JR-Team Roping-Heeler'!$B$5:$N$24,6,FALSE)=" ",0,VLOOKUP($B21,'JR-Team Roping-Heeler'!$B$5:$N$24,6,FALSE)),0)+IFERROR(IF(VLOOKUP($B21,'JR B-Steer Riding'!$B$5:$AI$24,18,FALSE)=" ",0,VLOOKUP($B21,'JR B-Steer Riding'!$B$5:$AI$24,18,FALSE)),0)+IFERROR(IF(VLOOKUP($B21,'JR B-Goats'!$B$5:$AI$24,18,FALSE)=" ",0,VLOOKUP($B21,'JR B-Goats'!$B$5:$AI$24,18,FALSE)),0)+IFERROR(IF(VLOOKUP($B21,'JR B-Calf Tying'!$B$5:$AI$24,18,FALSE)=" ",0,VLOOKUP($B21,'JR B-Calf Tying'!$B$5:$AI$24,18,FALSE)),0)+IFERROR(IF(VLOOKUP($B21,'JR B-Breakaway'!$B$5:$AI$24,18,FALSE)=" ",0,VLOOKUP($B21,'JR B-Breakaway'!$B$5:$AI$24,18,FALSE)),0)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IFERROR(IF(VLOOKUP($B21,'JR-Team Roping-Header'!$B$5:$N$24,7,FALSE)=" ",0,VLOOKUP($B21,'JR-Team Roping-Header'!$B$5:$N$24,7,FALSE)),0)+IFERROR(IF(VLOOKUP($B21,'JR-Team Roping-Heeler'!$B$5:$N$24,7,FALSE)=" ",0,VLOOKUP($B21,'JR-Team Roping-Heeler'!$B$5:$N$24,7,FALSE)),0)+IFERROR(IF(VLOOKUP($B21,'JR B-Steer Riding'!$B$5:$AI$24,22,FALSE)=" ",0,VLOOKUP($B21,'JR B-Steer Riding'!$B$5:$AI$24,22,FALSE)),0)+IFERROR(IF(VLOOKUP($B21,'JR B-Goats'!$B$5:$AI$24,22,FALSE)=" ",0,VLOOKUP($B21,'JR B-Goats'!$B$5:$AI$24,22,FALSE)),0)+IFERROR(IF(VLOOKUP($B21,'JR B-Calf Tying'!$B$5:$AI$24,22,FALSE)=" ",0,VLOOKUP($B21,'JR B-Calf Tying'!$B$5:$AI$24,22,FALSE)),0)+IFERROR(IF(VLOOKUP($B21,'JR B-Breakaway'!$B$5:$AI$24,22,FALSE)=" ",0,VLOOKUP($B21,'JR B-Breakaway'!$B$5:$AI$24,22,FALSE)),0)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IFERROR(IF(VLOOKUP($B21,'JR-Team Roping-Header'!$B$5:$N$24,8,FALSE)=" ",0,VLOOKUP($B21,'JR-Team Roping-Header'!$B$5:$N$24,8,FALSE)),0)+IFERROR(IF(VLOOKUP($B21,'JR-Team Roping-Heeler'!$B$5:$N$24,8,FALSE)=" ",0,VLOOKUP($B21,'JR-Team Roping-Heeler'!$B$5:$N$24,8,FALSE)),0)+IFERROR(IF(VLOOKUP($B21,'JR B-Steer Riding'!$B$5:$AI$24,26,FALSE)=" ",0,VLOOKUP($B21,'JR B-Steer Riding'!$B$5:$AI$24,26,FALSE)),0)+IFERROR(IF(VLOOKUP($B21,'JR B-Goats'!$B$5:$AI$24,26,FALSE)=" ",0,VLOOKUP($B21,'JR B-Goats'!$B$5:$AI$24,26,FALSE)),0)+IFERROR(IF(VLOOKUP($B21,'JR B-Calf Tying'!$B$5:$AI$24,26,FALSE)=" ",0,VLOOKUP($B21,'JR B-Calf Tying'!$B$5:$AI$24,26,FALSE)),0)+IFERROR(IF(VLOOKUP($B21,'JR B-Breakaway'!$B$5:$AI$24,26,FALSE)=" ",0,VLOOKUP($B21,'JR B-Breakaway'!$B$5:$AI$24,26,FALSE)),0)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IFERROR(IF(VLOOKUP($B21,'JR-Team Roping-Header'!$B$5:$N$24,9,FALSE)=" ",0,VLOOKUP($B21,'JR-Team Roping-Header'!$B$5:$N$24,9,FALSE)),0)+IFERROR(IF(VLOOKUP($B21,'JR-Team Roping-Heeler'!$B$5:$N$24,9,FALSE)=" ",0,VLOOKUP($B21,'JR-Team Roping-Heeler'!$B$5:$N$24,9,FALSE)),0)+IFERROR(IF(VLOOKUP($B21,'JR B-Steer Riding'!$B$5:$AI$24,30,FALSE)=" ",0,VLOOKUP($B21,'JR B-Steer Riding'!$B$5:$AI$24,30,FALSE)),0)+IFERROR(IF(VLOOKUP($B21,'JR B-Goats'!$B$5:$AI$24,30,FALSE)=" ",0,VLOOKUP($B21,'JR B-Goats'!$B$5:$AI$24,30,FALSE)),0)+IFERROR(IF(VLOOKUP($B21,'JR B-Calf Tying'!$B$5:$AI$24,30,FALSE)=" ",0,VLOOKUP($B21,'JR B-Calf Tying'!$B$5:$AI$24,30,FALSE)),0)+IFERROR(IF(VLOOKUP($B21,'JR B-Breakaway'!$B$5:$AI$24,30,FALSE)=" ",0,VLOOKUP($B21,'JR B-Breakaway'!$B$5:$AI$24,30,FALSE)),0)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IFERROR(IF(VLOOKUP($B21,'JR-Team Roping-Header'!$B$5:$N$24,10,FALSE)=" ",0,VLOOKUP($B21,'JR-Team Roping-Header'!$B$5:$N$24,10,FALSE)),0)+IFERROR(IF(VLOOKUP($B21,'JR-Team Roping-Heeler'!$B$5:$N$24,10,FALSE)=" ",0,VLOOKUP($B21,'JR-Team Roping-Heeler'!$B$5:$N$24,10,FALSE)),0)+IFERROR(IF(VLOOKUP($B21,'JR B-Steer Riding'!$B$5:$AI$24,34,FALSE)=" ",0,VLOOKUP($B21,'JR B-Steer Riding'!$B$5:$AI$24,34,FALSE)),0)+IFERROR(IF(VLOOKUP($B21,'JR B-Goats'!$B$5:$AI$24,34,FALSE)=" ",0,VLOOKUP($B21,'JR B-Goats'!$B$5:$AI$24,34,FALSE)),0)+IFERROR(IF(VLOOKUP($B21,'JR B-Calf Tying'!$B$5:$AI$24,34,FALSE)=" ",0,VLOOKUP($B21,'JR B-Calf Tying'!$B$5:$AI$24,34,FALSE)),0)+IFERROR(IF(VLOOKUP($B21,'JR B-Breakaway'!$B$5:$AI$24,34,FALSE)=" ",0,VLOOKUP($B21,'JR B-Breakaway'!$B$5:$AI$24,34,FALSE)),0)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IFERROR(IF(VLOOKUP($B22,'JR-Team Roping-Header'!$B$5:$N$24,3,FALSE)=" ",0,VLOOKUP($B22,'JR-Team Roping-Header'!$B$5:$N$24,3,FALSE)),0)+IFERROR(IF(VLOOKUP($B22,'JR-Team Roping-Heeler'!$B$5:$N$24,3,FALSE)=" ",0,VLOOKUP($B22,'JR-Team Roping-Heeler'!$B$5:$N$24,3,FALSE)),0)+IFERROR(IF(VLOOKUP($B22,'JR B-Steer Riding'!$B$5:$AI$24,6,FALSE)=" ",0,VLOOKUP($B22,'JR B-Steer Riding'!$B$5:$AI$24,6,FALSE)),0)+IFERROR(IF(VLOOKUP($B22,'JR B-Goats'!$B$5:$AI$24,6,FALSE)=" ",0,VLOOKUP($B22,'JR B-Goats'!$B$5:$AI$24,6,FALSE)),0)+IFERROR(IF(VLOOKUP($B22,'JR B-Calf Tying'!$B$5:$AI$24,6,FALSE)=" ",0,VLOOKUP($B22,'JR B-Calf Tying'!$B$5:$AI$24,6,FALSE)),0)+IFERROR(IF(VLOOKUP($B22,'JR B-Breakaway'!$B$5:$AI$24,6,FALSE)=" ",0,VLOOKUP($B22,'JR B-Breakaway'!$B$5:$AI$24,6,FALSE)),0)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IFERROR(IF(VLOOKUP($B22,'JR-Team Roping-Header'!$B$5:$N$24,4,FALSE)=" ",0,VLOOKUP($B22,'JR-Team Roping-Header'!$B$5:$N$24,4,FALSE)),0)+IFERROR(IF(VLOOKUP($B22,'JR-Team Roping-Heeler'!$B$5:$N$24,4,FALSE)=" ",0,VLOOKUP($B22,'JR-Team Roping-Heeler'!$B$5:$N$24,4,FALSE)),0)+IFERROR(IF(VLOOKUP($B22,'JR B-Steer Riding'!$B$5:$AI$24,10,FALSE)=" ",0,VLOOKUP($B22,'JR B-Steer Riding'!$B$5:$AI$24,10,FALSE)),0)+IFERROR(IF(VLOOKUP($B22,'JR B-Goats'!$B$5:$AI$24,10,FALSE)=" ",0,VLOOKUP($B22,'JR B-Goats'!$B$5:$AI$24,10,FALSE)),0)+IFERROR(IF(VLOOKUP($B22,'JR B-Calf Tying'!$B$5:$AI$24,10,FALSE)=" ",0,VLOOKUP($B22,'JR B-Calf Tying'!$B$5:$AI$24,10,FALSE)),0)+IFERROR(IF(VLOOKUP($B22,'JR B-Breakaway'!$B$5:$AI$24,10,FALSE)=" ",0,VLOOKUP($B22,'JR B-Breakaway'!$B$5:$AI$24,10,FALSE)),0)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IFERROR(IF(VLOOKUP($B22,'JR-Team Roping-Header'!$B$5:$N$24,5,FALSE)=" ",0,VLOOKUP($B22,'JR-Team Roping-Header'!$B$5:$N$24,5,FALSE)),0)+IFERROR(IF(VLOOKUP($B22,'JR-Team Roping-Heeler'!$B$5:$N$24,5,FALSE)=" ",0,VLOOKUP($B22,'JR-Team Roping-Heeler'!$B$5:$N$24,5,FALSE)),0)+IFERROR(IF(VLOOKUP($B22,'JR B-Steer Riding'!$B$5:$AI$24,14,FALSE)=" ",0,VLOOKUP($B22,'JR B-Steer Riding'!$B$5:$AI$24,14,FALSE)),0)+IFERROR(IF(VLOOKUP($B22,'JR B-Goats'!$B$5:$AI$24,14,FALSE)=" ",0,VLOOKUP($B22,'JR B-Goats'!$B$5:$AI$24,14,FALSE)),0)+IFERROR(IF(VLOOKUP($B22,'JR B-Calf Tying'!$B$5:$AI$24,14,FALSE)=" ",0,VLOOKUP($B22,'JR B-Calf Tying'!$B$5:$AI$24,14,FALSE)),0)+IFERROR(IF(VLOOKUP($B22,'JR B-Breakaway'!$B$5:$AI$24,14,FALSE)=" ",0,VLOOKUP($B22,'JR B-Breakaway'!$B$5:$AI$24,14,FALSE)),0)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IFERROR(IF(VLOOKUP($B22,'JR-Team Roping-Header'!$B$5:$N$24,6,FALSE)=" ",0,VLOOKUP($B22,'JR-Team Roping-Header'!$B$5:$N$24,6,FALSE)),0)+IFERROR(IF(VLOOKUP($B22,'JR-Team Roping-Heeler'!$B$5:$N$24,6,FALSE)=" ",0,VLOOKUP($B22,'JR-Team Roping-Heeler'!$B$5:$N$24,6,FALSE)),0)+IFERROR(IF(VLOOKUP($B22,'JR B-Steer Riding'!$B$5:$AI$24,18,FALSE)=" ",0,VLOOKUP($B22,'JR B-Steer Riding'!$B$5:$AI$24,18,FALSE)),0)+IFERROR(IF(VLOOKUP($B22,'JR B-Goats'!$B$5:$AI$24,18,FALSE)=" ",0,VLOOKUP($B22,'JR B-Goats'!$B$5:$AI$24,18,FALSE)),0)+IFERROR(IF(VLOOKUP($B22,'JR B-Calf Tying'!$B$5:$AI$24,18,FALSE)=" ",0,VLOOKUP($B22,'JR B-Calf Tying'!$B$5:$AI$24,18,FALSE)),0)+IFERROR(IF(VLOOKUP($B22,'JR B-Breakaway'!$B$5:$AI$24,18,FALSE)=" ",0,VLOOKUP($B22,'JR B-Breakaway'!$B$5:$AI$24,18,FALSE)),0)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IFERROR(IF(VLOOKUP($B22,'JR-Team Roping-Header'!$B$5:$N$24,7,FALSE)=" ",0,VLOOKUP($B22,'JR-Team Roping-Header'!$B$5:$N$24,7,FALSE)),0)+IFERROR(IF(VLOOKUP($B22,'JR-Team Roping-Heeler'!$B$5:$N$24,7,FALSE)=" ",0,VLOOKUP($B22,'JR-Team Roping-Heeler'!$B$5:$N$24,7,FALSE)),0)+IFERROR(IF(VLOOKUP($B22,'JR B-Steer Riding'!$B$5:$AI$24,22,FALSE)=" ",0,VLOOKUP($B22,'JR B-Steer Riding'!$B$5:$AI$24,22,FALSE)),0)+IFERROR(IF(VLOOKUP($B22,'JR B-Goats'!$B$5:$AI$24,22,FALSE)=" ",0,VLOOKUP($B22,'JR B-Goats'!$B$5:$AI$24,22,FALSE)),0)+IFERROR(IF(VLOOKUP($B22,'JR B-Calf Tying'!$B$5:$AI$24,22,FALSE)=" ",0,VLOOKUP($B22,'JR B-Calf Tying'!$B$5:$AI$24,22,FALSE)),0)+IFERROR(IF(VLOOKUP($B22,'JR B-Breakaway'!$B$5:$AI$24,22,FALSE)=" ",0,VLOOKUP($B22,'JR B-Breakaway'!$B$5:$AI$24,22,FALSE)),0)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IFERROR(IF(VLOOKUP($B22,'JR-Team Roping-Header'!$B$5:$N$24,8,FALSE)=" ",0,VLOOKUP($B22,'JR-Team Roping-Header'!$B$5:$N$24,8,FALSE)),0)+IFERROR(IF(VLOOKUP($B22,'JR-Team Roping-Heeler'!$B$5:$N$24,8,FALSE)=" ",0,VLOOKUP($B22,'JR-Team Roping-Heeler'!$B$5:$N$24,8,FALSE)),0)+IFERROR(IF(VLOOKUP($B22,'JR B-Steer Riding'!$B$5:$AI$24,26,FALSE)=" ",0,VLOOKUP($B22,'JR B-Steer Riding'!$B$5:$AI$24,26,FALSE)),0)+IFERROR(IF(VLOOKUP($B22,'JR B-Goats'!$B$5:$AI$24,26,FALSE)=" ",0,VLOOKUP($B22,'JR B-Goats'!$B$5:$AI$24,26,FALSE)),0)+IFERROR(IF(VLOOKUP($B22,'JR B-Calf Tying'!$B$5:$AI$24,26,FALSE)=" ",0,VLOOKUP($B22,'JR B-Calf Tying'!$B$5:$AI$24,26,FALSE)),0)+IFERROR(IF(VLOOKUP($B22,'JR B-Breakaway'!$B$5:$AI$24,26,FALSE)=" ",0,VLOOKUP($B22,'JR B-Breakaway'!$B$5:$AI$24,26,FALSE)),0)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IFERROR(IF(VLOOKUP($B22,'JR-Team Roping-Header'!$B$5:$N$24,9,FALSE)=" ",0,VLOOKUP($B22,'JR-Team Roping-Header'!$B$5:$N$24,9,FALSE)),0)+IFERROR(IF(VLOOKUP($B22,'JR-Team Roping-Heeler'!$B$5:$N$24,9,FALSE)=" ",0,VLOOKUP($B22,'JR-Team Roping-Heeler'!$B$5:$N$24,9,FALSE)),0)+IFERROR(IF(VLOOKUP($B22,'JR B-Steer Riding'!$B$5:$AI$24,30,FALSE)=" ",0,VLOOKUP($B22,'JR B-Steer Riding'!$B$5:$AI$24,30,FALSE)),0)+IFERROR(IF(VLOOKUP($B22,'JR B-Goats'!$B$5:$AI$24,30,FALSE)=" ",0,VLOOKUP($B22,'JR B-Goats'!$B$5:$AI$24,30,FALSE)),0)+IFERROR(IF(VLOOKUP($B22,'JR B-Calf Tying'!$B$5:$AI$24,30,FALSE)=" ",0,VLOOKUP($B22,'JR B-Calf Tying'!$B$5:$AI$24,30,FALSE)),0)+IFERROR(IF(VLOOKUP($B22,'JR B-Breakaway'!$B$5:$AI$24,30,FALSE)=" ",0,VLOOKUP($B22,'JR B-Breakaway'!$B$5:$AI$24,30,FALSE)),0)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IFERROR(IF(VLOOKUP($B22,'JR-Team Roping-Header'!$B$5:$N$24,10,FALSE)=" ",0,VLOOKUP($B22,'JR-Team Roping-Header'!$B$5:$N$24,10,FALSE)),0)+IFERROR(IF(VLOOKUP($B22,'JR-Team Roping-Heeler'!$B$5:$N$24,10,FALSE)=" ",0,VLOOKUP($B22,'JR-Team Roping-Heeler'!$B$5:$N$24,10,FALSE)),0)+IFERROR(IF(VLOOKUP($B22,'JR B-Steer Riding'!$B$5:$AI$24,34,FALSE)=" ",0,VLOOKUP($B22,'JR B-Steer Riding'!$B$5:$AI$24,34,FALSE)),0)+IFERROR(IF(VLOOKUP($B22,'JR B-Goats'!$B$5:$AI$24,34,FALSE)=" ",0,VLOOKUP($B22,'JR B-Goats'!$B$5:$AI$24,34,FALSE)),0)+IFERROR(IF(VLOOKUP($B22,'JR B-Calf Tying'!$B$5:$AI$24,34,FALSE)=" ",0,VLOOKUP($B22,'JR B-Calf Tying'!$B$5:$AI$24,34,FALSE)),0)+IFERROR(IF(VLOOKUP($B22,'JR B-Breakaway'!$B$5:$AI$24,34,FALSE)=" ",0,VLOOKUP($B22,'JR B-Breakaway'!$B$5:$AI$24,34,FALSE)),0)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IFERROR(IF(VLOOKUP($B23,'JR-Team Roping-Header'!$B$5:$N$24,3,FALSE)=" ",0,VLOOKUP($B23,'JR-Team Roping-Header'!$B$5:$N$24,3,FALSE)),0)+IFERROR(IF(VLOOKUP($B23,'JR-Team Roping-Heeler'!$B$5:$N$24,3,FALSE)=" ",0,VLOOKUP($B23,'JR-Team Roping-Heeler'!$B$5:$N$24,3,FALSE)),0)+IFERROR(IF(VLOOKUP($B23,'JR B-Steer Riding'!$B$5:$AI$24,6,FALSE)=" ",0,VLOOKUP($B23,'JR B-Steer Riding'!$B$5:$AI$24,6,FALSE)),0)+IFERROR(IF(VLOOKUP($B23,'JR B-Goats'!$B$5:$AI$24,6,FALSE)=" ",0,VLOOKUP($B23,'JR B-Goats'!$B$5:$AI$24,6,FALSE)),0)+IFERROR(IF(VLOOKUP($B23,'JR B-Calf Tying'!$B$5:$AI$24,6,FALSE)=" ",0,VLOOKUP($B23,'JR B-Calf Tying'!$B$5:$AI$24,6,FALSE)),0)+IFERROR(IF(VLOOKUP($B23,'JR B-Breakaway'!$B$5:$AI$24,6,FALSE)=" ",0,VLOOKUP($B23,'JR B-Breakaway'!$B$5:$AI$24,6,FALSE)),0)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IFERROR(IF(VLOOKUP($B23,'JR-Team Roping-Header'!$B$5:$N$24,4,FALSE)=" ",0,VLOOKUP($B23,'JR-Team Roping-Header'!$B$5:$N$24,4,FALSE)),0)+IFERROR(IF(VLOOKUP($B23,'JR-Team Roping-Heeler'!$B$5:$N$24,4,FALSE)=" ",0,VLOOKUP($B23,'JR-Team Roping-Heeler'!$B$5:$N$24,4,FALSE)),0)+IFERROR(IF(VLOOKUP($B23,'JR B-Steer Riding'!$B$5:$AI$24,10,FALSE)=" ",0,VLOOKUP($B23,'JR B-Steer Riding'!$B$5:$AI$24,10,FALSE)),0)+IFERROR(IF(VLOOKUP($B23,'JR B-Goats'!$B$5:$AI$24,10,FALSE)=" ",0,VLOOKUP($B23,'JR B-Goats'!$B$5:$AI$24,10,FALSE)),0)+IFERROR(IF(VLOOKUP($B23,'JR B-Calf Tying'!$B$5:$AI$24,10,FALSE)=" ",0,VLOOKUP($B23,'JR B-Calf Tying'!$B$5:$AI$24,10,FALSE)),0)+IFERROR(IF(VLOOKUP($B23,'JR B-Breakaway'!$B$5:$AI$24,10,FALSE)=" ",0,VLOOKUP($B23,'JR B-Breakaway'!$B$5:$AI$24,10,FALSE)),0)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IFERROR(IF(VLOOKUP($B23,'JR-Team Roping-Header'!$B$5:$N$24,5,FALSE)=" ",0,VLOOKUP($B23,'JR-Team Roping-Header'!$B$5:$N$24,5,FALSE)),0)+IFERROR(IF(VLOOKUP($B23,'JR-Team Roping-Heeler'!$B$5:$N$24,5,FALSE)=" ",0,VLOOKUP($B23,'JR-Team Roping-Heeler'!$B$5:$N$24,5,FALSE)),0)+IFERROR(IF(VLOOKUP($B23,'JR B-Steer Riding'!$B$5:$AI$24,14,FALSE)=" ",0,VLOOKUP($B23,'JR B-Steer Riding'!$B$5:$AI$24,14,FALSE)),0)+IFERROR(IF(VLOOKUP($B23,'JR B-Goats'!$B$5:$AI$24,14,FALSE)=" ",0,VLOOKUP($B23,'JR B-Goats'!$B$5:$AI$24,14,FALSE)),0)+IFERROR(IF(VLOOKUP($B23,'JR B-Calf Tying'!$B$5:$AI$24,14,FALSE)=" ",0,VLOOKUP($B23,'JR B-Calf Tying'!$B$5:$AI$24,14,FALSE)),0)+IFERROR(IF(VLOOKUP($B23,'JR B-Breakaway'!$B$5:$AI$24,14,FALSE)=" ",0,VLOOKUP($B23,'JR B-Breakaway'!$B$5:$AI$24,14,FALSE)),0)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IFERROR(IF(VLOOKUP($B23,'JR-Team Roping-Header'!$B$5:$N$24,6,FALSE)=" ",0,VLOOKUP($B23,'JR-Team Roping-Header'!$B$5:$N$24,6,FALSE)),0)+IFERROR(IF(VLOOKUP($B23,'JR-Team Roping-Heeler'!$B$5:$N$24,6,FALSE)=" ",0,VLOOKUP($B23,'JR-Team Roping-Heeler'!$B$5:$N$24,6,FALSE)),0)+IFERROR(IF(VLOOKUP($B23,'JR B-Steer Riding'!$B$5:$AI$24,18,FALSE)=" ",0,VLOOKUP($B23,'JR B-Steer Riding'!$B$5:$AI$24,18,FALSE)),0)+IFERROR(IF(VLOOKUP($B23,'JR B-Goats'!$B$5:$AI$24,18,FALSE)=" ",0,VLOOKUP($B23,'JR B-Goats'!$B$5:$AI$24,18,FALSE)),0)+IFERROR(IF(VLOOKUP($B23,'JR B-Calf Tying'!$B$5:$AI$24,18,FALSE)=" ",0,VLOOKUP($B23,'JR B-Calf Tying'!$B$5:$AI$24,18,FALSE)),0)+IFERROR(IF(VLOOKUP($B23,'JR B-Breakaway'!$B$5:$AI$24,18,FALSE)=" ",0,VLOOKUP($B23,'JR B-Breakaway'!$B$5:$AI$24,18,FALSE)),0)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IFERROR(IF(VLOOKUP($B23,'JR-Team Roping-Header'!$B$5:$N$24,7,FALSE)=" ",0,VLOOKUP($B23,'JR-Team Roping-Header'!$B$5:$N$24,7,FALSE)),0)+IFERROR(IF(VLOOKUP($B23,'JR-Team Roping-Heeler'!$B$5:$N$24,7,FALSE)=" ",0,VLOOKUP($B23,'JR-Team Roping-Heeler'!$B$5:$N$24,7,FALSE)),0)+IFERROR(IF(VLOOKUP($B23,'JR B-Steer Riding'!$B$5:$AI$24,22,FALSE)=" ",0,VLOOKUP($B23,'JR B-Steer Riding'!$B$5:$AI$24,22,FALSE)),0)+IFERROR(IF(VLOOKUP($B23,'JR B-Goats'!$B$5:$AI$24,22,FALSE)=" ",0,VLOOKUP($B23,'JR B-Goats'!$B$5:$AI$24,22,FALSE)),0)+IFERROR(IF(VLOOKUP($B23,'JR B-Calf Tying'!$B$5:$AI$24,22,FALSE)=" ",0,VLOOKUP($B23,'JR B-Calf Tying'!$B$5:$AI$24,22,FALSE)),0)+IFERROR(IF(VLOOKUP($B23,'JR B-Breakaway'!$B$5:$AI$24,22,FALSE)=" ",0,VLOOKUP($B23,'JR B-Breakaway'!$B$5:$AI$24,22,FALSE)),0)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IFERROR(IF(VLOOKUP($B23,'JR-Team Roping-Header'!$B$5:$N$24,8,FALSE)=" ",0,VLOOKUP($B23,'JR-Team Roping-Header'!$B$5:$N$24,8,FALSE)),0)+IFERROR(IF(VLOOKUP($B23,'JR-Team Roping-Heeler'!$B$5:$N$24,8,FALSE)=" ",0,VLOOKUP($B23,'JR-Team Roping-Heeler'!$B$5:$N$24,8,FALSE)),0)+IFERROR(IF(VLOOKUP($B23,'JR B-Steer Riding'!$B$5:$AI$24,26,FALSE)=" ",0,VLOOKUP($B23,'JR B-Steer Riding'!$B$5:$AI$24,26,FALSE)),0)+IFERROR(IF(VLOOKUP($B23,'JR B-Goats'!$B$5:$AI$24,26,FALSE)=" ",0,VLOOKUP($B23,'JR B-Goats'!$B$5:$AI$24,26,FALSE)),0)+IFERROR(IF(VLOOKUP($B23,'JR B-Calf Tying'!$B$5:$AI$24,26,FALSE)=" ",0,VLOOKUP($B23,'JR B-Calf Tying'!$B$5:$AI$24,26,FALSE)),0)+IFERROR(IF(VLOOKUP($B23,'JR B-Breakaway'!$B$5:$AI$24,26,FALSE)=" ",0,VLOOKUP($B23,'JR B-Breakaway'!$B$5:$AI$24,26,FALSE)),0)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IFERROR(IF(VLOOKUP($B23,'JR-Team Roping-Header'!$B$5:$N$24,9,FALSE)=" ",0,VLOOKUP($B23,'JR-Team Roping-Header'!$B$5:$N$24,9,FALSE)),0)+IFERROR(IF(VLOOKUP($B23,'JR-Team Roping-Heeler'!$B$5:$N$24,9,FALSE)=" ",0,VLOOKUP($B23,'JR-Team Roping-Heeler'!$B$5:$N$24,9,FALSE)),0)+IFERROR(IF(VLOOKUP($B23,'JR B-Steer Riding'!$B$5:$AI$24,30,FALSE)=" ",0,VLOOKUP($B23,'JR B-Steer Riding'!$B$5:$AI$24,30,FALSE)),0)+IFERROR(IF(VLOOKUP($B23,'JR B-Goats'!$B$5:$AI$24,30,FALSE)=" ",0,VLOOKUP($B23,'JR B-Goats'!$B$5:$AI$24,30,FALSE)),0)+IFERROR(IF(VLOOKUP($B23,'JR B-Calf Tying'!$B$5:$AI$24,30,FALSE)=" ",0,VLOOKUP($B23,'JR B-Calf Tying'!$B$5:$AI$24,30,FALSE)),0)+IFERROR(IF(VLOOKUP($B23,'JR B-Breakaway'!$B$5:$AI$24,30,FALSE)=" ",0,VLOOKUP($B23,'JR B-Breakaway'!$B$5:$AI$24,30,FALSE)),0)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IFERROR(IF(VLOOKUP($B23,'JR-Team Roping-Header'!$B$5:$N$24,10,FALSE)=" ",0,VLOOKUP($B23,'JR-Team Roping-Header'!$B$5:$N$24,10,FALSE)),0)+IFERROR(IF(VLOOKUP($B23,'JR-Team Roping-Heeler'!$B$5:$N$24,10,FALSE)=" ",0,VLOOKUP($B23,'JR-Team Roping-Heeler'!$B$5:$N$24,10,FALSE)),0)+IFERROR(IF(VLOOKUP($B23,'JR B-Steer Riding'!$B$5:$AI$24,34,FALSE)=" ",0,VLOOKUP($B23,'JR B-Steer Riding'!$B$5:$AI$24,34,FALSE)),0)+IFERROR(IF(VLOOKUP($B23,'JR B-Goats'!$B$5:$AI$24,34,FALSE)=" ",0,VLOOKUP($B23,'JR B-Goats'!$B$5:$AI$24,34,FALSE)),0)+IFERROR(IF(VLOOKUP($B23,'JR B-Calf Tying'!$B$5:$AI$24,34,FALSE)=" ",0,VLOOKUP($B23,'JR B-Calf Tying'!$B$5:$AI$24,34,FALSE)),0)+IFERROR(IF(VLOOKUP($B23,'JR B-Breakaway'!$B$5:$AI$24,34,FALSE)=" ",0,VLOOKUP($B23,'JR B-Breakaway'!$B$5:$AI$24,34,FALSE)),0)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IFERROR(IF(VLOOKUP($B24,'JR-Team Roping-Header'!$B$5:$N$24,3,FALSE)=" ",0,VLOOKUP($B24,'JR-Team Roping-Header'!$B$5:$N$24,3,FALSE)),0)+IFERROR(IF(VLOOKUP($B24,'JR-Team Roping-Heeler'!$B$5:$N$24,3,FALSE)=" ",0,VLOOKUP($B24,'JR-Team Roping-Heeler'!$B$5:$N$24,3,FALSE)),0)+IFERROR(IF(VLOOKUP($B24,'JR B-Steer Riding'!$B$5:$AI$24,6,FALSE)=" ",0,VLOOKUP($B24,'JR B-Steer Riding'!$B$5:$AI$24,6,FALSE)),0)+IFERROR(IF(VLOOKUP($B24,'JR B-Goats'!$B$5:$AI$24,6,FALSE)=" ",0,VLOOKUP($B24,'JR B-Goats'!$B$5:$AI$24,6,FALSE)),0)+IFERROR(IF(VLOOKUP($B24,'JR B-Calf Tying'!$B$5:$AI$24,6,FALSE)=" ",0,VLOOKUP($B24,'JR B-Calf Tying'!$B$5:$AI$24,6,FALSE)),0)+IFERROR(IF(VLOOKUP($B24,'JR B-Breakaway'!$B$5:$AI$24,6,FALSE)=" ",0,VLOOKUP($B24,'JR B-Breakaway'!$B$5:$AI$24,6,FALSE)),0)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IFERROR(IF(VLOOKUP($B24,'JR-Team Roping-Header'!$B$5:$N$24,4,FALSE)=" ",0,VLOOKUP($B24,'JR-Team Roping-Header'!$B$5:$N$24,4,FALSE)),0)+IFERROR(IF(VLOOKUP($B24,'JR-Team Roping-Heeler'!$B$5:$N$24,4,FALSE)=" ",0,VLOOKUP($B24,'JR-Team Roping-Heeler'!$B$5:$N$24,4,FALSE)),0)+IFERROR(IF(VLOOKUP($B24,'JR B-Steer Riding'!$B$5:$AI$24,10,FALSE)=" ",0,VLOOKUP($B24,'JR B-Steer Riding'!$B$5:$AI$24,10,FALSE)),0)+IFERROR(IF(VLOOKUP($B24,'JR B-Goats'!$B$5:$AI$24,10,FALSE)=" ",0,VLOOKUP($B24,'JR B-Goats'!$B$5:$AI$24,10,FALSE)),0)+IFERROR(IF(VLOOKUP($B24,'JR B-Calf Tying'!$B$5:$AI$24,10,FALSE)=" ",0,VLOOKUP($B24,'JR B-Calf Tying'!$B$5:$AI$24,10,FALSE)),0)+IFERROR(IF(VLOOKUP($B24,'JR B-Breakaway'!$B$5:$AI$24,10,FALSE)=" ",0,VLOOKUP($B24,'JR B-Breakaway'!$B$5:$AI$24,10,FALSE)),0)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IFERROR(IF(VLOOKUP($B24,'JR-Team Roping-Header'!$B$5:$N$24,5,FALSE)=" ",0,VLOOKUP($B24,'JR-Team Roping-Header'!$B$5:$N$24,5,FALSE)),0)+IFERROR(IF(VLOOKUP($B24,'JR-Team Roping-Heeler'!$B$5:$N$24,5,FALSE)=" ",0,VLOOKUP($B24,'JR-Team Roping-Heeler'!$B$5:$N$24,5,FALSE)),0)+IFERROR(IF(VLOOKUP($B24,'JR B-Steer Riding'!$B$5:$AI$24,14,FALSE)=" ",0,VLOOKUP($B24,'JR B-Steer Riding'!$B$5:$AI$24,14,FALSE)),0)+IFERROR(IF(VLOOKUP($B24,'JR B-Goats'!$B$5:$AI$24,14,FALSE)=" ",0,VLOOKUP($B24,'JR B-Goats'!$B$5:$AI$24,14,FALSE)),0)+IFERROR(IF(VLOOKUP($B24,'JR B-Calf Tying'!$B$5:$AI$24,14,FALSE)=" ",0,VLOOKUP($B24,'JR B-Calf Tying'!$B$5:$AI$24,14,FALSE)),0)+IFERROR(IF(VLOOKUP($B24,'JR B-Breakaway'!$B$5:$AI$24,14,FALSE)=" ",0,VLOOKUP($B24,'JR B-Breakaway'!$B$5:$AI$24,14,FALSE)),0)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IFERROR(IF(VLOOKUP($B24,'JR-Team Roping-Header'!$B$5:$N$24,6,FALSE)=" ",0,VLOOKUP($B24,'JR-Team Roping-Header'!$B$5:$N$24,6,FALSE)),0)+IFERROR(IF(VLOOKUP($B24,'JR-Team Roping-Heeler'!$B$5:$N$24,6,FALSE)=" ",0,VLOOKUP($B24,'JR-Team Roping-Heeler'!$B$5:$N$24,6,FALSE)),0)+IFERROR(IF(VLOOKUP($B24,'JR B-Steer Riding'!$B$5:$AI$24,18,FALSE)=" ",0,VLOOKUP($B24,'JR B-Steer Riding'!$B$5:$AI$24,18,FALSE)),0)+IFERROR(IF(VLOOKUP($B24,'JR B-Goats'!$B$5:$AI$24,18,FALSE)=" ",0,VLOOKUP($B24,'JR B-Goats'!$B$5:$AI$24,18,FALSE)),0)+IFERROR(IF(VLOOKUP($B24,'JR B-Calf Tying'!$B$5:$AI$24,18,FALSE)=" ",0,VLOOKUP($B24,'JR B-Calf Tying'!$B$5:$AI$24,18,FALSE)),0)+IFERROR(IF(VLOOKUP($B24,'JR B-Breakaway'!$B$5:$AI$24,18,FALSE)=" ",0,VLOOKUP($B24,'JR B-Breakaway'!$B$5:$AI$24,18,FALSE)),0)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IFERROR(IF(VLOOKUP($B24,'JR-Team Roping-Header'!$B$5:$N$24,7,FALSE)=" ",0,VLOOKUP($B24,'JR-Team Roping-Header'!$B$5:$N$24,7,FALSE)),0)+IFERROR(IF(VLOOKUP($B24,'JR-Team Roping-Heeler'!$B$5:$N$24,7,FALSE)=" ",0,VLOOKUP($B24,'JR-Team Roping-Heeler'!$B$5:$N$24,7,FALSE)),0)+IFERROR(IF(VLOOKUP($B24,'JR B-Steer Riding'!$B$5:$AI$24,22,FALSE)=" ",0,VLOOKUP($B24,'JR B-Steer Riding'!$B$5:$AI$24,22,FALSE)),0)+IFERROR(IF(VLOOKUP($B24,'JR B-Goats'!$B$5:$AI$24,22,FALSE)=" ",0,VLOOKUP($B24,'JR B-Goats'!$B$5:$AI$24,22,FALSE)),0)+IFERROR(IF(VLOOKUP($B24,'JR B-Calf Tying'!$B$5:$AI$24,22,FALSE)=" ",0,VLOOKUP($B24,'JR B-Calf Tying'!$B$5:$AI$24,22,FALSE)),0)+IFERROR(IF(VLOOKUP($B24,'JR B-Breakaway'!$B$5:$AI$24,22,FALSE)=" ",0,VLOOKUP($B24,'JR B-Breakaway'!$B$5:$AI$24,22,FALSE)),0)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IFERROR(IF(VLOOKUP($B24,'JR-Team Roping-Header'!$B$5:$N$24,8,FALSE)=" ",0,VLOOKUP($B24,'JR-Team Roping-Header'!$B$5:$N$24,8,FALSE)),0)+IFERROR(IF(VLOOKUP($B24,'JR-Team Roping-Heeler'!$B$5:$N$24,8,FALSE)=" ",0,VLOOKUP($B24,'JR-Team Roping-Heeler'!$B$5:$N$24,8,FALSE)),0)+IFERROR(IF(VLOOKUP($B24,'JR B-Steer Riding'!$B$5:$AI$24,26,FALSE)=" ",0,VLOOKUP($B24,'JR B-Steer Riding'!$B$5:$AI$24,26,FALSE)),0)+IFERROR(IF(VLOOKUP($B24,'JR B-Goats'!$B$5:$AI$24,26,FALSE)=" ",0,VLOOKUP($B24,'JR B-Goats'!$B$5:$AI$24,26,FALSE)),0)+IFERROR(IF(VLOOKUP($B24,'JR B-Calf Tying'!$B$5:$AI$24,26,FALSE)=" ",0,VLOOKUP($B24,'JR B-Calf Tying'!$B$5:$AI$24,26,FALSE)),0)+IFERROR(IF(VLOOKUP($B24,'JR B-Breakaway'!$B$5:$AI$24,26,FALSE)=" ",0,VLOOKUP($B24,'JR B-Breakaway'!$B$5:$AI$24,26,FALSE)),0)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IFERROR(IF(VLOOKUP($B24,'JR-Team Roping-Header'!$B$5:$N$24,9,FALSE)=" ",0,VLOOKUP($B24,'JR-Team Roping-Header'!$B$5:$N$24,9,FALSE)),0)+IFERROR(IF(VLOOKUP($B24,'JR-Team Roping-Heeler'!$B$5:$N$24,9,FALSE)=" ",0,VLOOKUP($B24,'JR-Team Roping-Heeler'!$B$5:$N$24,9,FALSE)),0)+IFERROR(IF(VLOOKUP($B24,'JR B-Steer Riding'!$B$5:$AI$24,30,FALSE)=" ",0,VLOOKUP($B24,'JR B-Steer Riding'!$B$5:$AI$24,30,FALSE)),0)+IFERROR(IF(VLOOKUP($B24,'JR B-Goats'!$B$5:$AI$24,30,FALSE)=" ",0,VLOOKUP($B24,'JR B-Goats'!$B$5:$AI$24,30,FALSE)),0)+IFERROR(IF(VLOOKUP($B24,'JR B-Calf Tying'!$B$5:$AI$24,30,FALSE)=" ",0,VLOOKUP($B24,'JR B-Calf Tying'!$B$5:$AI$24,30,FALSE)),0)+IFERROR(IF(VLOOKUP($B24,'JR B-Breakaway'!$B$5:$AI$24,30,FALSE)=" ",0,VLOOKUP($B24,'JR B-Breakaway'!$B$5:$AI$24,30,FALSE)),0)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IFERROR(IF(VLOOKUP($B24,'JR-Team Roping-Header'!$B$5:$N$24,10,FALSE)=" ",0,VLOOKUP($B24,'JR-Team Roping-Header'!$B$5:$N$24,10,FALSE)),0)+IFERROR(IF(VLOOKUP($B24,'JR-Team Roping-Heeler'!$B$5:$N$24,10,FALSE)=" ",0,VLOOKUP($B24,'JR-Team Roping-Heeler'!$B$5:$N$24,10,FALSE)),0)+IFERROR(IF(VLOOKUP($B24,'JR B-Steer Riding'!$B$5:$AI$24,34,FALSE)=" ",0,VLOOKUP($B24,'JR B-Steer Riding'!$B$5:$AI$24,34,FALSE)),0)+IFERROR(IF(VLOOKUP($B24,'JR B-Goats'!$B$5:$AI$24,34,FALSE)=" ",0,VLOOKUP($B24,'JR B-Goats'!$B$5:$AI$24,34,FALSE)),0)+IFERROR(IF(VLOOKUP($B24,'JR B-Calf Tying'!$B$5:$AI$24,34,FALSE)=" ",0,VLOOKUP($B24,'JR B-Calf Tying'!$B$5:$AI$24,34,FALSE)),0)+IFERROR(IF(VLOOKUP($B24,'JR B-Breakaway'!$B$5:$AI$24,34,FALSE)=" ",0,VLOOKUP($B24,'JR B-Breakaway'!$B$5:$AI$24,34,FALSE)),0)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Qc+11Hl6c6h9Nu1Ptfn79+VFA25Qds/AuRGZVBjriKRH82BMgJOO6lVNExcMi9uBuzfBPsQFs522k2ZGd8X7Cg==" saltValue="FKlruFuN30kV0JlLsifv7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2">
    <tabColor theme="5" tint="0.79998168889431442"/>
  </sheetPr>
  <dimension ref="B1:AL35"/>
  <sheetViews>
    <sheetView showGridLines="0" zoomScaleNormal="100" workbookViewId="0">
      <pane xSplit="2" topLeftCell="C1" activePane="topRight" state="frozen"/>
      <selection activeCell="J35" sqref="J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96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252</v>
      </c>
      <c r="C5" s="84"/>
      <c r="D5" s="85"/>
      <c r="E5" s="86" t="str">
        <f t="shared" ref="E5:E30" si="0">IF(D5=0," ",_xlfn.RANK.AVG(D5,D$5:D$30,1)-COUNTIF(D$5:D$30,0))</f>
        <v xml:space="preserve"> </v>
      </c>
      <c r="F5" s="86" t="str">
        <f t="shared" ref="F5:F30" si="1">IF(D5=0," ",IF((RANK(D5,D$5:D$30,1)-COUNTIF(D$5:D$30,0)&gt;6)," ",RANK(D5,D$5:D$30,1)-COUNTIF(D$5:D$30,0)))</f>
        <v xml:space="preserve"> </v>
      </c>
      <c r="G5" s="87" t="str">
        <f>IF(Table62202732333721[[#This Row],[Non-Member]]="X"," ",IF(F5=" "," ",IFERROR(VLOOKUP(E5,Points!$A$2:$B$14,2,FALSE)," ")))</f>
        <v xml:space="preserve"> </v>
      </c>
      <c r="H5" s="136">
        <v>19.518999999999998</v>
      </c>
      <c r="I5" s="86">
        <f t="shared" ref="I5:I30" si="2">IF(H5=0," ",_xlfn.RANK.AVG(H5,H$5:H$30,1)-COUNTIF(H$5:H$30,0))</f>
        <v>3</v>
      </c>
      <c r="J5" s="89">
        <f t="shared" ref="J5:J30" si="3">IF(H5=0," ",IF((RANK(H5,H$5:H$30,1)-COUNTIF(H$5:H$30,0)&gt;6)," ",RANK(H5,H$5:H$30,1)-COUNTIF(H$5:H$30,0)))</f>
        <v>3</v>
      </c>
      <c r="K5" s="87">
        <f>IF(Table62202732333721[[#This Row],[Non-Member]]="X"," ",IF(J5=" "," ",IFERROR(VLOOKUP(I5,Points!$A$2:$B$14,2,FALSE)," ")))</f>
        <v>12</v>
      </c>
      <c r="L5" s="85">
        <v>19.059999999999999</v>
      </c>
      <c r="M5" s="86">
        <f t="shared" ref="M5:M30" si="4">IF(L5=0," ",_xlfn.RANK.AVG(L5,L$5:L$30,1)-COUNTIF(L$5:L$30,0))</f>
        <v>1</v>
      </c>
      <c r="N5" s="86">
        <f t="shared" ref="N5:N30" si="5">IF(L5=0," ",IF((RANK(L5,L$5:L$30,1)-COUNTIF(L$5:L$30,0)&gt;6)," ",RANK(L5,L$5:L$30,1)-COUNTIF(L$5:L$30,0)))</f>
        <v>1</v>
      </c>
      <c r="O5" s="87">
        <f>IF(Table62202732333721[[#This Row],[Non-Member]]="X"," ",IF(N5=" "," ",IFERROR(VLOOKUP(M5,Points!$A$2:$B$14,2,FALSE)," ")))</f>
        <v>18</v>
      </c>
      <c r="P5" s="85">
        <v>18.907</v>
      </c>
      <c r="Q5" s="86">
        <f t="shared" ref="Q5:Q30" si="6">IF(P5=0," ",_xlfn.RANK.AVG(P5,P$5:P$30,1)-COUNTIF(P$5:P$30,0))</f>
        <v>1.5</v>
      </c>
      <c r="R5" s="86">
        <f t="shared" ref="R5:R30" si="7">IF(P5=0," ",IF((RANK(P5,P$5:P$30,1)-COUNTIF(P$5:P$30,0)&gt;6)," ",RANK(P5,P$5:P$30,1)-COUNTIF(P$5:P$30,0)))</f>
        <v>1</v>
      </c>
      <c r="S5" s="87">
        <f>IF(Table62202732333721[[#This Row],[Non-Member]]="X"," ",IF(R5=" "," ",IFERROR(VLOOKUP(Q5,Points!$A$2:$B$14,2,FALSE)," ")))</f>
        <v>16.5</v>
      </c>
      <c r="T5" s="85"/>
      <c r="U5" s="86" t="str">
        <f t="shared" ref="U5:U30" si="8">IF(T5=0," ",_xlfn.RANK.AVG(T5,T$5:T$30,1)-COUNTIF(T$5:T$30,0))</f>
        <v xml:space="preserve"> </v>
      </c>
      <c r="V5" s="86" t="str">
        <f t="shared" ref="V5:V30" si="9">IF(T5=0," ",IF((RANK(T5,T$5:T$30,1)-COUNTIF(T$5:T$30,0)&gt;6)," ",RANK(T5,T$5:T$30,1)-COUNTIF(T$5:T$30,0)))</f>
        <v xml:space="preserve"> </v>
      </c>
      <c r="W5" s="87" t="str">
        <f>IF(Table62202732333721[[#This Row],[Non-Member]]="X"," ",IF(V5=" "," ",IFERROR(VLOOKUP(U5,Points!$A$2:$B$14,2,FALSE)," ")))</f>
        <v xml:space="preserve"> </v>
      </c>
      <c r="X5" s="85"/>
      <c r="Y5" s="86" t="str">
        <f t="shared" ref="Y5:Y30" si="10">IF(X5=0," ",_xlfn.RANK.AVG(X5,X$5:X$30,1)-COUNTIF(X$5:X$30,0))</f>
        <v xml:space="preserve"> </v>
      </c>
      <c r="Z5" s="86" t="str">
        <f t="shared" ref="Z5:Z30" si="11">IF(X5=0," ",IF((RANK(X5,X$5:X$30,1)-COUNTIF(X$5:X$30,0)&gt;6)," ",RANK(X5,X$5:X$30,1)-COUNTIF(X$5:X$30,0)))</f>
        <v xml:space="preserve"> </v>
      </c>
      <c r="AA5" s="87" t="str">
        <f>IF(Table62202732333721[[#This Row],[Non-Member]]="X"," ",IF(Z5=" "," ",IFERROR(VLOOKUP(Y5,Points!$A$2:$B$14,2,FALSE)," ")))</f>
        <v xml:space="preserve"> </v>
      </c>
      <c r="AB5" s="85"/>
      <c r="AC5" s="86" t="str">
        <f t="shared" ref="AC5:AC30" si="12">IF(AB5=0," ",_xlfn.RANK.AVG(AB5,AB$5:AB$30,1)-COUNTIF(AB$5:AB$30,0))</f>
        <v xml:space="preserve"> </v>
      </c>
      <c r="AD5" s="86" t="str">
        <f t="shared" ref="AD5:AD30" si="13">IF(AB5=0," ",IF((RANK(AB5,AB$5:AB$30,1)-COUNTIF(AB$5:AB$30,0)&gt;6)," ",RANK(AB5,AB$5:AB$30,1)-COUNTIF(AB$5:AB$30,0)))</f>
        <v xml:space="preserve"> </v>
      </c>
      <c r="AE5" s="87" t="str">
        <f>IF(Table62202732333721[[#This Row],[Non-Member]]="X"," ",IF(AD5=" "," ",IFERROR(VLOOKUP(AC5,Points!$A$2:$B$14,2,FALSE)," ")))</f>
        <v xml:space="preserve"> </v>
      </c>
      <c r="AF5" s="85" t="str">
        <f t="shared" ref="AF5:AF30" si="14">IF(OR(X5=0,AB5=0)," ",X5+AB5)</f>
        <v xml:space="preserve"> </v>
      </c>
      <c r="AG5" s="86" t="str">
        <f t="shared" ref="AG5:AG30" si="15">IF(OR(AF5=0,AF5=" ")," ",_xlfn.RANK.AVG(AF5,AF$5:AF$30,1)-COUNTIF(AF$5:AF$30,0))</f>
        <v xml:space="preserve"> </v>
      </c>
      <c r="AH5" s="86" t="str">
        <f t="shared" ref="AH5:AH30" si="16">IF(OR(AF5=0,AF5=" ")," ",IF((RANK(AF5,AF$5:AF$30,1)-COUNTIF(AF$5:AF$30,0)&gt;6)," ",RANK(AF5,AF$5:AF$30,1)-COUNTIF(AF$5:AF$30,0)))</f>
        <v xml:space="preserve"> </v>
      </c>
      <c r="AI5" s="87" t="str">
        <f>IF(Table62202732333721[[#This Row],[Non-Member]]="X"," ",IF(AH5=" "," ",IFERROR(VLOOKUP(AG5,Points!$A$2:$B$14,2,FALSE)," ")))</f>
        <v xml:space="preserve"> </v>
      </c>
      <c r="AJ5" s="86">
        <f>IF(Table62202732333721[[#This Row],[Non-Member]]="X"," ",((IF(G5=" ",0,G5))+(IF(K5=" ",0,K5))+(IF(O5=" ",0,O5))+(IF(S5=" ",0,S5))+(IF(W5=" ",0,W5))+(IF(AA5=" ",0,AA5))+(IF(AE5=" ",0,AE5))+(IF(AI5=" ",0,AI5))))</f>
        <v>46.5</v>
      </c>
      <c r="AK5" s="88">
        <f t="shared" ref="AK5:AK30" si="17">IF(AJ5=0," ",AJ5)</f>
        <v>46.5</v>
      </c>
      <c r="AL5" s="89">
        <f t="shared" ref="AL5:AL30" si="18">IF(AK5=" "," ",RANK(AK5,$AK$5:$AK$30))</f>
        <v>1</v>
      </c>
    </row>
    <row r="6" spans="2:38" x14ac:dyDescent="0.3">
      <c r="B6" s="90" t="s">
        <v>86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IF(Table62202732333721[[#This Row],[Non-Member]]="X"," ",IF(F6=" "," ",IFERROR(VLOOKUP(E6,Points!$A$2:$B$14,2,FALSE)," ")))</f>
        <v xml:space="preserve"> </v>
      </c>
      <c r="H6" s="135">
        <v>18.373000000000001</v>
      </c>
      <c r="I6" s="93">
        <f t="shared" si="2"/>
        <v>1</v>
      </c>
      <c r="J6" s="96">
        <f t="shared" si="3"/>
        <v>1</v>
      </c>
      <c r="K6" s="94">
        <f>IF(Table62202732333721[[#This Row],[Non-Member]]="X"," ",IF(J6=" "," ",IFERROR(VLOOKUP(I6,Points!$A$2:$B$14,2,FALSE)," ")))</f>
        <v>18</v>
      </c>
      <c r="L6" s="92">
        <v>19.59</v>
      </c>
      <c r="M6" s="93">
        <f t="shared" si="4"/>
        <v>3</v>
      </c>
      <c r="N6" s="93">
        <f t="shared" si="5"/>
        <v>3</v>
      </c>
      <c r="O6" s="94">
        <f>IF(Table62202732333721[[#This Row],[Non-Member]]="X"," ",IF(N6=" "," ",IFERROR(VLOOKUP(M6,Points!$A$2:$B$14,2,FALSE)," ")))</f>
        <v>12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IF(Table62202732333721[[#This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IF(Table62202732333721[[#This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IF(Table62202732333721[[#This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IF(Table62202732333721[[#This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IF(Table62202732333721[[#This Row],[Non-Member]]="X"," ",IF(AH6=" "," ",IFERROR(VLOOKUP(AG6,Points!$A$2:$B$14,2,FALSE)," ")))</f>
        <v xml:space="preserve"> </v>
      </c>
      <c r="AJ6" s="93">
        <f>IF(Table62202732333721[[#This Row],[Non-Member]]="X"," ",((IF(G6=" ",0,G6))+(IF(K6=" ",0,K6))+(IF(O6=" ",0,O6))+(IF(S6=" ",0,S6))+(IF(W6=" ",0,W6))+(IF(AA6=" ",0,AA6))+(IF(AE6=" ",0,AE6))+(IF(AI6=" ",0,AI6))))</f>
        <v>30</v>
      </c>
      <c r="AK6" s="95">
        <f t="shared" si="17"/>
        <v>30</v>
      </c>
      <c r="AL6" s="96">
        <f t="shared" si="18"/>
        <v>2</v>
      </c>
    </row>
    <row r="7" spans="2:38" x14ac:dyDescent="0.3">
      <c r="B7" s="90" t="s">
        <v>83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IF(Table62202732333721[[#This Row],[Non-Member]]="X"," ",IF(F7=" "," ",IFERROR(VLOOKUP(E7,Points!$A$2:$B$14,2,FALSE)," ")))</f>
        <v xml:space="preserve"> </v>
      </c>
      <c r="H7" s="135">
        <v>19.905000000000001</v>
      </c>
      <c r="I7" s="93">
        <f t="shared" si="2"/>
        <v>5</v>
      </c>
      <c r="J7" s="96">
        <f t="shared" si="3"/>
        <v>5</v>
      </c>
      <c r="K7" s="94">
        <f>IF(Table62202732333721[[#This Row],[Non-Member]]="X"," ",IF(J7=" "," ",IFERROR(VLOOKUP(I7,Points!$A$2:$B$14,2,FALSE)," ")))</f>
        <v>6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IF(Table62202732333721[[#This Row],[Non-Member]]="X"," ",IF(N7=" "," ",IFERROR(VLOOKUP(M7,Points!$A$2:$B$14,2,FALSE)," ")))</f>
        <v xml:space="preserve"> </v>
      </c>
      <c r="P7" s="92">
        <v>18.907</v>
      </c>
      <c r="Q7" s="93">
        <f t="shared" si="6"/>
        <v>1.5</v>
      </c>
      <c r="R7" s="93">
        <f t="shared" si="7"/>
        <v>1</v>
      </c>
      <c r="S7" s="94">
        <f>IF(Table62202732333721[[#This Row],[Non-Member]]="X"," ",IF(R7=" "," ",IFERROR(VLOOKUP(Q7,Points!$A$2:$B$14,2,FALSE)," ")))</f>
        <v>16.5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IF(Table62202732333721[[#This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IF(Table62202732333721[[#This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IF(Table62202732333721[[#This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IF(Table62202732333721[[#This Row],[Non-Member]]="X"," ",IF(AH7=" "," ",IFERROR(VLOOKUP(AG7,Points!$A$2:$B$14,2,FALSE)," ")))</f>
        <v xml:space="preserve"> </v>
      </c>
      <c r="AJ7" s="93">
        <f>IF(Table62202732333721[[#This Row],[Non-Member]]="X"," ",((IF(G7=" ",0,G7))+(IF(K7=" ",0,K7))+(IF(O7=" ",0,O7))+(IF(S7=" ",0,S7))+(IF(W7=" ",0,W7))+(IF(AA7=" ",0,AA7))+(IF(AE7=" ",0,AE7))+(IF(AI7=" ",0,AI7))))</f>
        <v>22.5</v>
      </c>
      <c r="AK7" s="95">
        <f t="shared" si="17"/>
        <v>22.5</v>
      </c>
      <c r="AL7" s="96">
        <f t="shared" si="18"/>
        <v>3</v>
      </c>
    </row>
    <row r="8" spans="2:38" x14ac:dyDescent="0.3">
      <c r="B8" s="90" t="s">
        <v>172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IF(Table62202732333721[[#This Row],[Non-Member]]="X"," ",IF(F8=" "," ",IFERROR(VLOOKUP(E8,Points!$A$2:$B$14,2,FALSE)," ")))</f>
        <v xml:space="preserve"> </v>
      </c>
      <c r="H8" s="135">
        <v>19.86</v>
      </c>
      <c r="I8" s="93">
        <f t="shared" si="2"/>
        <v>4</v>
      </c>
      <c r="J8" s="96">
        <f t="shared" si="3"/>
        <v>4</v>
      </c>
      <c r="K8" s="94">
        <f>IF(Table62202732333721[[#This Row],[Non-Member]]="X"," ",IF(J8=" "," ",IFERROR(VLOOKUP(I8,Points!$A$2:$B$14,2,FALSE)," ")))</f>
        <v>9</v>
      </c>
      <c r="L8" s="92">
        <v>20.321999999999999</v>
      </c>
      <c r="M8" s="93">
        <f t="shared" si="4"/>
        <v>11</v>
      </c>
      <c r="N8" s="93" t="str">
        <f t="shared" si="5"/>
        <v xml:space="preserve"> </v>
      </c>
      <c r="O8" s="94" t="str">
        <f>IF(Table62202732333721[[#This Row],[Non-Member]]="X"," ",IF(N8=" "," ",IFERROR(VLOOKUP(M8,Points!$A$2:$B$14,2,FALSE)," ")))</f>
        <v xml:space="preserve"> </v>
      </c>
      <c r="P8" s="92">
        <v>19.425000000000001</v>
      </c>
      <c r="Q8" s="93">
        <f t="shared" si="6"/>
        <v>3</v>
      </c>
      <c r="R8" s="93">
        <f t="shared" si="7"/>
        <v>3</v>
      </c>
      <c r="S8" s="94">
        <f>IF(Table62202732333721[[#This Row],[Non-Member]]="X"," ",IF(R8=" "," ",IFERROR(VLOOKUP(Q8,Points!$A$2:$B$14,2,FALSE)," ")))</f>
        <v>12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IF(Table62202732333721[[#This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IF(Table62202732333721[[#This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IF(Table62202732333721[[#This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IF(Table62202732333721[[#This Row],[Non-Member]]="X"," ",IF(AH8=" "," ",IFERROR(VLOOKUP(AG8,Points!$A$2:$B$14,2,FALSE)," ")))</f>
        <v xml:space="preserve"> </v>
      </c>
      <c r="AJ8" s="93">
        <f>IF(Table62202732333721[[#This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6">
        <f t="shared" si="18"/>
        <v>4</v>
      </c>
    </row>
    <row r="9" spans="2:38" x14ac:dyDescent="0.3">
      <c r="B9" s="90" t="s">
        <v>257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IF(Table62202732333721[[#This Row],[Non-Member]]="X"," ",IF(F9=" "," ",IFERROR(VLOOKUP(E9,Points!$A$2:$B$14,2,FALSE)," ")))</f>
        <v xml:space="preserve"> </v>
      </c>
      <c r="H9" s="135">
        <v>19.946999999999999</v>
      </c>
      <c r="I9" s="93">
        <f t="shared" si="2"/>
        <v>6</v>
      </c>
      <c r="J9" s="96">
        <f t="shared" si="3"/>
        <v>6</v>
      </c>
      <c r="K9" s="94">
        <f>IF(Table62202732333721[[#This Row],[Non-Member]]="X"," ",IF(J9=" "," ",IFERROR(VLOOKUP(I9,Points!$A$2:$B$14,2,FALSE)," ")))</f>
        <v>3</v>
      </c>
      <c r="L9" s="92">
        <v>19.477</v>
      </c>
      <c r="M9" s="93">
        <f t="shared" si="4"/>
        <v>2</v>
      </c>
      <c r="N9" s="93">
        <f t="shared" si="5"/>
        <v>2</v>
      </c>
      <c r="O9" s="94">
        <f>IF(Table62202732333721[[#This Row],[Non-Member]]="X"," ",IF(N9=" "," ",IFERROR(VLOOKUP(M9,Points!$A$2:$B$14,2,FALSE)," ")))</f>
        <v>15</v>
      </c>
      <c r="P9" s="92">
        <v>19.722999999999999</v>
      </c>
      <c r="Q9" s="93">
        <f t="shared" si="6"/>
        <v>9</v>
      </c>
      <c r="R9" s="93" t="str">
        <f t="shared" si="7"/>
        <v xml:space="preserve"> </v>
      </c>
      <c r="S9" s="94" t="str">
        <f>IF(Table62202732333721[[#This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IF(Table62202732333721[[#This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IF(Table62202732333721[[#This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IF(Table62202732333721[[#This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IF(Table62202732333721[[#This Row],[Non-Member]]="X"," ",IF(AH9=" "," ",IFERROR(VLOOKUP(AG9,Points!$A$2:$B$14,2,FALSE)," ")))</f>
        <v xml:space="preserve"> </v>
      </c>
      <c r="AJ9" s="93">
        <f>IF(Table62202732333721[[#This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253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IF(Table62202732333721[[#This Row],[Non-Member]]="X"," ",IF(F10=" "," ",IFERROR(VLOOKUP(E10,Points!$A$2:$B$14,2,FALSE)," ")))</f>
        <v xml:space="preserve"> </v>
      </c>
      <c r="H10" s="135">
        <v>0</v>
      </c>
      <c r="I10" s="97" t="str">
        <f t="shared" si="2"/>
        <v xml:space="preserve"> </v>
      </c>
      <c r="J10" s="98" t="str">
        <f t="shared" si="3"/>
        <v xml:space="preserve"> </v>
      </c>
      <c r="K10" s="94" t="str">
        <f>IF(Table62202732333721[[#This Row],[Non-Member]]="X"," ",IF(J10=" "," ",IFERROR(VLOOKUP(I10,Points!$A$2:$B$14,2,FALSE)," ")))</f>
        <v xml:space="preserve"> </v>
      </c>
      <c r="L10" s="92">
        <v>19.678000000000001</v>
      </c>
      <c r="M10" s="97">
        <f t="shared" si="4"/>
        <v>5</v>
      </c>
      <c r="N10" s="97">
        <f t="shared" si="5"/>
        <v>5</v>
      </c>
      <c r="O10" s="94">
        <f>IF(Table62202732333721[[#This Row],[Non-Member]]="X"," ",IF(N10=" "," ",IFERROR(VLOOKUP(M10,Points!$A$2:$B$14,2,FALSE)," ")))</f>
        <v>6</v>
      </c>
      <c r="P10" s="92">
        <v>19.553999999999998</v>
      </c>
      <c r="Q10" s="97">
        <f t="shared" si="6"/>
        <v>4</v>
      </c>
      <c r="R10" s="97">
        <f t="shared" si="7"/>
        <v>4</v>
      </c>
      <c r="S10" s="94">
        <f>IF(Table62202732333721[[#This Row],[Non-Member]]="X"," ",IF(R10=" "," ",IFERROR(VLOOKUP(Q10,Points!$A$2:$B$14,2,FALSE)," ")))</f>
        <v>9</v>
      </c>
      <c r="T10" s="92"/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IF(Table62202732333721[[#This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IF(Table62202732333721[[#This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IF(Table62202732333721[[#This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7" t="str">
        <f t="shared" si="15"/>
        <v xml:space="preserve"> </v>
      </c>
      <c r="AH10" s="97" t="str">
        <f t="shared" si="16"/>
        <v xml:space="preserve"> </v>
      </c>
      <c r="AI10" s="94" t="str">
        <f>IF(Table62202732333721[[#This Row],[Non-Member]]="X"," ",IF(AH10=" "," ",IFERROR(VLOOKUP(AG10,Points!$A$2:$B$14,2,FALSE)," ")))</f>
        <v xml:space="preserve"> </v>
      </c>
      <c r="AJ10" s="97">
        <f>IF(Table62202732333721[[#This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8">
        <f t="shared" si="18"/>
        <v>6</v>
      </c>
    </row>
    <row r="11" spans="2:38" x14ac:dyDescent="0.3">
      <c r="B11" s="90" t="s">
        <v>139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IF(Table62202732333721[[#This Row],[Non-Member]]="X"," ",IF(F11=" "," ",IFERROR(VLOOKUP(E11,Points!$A$2:$B$14,2,FALSE)," ")))</f>
        <v xml:space="preserve"> </v>
      </c>
      <c r="H11" s="135">
        <v>18.681999999999999</v>
      </c>
      <c r="I11" s="93">
        <f t="shared" si="2"/>
        <v>2</v>
      </c>
      <c r="J11" s="96">
        <f t="shared" si="3"/>
        <v>2</v>
      </c>
      <c r="K11" s="94">
        <f>IF(Table62202732333721[[#This Row],[Non-Member]]="X"," ",IF(J11=" "," ",IFERROR(VLOOKUP(I11,Points!$A$2:$B$14,2,FALSE)," ")))</f>
        <v>15</v>
      </c>
      <c r="L11" s="92">
        <v>20.192</v>
      </c>
      <c r="M11" s="93">
        <f t="shared" si="4"/>
        <v>10</v>
      </c>
      <c r="N11" s="93" t="str">
        <f t="shared" si="5"/>
        <v xml:space="preserve"> </v>
      </c>
      <c r="O11" s="94" t="str">
        <f>IF(Table62202732333721[[#This Row],[Non-Member]]="X"," ",IF(N11=" "," ",IFERROR(VLOOKUP(M11,Points!$A$2:$B$14,2,FALSE)," ")))</f>
        <v xml:space="preserve"> </v>
      </c>
      <c r="P11" s="92">
        <v>20.292000000000002</v>
      </c>
      <c r="Q11" s="93">
        <f t="shared" si="6"/>
        <v>12</v>
      </c>
      <c r="R11" s="93" t="str">
        <f t="shared" si="7"/>
        <v xml:space="preserve"> </v>
      </c>
      <c r="S11" s="94" t="str">
        <f>IF(Table62202732333721[[#This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IF(Table62202732333721[[#This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IF(Table62202732333721[[#This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IF(Table62202732333721[[#This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IF(Table62202732333721[[#This Row],[Non-Member]]="X"," ",IF(AH11=" "," ",IFERROR(VLOOKUP(AG11,Points!$A$2:$B$14,2,FALSE)," ")))</f>
        <v xml:space="preserve"> </v>
      </c>
      <c r="AJ11" s="93">
        <f>IF(Table62202732333721[[#This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6</v>
      </c>
    </row>
    <row r="12" spans="2:38" x14ac:dyDescent="0.3">
      <c r="B12" s="90" t="s">
        <v>87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IF(Table62202732333721[[#This Row],[Non-Member]]="X"," ",IF(F12=" "," ",IFERROR(VLOOKUP(E12,Points!$A$2:$B$14,2,FALSE)," ")))</f>
        <v xml:space="preserve"> </v>
      </c>
      <c r="H12" s="135">
        <v>25.219000000000001</v>
      </c>
      <c r="I12" s="97">
        <f t="shared" si="2"/>
        <v>17</v>
      </c>
      <c r="J12" s="98" t="str">
        <f t="shared" si="3"/>
        <v xml:space="preserve"> </v>
      </c>
      <c r="K12" s="94" t="str">
        <f>IF(Table62202732333721[[#This Row],[Non-Member]]="X"," ",IF(J12=" "," ",IFERROR(VLOOKUP(I12,Points!$A$2:$B$14,2,FALSE)," ")))</f>
        <v xml:space="preserve"> </v>
      </c>
      <c r="L12" s="92">
        <v>19.675999999999998</v>
      </c>
      <c r="M12" s="97">
        <f t="shared" si="4"/>
        <v>4</v>
      </c>
      <c r="N12" s="97">
        <f t="shared" si="5"/>
        <v>4</v>
      </c>
      <c r="O12" s="94">
        <f>IF(Table62202732333721[[#This Row],[Non-Member]]="X"," ",IF(N12=" "," ",IFERROR(VLOOKUP(M12,Points!$A$2:$B$14,2,FALSE)," ")))</f>
        <v>9</v>
      </c>
      <c r="P12" s="92">
        <v>19.616</v>
      </c>
      <c r="Q12" s="97">
        <f t="shared" si="6"/>
        <v>7</v>
      </c>
      <c r="R12" s="97" t="str">
        <f t="shared" si="7"/>
        <v xml:space="preserve"> </v>
      </c>
      <c r="S12" s="94" t="str">
        <f>IF(Table62202732333721[[#This Row],[Non-Member]]="X"," ",IF(R12=" "," ",IFERROR(VLOOKUP(Q12,Points!$A$2:$B$14,2,FALSE)," ")))</f>
        <v xml:space="preserve"> 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IF(Table62202732333721[[#This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IF(Table62202732333721[[#This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IF(Table62202732333721[[#This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8" t="str">
        <f t="shared" si="15"/>
        <v xml:space="preserve"> </v>
      </c>
      <c r="AH12" s="97" t="str">
        <f t="shared" si="16"/>
        <v xml:space="preserve"> </v>
      </c>
      <c r="AI12" s="94" t="str">
        <f>IF(Table62202732333721[[#This Row],[Non-Member]]="X"," ",IF(AH12=" "," ",IFERROR(VLOOKUP(AG12,Points!$A$2:$B$14,2,FALSE)," ")))</f>
        <v xml:space="preserve"> </v>
      </c>
      <c r="AJ12" s="97">
        <f>IF(Table62202732333721[[#This Row],[Non-Member]]="X"," ",((IF(G12=" ",0,G12))+(IF(K12=" ",0,K12))+(IF(O12=" ",0,O12))+(IF(S12=" ",0,S12))+(IF(W12=" ",0,W12))+(IF(AA12=" ",0,AA12))+(IF(AE12=" ",0,AE12))+(IF(AI12=" ",0,AI12))))</f>
        <v>9</v>
      </c>
      <c r="AK12" s="151">
        <f t="shared" si="17"/>
        <v>9</v>
      </c>
      <c r="AL12" s="98">
        <f t="shared" si="18"/>
        <v>8</v>
      </c>
    </row>
    <row r="13" spans="2:38" x14ac:dyDescent="0.3">
      <c r="B13" s="90" t="s">
        <v>256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IF(Table62202732333721[[#This Row],[Non-Member]]="X"," ",IF(F13=" "," ",IFERROR(VLOOKUP(E13,Points!$A$2:$B$14,2,FALSE)," ")))</f>
        <v xml:space="preserve"> </v>
      </c>
      <c r="H13" s="135">
        <v>0</v>
      </c>
      <c r="I13" s="97" t="str">
        <f t="shared" si="2"/>
        <v xml:space="preserve"> </v>
      </c>
      <c r="J13" s="98" t="str">
        <f t="shared" si="3"/>
        <v xml:space="preserve"> </v>
      </c>
      <c r="K13" s="94" t="str">
        <f>IF(Table62202732333721[[#This Row],[Non-Member]]="X"," ",IF(J13=" "," ",IFERROR(VLOOKUP(I13,Points!$A$2:$B$14,2,FALSE)," ")))</f>
        <v xml:space="preserve"> </v>
      </c>
      <c r="L13" s="92">
        <v>20.161000000000001</v>
      </c>
      <c r="M13" s="97">
        <f t="shared" si="4"/>
        <v>9</v>
      </c>
      <c r="N13" s="97" t="str">
        <f t="shared" si="5"/>
        <v xml:space="preserve"> </v>
      </c>
      <c r="O13" s="94" t="str">
        <f>IF(Table62202732333721[[#This Row],[Non-Member]]="X"," ",IF(N13=" "," ",IFERROR(VLOOKUP(M13,Points!$A$2:$B$14,2,FALSE)," ")))</f>
        <v xml:space="preserve"> </v>
      </c>
      <c r="P13" s="92">
        <v>19.605</v>
      </c>
      <c r="Q13" s="97">
        <f t="shared" si="6"/>
        <v>5</v>
      </c>
      <c r="R13" s="97">
        <f t="shared" si="7"/>
        <v>5</v>
      </c>
      <c r="S13" s="94">
        <f>IF(Table62202732333721[[#This Row],[Non-Member]]="X"," ",IF(R13=" "," ",IFERROR(VLOOKUP(Q13,Points!$A$2:$B$14,2,FALSE)," ")))</f>
        <v>6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IF(Table62202732333721[[#This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IF(Table62202732333721[[#This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IF(Table62202732333721[[#This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IF(Table62202732333721[[#This Row],[Non-Member]]="X"," ",IF(AH13=" "," ",IFERROR(VLOOKUP(AG13,Points!$A$2:$B$14,2,FALSE)," ")))</f>
        <v xml:space="preserve"> </v>
      </c>
      <c r="AJ13" s="97">
        <f>IF(Table62202732333721[[#This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8">
        <f t="shared" si="18"/>
        <v>9</v>
      </c>
    </row>
    <row r="14" spans="2:38" x14ac:dyDescent="0.3">
      <c r="B14" s="90" t="s">
        <v>92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IF(Table62202732333721[[#This Row],[Non-Member]]="X"," ",IF(F14=" "," ",IFERROR(VLOOKUP(E14,Points!$A$2:$B$14,2,FALSE)," ")))</f>
        <v xml:space="preserve"> </v>
      </c>
      <c r="H14" s="135">
        <v>20.695</v>
      </c>
      <c r="I14" s="93">
        <f t="shared" si="2"/>
        <v>10</v>
      </c>
      <c r="J14" s="96" t="str">
        <f t="shared" si="3"/>
        <v xml:space="preserve"> </v>
      </c>
      <c r="K14" s="94" t="str">
        <f>IF(Table62202732333721[[#This Row],[Non-Member]]="X"," ",IF(J14=" "," ",IFERROR(VLOOKUP(I14,Points!$A$2:$B$14,2,FALSE)," ")))</f>
        <v xml:space="preserve"> </v>
      </c>
      <c r="L14" s="92">
        <v>19.821000000000002</v>
      </c>
      <c r="M14" s="93">
        <f t="shared" si="4"/>
        <v>6</v>
      </c>
      <c r="N14" s="93">
        <f t="shared" si="5"/>
        <v>6</v>
      </c>
      <c r="O14" s="94">
        <f>IF(Table62202732333721[[#This Row],[Non-Member]]="X"," ",IF(N14=" "," ",IFERROR(VLOOKUP(M14,Points!$A$2:$B$14,2,FALSE)," ")))</f>
        <v>3</v>
      </c>
      <c r="P14" s="92">
        <v>19.611999999999998</v>
      </c>
      <c r="Q14" s="93">
        <f t="shared" si="6"/>
        <v>6</v>
      </c>
      <c r="R14" s="93">
        <f t="shared" si="7"/>
        <v>6</v>
      </c>
      <c r="S14" s="94">
        <f>IF(Table62202732333721[[#This Row],[Non-Member]]="X"," ",IF(R14=" "," ",IFERROR(VLOOKUP(Q14,Points!$A$2:$B$14,2,FALSE)," ")))</f>
        <v>3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IF(Table62202732333721[[#This Row],[Non-Member]]="X"," ",IF(AH14=" "," ",IFERROR(VLOOKUP(AG14,Points!$A$2:$B$14,2,FALSE)," ")))</f>
        <v xml:space="preserve"> </v>
      </c>
      <c r="AJ14" s="93">
        <f>IF(Table62202732333721[[#This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9</v>
      </c>
    </row>
    <row r="15" spans="2:38" x14ac:dyDescent="0.3">
      <c r="B15" s="90" t="s">
        <v>95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IF(Table62202732333721[[#This Row],[Non-Member]]="X"," ",IF(F15=" "," ",IFERROR(VLOOKUP(E15,Points!$A$2:$B$14,2,FALSE)," ")))</f>
        <v xml:space="preserve"> </v>
      </c>
      <c r="H15" s="135">
        <v>31.245000000000001</v>
      </c>
      <c r="I15" s="93">
        <f t="shared" si="2"/>
        <v>21</v>
      </c>
      <c r="J15" s="96" t="str">
        <f t="shared" si="3"/>
        <v xml:space="preserve"> </v>
      </c>
      <c r="K15" s="94" t="str">
        <f>IF(Table62202732333721[[#This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IF(Table62202732333721[[#This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IF(Table62202732333721[[#This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IF(Table62202732333721[[#This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IF(Table62202732333721[[#This Row],[Non-Member]]="X"," ",IF(AH15=" "," ",IFERROR(VLOOKUP(AG15,Points!$A$2:$B$14,2,FALSE)," ")))</f>
        <v xml:space="preserve"> </v>
      </c>
      <c r="AJ15" s="93" t="str">
        <f>IF(Table62202732333721[[#This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88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IF(Table62202732333721[[#This Row],[Non-Member]]="X"," ",IF(F16=" "," ",IFERROR(VLOOKUP(E16,Points!$A$2:$B$14,2,FALSE)," ")))</f>
        <v xml:space="preserve"> </v>
      </c>
      <c r="H16" s="135">
        <v>20.561</v>
      </c>
      <c r="I16" s="93">
        <f t="shared" si="2"/>
        <v>8</v>
      </c>
      <c r="J16" s="96" t="str">
        <f t="shared" si="3"/>
        <v xml:space="preserve"> </v>
      </c>
      <c r="K16" s="94" t="str">
        <f>IF(Table62202732333721[[#This Row],[Non-Member]]="X"," ",IF(J16=" "," ",IFERROR(VLOOKUP(I16,Points!$A$2:$B$14,2,FALSE)," ")))</f>
        <v xml:space="preserve"> </v>
      </c>
      <c r="L16" s="92">
        <v>21.483000000000001</v>
      </c>
      <c r="M16" s="93">
        <f t="shared" si="4"/>
        <v>16</v>
      </c>
      <c r="N16" s="93" t="str">
        <f t="shared" si="5"/>
        <v xml:space="preserve"> </v>
      </c>
      <c r="O16" s="94" t="str">
        <f>IF(Table62202732333721[[#This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IF(Table62202732333721[[#This Row],[Non-Member]]="X"," ",IF(R16=" "," ",IFERROR(VLOOKUP(Q16,Points!$A$2:$B$14,2,FALSE)," ")))</f>
        <v xml:space="preserve"> </v>
      </c>
      <c r="T16" s="135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IF(Table62202732333721[[#This Row],[Non-Member]]="X"," ",IF(AH16=" "," ",IFERROR(VLOOKUP(AG16,Points!$A$2:$B$14,2,FALSE)," ")))</f>
        <v xml:space="preserve"> </v>
      </c>
      <c r="AJ16" s="93">
        <f>IF(Table62202732333721[[#This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251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IF(Table62202732333721[[#This Row],[Non-Member]]="X"," ",IF(F17=" "," ",IFERROR(VLOOKUP(E17,Points!$A$2:$B$14,2,FALSE)," ")))</f>
        <v xml:space="preserve"> </v>
      </c>
      <c r="H17" s="135">
        <v>21.346</v>
      </c>
      <c r="I17" s="93">
        <f t="shared" si="2"/>
        <v>13</v>
      </c>
      <c r="J17" s="96" t="str">
        <f t="shared" si="3"/>
        <v xml:space="preserve"> </v>
      </c>
      <c r="K17" s="94" t="str">
        <f>IF(Table62202732333721[[#This Row],[Non-Member]]="X"," ",IF(J17=" "," ",IFERROR(VLOOKUP(I17,Points!$A$2:$B$14,2,FALSE)," ")))</f>
        <v xml:space="preserve"> </v>
      </c>
      <c r="L17" s="92">
        <v>20.908000000000001</v>
      </c>
      <c r="M17" s="93">
        <f t="shared" si="4"/>
        <v>13</v>
      </c>
      <c r="N17" s="93" t="str">
        <f t="shared" si="5"/>
        <v xml:space="preserve"> </v>
      </c>
      <c r="O17" s="94" t="str">
        <f>IF(Table62202732333721[[#This Row],[Non-Member]]="X"," ",IF(N17=" "," ",IFERROR(VLOOKUP(M17,Points!$A$2:$B$14,2,FALSE)," ")))</f>
        <v xml:space="preserve"> </v>
      </c>
      <c r="P17" s="92">
        <v>25.747</v>
      </c>
      <c r="Q17" s="93">
        <f t="shared" si="6"/>
        <v>17</v>
      </c>
      <c r="R17" s="93" t="str">
        <f t="shared" si="7"/>
        <v xml:space="preserve"> </v>
      </c>
      <c r="S17" s="94" t="str">
        <f>IF(Table62202732333721[[#This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IF(Table62202732333721[[#This Row],[Non-Member]]="X"," ",IF(AH17=" "," ",IFERROR(VLOOKUP(AG17,Points!$A$2:$B$14,2,FALSE)," ")))</f>
        <v xml:space="preserve"> </v>
      </c>
      <c r="AJ17" s="93">
        <f>IF(Table62202732333721[[#This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90</v>
      </c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IF(Table62202732333721[[#This Row],[Non-Member]]="X"," ",IF(F18=" "," ",IFERROR(VLOOKUP(E18,Points!$A$2:$B$14,2,FALSE)," ")))</f>
        <v xml:space="preserve"> </v>
      </c>
      <c r="H18" s="135">
        <v>24.872</v>
      </c>
      <c r="I18" s="97">
        <f t="shared" si="2"/>
        <v>16</v>
      </c>
      <c r="J18" s="98" t="str">
        <f t="shared" si="3"/>
        <v xml:space="preserve"> </v>
      </c>
      <c r="K18" s="94" t="str">
        <f>IF(Table62202732333721[[#This Row],[Non-Member]]="X"," ",IF(J18=" "," ",IFERROR(VLOOKUP(I18,Points!$A$2:$B$14,2,FALSE)," ")))</f>
        <v xml:space="preserve"> </v>
      </c>
      <c r="L18" s="92">
        <v>26.122</v>
      </c>
      <c r="M18" s="97">
        <f t="shared" si="4"/>
        <v>18</v>
      </c>
      <c r="N18" s="97" t="str">
        <f t="shared" si="5"/>
        <v xml:space="preserve"> </v>
      </c>
      <c r="O18" s="94" t="str">
        <f>IF(Table62202732333721[[#This Row],[Non-Member]]="X"," ",IF(N18=" "," ",IFERROR(VLOOKUP(M18,Points!$A$2:$B$14,2,FALSE)," ")))</f>
        <v xml:space="preserve"> </v>
      </c>
      <c r="P18" s="92">
        <v>19.706</v>
      </c>
      <c r="Q18" s="97">
        <f t="shared" si="6"/>
        <v>8</v>
      </c>
      <c r="R18" s="97" t="str">
        <f t="shared" si="7"/>
        <v xml:space="preserve"> </v>
      </c>
      <c r="S18" s="94" t="str">
        <f>IF(Table62202732333721[[#This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IF(Table62202732333721[[#This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IF(Table62202732333721[[#This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IF(Table62202732333721[[#This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8" t="str">
        <f t="shared" si="15"/>
        <v xml:space="preserve"> </v>
      </c>
      <c r="AH18" s="97" t="str">
        <f t="shared" si="16"/>
        <v xml:space="preserve"> </v>
      </c>
      <c r="AI18" s="94" t="str">
        <f>IF(Table62202732333721[[#This Row],[Non-Member]]="X"," ",IF(AH18=" "," ",IFERROR(VLOOKUP(AG18,Points!$A$2:$B$14,2,FALSE)," ")))</f>
        <v xml:space="preserve"> </v>
      </c>
      <c r="AJ18" s="97">
        <f>IF(Table62202732333721[[#This Row],[Non-Member]]="X"," ",((IF(G18=" ",0,G18))+(IF(K18=" ",0,K18))+(IF(O18=" ",0,O18))+(IF(S18=" ",0,S18))+(IF(W18=" ",0,W18))+(IF(AA18=" ",0,AA18))+(IF(AE18=" ",0,AE18))+(IF(AI18=" ",0,AI18))))</f>
        <v>0</v>
      </c>
      <c r="AK18" s="151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258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IF(Table62202732333721[[#This Row],[Non-Member]]="X"," ",IF(F19=" "," ",IFERROR(VLOOKUP(E19,Points!$A$2:$B$14,2,FALSE)," ")))</f>
        <v xml:space="preserve"> </v>
      </c>
      <c r="H19" s="135">
        <v>21.687000000000001</v>
      </c>
      <c r="I19" s="97">
        <f t="shared" si="2"/>
        <v>14</v>
      </c>
      <c r="J19" s="98" t="str">
        <f t="shared" si="3"/>
        <v xml:space="preserve"> </v>
      </c>
      <c r="K19" s="94" t="str">
        <f>IF(Table62202732333721[[#This Row],[Non-Member]]="X"," ",IF(J19=" "," ",IFERROR(VLOOKUP(I19,Points!$A$2:$B$14,2,FALSE)," ")))</f>
        <v xml:space="preserve"> </v>
      </c>
      <c r="L19" s="92">
        <v>21.285</v>
      </c>
      <c r="M19" s="97">
        <f t="shared" si="4"/>
        <v>15</v>
      </c>
      <c r="N19" s="97" t="str">
        <f t="shared" si="5"/>
        <v xml:space="preserve"> </v>
      </c>
      <c r="O19" s="94" t="str">
        <f>IF(Table62202732333721[[#This Row],[Non-Member]]="X"," ",IF(N19=" "," ",IFERROR(VLOOKUP(M19,Points!$A$2:$B$14,2,FALSE)," ")))</f>
        <v xml:space="preserve"> </v>
      </c>
      <c r="P19" s="92">
        <v>0</v>
      </c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IF(Table62202732333721[[#This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IF(Table62202732333721[[#This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IF(Table62202732333721[[#This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IF(Table62202732333721[[#This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IF(Table62202732333721[[#This Row],[Non-Member]]="X"," ",IF(AH19=" "," ",IFERROR(VLOOKUP(AG19,Points!$A$2:$B$14,2,FALSE)," ")))</f>
        <v xml:space="preserve"> </v>
      </c>
      <c r="AJ19" s="97">
        <f>IF(Table62202732333721[[#This Row],[Non-Member]]="X"," ",((IF(G19=" ",0,G19))+(IF(K19=" ",0,K19))+(IF(O19=" ",0,O19))+(IF(S19=" ",0,S19))+(IF(W19=" ",0,W19))+(IF(AA19=" ",0,AA19))+(IF(AE19=" ",0,AE19))+(IF(AI19=" ",0,AI19))))</f>
        <v>0</v>
      </c>
      <c r="AK19" s="151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89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IF(Table62202732333721[[#This Row],[Non-Member]]="X"," ",IF(F20=" "," ",IFERROR(VLOOKUP(E20,Points!$A$2:$B$14,2,FALSE)," ")))</f>
        <v xml:space="preserve"> </v>
      </c>
      <c r="H20" s="135">
        <v>20.529</v>
      </c>
      <c r="I20" s="93">
        <f t="shared" si="2"/>
        <v>7</v>
      </c>
      <c r="J20" s="96" t="str">
        <f t="shared" si="3"/>
        <v xml:space="preserve"> </v>
      </c>
      <c r="K20" s="94" t="str">
        <f>IF(Table62202732333721[[#This Row],[Non-Member]]="X"," ",IF(J20=" "," ",IFERROR(VLOOKUP(I20,Points!$A$2:$B$14,2,FALSE)," ")))</f>
        <v xml:space="preserve"> </v>
      </c>
      <c r="L20" s="92">
        <v>20.068000000000001</v>
      </c>
      <c r="M20" s="93">
        <f t="shared" si="4"/>
        <v>8</v>
      </c>
      <c r="N20" s="93" t="str">
        <f t="shared" si="5"/>
        <v xml:space="preserve"> </v>
      </c>
      <c r="O20" s="94" t="str">
        <f>IF(Table62202732333721[[#This Row],[Non-Member]]="X"," ",IF(N20=" "," ",IFERROR(VLOOKUP(M20,Points!$A$2:$B$14,2,FALSE)," ")))</f>
        <v xml:space="preserve"> </v>
      </c>
      <c r="P20" s="92">
        <v>20.044</v>
      </c>
      <c r="Q20" s="93">
        <f t="shared" si="6"/>
        <v>10</v>
      </c>
      <c r="R20" s="93" t="str">
        <f t="shared" si="7"/>
        <v xml:space="preserve"> </v>
      </c>
      <c r="S20" s="94" t="str">
        <f>IF(Table62202732333721[[#This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IF(Table62202732333721[[#This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IF(Table62202732333721[[#This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IF(Table62202732333721[[#This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IF(Table62202732333721[[#This Row],[Non-Member]]="X"," ",IF(AH20=" "," ",IFERROR(VLOOKUP(AG20,Points!$A$2:$B$14,2,FALSE)," ")))</f>
        <v xml:space="preserve"> </v>
      </c>
      <c r="AJ20" s="93">
        <f>IF(Table62202732333721[[#This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138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IF(Table62202732333721[[#This Row],[Non-Member]]="X"," ",IF(F21=" "," ",IFERROR(VLOOKUP(E21,Points!$A$2:$B$14,2,FALSE)," ")))</f>
        <v xml:space="preserve"> </v>
      </c>
      <c r="H21" s="135">
        <v>22.533000000000001</v>
      </c>
      <c r="I21" s="93">
        <f t="shared" si="2"/>
        <v>15</v>
      </c>
      <c r="J21" s="96" t="str">
        <f t="shared" si="3"/>
        <v xml:space="preserve"> </v>
      </c>
      <c r="K21" s="94" t="str">
        <f>IF(Table62202732333721[[#This Row],[Non-Member]]="X"," ",IF(J21=" "," ",IFERROR(VLOOKUP(I21,Points!$A$2:$B$14,2,FALSE)," ")))</f>
        <v xml:space="preserve"> </v>
      </c>
      <c r="L21" s="92">
        <v>21.196000000000002</v>
      </c>
      <c r="M21" s="93">
        <f t="shared" si="4"/>
        <v>14</v>
      </c>
      <c r="N21" s="93" t="str">
        <f t="shared" si="5"/>
        <v xml:space="preserve"> </v>
      </c>
      <c r="O21" s="94" t="str">
        <f>IF(Table62202732333721[[#This Row],[Non-Member]]="X"," ",IF(N21=" "," ",IFERROR(VLOOKUP(M21,Points!$A$2:$B$14,2,FALSE)," ")))</f>
        <v xml:space="preserve"> </v>
      </c>
      <c r="P21" s="92">
        <v>20.71</v>
      </c>
      <c r="Q21" s="93">
        <f t="shared" si="6"/>
        <v>15</v>
      </c>
      <c r="R21" s="93" t="str">
        <f t="shared" si="7"/>
        <v xml:space="preserve"> </v>
      </c>
      <c r="S21" s="94" t="str">
        <f>IF(Table62202732333721[[#This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IF(Table62202732333721[[#This Row],[Non-Member]]="X"," ",IF(AH21=" "," ",IFERROR(VLOOKUP(AG21,Points!$A$2:$B$14,2,FALSE)," ")))</f>
        <v xml:space="preserve"> </v>
      </c>
      <c r="AJ21" s="93">
        <f>IF(Table62202732333721[[#This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137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IF(Table62202732333721[[#This Row],[Non-Member]]="X"," ",IF(F22=" "," ",IFERROR(VLOOKUP(E22,Points!$A$2:$B$14,2,FALSE)," ")))</f>
        <v xml:space="preserve"> </v>
      </c>
      <c r="H22" s="135">
        <v>25.629000000000001</v>
      </c>
      <c r="I22" s="93">
        <f t="shared" si="2"/>
        <v>18</v>
      </c>
      <c r="J22" s="96" t="str">
        <f t="shared" si="3"/>
        <v xml:space="preserve"> </v>
      </c>
      <c r="K22" s="94" t="str">
        <f>IF(Table62202732333721[[#This Row],[Non-Member]]="X"," ",IF(J22=" "," ",IFERROR(VLOOKUP(I22,Points!$A$2:$B$14,2,FALSE)," ")))</f>
        <v xml:space="preserve"> </v>
      </c>
      <c r="L22" s="92">
        <v>19.972999999999999</v>
      </c>
      <c r="M22" s="93">
        <f t="shared" si="4"/>
        <v>7</v>
      </c>
      <c r="N22" s="93" t="str">
        <f t="shared" si="5"/>
        <v xml:space="preserve"> </v>
      </c>
      <c r="O22" s="94" t="str">
        <f>IF(Table62202732333721[[#This Row],[Non-Member]]="X"," ",IF(N22=" "," ",IFERROR(VLOOKUP(M22,Points!$A$2:$B$14,2,FALSE)," ")))</f>
        <v xml:space="preserve"> </v>
      </c>
      <c r="P22" s="92">
        <v>20.106999999999999</v>
      </c>
      <c r="Q22" s="93">
        <f t="shared" si="6"/>
        <v>11</v>
      </c>
      <c r="R22" s="93" t="str">
        <f t="shared" si="7"/>
        <v xml:space="preserve"> </v>
      </c>
      <c r="S22" s="94" t="str">
        <f>IF(Table62202732333721[[#This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IF(Table62202732333721[[#This Row],[Non-Member]]="X"," ",IF(AH22=" "," ",IFERROR(VLOOKUP(AG22,Points!$A$2:$B$14,2,FALSE)," ")))</f>
        <v xml:space="preserve"> </v>
      </c>
      <c r="AJ22" s="93">
        <f>IF(Table62202732333721[[#This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93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IF(Table62202732333721[[#This Row],[Non-Member]]="X"," ",IF(F23=" "," ",IFERROR(VLOOKUP(E23,Points!$A$2:$B$14,2,FALSE)," ")))</f>
        <v xml:space="preserve"> </v>
      </c>
      <c r="H23" s="135">
        <v>34.104999999999997</v>
      </c>
      <c r="I23" s="97">
        <f t="shared" si="2"/>
        <v>22</v>
      </c>
      <c r="J23" s="98" t="str">
        <f t="shared" si="3"/>
        <v xml:space="preserve"> </v>
      </c>
      <c r="K23" s="94" t="str">
        <f>IF(Table62202732333721[[#This Row],[Non-Member]]="X"," ",IF(J23=" "," ",IFERROR(VLOOKUP(I23,Points!$A$2:$B$14,2,FALSE)," ")))</f>
        <v xml:space="preserve"> </v>
      </c>
      <c r="L23" s="92">
        <v>27.577999999999999</v>
      </c>
      <c r="M23" s="97">
        <f t="shared" si="4"/>
        <v>19</v>
      </c>
      <c r="N23" s="97" t="str">
        <f t="shared" si="5"/>
        <v xml:space="preserve"> </v>
      </c>
      <c r="O23" s="94" t="str">
        <f>IF(Table62202732333721[[#This Row],[Non-Member]]="X"," ",IF(N23=" "," ",IFERROR(VLOOKUP(M23,Points!$A$2:$B$14,2,FALSE)," ")))</f>
        <v xml:space="preserve"> </v>
      </c>
      <c r="P23" s="92">
        <v>29.088999999999999</v>
      </c>
      <c r="Q23" s="97">
        <f t="shared" si="6"/>
        <v>18</v>
      </c>
      <c r="R23" s="97" t="str">
        <f t="shared" si="7"/>
        <v xml:space="preserve"> </v>
      </c>
      <c r="S23" s="94" t="str">
        <f>IF(Table62202732333721[[#This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IF(Table62202732333721[[#This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IF(Table62202732333721[[#This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IF(Table62202732333721[[#This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IF(Table62202732333721[[#This Row],[Non-Member]]="X"," ",IF(AH23=" "," ",IFERROR(VLOOKUP(AG23,Points!$A$2:$B$14,2,FALSE)," ")))</f>
        <v xml:space="preserve"> </v>
      </c>
      <c r="AJ23" s="97">
        <f>IF(Table62202732333721[[#This Row],[Non-Member]]="X"," ",((IF(G23=" ",0,G23))+(IF(K23=" ",0,K23))+(IF(O23=" ",0,O23))+(IF(S23=" ",0,S23))+(IF(W23=" ",0,W23))+(IF(AA23=" ",0,AA23))+(IF(AE23=" ",0,AE23))+(IF(AI23=" ",0,AI23))))</f>
        <v>0</v>
      </c>
      <c r="AK23" s="151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174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IF(Table62202732333721[[#This Row],[Non-Member]]="X"," ",IF(F24=" "," ",IFERROR(VLOOKUP(E24,Points!$A$2:$B$14,2,FALSE)," ")))</f>
        <v xml:space="preserve"> </v>
      </c>
      <c r="H24" s="135">
        <v>20.577000000000002</v>
      </c>
      <c r="I24" s="93">
        <f t="shared" si="2"/>
        <v>9</v>
      </c>
      <c r="J24" s="96" t="str">
        <f t="shared" si="3"/>
        <v xml:space="preserve"> </v>
      </c>
      <c r="K24" s="94" t="str">
        <f>IF(Table62202732333721[[#This Row],[Non-Member]]="X"," ",IF(J24=" "," ",IFERROR(VLOOKUP(I24,Points!$A$2:$B$14,2,FALSE)," ")))</f>
        <v xml:space="preserve"> </v>
      </c>
      <c r="L24" s="92">
        <v>20.404</v>
      </c>
      <c r="M24" s="93">
        <f t="shared" si="4"/>
        <v>12</v>
      </c>
      <c r="N24" s="93" t="str">
        <f t="shared" si="5"/>
        <v xml:space="preserve"> </v>
      </c>
      <c r="O24" s="94" t="str">
        <f>IF(Table62202732333721[[#This Row],[Non-Member]]="X"," ",IF(N24=" "," ",IFERROR(VLOOKUP(M24,Points!$A$2:$B$14,2,FALSE)," ")))</f>
        <v xml:space="preserve"> </v>
      </c>
      <c r="P24" s="92">
        <v>20.452999999999999</v>
      </c>
      <c r="Q24" s="93">
        <f t="shared" si="6"/>
        <v>13</v>
      </c>
      <c r="R24" s="93" t="str">
        <f t="shared" si="7"/>
        <v xml:space="preserve"> </v>
      </c>
      <c r="S24" s="94" t="str">
        <f>IF(Table62202732333721[[#This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IF(Table62202732333721[[#This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IF(Table62202732333721[[#This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IF(Table62202732333721[[#This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IF(Table62202732333721[[#This Row],[Non-Member]]="X"," ",IF(AH24=" "," ",IFERROR(VLOOKUP(AG24,Points!$A$2:$B$14,2,FALSE)," ")))</f>
        <v xml:space="preserve"> </v>
      </c>
      <c r="AJ24" s="93">
        <f>IF(Table62202732333721[[#This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250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IF(Table62202732333721[[#This Row],[Non-Member]]="X"," ",IF(F25=" "," ",IFERROR(VLOOKUP(E25,Points!$A$2:$B$14,2,FALSE)," ")))</f>
        <v xml:space="preserve"> </v>
      </c>
      <c r="H25" s="135">
        <v>0</v>
      </c>
      <c r="I25" s="93" t="str">
        <f t="shared" si="2"/>
        <v xml:space="preserve"> </v>
      </c>
      <c r="J25" s="96" t="str">
        <f t="shared" si="3"/>
        <v xml:space="preserve"> </v>
      </c>
      <c r="K25" s="94" t="str">
        <f>IF(Table62202732333721[[#This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IF(Table62202732333721[[#This Row],[Non-Member]]="X"," ",IF(N25=" "," ",IFERROR(VLOOKUP(M25,Points!$A$2:$B$14,2,FALSE)," ")))</f>
        <v xml:space="preserve"> </v>
      </c>
      <c r="P25" s="92">
        <v>0</v>
      </c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IF(Table62202732333721[[#This Row],[Non-Member]]="X"," ",IF(R25=" "," ",IFERROR(VLOOKUP(Q25,Points!$A$2:$B$14,2,FALSE)," ")))</f>
        <v xml:space="preserve"> </v>
      </c>
      <c r="T25" s="92"/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IF(Table62202732333721[[#This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IF(Table62202732333721[[#This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IF(Table62202732333721[[#This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IF(Table62202732333721[[#This Row],[Non-Member]]="X"," ",IF(AH25=" "," ",IFERROR(VLOOKUP(AG25,Points!$A$2:$B$14,2,FALSE)," ")))</f>
        <v xml:space="preserve"> </v>
      </c>
      <c r="AJ25" s="93">
        <f>IF(Table62202732333721[[#This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254</v>
      </c>
      <c r="C26" s="91"/>
      <c r="D26" s="92"/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IF(Table62202732333721[[#This Row],[Non-Member]]="X"," ",IF(F26=" "," ",IFERROR(VLOOKUP(E26,Points!$A$2:$B$14,2,FALSE)," ")))</f>
        <v xml:space="preserve"> </v>
      </c>
      <c r="H26" s="135">
        <v>20.698</v>
      </c>
      <c r="I26" s="93">
        <f t="shared" si="2"/>
        <v>11</v>
      </c>
      <c r="J26" s="96" t="str">
        <f t="shared" si="3"/>
        <v xml:space="preserve"> </v>
      </c>
      <c r="K26" s="94" t="str">
        <f>IF(Table62202732333721[[#This Row],[Non-Member]]="X"," ",IF(J26=" "," ",IFERROR(VLOOKUP(I26,Points!$A$2:$B$14,2,FALSE)," ")))</f>
        <v xml:space="preserve"> </v>
      </c>
      <c r="L26" s="92">
        <v>22.09</v>
      </c>
      <c r="M26" s="93">
        <f t="shared" si="4"/>
        <v>17</v>
      </c>
      <c r="N26" s="93" t="str">
        <f t="shared" si="5"/>
        <v xml:space="preserve"> </v>
      </c>
      <c r="O26" s="94" t="str">
        <f>IF(Table62202732333721[[#This Row],[Non-Member]]="X"," ",IF(N26=" "," ",IFERROR(VLOOKUP(M26,Points!$A$2:$B$14,2,FALSE)," ")))</f>
        <v xml:space="preserve"> </v>
      </c>
      <c r="P26" s="92">
        <v>20.628</v>
      </c>
      <c r="Q26" s="93">
        <f t="shared" si="6"/>
        <v>14</v>
      </c>
      <c r="R26" s="93" t="str">
        <f t="shared" si="7"/>
        <v xml:space="preserve"> </v>
      </c>
      <c r="S26" s="94" t="str">
        <f>IF(Table62202732333721[[#This Row],[Non-Member]]="X"," ",IF(R26=" "," ",IFERROR(VLOOKUP(Q26,Points!$A$2:$B$14,2,FALSE)," ")))</f>
        <v xml:space="preserve"> </v>
      </c>
      <c r="T26" s="92"/>
      <c r="U26" s="93" t="str">
        <f t="shared" si="8"/>
        <v xml:space="preserve"> </v>
      </c>
      <c r="V26" s="93" t="str">
        <f t="shared" si="9"/>
        <v xml:space="preserve"> </v>
      </c>
      <c r="W26" s="94" t="str">
        <f>IF(Table62202732333721[[#This Row],[Non-Member]]="X"," ",IF(V26=" "," ",IFERROR(VLOOKUP(U26,Points!$A$2:$B$14,2,FALSE)," ")))</f>
        <v xml:space="preserve"> </v>
      </c>
      <c r="X26" s="92"/>
      <c r="Y26" s="93" t="str">
        <f t="shared" si="10"/>
        <v xml:space="preserve"> </v>
      </c>
      <c r="Z26" s="93" t="str">
        <f t="shared" si="11"/>
        <v xml:space="preserve"> </v>
      </c>
      <c r="AA26" s="94" t="str">
        <f>IF(Table62202732333721[[#This Row],[Non-Member]]="X"," ",IF(Z26=" "," ",IFERROR(VLOOKUP(Y26,Points!$A$2:$B$14,2,FALSE)," ")))</f>
        <v xml:space="preserve"> </v>
      </c>
      <c r="AB26" s="92"/>
      <c r="AC26" s="93" t="str">
        <f t="shared" si="12"/>
        <v xml:space="preserve"> </v>
      </c>
      <c r="AD26" s="93" t="str">
        <f t="shared" si="13"/>
        <v xml:space="preserve"> </v>
      </c>
      <c r="AE26" s="94" t="str">
        <f>IF(Table62202732333721[[#This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3" t="str">
        <f t="shared" si="15"/>
        <v xml:space="preserve"> </v>
      </c>
      <c r="AH26" s="93" t="str">
        <f t="shared" si="16"/>
        <v xml:space="preserve"> </v>
      </c>
      <c r="AI26" s="94" t="str">
        <f>IF(Table62202732333721[[#This Row],[Non-Member]]="X"," ",IF(AH26=" "," ",IFERROR(VLOOKUP(AG26,Points!$A$2:$B$14,2,FALSE)," ")))</f>
        <v xml:space="preserve"> </v>
      </c>
      <c r="AJ26" s="93">
        <f>IF(Table62202732333721[[#This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3">
      <c r="B27" s="90" t="s">
        <v>194</v>
      </c>
      <c r="C27" s="91" t="s">
        <v>325</v>
      </c>
      <c r="D27" s="92"/>
      <c r="E27" s="97" t="str">
        <f t="shared" si="0"/>
        <v xml:space="preserve"> </v>
      </c>
      <c r="F27" s="97" t="str">
        <f t="shared" si="1"/>
        <v xml:space="preserve"> </v>
      </c>
      <c r="G27" s="94" t="str">
        <f>IF(Table62202732333721[[#This Row],[Non-Member]]="X"," ",IF(F27=" "," ",IFERROR(VLOOKUP(E27,Points!$A$2:$B$14,2,FALSE)," ")))</f>
        <v xml:space="preserve"> </v>
      </c>
      <c r="H27" s="135">
        <v>29.777999999999999</v>
      </c>
      <c r="I27" s="97">
        <f t="shared" si="2"/>
        <v>20</v>
      </c>
      <c r="J27" s="98" t="str">
        <f t="shared" si="3"/>
        <v xml:space="preserve"> </v>
      </c>
      <c r="K27" s="94" t="str">
        <f>IF(Table62202732333721[[#This Row],[Non-Member]]="X"," ",IF(J27=" "," ",IFERROR(VLOOKUP(I27,Points!$A$2:$B$14,2,FALSE)," ")))</f>
        <v xml:space="preserve"> </v>
      </c>
      <c r="L27" s="92"/>
      <c r="M27" s="97" t="str">
        <f t="shared" si="4"/>
        <v xml:space="preserve"> </v>
      </c>
      <c r="N27" s="97" t="str">
        <f t="shared" si="5"/>
        <v xml:space="preserve"> </v>
      </c>
      <c r="O27" s="94" t="str">
        <f>IF(Table62202732333721[[#This Row],[Non-Member]]="X"," ",IF(N27=" "," ",IFERROR(VLOOKUP(M27,Points!$A$2:$B$14,2,FALSE)," ")))</f>
        <v xml:space="preserve"> </v>
      </c>
      <c r="P27" s="92"/>
      <c r="Q27" s="97" t="str">
        <f t="shared" si="6"/>
        <v xml:space="preserve"> </v>
      </c>
      <c r="R27" s="97" t="str">
        <f t="shared" si="7"/>
        <v xml:space="preserve"> </v>
      </c>
      <c r="S27" s="94" t="str">
        <f>IF(Table62202732333721[[#This Row],[Non-Member]]="X"," ",IF(R27=" "," ",IFERROR(VLOOKUP(Q27,Points!$A$2:$B$14,2,FALSE)," ")))</f>
        <v xml:space="preserve"> </v>
      </c>
      <c r="T27" s="92"/>
      <c r="U27" s="97" t="str">
        <f t="shared" si="8"/>
        <v xml:space="preserve"> </v>
      </c>
      <c r="V27" s="97" t="str">
        <f t="shared" si="9"/>
        <v xml:space="preserve"> </v>
      </c>
      <c r="W27" s="94" t="str">
        <f>IF(Table62202732333721[[#This Row],[Non-Member]]="X"," ",IF(V27=" "," ",IFERROR(VLOOKUP(U27,Points!$A$2:$B$14,2,FALSE)," ")))</f>
        <v xml:space="preserve"> </v>
      </c>
      <c r="X27" s="92"/>
      <c r="Y27" s="97" t="str">
        <f t="shared" si="10"/>
        <v xml:space="preserve"> </v>
      </c>
      <c r="Z27" s="97" t="str">
        <f t="shared" si="11"/>
        <v xml:space="preserve"> </v>
      </c>
      <c r="AA27" s="94" t="str">
        <f>IF(Table62202732333721[[#This Row],[Non-Member]]="X"," ",IF(Z27=" "," ",IFERROR(VLOOKUP(Y27,Points!$A$2:$B$14,2,FALSE)," ")))</f>
        <v xml:space="preserve"> </v>
      </c>
      <c r="AB27" s="92"/>
      <c r="AC27" s="97" t="str">
        <f t="shared" si="12"/>
        <v xml:space="preserve"> </v>
      </c>
      <c r="AD27" s="97" t="str">
        <f t="shared" si="13"/>
        <v xml:space="preserve"> </v>
      </c>
      <c r="AE27" s="94" t="str">
        <f>IF(Table62202732333721[[#This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8" t="str">
        <f t="shared" si="15"/>
        <v xml:space="preserve"> </v>
      </c>
      <c r="AH27" s="97" t="str">
        <f t="shared" si="16"/>
        <v xml:space="preserve"> </v>
      </c>
      <c r="AI27" s="94" t="str">
        <f>IF(Table62202732333721[[#This Row],[Non-Member]]="X"," ",IF(AH27=" "," ",IFERROR(VLOOKUP(AG27,Points!$A$2:$B$14,2,FALSE)," ")))</f>
        <v xml:space="preserve"> </v>
      </c>
      <c r="AJ27" s="97" t="str">
        <f>IF(Table62202732333721[[#This Row],[Non-Member]]="X"," ",((IF(G27=" ",0,G27))+(IF(K27=" ",0,K27))+(IF(O27=" ",0,O27))+(IF(S27=" ",0,S27))+(IF(W27=" ",0,W27))+(IF(AA27=" ",0,AA27))+(IF(AE27=" ",0,AE27))+(IF(AI27=" ",0,AI27))))</f>
        <v xml:space="preserve"> </v>
      </c>
      <c r="AK27" s="151" t="str">
        <f t="shared" si="17"/>
        <v xml:space="preserve"> </v>
      </c>
      <c r="AL27" s="98" t="str">
        <f t="shared" si="18"/>
        <v xml:space="preserve"> </v>
      </c>
    </row>
    <row r="28" spans="2:38" x14ac:dyDescent="0.3">
      <c r="B28" s="90" t="s">
        <v>255</v>
      </c>
      <c r="C28" s="91"/>
      <c r="D28" s="92"/>
      <c r="E28" s="97" t="str">
        <f t="shared" si="0"/>
        <v xml:space="preserve"> </v>
      </c>
      <c r="F28" s="97" t="str">
        <f t="shared" si="1"/>
        <v xml:space="preserve"> </v>
      </c>
      <c r="G28" s="94" t="str">
        <f>IF(Table62202732333721[[#This Row],[Non-Member]]="X"," ",IF(F28=" "," ",IFERROR(VLOOKUP(E28,Points!$A$2:$B$14,2,FALSE)," ")))</f>
        <v xml:space="preserve"> </v>
      </c>
      <c r="H28" s="135">
        <v>21.259</v>
      </c>
      <c r="I28" s="97">
        <f t="shared" si="2"/>
        <v>12</v>
      </c>
      <c r="J28" s="98" t="str">
        <f t="shared" si="3"/>
        <v xml:space="preserve"> </v>
      </c>
      <c r="K28" s="94" t="str">
        <f>IF(Table62202732333721[[#This Row],[Non-Member]]="X"," ",IF(J28=" "," ",IFERROR(VLOOKUP(I28,Points!$A$2:$B$14,2,FALSE)," ")))</f>
        <v xml:space="preserve"> </v>
      </c>
      <c r="L28" s="92"/>
      <c r="M28" s="97" t="str">
        <f t="shared" si="4"/>
        <v xml:space="preserve"> </v>
      </c>
      <c r="N28" s="97" t="str">
        <f t="shared" si="5"/>
        <v xml:space="preserve"> </v>
      </c>
      <c r="O28" s="94" t="str">
        <f>IF(Table62202732333721[[#This Row],[Non-Member]]="X"," ",IF(N28=" "," ",IFERROR(VLOOKUP(M28,Points!$A$2:$B$14,2,FALSE)," ")))</f>
        <v xml:space="preserve"> </v>
      </c>
      <c r="P28" s="92">
        <v>23.131</v>
      </c>
      <c r="Q28" s="97">
        <f t="shared" si="6"/>
        <v>16</v>
      </c>
      <c r="R28" s="97" t="str">
        <f t="shared" si="7"/>
        <v xml:space="preserve"> </v>
      </c>
      <c r="S28" s="94" t="str">
        <f>IF(Table62202732333721[[#This Row],[Non-Member]]="X"," ",IF(R28=" "," ",IFERROR(VLOOKUP(Q28,Points!$A$2:$B$14,2,FALSE)," ")))</f>
        <v xml:space="preserve"> </v>
      </c>
      <c r="T28" s="92"/>
      <c r="U28" s="97" t="str">
        <f t="shared" si="8"/>
        <v xml:space="preserve"> </v>
      </c>
      <c r="V28" s="97" t="str">
        <f t="shared" si="9"/>
        <v xml:space="preserve"> </v>
      </c>
      <c r="W28" s="94" t="str">
        <f>IF(Table62202732333721[[#This Row],[Non-Member]]="X"," ",IF(V28=" "," ",IFERROR(VLOOKUP(U28,Points!$A$2:$B$14,2,FALSE)," ")))</f>
        <v xml:space="preserve"> </v>
      </c>
      <c r="X28" s="92"/>
      <c r="Y28" s="97" t="str">
        <f t="shared" si="10"/>
        <v xml:space="preserve"> </v>
      </c>
      <c r="Z28" s="97" t="str">
        <f t="shared" si="11"/>
        <v xml:space="preserve"> </v>
      </c>
      <c r="AA28" s="94" t="str">
        <f>IF(Table62202732333721[[#This Row],[Non-Member]]="X"," ",IF(Z28=" "," ",IFERROR(VLOOKUP(Y28,Points!$A$2:$B$14,2,FALSE)," ")))</f>
        <v xml:space="preserve"> </v>
      </c>
      <c r="AB28" s="92"/>
      <c r="AC28" s="97" t="str">
        <f t="shared" si="12"/>
        <v xml:space="preserve"> </v>
      </c>
      <c r="AD28" s="97" t="str">
        <f t="shared" si="13"/>
        <v xml:space="preserve"> </v>
      </c>
      <c r="AE28" s="94" t="str">
        <f>IF(Table62202732333721[[#This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7" t="str">
        <f t="shared" si="15"/>
        <v xml:space="preserve"> </v>
      </c>
      <c r="AH28" s="97" t="str">
        <f t="shared" si="16"/>
        <v xml:space="preserve"> </v>
      </c>
      <c r="AI28" s="94" t="str">
        <f>IF(Table62202732333721[[#This Row],[Non-Member]]="X"," ",IF(AH28=" "," ",IFERROR(VLOOKUP(AG28,Points!$A$2:$B$14,2,FALSE)," ")))</f>
        <v xml:space="preserve"> </v>
      </c>
      <c r="AJ28" s="97">
        <f>IF(Table62202732333721[[#This Row],[Non-Member]]="X"," ",((IF(G28=" ",0,G28))+(IF(K28=" ",0,K28))+(IF(O28=" ",0,O28))+(IF(S28=" ",0,S28))+(IF(W28=" ",0,W28))+(IF(AA28=" ",0,AA28))+(IF(AE28=" ",0,AE28))+(IF(AI28=" ",0,AI28))))</f>
        <v>0</v>
      </c>
      <c r="AK28" s="95" t="str">
        <f t="shared" si="17"/>
        <v xml:space="preserve"> </v>
      </c>
      <c r="AL28" s="98" t="str">
        <f t="shared" si="18"/>
        <v xml:space="preserve"> </v>
      </c>
    </row>
    <row r="29" spans="2:38" x14ac:dyDescent="0.3">
      <c r="B29" s="90" t="s">
        <v>94</v>
      </c>
      <c r="C29" s="91"/>
      <c r="D29" s="92"/>
      <c r="E29" s="97" t="str">
        <f t="shared" si="0"/>
        <v xml:space="preserve"> </v>
      </c>
      <c r="F29" s="97" t="str">
        <f t="shared" si="1"/>
        <v xml:space="preserve"> </v>
      </c>
      <c r="G29" s="94" t="str">
        <f>IF(Table62202732333721[[#This Row],[Non-Member]]="X"," ",IF(F29=" "," ",IFERROR(VLOOKUP(E29,Points!$A$2:$B$14,2,FALSE)," ")))</f>
        <v xml:space="preserve"> </v>
      </c>
      <c r="H29" s="135">
        <v>26.344000000000001</v>
      </c>
      <c r="I29" s="97">
        <f t="shared" si="2"/>
        <v>19</v>
      </c>
      <c r="J29" s="98" t="str">
        <f t="shared" si="3"/>
        <v xml:space="preserve"> </v>
      </c>
      <c r="K29" s="94" t="str">
        <f>IF(Table62202732333721[[#This Row],[Non-Member]]="X"," ",IF(J29=" "," ",IFERROR(VLOOKUP(I29,Points!$A$2:$B$14,2,FALSE)," ")))</f>
        <v xml:space="preserve"> </v>
      </c>
      <c r="L29" s="92"/>
      <c r="M29" s="97" t="str">
        <f t="shared" si="4"/>
        <v xml:space="preserve"> </v>
      </c>
      <c r="N29" s="97" t="str">
        <f t="shared" si="5"/>
        <v xml:space="preserve"> </v>
      </c>
      <c r="O29" s="94" t="str">
        <f>IF(Table62202732333721[[#This Row],[Non-Member]]="X"," ",IF(N29=" "," ",IFERROR(VLOOKUP(M29,Points!$A$2:$B$14,2,FALSE)," ")))</f>
        <v xml:space="preserve"> </v>
      </c>
      <c r="P29" s="92"/>
      <c r="Q29" s="97" t="str">
        <f t="shared" si="6"/>
        <v xml:space="preserve"> </v>
      </c>
      <c r="R29" s="97" t="str">
        <f t="shared" si="7"/>
        <v xml:space="preserve"> </v>
      </c>
      <c r="S29" s="94" t="str">
        <f>IF(Table62202732333721[[#This Row],[Non-Member]]="X"," ",IF(R29=" "," ",IFERROR(VLOOKUP(Q29,Points!$A$2:$B$14,2,FALSE)," ")))</f>
        <v xml:space="preserve"> </v>
      </c>
      <c r="T29" s="92"/>
      <c r="U29" s="97" t="str">
        <f t="shared" si="8"/>
        <v xml:space="preserve"> </v>
      </c>
      <c r="V29" s="97" t="str">
        <f t="shared" si="9"/>
        <v xml:space="preserve"> </v>
      </c>
      <c r="W29" s="94" t="str">
        <f>IF(Table62202732333721[[#This Row],[Non-Member]]="X"," ",IF(V29=" "," ",IFERROR(VLOOKUP(U29,Points!$A$2:$B$14,2,FALSE)," ")))</f>
        <v xml:space="preserve"> </v>
      </c>
      <c r="X29" s="92"/>
      <c r="Y29" s="97" t="str">
        <f t="shared" si="10"/>
        <v xml:space="preserve"> </v>
      </c>
      <c r="Z29" s="97" t="str">
        <f t="shared" si="11"/>
        <v xml:space="preserve"> </v>
      </c>
      <c r="AA29" s="94" t="str">
        <f>IF(Table62202732333721[[#This Row],[Non-Member]]="X"," ",IF(Z29=" "," ",IFERROR(VLOOKUP(Y29,Points!$A$2:$B$14,2,FALSE)," ")))</f>
        <v xml:space="preserve"> </v>
      </c>
      <c r="AB29" s="92"/>
      <c r="AC29" s="97" t="str">
        <f t="shared" si="12"/>
        <v xml:space="preserve"> </v>
      </c>
      <c r="AD29" s="97" t="str">
        <f t="shared" si="13"/>
        <v xml:space="preserve"> </v>
      </c>
      <c r="AE29" s="94" t="str">
        <f>IF(Table62202732333721[[#This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8" t="str">
        <f t="shared" si="15"/>
        <v xml:space="preserve"> </v>
      </c>
      <c r="AH29" s="97" t="str">
        <f t="shared" si="16"/>
        <v xml:space="preserve"> </v>
      </c>
      <c r="AI29" s="94" t="str">
        <f>IF(Table62202732333721[[#This Row],[Non-Member]]="X"," ",IF(AH29=" "," ",IFERROR(VLOOKUP(AG29,Points!$A$2:$B$14,2,FALSE)," ")))</f>
        <v xml:space="preserve"> </v>
      </c>
      <c r="AJ29" s="97">
        <f>IF(Table62202732333721[[#This Row],[Non-Member]]="X"," ",((IF(G29=" ",0,G29))+(IF(K29=" ",0,K29))+(IF(O29=" ",0,O29))+(IF(S29=" ",0,S29))+(IF(W29=" ",0,W29))+(IF(AA29=" ",0,AA29))+(IF(AE29=" ",0,AE29))+(IF(AI29=" ",0,AI29))))</f>
        <v>0</v>
      </c>
      <c r="AK29" s="151" t="str">
        <f t="shared" si="17"/>
        <v xml:space="preserve"> </v>
      </c>
      <c r="AL29" s="98" t="str">
        <f t="shared" si="18"/>
        <v xml:space="preserve"> </v>
      </c>
    </row>
    <row r="30" spans="2:38" ht="14.5" thickBot="1" x14ac:dyDescent="0.35">
      <c r="B30" s="100"/>
      <c r="C30" s="101"/>
      <c r="D30" s="102"/>
      <c r="E30" s="103" t="str">
        <f t="shared" si="0"/>
        <v xml:space="preserve"> </v>
      </c>
      <c r="F30" s="103" t="str">
        <f t="shared" si="1"/>
        <v xml:space="preserve"> </v>
      </c>
      <c r="G30" s="104" t="str">
        <f>IF(Table62202732333721[[#This Row],[Non-Member]]="X"," ",IF(F30=" "," ",IFERROR(VLOOKUP(E30,Points!$A$2:$B$14,2,FALSE)," ")))</f>
        <v xml:space="preserve"> </v>
      </c>
      <c r="H30" s="164"/>
      <c r="I30" s="103" t="str">
        <f t="shared" si="2"/>
        <v xml:space="preserve"> </v>
      </c>
      <c r="J30" s="148" t="str">
        <f t="shared" si="3"/>
        <v xml:space="preserve"> </v>
      </c>
      <c r="K30" s="104" t="str">
        <f>IF(Table62202732333721[[#This Row],[Non-Member]]="X"," ",IF(J30=" "," ",IFERROR(VLOOKUP(I30,Points!$A$2:$B$14,2,FALSE)," ")))</f>
        <v xml:space="preserve"> </v>
      </c>
      <c r="L30" s="102"/>
      <c r="M30" s="103" t="str">
        <f t="shared" si="4"/>
        <v xml:space="preserve"> </v>
      </c>
      <c r="N30" s="103" t="str">
        <f t="shared" si="5"/>
        <v xml:space="preserve"> </v>
      </c>
      <c r="O30" s="104" t="str">
        <f>IF(Table62202732333721[[#This Row],[Non-Member]]="X"," ",IF(N30=" "," ",IFERROR(VLOOKUP(M30,Points!$A$2:$B$14,2,FALSE)," ")))</f>
        <v xml:space="preserve"> </v>
      </c>
      <c r="P30" s="102"/>
      <c r="Q30" s="103" t="str">
        <f t="shared" si="6"/>
        <v xml:space="preserve"> </v>
      </c>
      <c r="R30" s="103" t="str">
        <f t="shared" si="7"/>
        <v xml:space="preserve"> </v>
      </c>
      <c r="S30" s="104" t="str">
        <f>IF(Table62202732333721[[#This Row],[Non-Member]]="X"," ",IF(R30=" "," ",IFERROR(VLOOKUP(Q30,Points!$A$2:$B$14,2,FALSE)," ")))</f>
        <v xml:space="preserve"> </v>
      </c>
      <c r="T30" s="102"/>
      <c r="U30" s="103" t="str">
        <f t="shared" si="8"/>
        <v xml:space="preserve"> </v>
      </c>
      <c r="V30" s="103" t="str">
        <f t="shared" si="9"/>
        <v xml:space="preserve"> </v>
      </c>
      <c r="W30" s="104" t="str">
        <f>IF(Table62202732333721[[#This Row],[Non-Member]]="X"," ",IF(V30=" "," ",IFERROR(VLOOKUP(U30,Points!$A$2:$B$14,2,FALSE)," ")))</f>
        <v xml:space="preserve"> </v>
      </c>
      <c r="X30" s="102"/>
      <c r="Y30" s="103" t="str">
        <f t="shared" si="10"/>
        <v xml:space="preserve"> </v>
      </c>
      <c r="Z30" s="103" t="str">
        <f t="shared" si="11"/>
        <v xml:space="preserve"> </v>
      </c>
      <c r="AA30" s="104" t="str">
        <f>IF(Table62202732333721[[#This Row],[Non-Member]]="X"," ",IF(Z30=" "," ",IFERROR(VLOOKUP(Y30,Points!$A$2:$B$14,2,FALSE)," ")))</f>
        <v xml:space="preserve"> </v>
      </c>
      <c r="AB30" s="102"/>
      <c r="AC30" s="103" t="str">
        <f t="shared" si="12"/>
        <v xml:space="preserve"> </v>
      </c>
      <c r="AD30" s="103" t="str">
        <f t="shared" si="13"/>
        <v xml:space="preserve"> </v>
      </c>
      <c r="AE30" s="104" t="str">
        <f>IF(Table62202732333721[[#This Row],[Non-Member]]="X"," ",IF(AD30=" "," ",IFERROR(VLOOKUP(AC30,Points!$A$2:$B$14,2,FALSE)," ")))</f>
        <v xml:space="preserve"> </v>
      </c>
      <c r="AF30" s="102" t="str">
        <f t="shared" si="14"/>
        <v xml:space="preserve"> </v>
      </c>
      <c r="AG30" s="103" t="str">
        <f t="shared" si="15"/>
        <v xml:space="preserve"> </v>
      </c>
      <c r="AH30" s="103" t="str">
        <f t="shared" si="16"/>
        <v xml:space="preserve"> </v>
      </c>
      <c r="AI30" s="104" t="str">
        <f>IF(Table62202732333721[[#This Row],[Non-Member]]="X"," ",IF(AH30=" "," ",IFERROR(VLOOKUP(AG30,Points!$A$2:$B$14,2,FALSE)," ")))</f>
        <v xml:space="preserve"> </v>
      </c>
      <c r="AJ30" s="93">
        <f>IF(Table62202732333721[[#This Row],[Non-Member]]="X"," ",((IF(G30=" ",0,G30))+(IF(K30=" ",0,K30))+(IF(O30=" ",0,O30))+(IF(S30=" ",0,S30))+(IF(W30=" ",0,W30))+(IF(AA30=" ",0,AA30))+(IF(AE30=" ",0,AE30))+(IF(AI30=" ",0,AI30))))</f>
        <v>0</v>
      </c>
      <c r="AK30" s="105" t="str">
        <f t="shared" si="17"/>
        <v xml:space="preserve"> </v>
      </c>
      <c r="AL30" s="96" t="str">
        <f t="shared" si="18"/>
        <v xml:space="preserve"> </v>
      </c>
    </row>
    <row r="31" spans="2:38" ht="14.5" thickBot="1" x14ac:dyDescent="0.35">
      <c r="B31" s="106" t="s">
        <v>190</v>
      </c>
      <c r="AG31" s="107"/>
    </row>
    <row r="33" spans="6:8" x14ac:dyDescent="0.3">
      <c r="F33" s="107"/>
    </row>
    <row r="34" spans="6:8" x14ac:dyDescent="0.3">
      <c r="F34" s="107"/>
    </row>
    <row r="35" spans="6:8" x14ac:dyDescent="0.3">
      <c r="H35" s="108"/>
    </row>
  </sheetData>
  <sheetProtection algorithmName="SHA-512" hashValue="CKVnlmHapE34NrcgR6fzXYMv2w5D3oiz1KA0LJRh7sqgiok7TSv5d1OhKnQHeg0CEEztJzPKLN71ghRw9x7hDw==" saltValue="kSE0VQajIZ3Tpa1SumAhx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3">
    <tabColor theme="5" tint="0.79998168889431442"/>
  </sheetPr>
  <dimension ref="B1:AL36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97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139</v>
      </c>
      <c r="C5" s="84"/>
      <c r="D5" s="85"/>
      <c r="E5" s="109" t="str">
        <f t="shared" ref="E5:E31" si="0">IF(D5=0," ",_xlfn.RANK.AVG(D5,D$5:D$31,1)-COUNTIF(D$5:D$31,0))</f>
        <v xml:space="preserve"> </v>
      </c>
      <c r="F5" s="109" t="str">
        <f t="shared" ref="F5:F31" si="1">IF(D5=0," ",IF((RANK(D5,D$5:D$31,1)-COUNTIF(D$5:D$31,0)&gt;6)," ",RANK(D5,D$5:D$31,1)-COUNTIF(D$5:D$31,0)))</f>
        <v xml:space="preserve"> </v>
      </c>
      <c r="G5" s="87" t="str">
        <f>IF(Table6220273233373822[[#This Row],[Non-Member]]="X"," ",IF(F5=" "," ",IFERROR(VLOOKUP(E5,Points!$A$2:$B$14,2,FALSE)," ")))</f>
        <v xml:space="preserve"> </v>
      </c>
      <c r="H5" s="136">
        <v>22.236999999999998</v>
      </c>
      <c r="I5" s="109">
        <f t="shared" ref="I5:I31" si="2">IF(H5=0," ",_xlfn.RANK.AVG(H5,H$5:H$31,1)-COUNTIF(H$5:H$31,0))</f>
        <v>2</v>
      </c>
      <c r="J5" s="109">
        <f t="shared" ref="J5:J31" si="3">IF(H5=0," ",IF((RANK(H5,H$5:H$31,1)-COUNTIF(H$5:H$31,0)&gt;6)," ",RANK(H5,H$5:H$31,1)-COUNTIF(H$5:H$31,0)))</f>
        <v>2</v>
      </c>
      <c r="K5" s="87">
        <f>IF(Table6220273233373822[[#This Row],[Non-Member]]="X"," ",IF(J5=" "," ",IFERROR(VLOOKUP(I5,Points!$A$2:$B$14,2,FALSE)," ")))</f>
        <v>15</v>
      </c>
      <c r="L5" s="85">
        <v>21.5</v>
      </c>
      <c r="M5" s="109">
        <f t="shared" ref="M5:M31" si="4">IF(L5=0," ",_xlfn.RANK.AVG(L5,L$5:L$31,1)-COUNTIF(L$5:L$31,0))</f>
        <v>1</v>
      </c>
      <c r="N5" s="109">
        <f t="shared" ref="N5:N31" si="5">IF(L5=0," ",IF((RANK(L5,L$5:L$31,1)-COUNTIF(L$5:L$31,0)&gt;6)," ",RANK(L5,L$5:L$31,1)-COUNTIF(L$5:L$31,0)))</f>
        <v>1</v>
      </c>
      <c r="O5" s="87">
        <f>IF(Table6220273233373822[[#This Row],[Non-Member]]="X"," ",IF(N5=" "," ",IFERROR(VLOOKUP(M5,Points!$A$2:$B$14,2,FALSE)," ")))</f>
        <v>18</v>
      </c>
      <c r="P5" s="85">
        <v>0</v>
      </c>
      <c r="Q5" s="109" t="str">
        <f t="shared" ref="Q5:Q31" si="6">IF(P5=0," ",_xlfn.RANK.AVG(P5,P$5:P$31,1)-COUNTIF(P$5:P$31,0))</f>
        <v xml:space="preserve"> </v>
      </c>
      <c r="R5" s="109" t="str">
        <f t="shared" ref="R5:R31" si="7">IF(P5=0," ",IF((RANK(P5,P$5:P$31,1)-COUNTIF(P$5:P$31,0)&gt;6)," ",RANK(P5,P$5:P$31,1)-COUNTIF(P$5:P$31,0)))</f>
        <v xml:space="preserve"> </v>
      </c>
      <c r="S5" s="87" t="str">
        <f>IF(Table6220273233373822[[#This Row],[Non-Member]]="X"," ",IF(R5=" "," ",IFERROR(VLOOKUP(Q5,Points!$A$2:$B$14,2,FALSE)," ")))</f>
        <v xml:space="preserve"> </v>
      </c>
      <c r="T5" s="85"/>
      <c r="U5" s="109" t="str">
        <f t="shared" ref="U5:U31" si="8">IF(T5=0," ",_xlfn.RANK.AVG(T5,T$5:T$31,1)-COUNTIF(T$5:T$31,0))</f>
        <v xml:space="preserve"> </v>
      </c>
      <c r="V5" s="109" t="str">
        <f t="shared" ref="V5:V31" si="9">IF(T5=0," ",IF((RANK(T5,T$5:T$31,1)-COUNTIF(T$5:T$31,0)&gt;6)," ",RANK(T5,T$5:T$31,1)-COUNTIF(T$5:T$31,0)))</f>
        <v xml:space="preserve"> </v>
      </c>
      <c r="W5" s="87" t="str">
        <f>IF(Table6220273233373822[[#This Row],[Non-Member]]="X"," ",IF(V5=" "," ",IFERROR(VLOOKUP(U5,Points!$A$2:$B$14,2,FALSE)," ")))</f>
        <v xml:space="preserve"> </v>
      </c>
      <c r="X5" s="85"/>
      <c r="Y5" s="109" t="str">
        <f t="shared" ref="Y5:Y31" si="10">IF(X5=0," ",_xlfn.RANK.AVG(X5,X$5:X$31,1)-COUNTIF(X$5:X$31,0))</f>
        <v xml:space="preserve"> </v>
      </c>
      <c r="Z5" s="109" t="str">
        <f t="shared" ref="Z5:Z31" si="11">IF(X5=0," ",IF((RANK(X5,X$5:X$31,1)-COUNTIF(X$5:X$31,0)&gt;6)," ",RANK(X5,X$5:X$31,1)-COUNTIF(X$5:X$31,0)))</f>
        <v xml:space="preserve"> </v>
      </c>
      <c r="AA5" s="87" t="str">
        <f>IF(Table6220273233373822[[#This Row],[Non-Member]]="X"," ",IF(Z5=" "," ",IFERROR(VLOOKUP(Y5,Points!$A$2:$B$14,2,FALSE)," ")))</f>
        <v xml:space="preserve"> </v>
      </c>
      <c r="AB5" s="85"/>
      <c r="AC5" s="109" t="str">
        <f t="shared" ref="AC5:AC31" si="12">IF(AB5=0," ",_xlfn.RANK.AVG(AB5,AB$5:AB$31,1)-COUNTIF(AB$5:AB$31,0))</f>
        <v xml:space="preserve"> </v>
      </c>
      <c r="AD5" s="109" t="str">
        <f t="shared" ref="AD5:AD31" si="13">IF(AB5=0," ",IF((RANK(AB5,AB$5:AB$31,1)-COUNTIF(AB$5:AB$31,0)&gt;6)," ",RANK(AB5,AB$5:AB$31,1)-COUNTIF(AB$5:AB$31,0)))</f>
        <v xml:space="preserve"> </v>
      </c>
      <c r="AE5" s="87" t="str">
        <f>IF(Table6220273233373822[[#This Row],[Non-Member]]="X"," ",IF(AD5=" "," ",IFERROR(VLOOKUP(AC5,Points!$A$2:$B$14,2,FALSE)," ")))</f>
        <v xml:space="preserve"> </v>
      </c>
      <c r="AF5" s="85" t="str">
        <f t="shared" ref="AF5:AF31" si="14">IF(OR(X5=0,AB5=0)," ",X5+AB5)</f>
        <v xml:space="preserve"> </v>
      </c>
      <c r="AG5" s="109" t="str">
        <f t="shared" ref="AG5:AG31" si="15">IF(OR(AF5=0,AF5=" ")," ",_xlfn.RANK.AVG(AF5,AF$5:AF$31,1)-COUNTIF(AF$5:AF$31,0))</f>
        <v xml:space="preserve"> </v>
      </c>
      <c r="AH5" s="109" t="str">
        <f t="shared" ref="AH5:AH31" si="16">IF(OR(AF5=0,AF5=" ")," ",IF((RANK(AF5,AF$5:AF$31,1)-COUNTIF(AF$5:AF$31,0)&gt;6)," ",RANK(AF5,AF$5:AF$31,1)-COUNTIF(AF$5:AF$31,0)))</f>
        <v xml:space="preserve"> </v>
      </c>
      <c r="AI5" s="87" t="str">
        <f>IF(Table6220273233373822[[#This Row],[Non-Member]]="X"," ",IF(AH5=" "," ",IFERROR(VLOOKUP(AG5,Points!$A$2:$B$14,2,FALSE)," ")))</f>
        <v xml:space="preserve"> </v>
      </c>
      <c r="AJ5" s="109">
        <f>IF(Table6220273233373822[[#This Row],[Non-Member]]="X"," ",((IF(G5=" ",0,G5))+(IF(K5=" ",0,K5))+(IF(O5=" ",0,O5))+(IF(S5=" ",0,S5))+(IF(W5=" ",0,W5))+(IF(AA5=" ",0,AA5))+(IF(AE5=" ",0,AE5))+(IF(AI5=" ",0,AI5))))</f>
        <v>33</v>
      </c>
      <c r="AK5" s="88">
        <f t="shared" ref="AK5:AK31" si="17">IF(AJ5=0," ",AJ5)</f>
        <v>33</v>
      </c>
      <c r="AL5" s="110">
        <f t="shared" ref="AL5:AL31" si="18">IF(AK5=" "," ",RANK(AK5,$AK$5:$AK$31))</f>
        <v>1</v>
      </c>
    </row>
    <row r="6" spans="2:38" x14ac:dyDescent="0.3">
      <c r="B6" s="90" t="s">
        <v>259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IF(Table6220273233373822[[#This Row],[Non-Member]]="X"," ",IF(F6=" "," ",IFERROR(VLOOKUP(E6,Points!$A$2:$B$14,2,FALSE)," ")))</f>
        <v xml:space="preserve"> </v>
      </c>
      <c r="H6" s="135">
        <v>24.483000000000001</v>
      </c>
      <c r="I6" s="97">
        <f t="shared" si="2"/>
        <v>8</v>
      </c>
      <c r="J6" s="97" t="str">
        <f t="shared" si="3"/>
        <v xml:space="preserve"> </v>
      </c>
      <c r="K6" s="94" t="str">
        <f>IF(Table6220273233373822[[#This Row],[Non-Member]]="X"," ",IF(J6=" "," ",IFERROR(VLOOKUP(I6,Points!$A$2:$B$14,2,FALSE)," ")))</f>
        <v xml:space="preserve"> </v>
      </c>
      <c r="L6" s="92">
        <v>22.51</v>
      </c>
      <c r="M6" s="97">
        <f t="shared" si="4"/>
        <v>2</v>
      </c>
      <c r="N6" s="97">
        <f t="shared" si="5"/>
        <v>2</v>
      </c>
      <c r="O6" s="94">
        <f>IF(Table6220273233373822[[#This Row],[Non-Member]]="X"," ",IF(N6=" "," ",IFERROR(VLOOKUP(M6,Points!$A$2:$B$14,2,FALSE)," ")))</f>
        <v>15</v>
      </c>
      <c r="P6" s="92">
        <v>22.77</v>
      </c>
      <c r="Q6" s="97">
        <f t="shared" si="6"/>
        <v>2</v>
      </c>
      <c r="R6" s="97">
        <f t="shared" si="7"/>
        <v>2</v>
      </c>
      <c r="S6" s="94">
        <f>IF(Table6220273233373822[[#This Row],[Non-Member]]="X"," ",IF(R6=" "," ",IFERROR(VLOOKUP(Q6,Points!$A$2:$B$14,2,FALSE)," ")))</f>
        <v>15</v>
      </c>
      <c r="T6" s="92"/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IF(Table6220273233373822[[#This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IF(Table6220273233373822[[#This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IF(Table6220273233373822[[#This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8" t="str">
        <f t="shared" si="15"/>
        <v xml:space="preserve"> </v>
      </c>
      <c r="AH6" s="97" t="str">
        <f t="shared" si="16"/>
        <v xml:space="preserve"> </v>
      </c>
      <c r="AI6" s="94" t="str">
        <f>IF(Table6220273233373822[[#This Row],[Non-Member]]="X"," ",IF(AH6=" "," ",IFERROR(VLOOKUP(AG6,Points!$A$2:$B$14,2,FALSE)," ")))</f>
        <v xml:space="preserve"> </v>
      </c>
      <c r="AJ6" s="97">
        <f>IF(Table6220273233373822[[#This Row],[Non-Member]]="X"," ",((IF(G6=" ",0,G6))+(IF(K6=" ",0,K6))+(IF(O6=" ",0,O6))+(IF(S6=" ",0,S6))+(IF(W6=" ",0,W6))+(IF(AA6=" ",0,AA6))+(IF(AE6=" ",0,AE6))+(IF(AI6=" ",0,AI6))))</f>
        <v>30</v>
      </c>
      <c r="AK6" s="151">
        <f t="shared" si="17"/>
        <v>30</v>
      </c>
      <c r="AL6" s="98">
        <f t="shared" si="18"/>
        <v>2</v>
      </c>
    </row>
    <row r="7" spans="2:38" x14ac:dyDescent="0.3">
      <c r="B7" s="90" t="s">
        <v>86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IF(Table6220273233373822[[#This Row],[Non-Member]]="X"," ",IF(F7=" "," ",IFERROR(VLOOKUP(E7,Points!$A$2:$B$14,2,FALSE)," ")))</f>
        <v xml:space="preserve"> </v>
      </c>
      <c r="H7" s="135">
        <v>21.524999999999999</v>
      </c>
      <c r="I7" s="93">
        <f t="shared" si="2"/>
        <v>1</v>
      </c>
      <c r="J7" s="93">
        <f t="shared" si="3"/>
        <v>1</v>
      </c>
      <c r="K7" s="94">
        <f>IF(Table6220273233373822[[#This Row],[Non-Member]]="X"," ",IF(J7=" "," ",IFERROR(VLOOKUP(I7,Points!$A$2:$B$14,2,FALSE)," ")))</f>
        <v>18</v>
      </c>
      <c r="L7" s="92">
        <v>28.5</v>
      </c>
      <c r="M7" s="93">
        <f t="shared" si="4"/>
        <v>13</v>
      </c>
      <c r="N7" s="93" t="str">
        <f t="shared" si="5"/>
        <v xml:space="preserve"> </v>
      </c>
      <c r="O7" s="94" t="str">
        <f>IF(Table6220273233373822[[#This Row],[Non-Member]]="X"," ",IF(N7=" "," ",IFERROR(VLOOKUP(M7,Points!$A$2:$B$14,2,FALSE)," ")))</f>
        <v xml:space="preserve"> </v>
      </c>
      <c r="P7" s="92">
        <v>23.21</v>
      </c>
      <c r="Q7" s="93">
        <f t="shared" si="6"/>
        <v>4</v>
      </c>
      <c r="R7" s="93">
        <f t="shared" si="7"/>
        <v>4</v>
      </c>
      <c r="S7" s="94">
        <f>IF(Table6220273233373822[[#This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IF(Table6220273233373822[[#This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IF(Table6220273233373822[[#This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IF(Table6220273233373822[[#This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IF(Table6220273233373822[[#This Row],[Non-Member]]="X"," ",IF(AH7=" "," ",IFERROR(VLOOKUP(AG7,Points!$A$2:$B$14,2,FALSE)," ")))</f>
        <v xml:space="preserve"> </v>
      </c>
      <c r="AJ7" s="93">
        <f>IF(Table6220273233373822[[#This Row],[Non-Member]]="X"," ",((IF(G7=" ",0,G7))+(IF(K7=" ",0,K7))+(IF(O7=" ",0,O7))+(IF(S7=" ",0,S7))+(IF(W7=" ",0,W7))+(IF(AA7=" ",0,AA7))+(IF(AE7=" ",0,AE7))+(IF(AI7=" ",0,AI7))))</f>
        <v>27</v>
      </c>
      <c r="AK7" s="95">
        <f t="shared" si="17"/>
        <v>27</v>
      </c>
      <c r="AL7" s="96">
        <f t="shared" si="18"/>
        <v>3</v>
      </c>
    </row>
    <row r="8" spans="2:38" x14ac:dyDescent="0.3">
      <c r="B8" s="90" t="s">
        <v>256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IF(Table6220273233373822[[#This Row],[Non-Member]]="X"," ",IF(F8=" "," ",IFERROR(VLOOKUP(E8,Points!$A$2:$B$14,2,FALSE)," ")))</f>
        <v xml:space="preserve"> </v>
      </c>
      <c r="H8" s="135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IF(Table6220273233373822[[#This Row],[Non-Member]]="X"," ",IF(J8=" "," ",IFERROR(VLOOKUP(I8,Points!$A$2:$B$14,2,FALSE)," ")))</f>
        <v xml:space="preserve"> </v>
      </c>
      <c r="L8" s="92">
        <v>23.15</v>
      </c>
      <c r="M8" s="93">
        <f t="shared" si="4"/>
        <v>3</v>
      </c>
      <c r="N8" s="93">
        <f t="shared" si="5"/>
        <v>3</v>
      </c>
      <c r="O8" s="94">
        <f>IF(Table6220273233373822[[#This Row],[Non-Member]]="X"," ",IF(N8=" "," ",IFERROR(VLOOKUP(M8,Points!$A$2:$B$14,2,FALSE)," ")))</f>
        <v>12</v>
      </c>
      <c r="P8" s="92">
        <v>22.8</v>
      </c>
      <c r="Q8" s="93">
        <f t="shared" si="6"/>
        <v>3</v>
      </c>
      <c r="R8" s="93">
        <f t="shared" si="7"/>
        <v>3</v>
      </c>
      <c r="S8" s="94">
        <f>IF(Table6220273233373822[[#This Row],[Non-Member]]="X"," ",IF(R8=" "," ",IFERROR(VLOOKUP(Q8,Points!$A$2:$B$14,2,FALSE)," ")))</f>
        <v>12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IF(Table6220273233373822[[#This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IF(Table6220273233373822[[#This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IF(Table6220273233373822[[#This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IF(Table6220273233373822[[#This Row],[Non-Member]]="X"," ",IF(AH8=" "," ",IFERROR(VLOOKUP(AG8,Points!$A$2:$B$14,2,FALSE)," ")))</f>
        <v xml:space="preserve"> </v>
      </c>
      <c r="AJ8" s="93">
        <f>IF(Table6220273233373822[[#This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6">
        <f t="shared" si="18"/>
        <v>4</v>
      </c>
    </row>
    <row r="9" spans="2:38" x14ac:dyDescent="0.3">
      <c r="B9" s="90" t="s">
        <v>253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IF(Table6220273233373822[[#This Row],[Non-Member]]="X"," ",IF(F9=" "," ",IFERROR(VLOOKUP(E9,Points!$A$2:$B$14,2,FALSE)," ")))</f>
        <v xml:space="preserve"> </v>
      </c>
      <c r="H9" s="135">
        <v>23.26</v>
      </c>
      <c r="I9" s="97">
        <f t="shared" si="2"/>
        <v>3</v>
      </c>
      <c r="J9" s="97">
        <f t="shared" si="3"/>
        <v>3</v>
      </c>
      <c r="K9" s="94">
        <f>IF(Table6220273233373822[[#This Row],[Non-Member]]="X"," ",IF(J9=" "," ",IFERROR(VLOOKUP(I9,Points!$A$2:$B$14,2,FALSE)," ")))</f>
        <v>12</v>
      </c>
      <c r="L9" s="92">
        <v>23.24</v>
      </c>
      <c r="M9" s="97">
        <f t="shared" si="4"/>
        <v>5</v>
      </c>
      <c r="N9" s="97">
        <f t="shared" si="5"/>
        <v>5</v>
      </c>
      <c r="O9" s="94">
        <f>IF(Table6220273233373822[[#This Row],[Non-Member]]="X"," ",IF(N9=" "," ",IFERROR(VLOOKUP(M9,Points!$A$2:$B$14,2,FALSE)," ")))</f>
        <v>6</v>
      </c>
      <c r="P9" s="92">
        <v>32.14</v>
      </c>
      <c r="Q9" s="97">
        <f t="shared" si="6"/>
        <v>12</v>
      </c>
      <c r="R9" s="97" t="str">
        <f t="shared" si="7"/>
        <v xml:space="preserve"> </v>
      </c>
      <c r="S9" s="94" t="str">
        <f>IF(Table6220273233373822[[#This Row],[Non-Member]]="X"," ",IF(R9=" "," ",IFERROR(VLOOKUP(Q9,Points!$A$2:$B$14,2,FALSE)," ")))</f>
        <v xml:space="preserve"> </v>
      </c>
      <c r="T9" s="92"/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IF(Table6220273233373822[[#This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IF(Table6220273233373822[[#This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IF(Table6220273233373822[[#This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8" t="str">
        <f t="shared" si="15"/>
        <v xml:space="preserve"> </v>
      </c>
      <c r="AH9" s="97" t="str">
        <f t="shared" si="16"/>
        <v xml:space="preserve"> </v>
      </c>
      <c r="AI9" s="94" t="str">
        <f>IF(Table6220273233373822[[#This Row],[Non-Member]]="X"," ",IF(AH9=" "," ",IFERROR(VLOOKUP(AG9,Points!$A$2:$B$14,2,FALSE)," ")))</f>
        <v xml:space="preserve"> </v>
      </c>
      <c r="AJ9" s="97">
        <f>IF(Table6220273233373822[[#This Row],[Non-Member]]="X"," ",((IF(G9=" ",0,G9))+(IF(K9=" ",0,K9))+(IF(O9=" ",0,O9))+(IF(S9=" ",0,S9))+(IF(W9=" ",0,W9))+(IF(AA9=" ",0,AA9))+(IF(AE9=" ",0,AE9))+(IF(AI9=" ",0,AI9))))</f>
        <v>18</v>
      </c>
      <c r="AK9" s="151">
        <f t="shared" si="17"/>
        <v>18</v>
      </c>
      <c r="AL9" s="98">
        <f t="shared" si="18"/>
        <v>5</v>
      </c>
    </row>
    <row r="10" spans="2:38" x14ac:dyDescent="0.3">
      <c r="B10" s="90" t="s">
        <v>252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IF(Table6220273233373822[[#This Row],[Non-Member]]="X"," ",IF(F10=" "," ",IFERROR(VLOOKUP(E10,Points!$A$2:$B$14,2,FALSE)," ")))</f>
        <v xml:space="preserve"> </v>
      </c>
      <c r="H10" s="135">
        <v>26.716000000000001</v>
      </c>
      <c r="I10" s="93">
        <f t="shared" si="2"/>
        <v>14</v>
      </c>
      <c r="J10" s="93" t="str">
        <f t="shared" si="3"/>
        <v xml:space="preserve"> </v>
      </c>
      <c r="K10" s="94" t="str">
        <f>IF(Table6220273233373822[[#This Row],[Non-Member]]="X"," ",IF(J10=" "," ",IFERROR(VLOOKUP(I10,Points!$A$2:$B$14,2,FALSE)," ")))</f>
        <v xml:space="preserve"> </v>
      </c>
      <c r="L10" s="92">
        <v>31.57</v>
      </c>
      <c r="M10" s="93">
        <f t="shared" si="4"/>
        <v>17</v>
      </c>
      <c r="N10" s="93" t="str">
        <f t="shared" si="5"/>
        <v xml:space="preserve"> </v>
      </c>
      <c r="O10" s="94" t="str">
        <f>IF(Table6220273233373822[[#This Row],[Non-Member]]="X"," ",IF(N10=" "," ",IFERROR(VLOOKUP(M10,Points!$A$2:$B$14,2,FALSE)," ")))</f>
        <v xml:space="preserve"> </v>
      </c>
      <c r="P10" s="92">
        <v>22.33</v>
      </c>
      <c r="Q10" s="93">
        <f t="shared" si="6"/>
        <v>1</v>
      </c>
      <c r="R10" s="93">
        <f t="shared" si="7"/>
        <v>1</v>
      </c>
      <c r="S10" s="94">
        <f>IF(Table6220273233373822[[#This Row],[Non-Member]]="X"," ",IF(R10=" "," ",IFERROR(VLOOKUP(Q10,Points!$A$2:$B$14,2,FALSE)," ")))</f>
        <v>18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IF(Table6220273233373822[[#This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IF(Table6220273233373822[[#This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IF(Table6220273233373822[[#This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IF(Table6220273233373822[[#This Row],[Non-Member]]="X"," ",IF(AH10=" "," ",IFERROR(VLOOKUP(AG10,Points!$A$2:$B$14,2,FALSE)," ")))</f>
        <v xml:space="preserve"> </v>
      </c>
      <c r="AJ10" s="93">
        <f>IF(Table6220273233373822[[#This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6">
        <f t="shared" si="18"/>
        <v>5</v>
      </c>
    </row>
    <row r="11" spans="2:38" x14ac:dyDescent="0.3">
      <c r="B11" s="90" t="s">
        <v>137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IF(Table6220273233373822[[#This Row],[Non-Member]]="X"," ",IF(F11=" "," ",IFERROR(VLOOKUP(E11,Points!$A$2:$B$14,2,FALSE)," ")))</f>
        <v xml:space="preserve"> </v>
      </c>
      <c r="H11" s="135">
        <v>23.391999999999999</v>
      </c>
      <c r="I11" s="93">
        <f t="shared" si="2"/>
        <v>5</v>
      </c>
      <c r="J11" s="93">
        <f t="shared" si="3"/>
        <v>5</v>
      </c>
      <c r="K11" s="94">
        <f>IF(Table6220273233373822[[#This Row],[Non-Member]]="X"," ",IF(J11=" "," ",IFERROR(VLOOKUP(I11,Points!$A$2:$B$14,2,FALSE)," ")))</f>
        <v>6</v>
      </c>
      <c r="L11" s="92">
        <v>23.17</v>
      </c>
      <c r="M11" s="93">
        <f t="shared" si="4"/>
        <v>4</v>
      </c>
      <c r="N11" s="93">
        <f t="shared" si="5"/>
        <v>4</v>
      </c>
      <c r="O11" s="94">
        <f>IF(Table6220273233373822[[#This Row],[Non-Member]]="X"," ",IF(N11=" "," ",IFERROR(VLOOKUP(M11,Points!$A$2:$B$14,2,FALSE)," ")))</f>
        <v>9</v>
      </c>
      <c r="P11" s="92">
        <v>33.24</v>
      </c>
      <c r="Q11" s="93">
        <f t="shared" si="6"/>
        <v>13</v>
      </c>
      <c r="R11" s="93" t="str">
        <f t="shared" si="7"/>
        <v xml:space="preserve"> </v>
      </c>
      <c r="S11" s="94" t="str">
        <f>IF(Table6220273233373822[[#This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IF(Table6220273233373822[[#This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IF(Table6220273233373822[[#This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IF(Table6220273233373822[[#This Row],[Non-Member]]="X"," ",IF(AH11=" "," ",IFERROR(VLOOKUP(AG11,Points!$A$2:$B$14,2,FALSE)," ")))</f>
        <v xml:space="preserve"> </v>
      </c>
      <c r="AJ11" s="93">
        <f>IF(Table6220273233373822[[#This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7</v>
      </c>
    </row>
    <row r="12" spans="2:38" x14ac:dyDescent="0.3">
      <c r="B12" s="90" t="s">
        <v>89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IF(Table6220273233373822[[#This Row],[Non-Member]]="X"," ",IF(F12=" "," ",IFERROR(VLOOKUP(E12,Points!$A$2:$B$14,2,FALSE)," ")))</f>
        <v xml:space="preserve"> </v>
      </c>
      <c r="H12" s="135">
        <v>23.702000000000002</v>
      </c>
      <c r="I12" s="97">
        <f t="shared" si="2"/>
        <v>6</v>
      </c>
      <c r="J12" s="97">
        <f t="shared" si="3"/>
        <v>6</v>
      </c>
      <c r="K12" s="94">
        <f>IF(Table6220273233373822[[#This Row],[Non-Member]]="X"," ",IF(J12=" "," ",IFERROR(VLOOKUP(I12,Points!$A$2:$B$14,2,FALSE)," ")))</f>
        <v>3</v>
      </c>
      <c r="L12" s="92">
        <v>23.93</v>
      </c>
      <c r="M12" s="97">
        <f t="shared" si="4"/>
        <v>6</v>
      </c>
      <c r="N12" s="97">
        <f t="shared" si="5"/>
        <v>6</v>
      </c>
      <c r="O12" s="94">
        <f>IF(Table6220273233373822[[#This Row],[Non-Member]]="X"," ",IF(N12=" "," ",IFERROR(VLOOKUP(M12,Points!$A$2:$B$14,2,FALSE)," ")))</f>
        <v>3</v>
      </c>
      <c r="P12" s="92">
        <v>23.58</v>
      </c>
      <c r="Q12" s="97">
        <f t="shared" si="6"/>
        <v>5</v>
      </c>
      <c r="R12" s="97">
        <f t="shared" si="7"/>
        <v>5</v>
      </c>
      <c r="S12" s="94">
        <f>IF(Table6220273233373822[[#This Row],[Non-Member]]="X"," ",IF(R12=" "," ",IFERROR(VLOOKUP(Q12,Points!$A$2:$B$14,2,FALSE)," ")))</f>
        <v>6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IF(Table6220273233373822[[#This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IF(Table6220273233373822[[#This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IF(Table6220273233373822[[#This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7" t="str">
        <f t="shared" si="15"/>
        <v xml:space="preserve"> </v>
      </c>
      <c r="AH12" s="97" t="str">
        <f t="shared" si="16"/>
        <v xml:space="preserve"> </v>
      </c>
      <c r="AI12" s="94" t="str">
        <f>IF(Table6220273233373822[[#This Row],[Non-Member]]="X"," ",IF(AH12=" "," ",IFERROR(VLOOKUP(AG12,Points!$A$2:$B$14,2,FALSE)," ")))</f>
        <v xml:space="preserve"> </v>
      </c>
      <c r="AJ12" s="97">
        <f>IF(Table6220273233373822[[#This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8">
        <f t="shared" si="18"/>
        <v>8</v>
      </c>
    </row>
    <row r="13" spans="2:38" x14ac:dyDescent="0.3">
      <c r="B13" s="90" t="s">
        <v>257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IF(Table6220273233373822[[#This Row],[Non-Member]]="X"," ",IF(F13=" "," ",IFERROR(VLOOKUP(E13,Points!$A$2:$B$14,2,FALSE)," ")))</f>
        <v xml:space="preserve"> </v>
      </c>
      <c r="H13" s="135">
        <v>23.27</v>
      </c>
      <c r="I13" s="97">
        <f t="shared" si="2"/>
        <v>4</v>
      </c>
      <c r="J13" s="97">
        <f t="shared" si="3"/>
        <v>4</v>
      </c>
      <c r="K13" s="94">
        <f>IF(Table6220273233373822[[#This Row],[Non-Member]]="X"," ",IF(J13=" "," ",IFERROR(VLOOKUP(I13,Points!$A$2:$B$14,2,FALSE)," ")))</f>
        <v>9</v>
      </c>
      <c r="L13" s="92">
        <v>24.59</v>
      </c>
      <c r="M13" s="97">
        <f t="shared" si="4"/>
        <v>9</v>
      </c>
      <c r="N13" s="97" t="str">
        <f t="shared" si="5"/>
        <v xml:space="preserve"> </v>
      </c>
      <c r="O13" s="94" t="str">
        <f>IF(Table6220273233373822[[#This Row],[Non-Member]]="X"," ",IF(N13=" "," ",IFERROR(VLOOKUP(M13,Points!$A$2:$B$14,2,FALSE)," ")))</f>
        <v xml:space="preserve"> </v>
      </c>
      <c r="P13" s="92">
        <v>27.97</v>
      </c>
      <c r="Q13" s="97">
        <f t="shared" si="6"/>
        <v>10</v>
      </c>
      <c r="R13" s="97" t="str">
        <f t="shared" si="7"/>
        <v xml:space="preserve"> </v>
      </c>
      <c r="S13" s="94" t="str">
        <f>IF(Table6220273233373822[[#This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IF(Table6220273233373822[[#This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IF(Table6220273233373822[[#This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IF(Table6220273233373822[[#This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IF(Table6220273233373822[[#This Row],[Non-Member]]="X"," ",IF(AH13=" "," ",IFERROR(VLOOKUP(AG13,Points!$A$2:$B$14,2,FALSE)," ")))</f>
        <v xml:space="preserve"> </v>
      </c>
      <c r="AJ13" s="97">
        <f>IF(Table6220273233373822[[#This Row],[Non-Member]]="X"," ",((IF(G13=" ",0,G13))+(IF(K13=" ",0,K13))+(IF(O13=" ",0,O13))+(IF(S13=" ",0,S13))+(IF(W13=" ",0,W13))+(IF(AA13=" ",0,AA13))+(IF(AE13=" ",0,AE13))+(IF(AI13=" ",0,AI13))))</f>
        <v>9</v>
      </c>
      <c r="AK13" s="151">
        <f t="shared" si="17"/>
        <v>9</v>
      </c>
      <c r="AL13" s="98">
        <f t="shared" si="18"/>
        <v>9</v>
      </c>
    </row>
    <row r="14" spans="2:38" x14ac:dyDescent="0.3">
      <c r="B14" s="90" t="s">
        <v>251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IF(Table6220273233373822[[#This Row],[Non-Member]]="X"," ",IF(F14=" "," ",IFERROR(VLOOKUP(E14,Points!$A$2:$B$14,2,FALSE)," ")))</f>
        <v xml:space="preserve"> </v>
      </c>
      <c r="H14" s="135">
        <v>24.838000000000001</v>
      </c>
      <c r="I14" s="93">
        <f t="shared" si="2"/>
        <v>11</v>
      </c>
      <c r="J14" s="93" t="str">
        <f t="shared" si="3"/>
        <v xml:space="preserve"> </v>
      </c>
      <c r="K14" s="94" t="str">
        <f>IF(Table6220273233373822[[#This Row],[Non-Member]]="X"," ",IF(J14=" "," ",IFERROR(VLOOKUP(I14,Points!$A$2:$B$14,2,FALSE)," ")))</f>
        <v xml:space="preserve"> </v>
      </c>
      <c r="L14" s="92">
        <v>25.19</v>
      </c>
      <c r="M14" s="93">
        <f t="shared" si="4"/>
        <v>10</v>
      </c>
      <c r="N14" s="93" t="str">
        <f t="shared" si="5"/>
        <v xml:space="preserve"> </v>
      </c>
      <c r="O14" s="94" t="str">
        <f>IF(Table6220273233373822[[#This Row],[Non-Member]]="X"," ",IF(N14=" "," ",IFERROR(VLOOKUP(M14,Points!$A$2:$B$14,2,FALSE)," ")))</f>
        <v xml:space="preserve"> </v>
      </c>
      <c r="P14" s="92">
        <v>24</v>
      </c>
      <c r="Q14" s="93">
        <f t="shared" si="6"/>
        <v>6</v>
      </c>
      <c r="R14" s="93">
        <f t="shared" si="7"/>
        <v>6</v>
      </c>
      <c r="S14" s="94">
        <f>IF(Table6220273233373822[[#This Row],[Non-Member]]="X"," ",IF(R14=" "," ",IFERROR(VLOOKUP(Q14,Points!$A$2:$B$14,2,FALSE)," ")))</f>
        <v>3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IF(Table6220273233373822[[#This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IF(Table6220273233373822[[#This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IF(Table6220273233373822[[#This Row],[Non-Member]]="X"," ",IF(AH14=" "," ",IFERROR(VLOOKUP(AG14,Points!$A$2:$B$14,2,FALSE)," ")))</f>
        <v xml:space="preserve"> </v>
      </c>
      <c r="AJ14" s="93">
        <f>IF(Table6220273233373822[[#This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95</v>
      </c>
      <c r="C15" s="91" t="s">
        <v>325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IF(Table6220273233373822[[#This Row],[Non-Member]]="X"," ",IF(F15=" "," ",IFERROR(VLOOKUP(E15,Points!$A$2:$B$14,2,FALSE)," ")))</f>
        <v xml:space="preserve"> </v>
      </c>
      <c r="H15" s="135">
        <v>44.026000000000003</v>
      </c>
      <c r="I15" s="97">
        <f t="shared" si="2"/>
        <v>23</v>
      </c>
      <c r="J15" s="97" t="str">
        <f t="shared" si="3"/>
        <v xml:space="preserve"> </v>
      </c>
      <c r="K15" s="94" t="str">
        <f>IF(Table6220273233373822[[#This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IF(Table6220273233373822[[#This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IF(Table6220273233373822[[#This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IF(Table6220273233373822[[#This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IF(Table6220273233373822[[#This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IF(Table6220273233373822[[#This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8" t="str">
        <f t="shared" si="15"/>
        <v xml:space="preserve"> </v>
      </c>
      <c r="AH15" s="97" t="str">
        <f t="shared" si="16"/>
        <v xml:space="preserve"> </v>
      </c>
      <c r="AI15" s="94" t="str">
        <f>IF(Table6220273233373822[[#This Row],[Non-Member]]="X"," ",IF(AH15=" "," ",IFERROR(VLOOKUP(AG15,Points!$A$2:$B$14,2,FALSE)," ")))</f>
        <v xml:space="preserve"> </v>
      </c>
      <c r="AJ15" s="97" t="str">
        <f>IF(Table6220273233373822[[#This Row],[Non-Member]]="X"," ",((IF(G15=" ",0,G15))+(IF(K15=" ",0,K15))+(IF(O15=" ",0,O15))+(IF(S15=" ",0,S15))+(IF(W15=" ",0,W15))+(IF(AA15=" ",0,AA15))+(IF(AE15=" ",0,AE15))+(IF(AI15=" ",0,AI15))))</f>
        <v xml:space="preserve"> </v>
      </c>
      <c r="AK15" s="151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 t="s">
        <v>88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IF(Table6220273233373822[[#This Row],[Non-Member]]="X"," ",IF(F16=" "," ",IFERROR(VLOOKUP(E16,Points!$A$2:$B$14,2,FALSE)," ")))</f>
        <v xml:space="preserve"> </v>
      </c>
      <c r="H16" s="135">
        <v>23.97</v>
      </c>
      <c r="I16" s="97">
        <f t="shared" si="2"/>
        <v>7</v>
      </c>
      <c r="J16" s="97" t="str">
        <f t="shared" si="3"/>
        <v xml:space="preserve"> </v>
      </c>
      <c r="K16" s="94" t="str">
        <f>IF(Table6220273233373822[[#This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IF(Table6220273233373822[[#This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IF(Table6220273233373822[[#This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IF(Table6220273233373822[[#This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IF(Table6220273233373822[[#This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IF(Table6220273233373822[[#This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IF(Table6220273233373822[[#This Row],[Non-Member]]="X"," ",IF(AH16=" "," ",IFERROR(VLOOKUP(AG16,Points!$A$2:$B$14,2,FALSE)," ")))</f>
        <v xml:space="preserve"> </v>
      </c>
      <c r="AJ16" s="97">
        <f>IF(Table6220273233373822[[#This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90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IF(Table6220273233373822[[#This Row],[Non-Member]]="X"," ",IF(F17=" "," ",IFERROR(VLOOKUP(E17,Points!$A$2:$B$14,2,FALSE)," ")))</f>
        <v xml:space="preserve"> </v>
      </c>
      <c r="H17" s="135">
        <v>31.169</v>
      </c>
      <c r="I17" s="93">
        <f t="shared" si="2"/>
        <v>18</v>
      </c>
      <c r="J17" s="93" t="str">
        <f t="shared" si="3"/>
        <v xml:space="preserve"> </v>
      </c>
      <c r="K17" s="94" t="str">
        <f>IF(Table6220273233373822[[#This Row],[Non-Member]]="X"," ",IF(J17=" "," ",IFERROR(VLOOKUP(I17,Points!$A$2:$B$14,2,FALSE)," ")))</f>
        <v xml:space="preserve"> </v>
      </c>
      <c r="L17" s="92">
        <v>24.07</v>
      </c>
      <c r="M17" s="93">
        <f t="shared" si="4"/>
        <v>8</v>
      </c>
      <c r="N17" s="93" t="str">
        <f t="shared" si="5"/>
        <v xml:space="preserve"> </v>
      </c>
      <c r="O17" s="94" t="str">
        <f>IF(Table6220273233373822[[#This Row],[Non-Member]]="X"," ",IF(N17=" "," ",IFERROR(VLOOKUP(M17,Points!$A$2:$B$14,2,FALSE)," ")))</f>
        <v xml:space="preserve"> </v>
      </c>
      <c r="P17" s="92">
        <v>24.46</v>
      </c>
      <c r="Q17" s="93">
        <f t="shared" si="6"/>
        <v>8</v>
      </c>
      <c r="R17" s="93" t="str">
        <f t="shared" si="7"/>
        <v xml:space="preserve"> </v>
      </c>
      <c r="S17" s="94" t="str">
        <f>IF(Table6220273233373822[[#This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IF(Table6220273233373822[[#This Row],[Non-Member]]="X"," ",IF(AH17=" "," ",IFERROR(VLOOKUP(AG17,Points!$A$2:$B$14,2,FALSE)," ")))</f>
        <v xml:space="preserve"> </v>
      </c>
      <c r="AJ17" s="93">
        <f>IF(Table6220273233373822[[#This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258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IF(Table6220273233373822[[#This Row],[Non-Member]]="X"," ",IF(F18=" "," ",IFERROR(VLOOKUP(E18,Points!$A$2:$B$14,2,FALSE)," ")))</f>
        <v xml:space="preserve"> </v>
      </c>
      <c r="H18" s="135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IF(Table6220273233373822[[#This Row],[Non-Member]]="X"," ",IF(J18=" "," ",IFERROR(VLOOKUP(I18,Points!$A$2:$B$14,2,FALSE)," ")))</f>
        <v xml:space="preserve"> </v>
      </c>
      <c r="L18" s="92">
        <v>26.35</v>
      </c>
      <c r="M18" s="93">
        <f t="shared" si="4"/>
        <v>11</v>
      </c>
      <c r="N18" s="93" t="str">
        <f t="shared" si="5"/>
        <v xml:space="preserve"> </v>
      </c>
      <c r="O18" s="94" t="str">
        <f>IF(Table6220273233373822[[#This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IF(Table6220273233373822[[#This Row],[Non-Member]]="X"," ",IF(AH18=" "," ",IFERROR(VLOOKUP(AG18,Points!$A$2:$B$14,2,FALSE)," ")))</f>
        <v xml:space="preserve"> </v>
      </c>
      <c r="AJ18" s="93">
        <f>IF(Table6220273233373822[[#This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138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IF(Table6220273233373822[[#This Row],[Non-Member]]="X"," ",IF(F19=" "," ",IFERROR(VLOOKUP(E19,Points!$A$2:$B$14,2,FALSE)," ")))</f>
        <v xml:space="preserve"> </v>
      </c>
      <c r="H19" s="135">
        <v>24.78</v>
      </c>
      <c r="I19" s="93">
        <f t="shared" si="2"/>
        <v>10</v>
      </c>
      <c r="J19" s="93" t="str">
        <f t="shared" si="3"/>
        <v xml:space="preserve"> </v>
      </c>
      <c r="K19" s="94" t="str">
        <f>IF(Table6220273233373822[[#This Row],[Non-Member]]="X"," ",IF(J19=" "," ",IFERROR(VLOOKUP(I19,Points!$A$2:$B$14,2,FALSE)," ")))</f>
        <v xml:space="preserve"> </v>
      </c>
      <c r="L19" s="92">
        <v>28.65</v>
      </c>
      <c r="M19" s="93">
        <f t="shared" si="4"/>
        <v>14</v>
      </c>
      <c r="N19" s="93" t="str">
        <f t="shared" si="5"/>
        <v xml:space="preserve"> </v>
      </c>
      <c r="O19" s="94" t="str">
        <f>IF(Table6220273233373822[[#This Row],[Non-Member]]="X"," ",IF(N19=" "," ",IFERROR(VLOOKUP(M19,Points!$A$2:$B$14,2,FALSE)," ")))</f>
        <v xml:space="preserve"> </v>
      </c>
      <c r="P19" s="92">
        <v>24.03</v>
      </c>
      <c r="Q19" s="93">
        <f t="shared" si="6"/>
        <v>7</v>
      </c>
      <c r="R19" s="93" t="str">
        <f t="shared" si="7"/>
        <v xml:space="preserve"> </v>
      </c>
      <c r="S19" s="94" t="str">
        <f>IF(Table6220273233373822[[#This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IF(Table6220273233373822[[#This Row],[Non-Member]]="X"," ",IF(AH19=" "," ",IFERROR(VLOOKUP(AG19,Points!$A$2:$B$14,2,FALSE)," ")))</f>
        <v xml:space="preserve"> </v>
      </c>
      <c r="AJ19" s="93">
        <f>IF(Table6220273233373822[[#This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312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IF(Table6220273233373822[[#This Row],[Non-Member]]="X"," ",IF(F20=" "," ",IFERROR(VLOOKUP(E20,Points!$A$2:$B$14,2,FALSE)," ")))</f>
        <v xml:space="preserve"> </v>
      </c>
      <c r="H20" s="135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IF(Table6220273233373822[[#This Row],[Non-Member]]="X"," ",IF(J20=" "," ",IFERROR(VLOOKUP(I20,Points!$A$2:$B$14,2,FALSE)," ")))</f>
        <v xml:space="preserve"> </v>
      </c>
      <c r="L20" s="92">
        <v>40.049999999999997</v>
      </c>
      <c r="M20" s="97">
        <f t="shared" si="4"/>
        <v>19</v>
      </c>
      <c r="N20" s="97" t="str">
        <f t="shared" si="5"/>
        <v xml:space="preserve"> </v>
      </c>
      <c r="O20" s="94" t="str">
        <f>IF(Table6220273233373822[[#This Row],[Non-Member]]="X"," ",IF(N20=" "," ",IFERROR(VLOOKUP(M20,Points!$A$2:$B$14,2,FALSE)," ")))</f>
        <v xml:space="preserve"> </v>
      </c>
      <c r="P20" s="92">
        <v>0</v>
      </c>
      <c r="Q20" s="97" t="str">
        <f t="shared" si="6"/>
        <v xml:space="preserve"> </v>
      </c>
      <c r="R20" s="97" t="str">
        <f t="shared" si="7"/>
        <v xml:space="preserve"> </v>
      </c>
      <c r="S20" s="94" t="str">
        <f>IF(Table6220273233373822[[#This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IF(Table6220273233373822[[#This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IF(Table6220273233373822[[#This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IF(Table6220273233373822[[#This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IF(Table6220273233373822[[#This Row],[Non-Member]]="X"," ",IF(AH20=" "," ",IFERROR(VLOOKUP(AG20,Points!$A$2:$B$14,2,FALSE)," ")))</f>
        <v xml:space="preserve"> </v>
      </c>
      <c r="AJ20" s="97">
        <f>IF(Table6220273233373822[[#This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93</v>
      </c>
      <c r="C21" s="91" t="s">
        <v>214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IF(Table6220273233373822[[#This Row],[Non-Member]]="X"," ",IF(F21=" "," ",IFERROR(VLOOKUP(E21,Points!$A$2:$B$14,2,FALSE)," ")))</f>
        <v xml:space="preserve"> </v>
      </c>
      <c r="H21" s="135">
        <v>38.078000000000003</v>
      </c>
      <c r="I21" s="93">
        <f t="shared" si="2"/>
        <v>22</v>
      </c>
      <c r="J21" s="93" t="str">
        <f t="shared" si="3"/>
        <v xml:space="preserve"> </v>
      </c>
      <c r="K21" s="94" t="str">
        <f>IF(Table6220273233373822[[#This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IF(Table6220273233373822[[#This Row],[Non-Member]]="X"," ",IF(N21=" "," ",IFERROR(VLOOKUP(M21,Points!$A$2:$B$14,2,FALSE)," ")))</f>
        <v xml:space="preserve"> </v>
      </c>
      <c r="P21" s="92">
        <v>30.19</v>
      </c>
      <c r="Q21" s="93">
        <f t="shared" si="6"/>
        <v>11</v>
      </c>
      <c r="R21" s="93" t="str">
        <f t="shared" si="7"/>
        <v xml:space="preserve"> </v>
      </c>
      <c r="S21" s="94" t="str">
        <f>IF(Table6220273233373822[[#This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IF(Table6220273233373822[[#This Row],[Non-Member]]="X"," ",IF(AH21=" "," ",IFERROR(VLOOKUP(AG21,Points!$A$2:$B$14,2,FALSE)," ")))</f>
        <v xml:space="preserve"> </v>
      </c>
      <c r="AJ21" s="93">
        <f>IF(Table6220273233373822[[#This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87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IF(Table6220273233373822[[#This Row],[Non-Member]]="X"," ",IF(F22=" "," ",IFERROR(VLOOKUP(E22,Points!$A$2:$B$14,2,FALSE)," ")))</f>
        <v xml:space="preserve"> </v>
      </c>
      <c r="H22" s="135">
        <v>28.122</v>
      </c>
      <c r="I22" s="93">
        <f t="shared" si="2"/>
        <v>15</v>
      </c>
      <c r="J22" s="93" t="str">
        <f t="shared" si="3"/>
        <v xml:space="preserve"> </v>
      </c>
      <c r="K22" s="94" t="str">
        <f>IF(Table6220273233373822[[#This Row],[Non-Member]]="X"," ",IF(J22=" "," ",IFERROR(VLOOKUP(I22,Points!$A$2:$B$14,2,FALSE)," ")))</f>
        <v xml:space="preserve"> </v>
      </c>
      <c r="L22" s="92">
        <v>37.770000000000003</v>
      </c>
      <c r="M22" s="93">
        <f t="shared" si="4"/>
        <v>18</v>
      </c>
      <c r="N22" s="93" t="str">
        <f t="shared" si="5"/>
        <v xml:space="preserve"> </v>
      </c>
      <c r="O22" s="94" t="str">
        <f>IF(Table6220273233373822[[#This Row],[Non-Member]]="X"," ",IF(N22=" "," ",IFERROR(VLOOKUP(M22,Points!$A$2:$B$14,2,FALSE)," ")))</f>
        <v xml:space="preserve"> </v>
      </c>
      <c r="P22" s="92">
        <v>35.630000000000003</v>
      </c>
      <c r="Q22" s="93">
        <f t="shared" si="6"/>
        <v>16</v>
      </c>
      <c r="R22" s="93" t="str">
        <f t="shared" si="7"/>
        <v xml:space="preserve"> </v>
      </c>
      <c r="S22" s="94" t="str">
        <f>IF(Table6220273233373822[[#This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IF(Table6220273233373822[[#This Row],[Non-Member]]="X"," ",IF(AH22=" "," ",IFERROR(VLOOKUP(AG22,Points!$A$2:$B$14,2,FALSE)," ")))</f>
        <v xml:space="preserve"> </v>
      </c>
      <c r="AJ22" s="93">
        <f>IF(Table6220273233373822[[#This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174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IF(Table6220273233373822[[#This Row],[Non-Member]]="X"," ",IF(F23=" "," ",IFERROR(VLOOKUP(E23,Points!$A$2:$B$14,2,FALSE)," ")))</f>
        <v xml:space="preserve"> </v>
      </c>
      <c r="H23" s="135">
        <v>34.744</v>
      </c>
      <c r="I23" s="93">
        <f t="shared" si="2"/>
        <v>21</v>
      </c>
      <c r="J23" s="93" t="str">
        <f t="shared" si="3"/>
        <v xml:space="preserve"> </v>
      </c>
      <c r="K23" s="94" t="str">
        <f>IF(Table6220273233373822[[#This Row],[Non-Member]]="X"," ",IF(J23=" "," ",IFERROR(VLOOKUP(I23,Points!$A$2:$B$14,2,FALSE)," ")))</f>
        <v xml:space="preserve"> </v>
      </c>
      <c r="L23" s="92">
        <v>30.43</v>
      </c>
      <c r="M23" s="93">
        <f t="shared" si="4"/>
        <v>16</v>
      </c>
      <c r="N23" s="93" t="str">
        <f t="shared" si="5"/>
        <v xml:space="preserve"> </v>
      </c>
      <c r="O23" s="94" t="str">
        <f>IF(Table6220273233373822[[#This Row],[Non-Member]]="X"," ",IF(N23=" "," ",IFERROR(VLOOKUP(M23,Points!$A$2:$B$14,2,FALSE)," ")))</f>
        <v xml:space="preserve"> </v>
      </c>
      <c r="P23" s="92">
        <v>34.08</v>
      </c>
      <c r="Q23" s="93">
        <f t="shared" si="6"/>
        <v>14</v>
      </c>
      <c r="R23" s="93" t="str">
        <f t="shared" si="7"/>
        <v xml:space="preserve"> </v>
      </c>
      <c r="S23" s="94" t="str">
        <f>IF(Table6220273233373822[[#This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IF(Table6220273233373822[[#This Row],[Non-Member]]="X"," ",IF(AH23=" "," ",IFERROR(VLOOKUP(AG23,Points!$A$2:$B$14,2,FALSE)," ")))</f>
        <v xml:space="preserve"> </v>
      </c>
      <c r="AJ23" s="93">
        <f>IF(Table6220273233373822[[#This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172</v>
      </c>
      <c r="C24" s="91"/>
      <c r="D24" s="92"/>
      <c r="E24" s="97" t="str">
        <f t="shared" si="0"/>
        <v xml:space="preserve"> </v>
      </c>
      <c r="F24" s="97" t="str">
        <f t="shared" si="1"/>
        <v xml:space="preserve"> </v>
      </c>
      <c r="G24" s="94" t="str">
        <f>IF(Table6220273233373822[[#This Row],[Non-Member]]="X"," ",IF(F24=" "," ",IFERROR(VLOOKUP(E24,Points!$A$2:$B$14,2,FALSE)," ")))</f>
        <v xml:space="preserve"> </v>
      </c>
      <c r="H24" s="135">
        <v>34.567</v>
      </c>
      <c r="I24" s="97">
        <f t="shared" si="2"/>
        <v>20</v>
      </c>
      <c r="J24" s="97" t="str">
        <f t="shared" si="3"/>
        <v xml:space="preserve"> </v>
      </c>
      <c r="K24" s="94" t="str">
        <f>IF(Table6220273233373822[[#This Row],[Non-Member]]="X"," ",IF(J24=" "," ",IFERROR(VLOOKUP(I24,Points!$A$2:$B$14,2,FALSE)," ")))</f>
        <v xml:space="preserve"> </v>
      </c>
      <c r="L24" s="92">
        <v>23.97</v>
      </c>
      <c r="M24" s="97">
        <f t="shared" si="4"/>
        <v>7</v>
      </c>
      <c r="N24" s="97" t="str">
        <f t="shared" si="5"/>
        <v xml:space="preserve"> </v>
      </c>
      <c r="O24" s="94" t="str">
        <f>IF(Table6220273233373822[[#This Row],[Non-Member]]="X"," ",IF(N24=" "," ",IFERROR(VLOOKUP(M24,Points!$A$2:$B$14,2,FALSE)," ")))</f>
        <v xml:space="preserve"> </v>
      </c>
      <c r="P24" s="92">
        <v>27.79</v>
      </c>
      <c r="Q24" s="97">
        <f t="shared" si="6"/>
        <v>9</v>
      </c>
      <c r="R24" s="97" t="str">
        <f t="shared" si="7"/>
        <v xml:space="preserve"> </v>
      </c>
      <c r="S24" s="94" t="str">
        <f>IF(Table6220273233373822[[#This Row],[Non-Member]]="X"," ",IF(R24=" "," ",IFERROR(VLOOKUP(Q24,Points!$A$2:$B$14,2,FALSE)," ")))</f>
        <v xml:space="preserve"> </v>
      </c>
      <c r="T24" s="92"/>
      <c r="U24" s="97" t="str">
        <f t="shared" si="8"/>
        <v xml:space="preserve"> </v>
      </c>
      <c r="V24" s="97" t="str">
        <f t="shared" si="9"/>
        <v xml:space="preserve"> </v>
      </c>
      <c r="W24" s="94" t="str">
        <f>IF(Table6220273233373822[[#This Row],[Non-Member]]="X"," ",IF(V24=" "," ",IFERROR(VLOOKUP(U24,Points!$A$2:$B$14,2,FALSE)," ")))</f>
        <v xml:space="preserve"> </v>
      </c>
      <c r="X24" s="92"/>
      <c r="Y24" s="97" t="str">
        <f t="shared" si="10"/>
        <v xml:space="preserve"> </v>
      </c>
      <c r="Z24" s="97" t="str">
        <f t="shared" si="11"/>
        <v xml:space="preserve"> </v>
      </c>
      <c r="AA24" s="94" t="str">
        <f>IF(Table6220273233373822[[#This Row],[Non-Member]]="X"," ",IF(Z24=" "," ",IFERROR(VLOOKUP(Y24,Points!$A$2:$B$14,2,FALSE)," ")))</f>
        <v xml:space="preserve"> </v>
      </c>
      <c r="AB24" s="92"/>
      <c r="AC24" s="97" t="str">
        <f t="shared" si="12"/>
        <v xml:space="preserve"> </v>
      </c>
      <c r="AD24" s="97" t="str">
        <f t="shared" si="13"/>
        <v xml:space="preserve"> </v>
      </c>
      <c r="AE24" s="94" t="str">
        <f>IF(Table6220273233373822[[#This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8" t="str">
        <f t="shared" si="15"/>
        <v xml:space="preserve"> </v>
      </c>
      <c r="AH24" s="97" t="str">
        <f t="shared" si="16"/>
        <v xml:space="preserve"> </v>
      </c>
      <c r="AI24" s="94" t="str">
        <f>IF(Table6220273233373822[[#This Row],[Non-Member]]="X"," ",IF(AH24=" "," ",IFERROR(VLOOKUP(AG24,Points!$A$2:$B$14,2,FALSE)," ")))</f>
        <v xml:space="preserve"> </v>
      </c>
      <c r="AJ24" s="97">
        <f>IF(Table6220273233373822[[#This Row],[Non-Member]]="X"," ",((IF(G24=" ",0,G24))+(IF(K24=" ",0,K24))+(IF(O24=" ",0,O24))+(IF(S24=" ",0,S24))+(IF(W24=" ",0,W24))+(IF(AA24=" ",0,AA24))+(IF(AE24=" ",0,AE24))+(IF(AI24=" ",0,AI24))))</f>
        <v>0</v>
      </c>
      <c r="AK24" s="151" t="str">
        <f t="shared" si="17"/>
        <v xml:space="preserve"> </v>
      </c>
      <c r="AL24" s="98" t="str">
        <f t="shared" si="18"/>
        <v xml:space="preserve"> </v>
      </c>
    </row>
    <row r="25" spans="2:38" x14ac:dyDescent="0.3">
      <c r="B25" s="90" t="s">
        <v>250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IF(Table6220273233373822[[#This Row],[Non-Member]]="X"," ",IF(F25=" "," ",IFERROR(VLOOKUP(E25,Points!$A$2:$B$14,2,FALSE)," ")))</f>
        <v xml:space="preserve"> </v>
      </c>
      <c r="H25" s="135">
        <v>29.010999999999999</v>
      </c>
      <c r="I25" s="93">
        <f t="shared" si="2"/>
        <v>17</v>
      </c>
      <c r="J25" s="93" t="str">
        <f t="shared" si="3"/>
        <v xml:space="preserve"> </v>
      </c>
      <c r="K25" s="94" t="str">
        <f>IF(Table6220273233373822[[#This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IF(Table6220273233373822[[#This Row],[Non-Member]]="X"," ",IF(N25=" "," ",IFERROR(VLOOKUP(M25,Points!$A$2:$B$14,2,FALSE)," ")))</f>
        <v xml:space="preserve"> </v>
      </c>
      <c r="P25" s="92">
        <v>0</v>
      </c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IF(Table6220273233373822[[#This Row],[Non-Member]]="X"," ",IF(R25=" "," ",IFERROR(VLOOKUP(Q25,Points!$A$2:$B$14,2,FALSE)," ")))</f>
        <v xml:space="preserve"> </v>
      </c>
      <c r="T25" s="92"/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IF(Table6220273233373822[[#This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IF(Table6220273233373822[[#This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IF(Table6220273233373822[[#This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IF(Table6220273233373822[[#This Row],[Non-Member]]="X"," ",IF(AH25=" "," ",IFERROR(VLOOKUP(AG25,Points!$A$2:$B$14,2,FALSE)," ")))</f>
        <v xml:space="preserve"> </v>
      </c>
      <c r="AJ25" s="93">
        <f>IF(Table6220273233373822[[#This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254</v>
      </c>
      <c r="C26" s="91"/>
      <c r="D26" s="92"/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IF(Table6220273233373822[[#This Row],[Non-Member]]="X"," ",IF(F26=" "," ",IFERROR(VLOOKUP(E26,Points!$A$2:$B$14,2,FALSE)," ")))</f>
        <v xml:space="preserve"> </v>
      </c>
      <c r="H26" s="135">
        <v>26.085999999999999</v>
      </c>
      <c r="I26" s="93">
        <f t="shared" si="2"/>
        <v>13</v>
      </c>
      <c r="J26" s="93" t="str">
        <f t="shared" si="3"/>
        <v xml:space="preserve"> </v>
      </c>
      <c r="K26" s="94" t="str">
        <f>IF(Table6220273233373822[[#This Row],[Non-Member]]="X"," ",IF(J26=" "," ",IFERROR(VLOOKUP(I26,Points!$A$2:$B$14,2,FALSE)," ")))</f>
        <v xml:space="preserve"> </v>
      </c>
      <c r="L26" s="92">
        <v>30.21</v>
      </c>
      <c r="M26" s="93">
        <f t="shared" si="4"/>
        <v>15</v>
      </c>
      <c r="N26" s="93" t="str">
        <f t="shared" si="5"/>
        <v xml:space="preserve"> </v>
      </c>
      <c r="O26" s="94" t="str">
        <f>IF(Table6220273233373822[[#This Row],[Non-Member]]="X"," ",IF(N26=" "," ",IFERROR(VLOOKUP(M26,Points!$A$2:$B$14,2,FALSE)," ")))</f>
        <v xml:space="preserve"> </v>
      </c>
      <c r="P26" s="92">
        <v>0</v>
      </c>
      <c r="Q26" s="93" t="str">
        <f t="shared" si="6"/>
        <v xml:space="preserve"> </v>
      </c>
      <c r="R26" s="93" t="str">
        <f t="shared" si="7"/>
        <v xml:space="preserve"> </v>
      </c>
      <c r="S26" s="94" t="str">
        <f>IF(Table6220273233373822[[#This Row],[Non-Member]]="X"," ",IF(R26=" "," ",IFERROR(VLOOKUP(Q26,Points!$A$2:$B$14,2,FALSE)," ")))</f>
        <v xml:space="preserve"> </v>
      </c>
      <c r="T26" s="92"/>
      <c r="U26" s="93" t="str">
        <f t="shared" si="8"/>
        <v xml:space="preserve"> </v>
      </c>
      <c r="V26" s="93" t="str">
        <f t="shared" si="9"/>
        <v xml:space="preserve"> </v>
      </c>
      <c r="W26" s="94" t="str">
        <f>IF(Table6220273233373822[[#This Row],[Non-Member]]="X"," ",IF(V26=" "," ",IFERROR(VLOOKUP(U26,Points!$A$2:$B$14,2,FALSE)," ")))</f>
        <v xml:space="preserve"> </v>
      </c>
      <c r="X26" s="92"/>
      <c r="Y26" s="93" t="str">
        <f t="shared" si="10"/>
        <v xml:space="preserve"> </v>
      </c>
      <c r="Z26" s="93" t="str">
        <f t="shared" si="11"/>
        <v xml:space="preserve"> </v>
      </c>
      <c r="AA26" s="94" t="str">
        <f>IF(Table6220273233373822[[#This Row],[Non-Member]]="X"," ",IF(Z26=" "," ",IFERROR(VLOOKUP(Y26,Points!$A$2:$B$14,2,FALSE)," ")))</f>
        <v xml:space="preserve"> </v>
      </c>
      <c r="AB26" s="92"/>
      <c r="AC26" s="93" t="str">
        <f t="shared" si="12"/>
        <v xml:space="preserve"> </v>
      </c>
      <c r="AD26" s="93" t="str">
        <f t="shared" si="13"/>
        <v xml:space="preserve"> </v>
      </c>
      <c r="AE26" s="94" t="str">
        <f>IF(Table6220273233373822[[#This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3" t="str">
        <f t="shared" si="15"/>
        <v xml:space="preserve"> </v>
      </c>
      <c r="AH26" s="93" t="str">
        <f t="shared" si="16"/>
        <v xml:space="preserve"> </v>
      </c>
      <c r="AI26" s="94" t="str">
        <f>IF(Table6220273233373822[[#This Row],[Non-Member]]="X"," ",IF(AH26=" "," ",IFERROR(VLOOKUP(AG26,Points!$A$2:$B$14,2,FALSE)," ")))</f>
        <v xml:space="preserve"> </v>
      </c>
      <c r="AJ26" s="93">
        <f>IF(Table6220273233373822[[#This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3">
      <c r="B27" s="90" t="s">
        <v>194</v>
      </c>
      <c r="C27" s="91" t="s">
        <v>325</v>
      </c>
      <c r="D27" s="92"/>
      <c r="E27" s="97" t="str">
        <f t="shared" si="0"/>
        <v xml:space="preserve"> </v>
      </c>
      <c r="F27" s="97" t="str">
        <f t="shared" si="1"/>
        <v xml:space="preserve"> </v>
      </c>
      <c r="G27" s="94" t="str">
        <f>IF(Table6220273233373822[[#This Row],[Non-Member]]="X"," ",IF(F27=" "," ",IFERROR(VLOOKUP(E27,Points!$A$2:$B$14,2,FALSE)," ")))</f>
        <v xml:space="preserve"> </v>
      </c>
      <c r="H27" s="135">
        <v>34.356999999999999</v>
      </c>
      <c r="I27" s="97">
        <f t="shared" si="2"/>
        <v>19</v>
      </c>
      <c r="J27" s="97" t="str">
        <f t="shared" si="3"/>
        <v xml:space="preserve"> </v>
      </c>
      <c r="K27" s="94" t="str">
        <f>IF(Table6220273233373822[[#This Row],[Non-Member]]="X"," ",IF(J27=" "," ",IFERROR(VLOOKUP(I27,Points!$A$2:$B$14,2,FALSE)," ")))</f>
        <v xml:space="preserve"> </v>
      </c>
      <c r="L27" s="92"/>
      <c r="M27" s="97" t="str">
        <f t="shared" si="4"/>
        <v xml:space="preserve"> </v>
      </c>
      <c r="N27" s="97" t="str">
        <f t="shared" si="5"/>
        <v xml:space="preserve"> </v>
      </c>
      <c r="O27" s="94" t="str">
        <f>IF(Table6220273233373822[[#This Row],[Non-Member]]="X"," ",IF(N27=" "," ",IFERROR(VLOOKUP(M27,Points!$A$2:$B$14,2,FALSE)," ")))</f>
        <v xml:space="preserve"> </v>
      </c>
      <c r="P27" s="92"/>
      <c r="Q27" s="97" t="str">
        <f t="shared" si="6"/>
        <v xml:space="preserve"> </v>
      </c>
      <c r="R27" s="97" t="str">
        <f t="shared" si="7"/>
        <v xml:space="preserve"> </v>
      </c>
      <c r="S27" s="94" t="str">
        <f>IF(Table6220273233373822[[#This Row],[Non-Member]]="X"," ",IF(R27=" "," ",IFERROR(VLOOKUP(Q27,Points!$A$2:$B$14,2,FALSE)," ")))</f>
        <v xml:space="preserve"> </v>
      </c>
      <c r="T27" s="92"/>
      <c r="U27" s="97" t="str">
        <f t="shared" si="8"/>
        <v xml:space="preserve"> </v>
      </c>
      <c r="V27" s="97" t="str">
        <f t="shared" si="9"/>
        <v xml:space="preserve"> </v>
      </c>
      <c r="W27" s="94" t="str">
        <f>IF(Table6220273233373822[[#This Row],[Non-Member]]="X"," ",IF(V27=" "," ",IFERROR(VLOOKUP(U27,Points!$A$2:$B$14,2,FALSE)," ")))</f>
        <v xml:space="preserve"> </v>
      </c>
      <c r="X27" s="92"/>
      <c r="Y27" s="97" t="str">
        <f t="shared" si="10"/>
        <v xml:space="preserve"> </v>
      </c>
      <c r="Z27" s="97" t="str">
        <f t="shared" si="11"/>
        <v xml:space="preserve"> </v>
      </c>
      <c r="AA27" s="94" t="str">
        <f>IF(Table6220273233373822[[#This Row],[Non-Member]]="X"," ",IF(Z27=" "," ",IFERROR(VLOOKUP(Y27,Points!$A$2:$B$14,2,FALSE)," ")))</f>
        <v xml:space="preserve"> </v>
      </c>
      <c r="AB27" s="92"/>
      <c r="AC27" s="97" t="str">
        <f t="shared" si="12"/>
        <v xml:space="preserve"> </v>
      </c>
      <c r="AD27" s="97" t="str">
        <f t="shared" si="13"/>
        <v xml:space="preserve"> </v>
      </c>
      <c r="AE27" s="94" t="str">
        <f>IF(Table6220273233373822[[#This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8" t="str">
        <f t="shared" si="15"/>
        <v xml:space="preserve"> </v>
      </c>
      <c r="AH27" s="97" t="str">
        <f t="shared" si="16"/>
        <v xml:space="preserve"> </v>
      </c>
      <c r="AI27" s="94" t="str">
        <f>IF(Table6220273233373822[[#This Row],[Non-Member]]="X"," ",IF(AH27=" "," ",IFERROR(VLOOKUP(AG27,Points!$A$2:$B$14,2,FALSE)," ")))</f>
        <v xml:space="preserve"> </v>
      </c>
      <c r="AJ27" s="97" t="str">
        <f>IF(Table6220273233373822[[#This Row],[Non-Member]]="X"," ",((IF(G27=" ",0,G27))+(IF(K27=" ",0,K27))+(IF(O27=" ",0,O27))+(IF(S27=" ",0,S27))+(IF(W27=" ",0,W27))+(IF(AA27=" ",0,AA27))+(IF(AE27=" ",0,AE27))+(IF(AI27=" ",0,AI27))))</f>
        <v xml:space="preserve"> </v>
      </c>
      <c r="AK27" s="151" t="str">
        <f t="shared" si="17"/>
        <v xml:space="preserve"> </v>
      </c>
      <c r="AL27" s="98" t="str">
        <f t="shared" si="18"/>
        <v xml:space="preserve"> </v>
      </c>
    </row>
    <row r="28" spans="2:38" x14ac:dyDescent="0.3">
      <c r="B28" s="90" t="s">
        <v>83</v>
      </c>
      <c r="C28" s="91"/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IF(Table6220273233373822[[#This Row],[Non-Member]]="X"," ",IF(F28=" "," ",IFERROR(VLOOKUP(E28,Points!$A$2:$B$14,2,FALSE)," ")))</f>
        <v xml:space="preserve"> </v>
      </c>
      <c r="H28" s="135">
        <v>26.018000000000001</v>
      </c>
      <c r="I28" s="93">
        <f t="shared" si="2"/>
        <v>12</v>
      </c>
      <c r="J28" s="93" t="str">
        <f t="shared" si="3"/>
        <v xml:space="preserve"> </v>
      </c>
      <c r="K28" s="94" t="str">
        <f>IF(Table6220273233373822[[#This Row],[Non-Member]]="X"," ",IF(J28=" "," ",IFERROR(VLOOKUP(I28,Points!$A$2:$B$14,2,FALSE)," ")))</f>
        <v xml:space="preserve"> </v>
      </c>
      <c r="L28" s="92"/>
      <c r="M28" s="93" t="str">
        <f t="shared" si="4"/>
        <v xml:space="preserve"> </v>
      </c>
      <c r="N28" s="93" t="str">
        <f t="shared" si="5"/>
        <v xml:space="preserve"> </v>
      </c>
      <c r="O28" s="94" t="str">
        <f>IF(Table6220273233373822[[#This Row],[Non-Member]]="X"," ",IF(N28=" "," ",IFERROR(VLOOKUP(M28,Points!$A$2:$B$14,2,FALSE)," ")))</f>
        <v xml:space="preserve"> </v>
      </c>
      <c r="P28" s="92">
        <v>0</v>
      </c>
      <c r="Q28" s="93" t="str">
        <f t="shared" si="6"/>
        <v xml:space="preserve"> </v>
      </c>
      <c r="R28" s="93" t="str">
        <f t="shared" si="7"/>
        <v xml:space="preserve"> </v>
      </c>
      <c r="S28" s="94" t="str">
        <f>IF(Table6220273233373822[[#This Row],[Non-Member]]="X"," ",IF(R28=" "," ",IFERROR(VLOOKUP(Q28,Points!$A$2:$B$14,2,FALSE)," ")))</f>
        <v xml:space="preserve"> </v>
      </c>
      <c r="T28" s="92"/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IF(Table6220273233373822[[#This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 t="str">
        <f>IF(Table6220273233373822[[#This Row],[Non-Member]]="X"," ",IF(Z28=" "," ",IFERROR(VLOOKUP(Y28,Points!$A$2:$B$14,2,FALSE)," ")))</f>
        <v xml:space="preserve"> </v>
      </c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IF(Table6220273233373822[[#This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IF(Table6220273233373822[[#This Row],[Non-Member]]="X"," ",IF(AH28=" "," ",IFERROR(VLOOKUP(AG28,Points!$A$2:$B$14,2,FALSE)," ")))</f>
        <v xml:space="preserve"> </v>
      </c>
      <c r="AJ28" s="93">
        <f>IF(Table6220273233373822[[#This Row],[Non-Member]]="X"," ",((IF(G28=" ",0,G28))+(IF(K28=" ",0,K28))+(IF(O28=" ",0,O28))+(IF(S28=" ",0,S28))+(IF(W28=" ",0,W28))+(IF(AA28=" ",0,AA28))+(IF(AE28=" ",0,AE28))+(IF(AI28=" ",0,AI28))))</f>
        <v>0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x14ac:dyDescent="0.3">
      <c r="B29" s="90" t="s">
        <v>92</v>
      </c>
      <c r="C29" s="91"/>
      <c r="D29" s="92"/>
      <c r="E29" s="93" t="str">
        <f t="shared" si="0"/>
        <v xml:space="preserve"> </v>
      </c>
      <c r="F29" s="93" t="str">
        <f t="shared" si="1"/>
        <v xml:space="preserve"> </v>
      </c>
      <c r="G29" s="94" t="str">
        <f>IF(Table6220273233373822[[#This Row],[Non-Member]]="X"," ",IF(F29=" "," ",IFERROR(VLOOKUP(E29,Points!$A$2:$B$14,2,FALSE)," ")))</f>
        <v xml:space="preserve"> </v>
      </c>
      <c r="H29" s="135">
        <v>28.306000000000001</v>
      </c>
      <c r="I29" s="93">
        <f t="shared" si="2"/>
        <v>16</v>
      </c>
      <c r="J29" s="93" t="str">
        <f t="shared" si="3"/>
        <v xml:space="preserve"> </v>
      </c>
      <c r="K29" s="94" t="str">
        <f>IF(Table6220273233373822[[#This Row],[Non-Member]]="X"," ",IF(J29=" "," ",IFERROR(VLOOKUP(I29,Points!$A$2:$B$14,2,FALSE)," ")))</f>
        <v xml:space="preserve"> </v>
      </c>
      <c r="L29" s="92">
        <v>26.93</v>
      </c>
      <c r="M29" s="93">
        <f t="shared" si="4"/>
        <v>12</v>
      </c>
      <c r="N29" s="93" t="str">
        <f t="shared" si="5"/>
        <v xml:space="preserve"> </v>
      </c>
      <c r="O29" s="94" t="str">
        <f>IF(Table6220273233373822[[#This Row],[Non-Member]]="X"," ",IF(N29=" "," ",IFERROR(VLOOKUP(M29,Points!$A$2:$B$14,2,FALSE)," ")))</f>
        <v xml:space="preserve"> </v>
      </c>
      <c r="P29" s="92">
        <v>0</v>
      </c>
      <c r="Q29" s="93" t="str">
        <f t="shared" si="6"/>
        <v xml:space="preserve"> </v>
      </c>
      <c r="R29" s="93" t="str">
        <f t="shared" si="7"/>
        <v xml:space="preserve"> </v>
      </c>
      <c r="S29" s="94" t="str">
        <f>IF(Table6220273233373822[[#This Row],[Non-Member]]="X"," ",IF(R29=" "," ",IFERROR(VLOOKUP(Q29,Points!$A$2:$B$14,2,FALSE)," ")))</f>
        <v xml:space="preserve"> </v>
      </c>
      <c r="T29" s="92"/>
      <c r="U29" s="93" t="str">
        <f t="shared" si="8"/>
        <v xml:space="preserve"> </v>
      </c>
      <c r="V29" s="93" t="str">
        <f t="shared" si="9"/>
        <v xml:space="preserve"> </v>
      </c>
      <c r="W29" s="94" t="str">
        <f>IF(Table6220273233373822[[#This Row],[Non-Member]]="X"," ",IF(V29=" "," ",IFERROR(VLOOKUP(U29,Points!$A$2:$B$14,2,FALSE)," ")))</f>
        <v xml:space="preserve"> </v>
      </c>
      <c r="X29" s="92"/>
      <c r="Y29" s="93" t="str">
        <f t="shared" si="10"/>
        <v xml:space="preserve"> </v>
      </c>
      <c r="Z29" s="93" t="str">
        <f t="shared" si="11"/>
        <v xml:space="preserve"> </v>
      </c>
      <c r="AA29" s="94" t="str">
        <f>IF(Table6220273233373822[[#This Row],[Non-Member]]="X"," ",IF(Z29=" "," ",IFERROR(VLOOKUP(Y29,Points!$A$2:$B$14,2,FALSE)," ")))</f>
        <v xml:space="preserve"> </v>
      </c>
      <c r="AB29" s="92"/>
      <c r="AC29" s="93" t="str">
        <f t="shared" si="12"/>
        <v xml:space="preserve"> </v>
      </c>
      <c r="AD29" s="93" t="str">
        <f t="shared" si="13"/>
        <v xml:space="preserve"> </v>
      </c>
      <c r="AE29" s="94" t="str">
        <f>IF(Table6220273233373822[[#This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3" t="str">
        <f t="shared" si="15"/>
        <v xml:space="preserve"> </v>
      </c>
      <c r="AH29" s="93" t="str">
        <f t="shared" si="16"/>
        <v xml:space="preserve"> </v>
      </c>
      <c r="AI29" s="94" t="str">
        <f>IF(Table6220273233373822[[#This Row],[Non-Member]]="X"," ",IF(AH29=" "," ",IFERROR(VLOOKUP(AG29,Points!$A$2:$B$14,2,FALSE)," ")))</f>
        <v xml:space="preserve"> </v>
      </c>
      <c r="AJ29" s="93">
        <f>IF(Table6220273233373822[[#This Row],[Non-Member]]="X"," ",((IF(G29=" ",0,G29))+(IF(K29=" ",0,K29))+(IF(O29=" ",0,O29))+(IF(S29=" ",0,S29))+(IF(W29=" ",0,W29))+(IF(AA29=" ",0,AA29))+(IF(AE29=" ",0,AE29))+(IF(AI29=" ",0,AI29))))</f>
        <v>0</v>
      </c>
      <c r="AK29" s="95" t="str">
        <f t="shared" si="17"/>
        <v xml:space="preserve"> </v>
      </c>
      <c r="AL29" s="96" t="str">
        <f t="shared" si="18"/>
        <v xml:space="preserve"> </v>
      </c>
    </row>
    <row r="30" spans="2:38" x14ac:dyDescent="0.3">
      <c r="B30" s="90" t="s">
        <v>255</v>
      </c>
      <c r="C30" s="91"/>
      <c r="D30" s="92"/>
      <c r="E30" s="93" t="str">
        <f t="shared" si="0"/>
        <v xml:space="preserve"> </v>
      </c>
      <c r="F30" s="93" t="str">
        <f t="shared" si="1"/>
        <v xml:space="preserve"> </v>
      </c>
      <c r="G30" s="94" t="str">
        <f>IF(Table6220273233373822[[#This Row],[Non-Member]]="X"," ",IF(F30=" "," ",IFERROR(VLOOKUP(E30,Points!$A$2:$B$14,2,FALSE)," ")))</f>
        <v xml:space="preserve"> </v>
      </c>
      <c r="H30" s="135">
        <v>0</v>
      </c>
      <c r="I30" s="93" t="str">
        <f t="shared" si="2"/>
        <v xml:space="preserve"> </v>
      </c>
      <c r="J30" s="93" t="str">
        <f t="shared" si="3"/>
        <v xml:space="preserve"> </v>
      </c>
      <c r="K30" s="94" t="str">
        <f>IF(Table6220273233373822[[#This Row],[Non-Member]]="X"," ",IF(J30=" "," ",IFERROR(VLOOKUP(I30,Points!$A$2:$B$14,2,FALSE)," ")))</f>
        <v xml:space="preserve"> </v>
      </c>
      <c r="L30" s="92"/>
      <c r="M30" s="93" t="str">
        <f t="shared" si="4"/>
        <v xml:space="preserve"> </v>
      </c>
      <c r="N30" s="93" t="str">
        <f t="shared" si="5"/>
        <v xml:space="preserve"> </v>
      </c>
      <c r="O30" s="94" t="str">
        <f>IF(Table6220273233373822[[#This Row],[Non-Member]]="X"," ",IF(N30=" "," ",IFERROR(VLOOKUP(M30,Points!$A$2:$B$14,2,FALSE)," ")))</f>
        <v xml:space="preserve"> </v>
      </c>
      <c r="P30" s="92">
        <v>34.619999999999997</v>
      </c>
      <c r="Q30" s="93">
        <f t="shared" si="6"/>
        <v>15</v>
      </c>
      <c r="R30" s="93" t="str">
        <f t="shared" si="7"/>
        <v xml:space="preserve"> </v>
      </c>
      <c r="S30" s="94" t="str">
        <f>IF(Table6220273233373822[[#This Row],[Non-Member]]="X"," ",IF(R30=" "," ",IFERROR(VLOOKUP(Q30,Points!$A$2:$B$14,2,FALSE)," ")))</f>
        <v xml:space="preserve"> </v>
      </c>
      <c r="T30" s="92"/>
      <c r="U30" s="93" t="str">
        <f t="shared" si="8"/>
        <v xml:space="preserve"> </v>
      </c>
      <c r="V30" s="93" t="str">
        <f t="shared" si="9"/>
        <v xml:space="preserve"> </v>
      </c>
      <c r="W30" s="94" t="str">
        <f>IF(Table6220273233373822[[#This Row],[Non-Member]]="X"," ",IF(V30=" "," ",IFERROR(VLOOKUP(U30,Points!$A$2:$B$14,2,FALSE)," ")))</f>
        <v xml:space="preserve"> </v>
      </c>
      <c r="X30" s="92"/>
      <c r="Y30" s="93" t="str">
        <f t="shared" si="10"/>
        <v xml:space="preserve"> </v>
      </c>
      <c r="Z30" s="93" t="str">
        <f t="shared" si="11"/>
        <v xml:space="preserve"> </v>
      </c>
      <c r="AA30" s="94" t="str">
        <f>IF(Table6220273233373822[[#This Row],[Non-Member]]="X"," ",IF(Z30=" "," ",IFERROR(VLOOKUP(Y30,Points!$A$2:$B$14,2,FALSE)," ")))</f>
        <v xml:space="preserve"> </v>
      </c>
      <c r="AB30" s="92"/>
      <c r="AC30" s="93" t="str">
        <f t="shared" si="12"/>
        <v xml:space="preserve"> </v>
      </c>
      <c r="AD30" s="93" t="str">
        <f t="shared" si="13"/>
        <v xml:space="preserve"> </v>
      </c>
      <c r="AE30" s="94" t="str">
        <f>IF(Table6220273233373822[[#This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3" t="str">
        <f t="shared" si="15"/>
        <v xml:space="preserve"> </v>
      </c>
      <c r="AH30" s="93" t="str">
        <f t="shared" si="16"/>
        <v xml:space="preserve"> </v>
      </c>
      <c r="AI30" s="94" t="str">
        <f>IF(Table6220273233373822[[#This Row],[Non-Member]]="X"," ",IF(AH30=" "," ",IFERROR(VLOOKUP(AG30,Points!$A$2:$B$14,2,FALSE)," ")))</f>
        <v xml:space="preserve"> </v>
      </c>
      <c r="AJ30" s="93">
        <f>IF(Table6220273233373822[[#This Row],[Non-Member]]="X"," ",((IF(G30=" ",0,G30))+(IF(K30=" ",0,K30))+(IF(O30=" ",0,O30))+(IF(S30=" ",0,S30))+(IF(W30=" ",0,W30))+(IF(AA30=" ",0,AA30))+(IF(AE30=" ",0,AE30))+(IF(AI30=" ",0,AI30))))</f>
        <v>0</v>
      </c>
      <c r="AK30" s="95" t="str">
        <f t="shared" si="17"/>
        <v xml:space="preserve"> </v>
      </c>
      <c r="AL30" s="96" t="str">
        <f t="shared" si="18"/>
        <v xml:space="preserve"> </v>
      </c>
    </row>
    <row r="31" spans="2:38" ht="14.5" thickBot="1" x14ac:dyDescent="0.35">
      <c r="B31" s="100" t="s">
        <v>94</v>
      </c>
      <c r="C31" s="101"/>
      <c r="D31" s="102"/>
      <c r="E31" s="103" t="str">
        <f t="shared" si="0"/>
        <v xml:space="preserve"> </v>
      </c>
      <c r="F31" s="103" t="str">
        <f t="shared" si="1"/>
        <v xml:space="preserve"> </v>
      </c>
      <c r="G31" s="104" t="str">
        <f>IF(Table6220273233373822[[#This Row],[Non-Member]]="X"," ",IF(F31=" "," ",IFERROR(VLOOKUP(E31,Points!$A$2:$B$14,2,FALSE)," ")))</f>
        <v xml:space="preserve"> </v>
      </c>
      <c r="H31" s="164">
        <v>24.683</v>
      </c>
      <c r="I31" s="103">
        <f t="shared" si="2"/>
        <v>9</v>
      </c>
      <c r="J31" s="103" t="str">
        <f t="shared" si="3"/>
        <v xml:space="preserve"> </v>
      </c>
      <c r="K31" s="104" t="str">
        <f>IF(Table6220273233373822[[#This Row],[Non-Member]]="X"," ",IF(J31=" "," ",IFERROR(VLOOKUP(I31,Points!$A$2:$B$14,2,FALSE)," ")))</f>
        <v xml:space="preserve"> </v>
      </c>
      <c r="L31" s="102"/>
      <c r="M31" s="103" t="str">
        <f t="shared" si="4"/>
        <v xml:space="preserve"> </v>
      </c>
      <c r="N31" s="103" t="str">
        <f t="shared" si="5"/>
        <v xml:space="preserve"> </v>
      </c>
      <c r="O31" s="104" t="str">
        <f>IF(Table6220273233373822[[#This Row],[Non-Member]]="X"," ",IF(N31=" "," ",IFERROR(VLOOKUP(M31,Points!$A$2:$B$14,2,FALSE)," ")))</f>
        <v xml:space="preserve"> </v>
      </c>
      <c r="P31" s="102"/>
      <c r="Q31" s="103" t="str">
        <f t="shared" si="6"/>
        <v xml:space="preserve"> </v>
      </c>
      <c r="R31" s="103" t="str">
        <f t="shared" si="7"/>
        <v xml:space="preserve"> </v>
      </c>
      <c r="S31" s="104" t="str">
        <f>IF(Table6220273233373822[[#This Row],[Non-Member]]="X"," ",IF(R31=" "," ",IFERROR(VLOOKUP(Q31,Points!$A$2:$B$14,2,FALSE)," ")))</f>
        <v xml:space="preserve"> </v>
      </c>
      <c r="T31" s="102"/>
      <c r="U31" s="103" t="str">
        <f t="shared" si="8"/>
        <v xml:space="preserve"> </v>
      </c>
      <c r="V31" s="103" t="str">
        <f t="shared" si="9"/>
        <v xml:space="preserve"> </v>
      </c>
      <c r="W31" s="104" t="str">
        <f>IF(Table6220273233373822[[#This Row],[Non-Member]]="X"," ",IF(V31=" "," ",IFERROR(VLOOKUP(U31,Points!$A$2:$B$14,2,FALSE)," ")))</f>
        <v xml:space="preserve"> </v>
      </c>
      <c r="X31" s="102"/>
      <c r="Y31" s="103" t="str">
        <f t="shared" si="10"/>
        <v xml:space="preserve"> </v>
      </c>
      <c r="Z31" s="103" t="str">
        <f t="shared" si="11"/>
        <v xml:space="preserve"> </v>
      </c>
      <c r="AA31" s="104" t="str">
        <f>IF(Table6220273233373822[[#This Row],[Non-Member]]="X"," ",IF(Z31=" "," ",IFERROR(VLOOKUP(Y31,Points!$A$2:$B$14,2,FALSE)," ")))</f>
        <v xml:space="preserve"> </v>
      </c>
      <c r="AB31" s="102"/>
      <c r="AC31" s="103" t="str">
        <f t="shared" si="12"/>
        <v xml:space="preserve"> </v>
      </c>
      <c r="AD31" s="103" t="str">
        <f t="shared" si="13"/>
        <v xml:space="preserve"> </v>
      </c>
      <c r="AE31" s="104" t="str">
        <f>IF(Table6220273233373822[[#This Row],[Non-Member]]="X"," ",IF(AD31=" "," ",IFERROR(VLOOKUP(AC31,Points!$A$2:$B$14,2,FALSE)," ")))</f>
        <v xml:space="preserve"> </v>
      </c>
      <c r="AF31" s="102" t="str">
        <f t="shared" si="14"/>
        <v xml:space="preserve"> </v>
      </c>
      <c r="AG31" s="103" t="str">
        <f t="shared" si="15"/>
        <v xml:space="preserve"> </v>
      </c>
      <c r="AH31" s="103" t="str">
        <f t="shared" si="16"/>
        <v xml:space="preserve"> </v>
      </c>
      <c r="AI31" s="104" t="str">
        <f>IF(Table6220273233373822[[#This Row],[Non-Member]]="X"," ",IF(AH31=" "," ",IFERROR(VLOOKUP(AG31,Points!$A$2:$B$14,2,FALSE)," ")))</f>
        <v xml:space="preserve"> </v>
      </c>
      <c r="AJ31" s="93">
        <f>IF(Table6220273233373822[[#This Row],[Non-Member]]="X"," ",((IF(G31=" ",0,G31))+(IF(K31=" ",0,K31))+(IF(O31=" ",0,O31))+(IF(S31=" ",0,S31))+(IF(W31=" ",0,W31))+(IF(AA31=" ",0,AA31))+(IF(AE31=" ",0,AE31))+(IF(AI31=" ",0,AI31))))</f>
        <v>0</v>
      </c>
      <c r="AK31" s="105" t="str">
        <f t="shared" si="17"/>
        <v xml:space="preserve"> </v>
      </c>
      <c r="AL31" s="96" t="str">
        <f t="shared" si="18"/>
        <v xml:space="preserve"> </v>
      </c>
    </row>
    <row r="32" spans="2:38" ht="14.5" thickBot="1" x14ac:dyDescent="0.35">
      <c r="B32" s="106" t="s">
        <v>190</v>
      </c>
      <c r="H32" s="108"/>
      <c r="AG32" s="107"/>
    </row>
    <row r="34" spans="6:8" x14ac:dyDescent="0.3">
      <c r="F34" s="107"/>
    </row>
    <row r="35" spans="6:8" x14ac:dyDescent="0.3">
      <c r="F35" s="107"/>
    </row>
    <row r="36" spans="6:8" x14ac:dyDescent="0.3">
      <c r="H36" s="108"/>
    </row>
  </sheetData>
  <sheetProtection algorithmName="SHA-512" hashValue="Mr2qqIt6lwA4zFZ9fDsdBl4Y09XxRXnMG+ShSF6YHksENUPFbfsVbic4B3d1P8yUBesA62ukdbttB2UbPAwDKQ==" saltValue="QFlQbnadL20SX/aK2tHTc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4">
    <tabColor theme="5" tint="0.79998168889431442"/>
  </sheetPr>
  <dimension ref="B1:AL36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98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139</v>
      </c>
      <c r="C5" s="84"/>
      <c r="D5" s="85"/>
      <c r="E5" s="86" t="str">
        <f t="shared" ref="E5:E31" si="0">IF(D5=0," ",_xlfn.RANK.AVG(D5,D$5:D$31,1)-COUNTIF(D$5:D$31,0))</f>
        <v xml:space="preserve"> </v>
      </c>
      <c r="F5" s="86" t="str">
        <f t="shared" ref="F5:F31" si="1">IF(D5=0," ",IF((RANK(D5,D$5:D$31,1)-COUNTIF(D$5:D$31,0)&gt;6)," ",RANK(D5,D$5:D$31,1)-COUNTIF(D$5:D$31,0)))</f>
        <v xml:space="preserve"> </v>
      </c>
      <c r="G5" s="87" t="str">
        <f>IF(Table622027323337383923[[#This Row],[Non-Member]]="X"," ",IF(F5=" "," ",IFERROR(VLOOKUP(E5,Points!$A$2:$B$14,2,FALSE)," ")))</f>
        <v xml:space="preserve"> </v>
      </c>
      <c r="H5" s="85">
        <v>10.71</v>
      </c>
      <c r="I5" s="86">
        <f t="shared" ref="I5:I31" si="2">IF(H5=0," ",_xlfn.RANK.AVG(H5,H$5:H$31,1)-COUNTIF(H$5:H$31,0))</f>
        <v>1</v>
      </c>
      <c r="J5" s="86">
        <f t="shared" ref="J5:J31" si="3">IF(H5=0," ",IF((RANK(H5,H$5:H$31,1)-COUNTIF(H$5:H$31,0)&gt;6)," ",RANK(H5,H$5:H$31,1)-COUNTIF(H$5:H$31,0)))</f>
        <v>1</v>
      </c>
      <c r="K5" s="87">
        <f>IF(Table622027323337383923[[#This Row],[Non-Member]]="X"," ",IF(J5=" "," ",IFERROR(VLOOKUP(I5,Points!$A$2:$B$14,2,FALSE)," ")))</f>
        <v>18</v>
      </c>
      <c r="L5" s="85">
        <v>9.9499999999999993</v>
      </c>
      <c r="M5" s="86">
        <f t="shared" ref="M5:M31" si="4">IF(L5=0," ",_xlfn.RANK.AVG(L5,L$5:L$31,1)-COUNTIF(L$5:L$31,0))</f>
        <v>1</v>
      </c>
      <c r="N5" s="86">
        <f t="shared" ref="N5:N31" si="5">IF(L5=0," ",IF((RANK(L5,L$5:L$31,1)-COUNTIF(L$5:L$31,0)&gt;6)," ",RANK(L5,L$5:L$31,1)-COUNTIF(L$5:L$31,0)))</f>
        <v>1</v>
      </c>
      <c r="O5" s="87">
        <f>IF(Table622027323337383923[[#This Row],[Non-Member]]="X"," ",IF(N5=" "," ",IFERROR(VLOOKUP(M5,Points!$A$2:$B$14,2,FALSE)," ")))</f>
        <v>18</v>
      </c>
      <c r="P5" s="85">
        <v>11.81</v>
      </c>
      <c r="Q5" s="86">
        <f t="shared" ref="Q5:Q31" si="6">IF(P5=0," ",_xlfn.RANK.AVG(P5,P$5:P$31,1)-COUNTIF(P$5:P$31,0))</f>
        <v>2</v>
      </c>
      <c r="R5" s="86">
        <f t="shared" ref="R5:R31" si="7">IF(P5=0," ",IF((RANK(P5,P$5:P$31,1)-COUNTIF(P$5:P$31,0)&gt;6)," ",RANK(P5,P$5:P$31,1)-COUNTIF(P$5:P$31,0)))</f>
        <v>2</v>
      </c>
      <c r="S5" s="87">
        <f>IF(Table622027323337383923[[#This Row],[Non-Member]]="X"," ",IF(R5=" "," ",IFERROR(VLOOKUP(Q5,Points!$A$2:$B$14,2,FALSE)," ")))</f>
        <v>15</v>
      </c>
      <c r="T5" s="85"/>
      <c r="U5" s="86" t="str">
        <f t="shared" ref="U5:U31" si="8">IF(T5=0," ",_xlfn.RANK.AVG(T5,T$5:T$31,1)-COUNTIF(T$5:T$31,0))</f>
        <v xml:space="preserve"> </v>
      </c>
      <c r="V5" s="86" t="str">
        <f t="shared" ref="V5:V31" si="9">IF(T5=0," ",IF((RANK(T5,T$5:T$31,1)-COUNTIF(T$5:T$31,0)&gt;6)," ",RANK(T5,T$5:T$31,1)-COUNTIF(T$5:T$31,0)))</f>
        <v xml:space="preserve"> </v>
      </c>
      <c r="W5" s="87" t="str">
        <f>IF(Table622027323337383923[[#This Row],[Non-Member]]="X"," ",IF(V5=" "," ",IFERROR(VLOOKUP(U5,Points!$A$2:$B$14,2,FALSE)," ")))</f>
        <v xml:space="preserve"> </v>
      </c>
      <c r="X5" s="85"/>
      <c r="Y5" s="86" t="str">
        <f t="shared" ref="Y5:Y31" si="10">IF(X5=0," ",_xlfn.RANK.AVG(X5,X$5:X$31,1)-COUNTIF(X$5:X$31,0))</f>
        <v xml:space="preserve"> </v>
      </c>
      <c r="Z5" s="86" t="str">
        <f t="shared" ref="Z5:Z31" si="11">IF(X5=0," ",IF((RANK(X5,X$5:X$31,1)-COUNTIF(X$5:X$31,0)&gt;6)," ",RANK(X5,X$5:X$31,1)-COUNTIF(X$5:X$31,0)))</f>
        <v xml:space="preserve"> </v>
      </c>
      <c r="AA5" s="87"/>
      <c r="AB5" s="85"/>
      <c r="AC5" s="86" t="str">
        <f t="shared" ref="AC5:AC31" si="12">IF(AB5=0," ",_xlfn.RANK.AVG(AB5,AB$5:AB$31,1)-COUNTIF(AB$5:AB$31,0))</f>
        <v xml:space="preserve"> </v>
      </c>
      <c r="AD5" s="86" t="str">
        <f t="shared" ref="AD5:AD31" si="13">IF(AB5=0," ",IF((RANK(AB5,AB$5:AB$31,1)-COUNTIF(AB$5:AB$31,0)&gt;6)," ",RANK(AB5,AB$5:AB$31,1)-COUNTIF(AB$5:AB$31,0)))</f>
        <v xml:space="preserve"> </v>
      </c>
      <c r="AE5" s="87" t="str">
        <f>IF(Table622027323337383923[[#This Row],[Non-Member]]="X"," ",IF(AD5=" "," ",IFERROR(VLOOKUP(AC5,Points!$A$2:$B$14,2,FALSE)," ")))</f>
        <v xml:space="preserve"> </v>
      </c>
      <c r="AF5" s="85" t="str">
        <f t="shared" ref="AF5:AF31" si="14">IF(OR(X5=0,AB5=0)," ",X5+AB5)</f>
        <v xml:space="preserve"> </v>
      </c>
      <c r="AG5" s="86" t="str">
        <f t="shared" ref="AG5:AG31" si="15">IF(OR(AF5=0,AF5=" ")," ",_xlfn.RANK.AVG(AF5,AF$5:AF$31,1)-COUNTIF(AF$5:AF$31,0))</f>
        <v xml:space="preserve"> </v>
      </c>
      <c r="AH5" s="86" t="str">
        <f t="shared" ref="AH5:AH31" si="16">IF(OR(AF5=0,AF5=" ")," ",IF((RANK(AF5,AF$5:AF$31,1)-COUNTIF(AF$5:AF$31,0)&gt;6)," ",RANK(AF5,AF$5:AF$31,1)-COUNTIF(AF$5:AF$31,0)))</f>
        <v xml:space="preserve"> </v>
      </c>
      <c r="AI5" s="87" t="str">
        <f>IF(Table622027323337383923[[#This Row],[Non-Member]]="X"," ",IF(AH5=" "," ",IFERROR(VLOOKUP(AG5,Points!$A$2:$B$14,2,FALSE)," ")))</f>
        <v xml:space="preserve"> </v>
      </c>
      <c r="AJ5" s="86">
        <f>IF(Table622027323337383923[[#This Row],[Non-Member]]="X"," ",((IF(G5=" ",0,G5))+(IF(K5=" ",0,K5))+(IF(O5=" ",0,O5))+(IF(S5=" ",0,S5))+(IF(W5=" ",0,W5))+(IF(AA5=" ",0,AA5))+(IF(AE5=" ",0,AE5))+(IF(AI5=" ",0,AI5))))</f>
        <v>51</v>
      </c>
      <c r="AK5" s="88">
        <f t="shared" ref="AK5:AK31" si="17">IF(AJ5=0," ",AJ5)</f>
        <v>51</v>
      </c>
      <c r="AL5" s="89">
        <f t="shared" ref="AL5:AL31" si="18">IF(AK5=" "," ",RANK(AK5,$AK$5:$AK$31))</f>
        <v>1</v>
      </c>
    </row>
    <row r="6" spans="2:38" x14ac:dyDescent="0.3">
      <c r="B6" s="90" t="s">
        <v>137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IF(Table622027323337383923[[#This Row],[Non-Member]]="X"," ",IF(F6=" "," ",IFERROR(VLOOKUP(E6,Points!$A$2:$B$14,2,FALSE)," ")))</f>
        <v xml:space="preserve"> </v>
      </c>
      <c r="H6" s="92">
        <v>15.15</v>
      </c>
      <c r="I6" s="93">
        <f t="shared" si="2"/>
        <v>3</v>
      </c>
      <c r="J6" s="93">
        <f t="shared" si="3"/>
        <v>3</v>
      </c>
      <c r="K6" s="94">
        <f>IF(Table622027323337383923[[#This Row],[Non-Member]]="X"," ",IF(J6=" "," ",IFERROR(VLOOKUP(I6,Points!$A$2:$B$14,2,FALSE)," ")))</f>
        <v>12</v>
      </c>
      <c r="L6" s="92">
        <v>10.85</v>
      </c>
      <c r="M6" s="93">
        <f t="shared" si="4"/>
        <v>2</v>
      </c>
      <c r="N6" s="93">
        <f t="shared" si="5"/>
        <v>2</v>
      </c>
      <c r="O6" s="94">
        <f>IF(Table622027323337383923[[#This Row],[Non-Member]]="X"," ",IF(N6=" "," ",IFERROR(VLOOKUP(M6,Points!$A$2:$B$14,2,FALSE)," ")))</f>
        <v>15</v>
      </c>
      <c r="P6" s="92">
        <v>9.9700000000000006</v>
      </c>
      <c r="Q6" s="93">
        <f t="shared" si="6"/>
        <v>1</v>
      </c>
      <c r="R6" s="93">
        <f t="shared" si="7"/>
        <v>1</v>
      </c>
      <c r="S6" s="94">
        <f>IF(Table622027323337383923[[#This Row],[Non-Member]]="X"," ",IF(R6=" "," ",IFERROR(VLOOKUP(Q6,Points!$A$2:$B$14,2,FALSE)," ")))</f>
        <v>18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/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IF(Table622027323337383923[[#This Row],[Non-Member]]="X"," ",IF(AH6=" "," ",IFERROR(VLOOKUP(AG6,Points!$A$2:$B$14,2,FALSE)," ")))</f>
        <v xml:space="preserve"> </v>
      </c>
      <c r="AJ6" s="93">
        <f>IF(Table622027323337383923[[#This Row],[Non-Member]]="X"," ",((IF(G6=" ",0,G6))+(IF(K6=" ",0,K6))+(IF(O6=" ",0,O6))+(IF(S6=" ",0,S6))+(IF(W6=" ",0,W6))+(IF(AA6=" ",0,AA6))+(IF(AE6=" ",0,AE6))+(IF(AI6=" ",0,AI6))))</f>
        <v>45</v>
      </c>
      <c r="AK6" s="95">
        <f t="shared" si="17"/>
        <v>45</v>
      </c>
      <c r="AL6" s="96">
        <f t="shared" si="18"/>
        <v>2</v>
      </c>
    </row>
    <row r="7" spans="2:38" x14ac:dyDescent="0.3">
      <c r="B7" s="90" t="s">
        <v>252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IF(Table622027323337383923[[#This Row],[Non-Member]]="X"," ",IF(F7=" "," ",IFERROR(VLOOKUP(E7,Points!$A$2:$B$14,2,FALSE)," ")))</f>
        <v xml:space="preserve"> </v>
      </c>
      <c r="H7" s="92">
        <v>13.93</v>
      </c>
      <c r="I7" s="93">
        <f t="shared" si="2"/>
        <v>2</v>
      </c>
      <c r="J7" s="93">
        <f t="shared" si="3"/>
        <v>2</v>
      </c>
      <c r="K7" s="94">
        <f>IF(Table622027323337383923[[#This Row],[Non-Member]]="X"," ",IF(J7=" "," ",IFERROR(VLOOKUP(I7,Points!$A$2:$B$14,2,FALSE)," ")))</f>
        <v>15</v>
      </c>
      <c r="L7" s="92">
        <v>13.09</v>
      </c>
      <c r="M7" s="93">
        <f t="shared" si="4"/>
        <v>6</v>
      </c>
      <c r="N7" s="93">
        <f t="shared" si="5"/>
        <v>6</v>
      </c>
      <c r="O7" s="94">
        <f>IF(Table622027323337383923[[#This Row],[Non-Member]]="X"," ",IF(N7=" "," ",IFERROR(VLOOKUP(M7,Points!$A$2:$B$14,2,FALSE)," ")))</f>
        <v>3</v>
      </c>
      <c r="P7" s="92">
        <v>13.37</v>
      </c>
      <c r="Q7" s="93">
        <f t="shared" si="6"/>
        <v>4</v>
      </c>
      <c r="R7" s="93">
        <f t="shared" si="7"/>
        <v>4</v>
      </c>
      <c r="S7" s="94">
        <f>IF(Table622027323337383923[[#This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/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IF(Table622027323337383923[[#This Row],[Non-Member]]="X"," ",IF(AH7=" "," ",IFERROR(VLOOKUP(AG7,Points!$A$2:$B$14,2,FALSE)," ")))</f>
        <v xml:space="preserve"> </v>
      </c>
      <c r="AJ7" s="93">
        <f>IF(Table622027323337383923[[#This Row],[Non-Member]]="X"," ",((IF(G7=" ",0,G7))+(IF(K7=" ",0,K7))+(IF(O7=" ",0,O7))+(IF(S7=" ",0,S7))+(IF(W7=" ",0,W7))+(IF(AA7=" ",0,AA7))+(IF(AE7=" ",0,AE7))+(IF(AI7=" ",0,AI7))))</f>
        <v>27</v>
      </c>
      <c r="AK7" s="95">
        <f t="shared" si="17"/>
        <v>27</v>
      </c>
      <c r="AL7" s="96">
        <f t="shared" si="18"/>
        <v>3</v>
      </c>
    </row>
    <row r="8" spans="2:38" x14ac:dyDescent="0.3">
      <c r="B8" s="90" t="s">
        <v>90</v>
      </c>
      <c r="C8" s="91" t="s">
        <v>214</v>
      </c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IF(Table622027323337383923[[#This Row],[Non-Member]]="X"," ",IF(J8=" "," ",IFERROR(VLOOKUP(I8,Points!$A$2:$B$14,2,FALSE)," ")))</f>
        <v xml:space="preserve"> </v>
      </c>
      <c r="L8" s="92">
        <v>11.73</v>
      </c>
      <c r="M8" s="93">
        <f t="shared" si="4"/>
        <v>3</v>
      </c>
      <c r="N8" s="93">
        <f t="shared" si="5"/>
        <v>3</v>
      </c>
      <c r="O8" s="94">
        <f>IF(Table622027323337383923[[#This Row],[Non-Member]]="X"," ",IF(N8=" "," ",IFERROR(VLOOKUP(M8,Points!$A$2:$B$14,2,FALSE)," ")))</f>
        <v>12</v>
      </c>
      <c r="P8" s="92">
        <v>13.23</v>
      </c>
      <c r="Q8" s="93">
        <f t="shared" si="6"/>
        <v>3</v>
      </c>
      <c r="R8" s="93">
        <f t="shared" si="7"/>
        <v>3</v>
      </c>
      <c r="S8" s="94">
        <f>IF(Table622027323337383923[[#This Row],[Non-Member]]="X"," ",IF(R8=" "," ",IFERROR(VLOOKUP(Q8,Points!$A$2:$B$14,2,FALSE)," ")))</f>
        <v>12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/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IF(Table622027323337383923[[#This Row],[Non-Member]]="X"," ",IF(AH8=" "," ",IFERROR(VLOOKUP(AG8,Points!$A$2:$B$14,2,FALSE)," ")))</f>
        <v xml:space="preserve"> </v>
      </c>
      <c r="AJ8" s="93">
        <f>IF(Table622027323337383923[[#This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6">
        <f t="shared" si="18"/>
        <v>4</v>
      </c>
    </row>
    <row r="9" spans="2:38" x14ac:dyDescent="0.3">
      <c r="B9" s="90" t="s">
        <v>92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IF(Table622027323337383923[[#This Row],[Non-Member]]="X"," ",IF(F9=" "," ",IFERROR(VLOOKUP(E9,Points!$A$2:$B$14,2,FALSE)," ")))</f>
        <v xml:space="preserve"> </v>
      </c>
      <c r="H9" s="92">
        <v>20.13</v>
      </c>
      <c r="I9" s="93">
        <f t="shared" si="2"/>
        <v>12</v>
      </c>
      <c r="J9" s="93" t="str">
        <f t="shared" si="3"/>
        <v xml:space="preserve"> </v>
      </c>
      <c r="K9" s="94" t="str">
        <f>IF(Table622027323337383923[[#This Row],[Non-Member]]="X"," ",IF(J9=" "," ",IFERROR(VLOOKUP(I9,Points!$A$2:$B$14,2,FALSE)," ")))</f>
        <v xml:space="preserve"> </v>
      </c>
      <c r="L9" s="92">
        <v>12.78</v>
      </c>
      <c r="M9" s="93">
        <f t="shared" si="4"/>
        <v>5</v>
      </c>
      <c r="N9" s="93">
        <f t="shared" si="5"/>
        <v>5</v>
      </c>
      <c r="O9" s="94">
        <f>IF(Table622027323337383923[[#This Row],[Non-Member]]="X"," ",IF(N9=" "," ",IFERROR(VLOOKUP(M9,Points!$A$2:$B$14,2,FALSE)," ")))</f>
        <v>6</v>
      </c>
      <c r="P9" s="92">
        <v>13.91</v>
      </c>
      <c r="Q9" s="93">
        <f t="shared" si="6"/>
        <v>5</v>
      </c>
      <c r="R9" s="93">
        <f t="shared" si="7"/>
        <v>5</v>
      </c>
      <c r="S9" s="94">
        <f>IF(Table622027323337383923[[#This Row],[Non-Member]]="X"," ",IF(R9=" "," ",IFERROR(VLOOKUP(Q9,Points!$A$2:$B$14,2,FALSE)," ")))</f>
        <v>6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/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IF(Table622027323337383923[[#This Row],[Non-Member]]="X"," ",IF(AH9=" "," ",IFERROR(VLOOKUP(AG9,Points!$A$2:$B$14,2,FALSE)," ")))</f>
        <v xml:space="preserve"> </v>
      </c>
      <c r="AJ9" s="93">
        <f>IF(Table622027323337383923[[#This Row],[Non-Member]]="X"," ",((IF(G9=" ",0,G9))+(IF(K9=" ",0,K9))+(IF(O9=" ",0,O9))+(IF(S9=" ",0,S9))+(IF(W9=" ",0,W9))+(IF(AA9=" ",0,AA9))+(IF(AE9=" ",0,AE9))+(IF(AI9=" ",0,AI9))))</f>
        <v>12</v>
      </c>
      <c r="AK9" s="95">
        <f t="shared" si="17"/>
        <v>12</v>
      </c>
      <c r="AL9" s="96">
        <f t="shared" si="18"/>
        <v>5</v>
      </c>
    </row>
    <row r="10" spans="2:38" x14ac:dyDescent="0.3">
      <c r="B10" s="90" t="s">
        <v>86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IF(Table622027323337383923[[#This Row],[Non-Member]]="X"," ",IF(F10=" "," ",IFERROR(VLOOKUP(E10,Points!$A$2:$B$14,2,FALSE)," ")))</f>
        <v xml:space="preserve"> </v>
      </c>
      <c r="H10" s="92">
        <v>19.260000000000002</v>
      </c>
      <c r="I10" s="97">
        <f t="shared" si="2"/>
        <v>10</v>
      </c>
      <c r="J10" s="97" t="str">
        <f t="shared" si="3"/>
        <v xml:space="preserve"> </v>
      </c>
      <c r="K10" s="94" t="str">
        <f>IF(Table622027323337383923[[#This Row],[Non-Member]]="X"," ",IF(J10=" "," ",IFERROR(VLOOKUP(I10,Points!$A$2:$B$14,2,FALSE)," ")))</f>
        <v xml:space="preserve"> </v>
      </c>
      <c r="L10" s="92">
        <v>12.48</v>
      </c>
      <c r="M10" s="97">
        <f t="shared" si="4"/>
        <v>4</v>
      </c>
      <c r="N10" s="97">
        <f t="shared" si="5"/>
        <v>4</v>
      </c>
      <c r="O10" s="94">
        <f>IF(Table622027323337383923[[#This Row],[Non-Member]]="X"," ",IF(N10=" "," ",IFERROR(VLOOKUP(M10,Points!$A$2:$B$14,2,FALSE)," ")))</f>
        <v>9</v>
      </c>
      <c r="P10" s="92">
        <v>23.09</v>
      </c>
      <c r="Q10" s="97">
        <f t="shared" si="6"/>
        <v>21</v>
      </c>
      <c r="R10" s="97" t="str">
        <f t="shared" si="7"/>
        <v xml:space="preserve"> </v>
      </c>
      <c r="S10" s="94" t="str">
        <f>IF(Table622027323337383923[[#This Row],[Non-Member]]="X"," ",IF(R10=" "," ",IFERROR(VLOOKUP(Q10,Points!$A$2:$B$14,2,FALSE)," ")))</f>
        <v xml:space="preserve"> </v>
      </c>
      <c r="T10" s="92"/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IF(Table622027323337383923[[#This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/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7" t="str">
        <f t="shared" si="15"/>
        <v xml:space="preserve"> </v>
      </c>
      <c r="AH10" s="97" t="str">
        <f t="shared" si="16"/>
        <v xml:space="preserve"> </v>
      </c>
      <c r="AI10" s="94" t="str">
        <f>IF(Table622027323337383923[[#This Row],[Non-Member]]="X"," ",IF(AH10=" "," ",IFERROR(VLOOKUP(AG10,Points!$A$2:$B$14,2,FALSE)," ")))</f>
        <v xml:space="preserve"> </v>
      </c>
      <c r="AJ10" s="97">
        <f>IF(Table622027323337383923[[#This Row],[Non-Member]]="X"," ",((IF(G10=" ",0,G10))+(IF(K10=" ",0,K10))+(IF(O10=" ",0,O10))+(IF(S10=" ",0,S10))+(IF(W10=" ",0,W10))+(IF(AA10=" ",0,AA10))+(IF(AE10=" ",0,AE10))+(IF(AI10=" ",0,AI10))))</f>
        <v>9</v>
      </c>
      <c r="AK10" s="95">
        <f t="shared" si="17"/>
        <v>9</v>
      </c>
      <c r="AL10" s="98">
        <f t="shared" si="18"/>
        <v>6</v>
      </c>
    </row>
    <row r="11" spans="2:38" x14ac:dyDescent="0.3">
      <c r="B11" s="90" t="s">
        <v>172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IF(Table622027323337383923[[#This Row],[Non-Member]]="X"," ",IF(F11=" "," ",IFERROR(VLOOKUP(E11,Points!$A$2:$B$14,2,FALSE)," ")))</f>
        <v xml:space="preserve"> </v>
      </c>
      <c r="H11" s="92">
        <v>15.34</v>
      </c>
      <c r="I11" s="93">
        <f t="shared" si="2"/>
        <v>4</v>
      </c>
      <c r="J11" s="93">
        <f t="shared" si="3"/>
        <v>4</v>
      </c>
      <c r="K11" s="94">
        <f>IF(Table622027323337383923[[#This Row],[Non-Member]]="X"," ",IF(J11=" "," ",IFERROR(VLOOKUP(I11,Points!$A$2:$B$14,2,FALSE)," ")))</f>
        <v>9</v>
      </c>
      <c r="L11" s="92">
        <v>15.37</v>
      </c>
      <c r="M11" s="93">
        <f t="shared" si="4"/>
        <v>11</v>
      </c>
      <c r="N11" s="93" t="str">
        <f t="shared" si="5"/>
        <v xml:space="preserve"> </v>
      </c>
      <c r="O11" s="94" t="str">
        <f>IF(Table622027323337383923[[#This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/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IF(Table622027323337383923[[#This Row],[Non-Member]]="X"," ",IF(AH11=" "," ",IFERROR(VLOOKUP(AG11,Points!$A$2:$B$14,2,FALSE)," ")))</f>
        <v xml:space="preserve"> </v>
      </c>
      <c r="AJ11" s="93">
        <f>IF(Table622027323337383923[[#This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7"/>
        <v>9</v>
      </c>
      <c r="AL11" s="96">
        <f t="shared" si="18"/>
        <v>6</v>
      </c>
    </row>
    <row r="12" spans="2:38" x14ac:dyDescent="0.3">
      <c r="B12" s="90" t="s">
        <v>257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IF(Table622027323337383923[[#This Row],[Non-Member]]="X"," ",IF(F12=" "," ",IFERROR(VLOOKUP(E12,Points!$A$2:$B$14,2,FALSE)," ")))</f>
        <v xml:space="preserve"> </v>
      </c>
      <c r="H12" s="92">
        <v>17.34</v>
      </c>
      <c r="I12" s="93">
        <f t="shared" si="2"/>
        <v>5</v>
      </c>
      <c r="J12" s="93">
        <f t="shared" si="3"/>
        <v>5</v>
      </c>
      <c r="K12" s="94">
        <f>IF(Table622027323337383923[[#This Row],[Non-Member]]="X"," ",IF(J12=" "," ",IFERROR(VLOOKUP(I12,Points!$A$2:$B$14,2,FALSE)," ")))</f>
        <v>6</v>
      </c>
      <c r="L12" s="92">
        <v>13.25</v>
      </c>
      <c r="M12" s="93">
        <f t="shared" si="4"/>
        <v>7</v>
      </c>
      <c r="N12" s="93" t="str">
        <f t="shared" si="5"/>
        <v xml:space="preserve"> </v>
      </c>
      <c r="O12" s="94" t="str">
        <f>IF(Table622027323337383923[[#This Row],[Non-Member]]="X"," ",IF(N12=" "," ",IFERROR(VLOOKUP(M12,Points!$A$2:$B$14,2,FALSE)," ")))</f>
        <v xml:space="preserve"> </v>
      </c>
      <c r="P12" s="92">
        <v>15.11</v>
      </c>
      <c r="Q12" s="93">
        <f t="shared" si="6"/>
        <v>8</v>
      </c>
      <c r="R12" s="93" t="str">
        <f t="shared" si="7"/>
        <v xml:space="preserve"> </v>
      </c>
      <c r="S12" s="94" t="str">
        <f>IF(Table622027323337383923[[#This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/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IF(Table622027323337383923[[#This Row],[Non-Member]]="X"," ",IF(AH12=" "," ",IFERROR(VLOOKUP(AG12,Points!$A$2:$B$14,2,FALSE)," ")))</f>
        <v xml:space="preserve"> </v>
      </c>
      <c r="AJ12" s="93">
        <f>IF(Table622027323337383923[[#This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6">
        <f t="shared" si="18"/>
        <v>8</v>
      </c>
    </row>
    <row r="13" spans="2:38" x14ac:dyDescent="0.3">
      <c r="B13" s="90" t="s">
        <v>256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IF(Table622027323337383923[[#This Row],[Non-Member]]="X"," ",IF(F13=" "," ",IFERROR(VLOOKUP(E13,Points!$A$2:$B$14,2,FALSE)," ")))</f>
        <v xml:space="preserve"> </v>
      </c>
      <c r="H13" s="92">
        <v>0</v>
      </c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IF(Table622027323337383923[[#This Row],[Non-Member]]="X"," ",IF(J13=" "," ",IFERROR(VLOOKUP(I13,Points!$A$2:$B$14,2,FALSE)," ")))</f>
        <v xml:space="preserve"> </v>
      </c>
      <c r="L13" s="92">
        <v>21.09</v>
      </c>
      <c r="M13" s="97">
        <f t="shared" si="4"/>
        <v>18</v>
      </c>
      <c r="N13" s="97" t="str">
        <f t="shared" si="5"/>
        <v xml:space="preserve"> </v>
      </c>
      <c r="O13" s="94" t="str">
        <f>IF(Table622027323337383923[[#This Row],[Non-Member]]="X"," ",IF(N13=" "," ",IFERROR(VLOOKUP(M13,Points!$A$2:$B$14,2,FALSE)," ")))</f>
        <v xml:space="preserve"> </v>
      </c>
      <c r="P13" s="92">
        <v>13.97</v>
      </c>
      <c r="Q13" s="97">
        <f t="shared" si="6"/>
        <v>6</v>
      </c>
      <c r="R13" s="97">
        <f t="shared" si="7"/>
        <v>6</v>
      </c>
      <c r="S13" s="94">
        <f>IF(Table622027323337383923[[#This Row],[Non-Member]]="X"," ",IF(R13=" "," ",IFERROR(VLOOKUP(Q13,Points!$A$2:$B$14,2,FALSE)," ")))</f>
        <v>3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IF(Table622027323337383923[[#This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/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IF(Table622027323337383923[[#This Row],[Non-Member]]="X"," ",IF(AH13=" "," ",IFERROR(VLOOKUP(AG13,Points!$A$2:$B$14,2,FALSE)," ")))</f>
        <v xml:space="preserve"> </v>
      </c>
      <c r="AJ13" s="97">
        <f>IF(Table622027323337383923[[#This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8">
        <f t="shared" si="18"/>
        <v>9</v>
      </c>
    </row>
    <row r="14" spans="2:38" x14ac:dyDescent="0.3">
      <c r="B14" s="90" t="s">
        <v>95</v>
      </c>
      <c r="C14" s="91" t="s">
        <v>325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IF(Table622027323337383923[[#This Row],[Non-Member]]="X"," ",IF(F14=" "," ",IFERROR(VLOOKUP(E14,Points!$A$2:$B$14,2,FALSE)," ")))</f>
        <v xml:space="preserve"> </v>
      </c>
      <c r="H14" s="92">
        <v>17.440000000000001</v>
      </c>
      <c r="I14" s="93">
        <f t="shared" si="2"/>
        <v>6</v>
      </c>
      <c r="J14" s="93">
        <f t="shared" si="3"/>
        <v>6</v>
      </c>
      <c r="K14" s="94" t="str">
        <f>IF(Table622027323337383923[[#This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/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IF(Table622027323337383923[[#This Row],[Non-Member]]="X"," ",IF(AH14=" "," ",IFERROR(VLOOKUP(AG14,Points!$A$2:$B$14,2,FALSE)," ")))</f>
        <v xml:space="preserve"> </v>
      </c>
      <c r="AJ14" s="93" t="str">
        <f>IF(Table622027323337383923[[#This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253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IF(Table622027323337383923[[#This Row],[Non-Member]]="X"," ",IF(F15=" "," ",IFERROR(VLOOKUP(E15,Points!$A$2:$B$14,2,FALSE)," ")))</f>
        <v xml:space="preserve"> </v>
      </c>
      <c r="H15" s="92">
        <v>25.58</v>
      </c>
      <c r="I15" s="97">
        <f t="shared" si="2"/>
        <v>19</v>
      </c>
      <c r="J15" s="97" t="str">
        <f t="shared" si="3"/>
        <v xml:space="preserve"> </v>
      </c>
      <c r="K15" s="94" t="str">
        <f>IF(Table622027323337383923[[#This Row],[Non-Member]]="X"," ",IF(J15=" "," ",IFERROR(VLOOKUP(I15,Points!$A$2:$B$14,2,FALSE)," ")))</f>
        <v xml:space="preserve"> </v>
      </c>
      <c r="L15" s="92">
        <v>13.76</v>
      </c>
      <c r="M15" s="97">
        <f t="shared" si="4"/>
        <v>8</v>
      </c>
      <c r="N15" s="97" t="str">
        <f t="shared" si="5"/>
        <v xml:space="preserve"> </v>
      </c>
      <c r="O15" s="94" t="str">
        <f>IF(Table622027323337383923[[#This Row],[Non-Member]]="X"," ",IF(N15=" "," ",IFERROR(VLOOKUP(M15,Points!$A$2:$B$14,2,FALSE)," ")))</f>
        <v xml:space="preserve"> </v>
      </c>
      <c r="P15" s="92">
        <v>15.92</v>
      </c>
      <c r="Q15" s="97">
        <f t="shared" si="6"/>
        <v>10</v>
      </c>
      <c r="R15" s="97" t="str">
        <f t="shared" si="7"/>
        <v xml:space="preserve"> </v>
      </c>
      <c r="S15" s="94" t="str">
        <f>IF(Table622027323337383923[[#This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/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8" t="str">
        <f t="shared" si="15"/>
        <v xml:space="preserve"> </v>
      </c>
      <c r="AH15" s="97" t="str">
        <f t="shared" si="16"/>
        <v xml:space="preserve"> </v>
      </c>
      <c r="AI15" s="94" t="str">
        <f>IF(Table622027323337383923[[#This Row],[Non-Member]]="X"," ",IF(AH15=" "," ",IFERROR(VLOOKUP(AG15,Points!$A$2:$B$14,2,FALSE)," ")))</f>
        <v xml:space="preserve"> </v>
      </c>
      <c r="AJ15" s="97">
        <f>IF(Table622027323337383923[[#This Row],[Non-Member]]="X"," ",((IF(G15=" ",0,G15))+(IF(K15=" ",0,K15))+(IF(O15=" ",0,O15))+(IF(S15=" ",0,S15))+(IF(W15=" ",0,W15))+(IF(AA15=" ",0,AA15))+(IF(AE15=" ",0,AE15))+(IF(AI15=" ",0,AI15))))</f>
        <v>0</v>
      </c>
      <c r="AK15" s="151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 t="s">
        <v>251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IF(Table622027323337383923[[#This Row],[Non-Member]]="X"," ",IF(F16=" "," ",IFERROR(VLOOKUP(E16,Points!$A$2:$B$14,2,FALSE)," ")))</f>
        <v xml:space="preserve"> </v>
      </c>
      <c r="H16" s="92">
        <v>23.01</v>
      </c>
      <c r="I16" s="93">
        <f t="shared" si="2"/>
        <v>17</v>
      </c>
      <c r="J16" s="93" t="str">
        <f t="shared" si="3"/>
        <v xml:space="preserve"> </v>
      </c>
      <c r="K16" s="94" t="str">
        <f>IF(Table622027323337383923[[#This Row],[Non-Member]]="X"," ",IF(J16=" "," ",IFERROR(VLOOKUP(I16,Points!$A$2:$B$14,2,FALSE)," ")))</f>
        <v xml:space="preserve"> </v>
      </c>
      <c r="L16" s="92">
        <v>15.56</v>
      </c>
      <c r="M16" s="93">
        <f t="shared" si="4"/>
        <v>12.5</v>
      </c>
      <c r="N16" s="93" t="str">
        <f t="shared" si="5"/>
        <v xml:space="preserve"> </v>
      </c>
      <c r="O16" s="94" t="str">
        <f>IF(Table622027323337383923[[#This Row],[Non-Member]]="X"," ",IF(N16=" "," ",IFERROR(VLOOKUP(M16,Points!$A$2:$B$14,2,FALSE)," ")))</f>
        <v xml:space="preserve"> </v>
      </c>
      <c r="P16" s="92">
        <v>22.2</v>
      </c>
      <c r="Q16" s="93">
        <f t="shared" si="6"/>
        <v>19</v>
      </c>
      <c r="R16" s="93" t="str">
        <f t="shared" si="7"/>
        <v xml:space="preserve"> </v>
      </c>
      <c r="S16" s="94" t="str">
        <f>IF(Table622027323337383923[[#This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/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IF(Table622027323337383923[[#This Row],[Non-Member]]="X"," ",IF(AH16=" "," ",IFERROR(VLOOKUP(AG16,Points!$A$2:$B$14,2,FALSE)," ")))</f>
        <v xml:space="preserve"> </v>
      </c>
      <c r="AJ16" s="93">
        <f>IF(Table622027323337383923[[#This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259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IF(Table622027323337383923[[#This Row],[Non-Member]]="X"," ",IF(F17=" "," ",IFERROR(VLOOKUP(E17,Points!$A$2:$B$14,2,FALSE)," ")))</f>
        <v xml:space="preserve"> </v>
      </c>
      <c r="H17" s="92">
        <v>19.170000000000002</v>
      </c>
      <c r="I17" s="97">
        <f t="shared" si="2"/>
        <v>9</v>
      </c>
      <c r="J17" s="97" t="str">
        <f t="shared" si="3"/>
        <v xml:space="preserve"> </v>
      </c>
      <c r="K17" s="94" t="str">
        <f>IF(Table622027323337383923[[#This Row],[Non-Member]]="X"," ",IF(J17=" "," ",IFERROR(VLOOKUP(I17,Points!$A$2:$B$14,2,FALSE)," ")))</f>
        <v xml:space="preserve"> </v>
      </c>
      <c r="L17" s="92">
        <v>21.43</v>
      </c>
      <c r="M17" s="97">
        <f t="shared" si="4"/>
        <v>19</v>
      </c>
      <c r="N17" s="97" t="str">
        <f t="shared" si="5"/>
        <v xml:space="preserve"> </v>
      </c>
      <c r="O17" s="94" t="str">
        <f>IF(Table622027323337383923[[#This Row],[Non-Member]]="X"," ",IF(N17=" "," ",IFERROR(VLOOKUP(M17,Points!$A$2:$B$14,2,FALSE)," ")))</f>
        <v xml:space="preserve"> </v>
      </c>
      <c r="P17" s="92">
        <v>15.64</v>
      </c>
      <c r="Q17" s="97">
        <f t="shared" si="6"/>
        <v>9</v>
      </c>
      <c r="R17" s="97" t="str">
        <f t="shared" si="7"/>
        <v xml:space="preserve"> </v>
      </c>
      <c r="S17" s="94" t="str">
        <f>IF(Table622027323337383923[[#This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IF(Table622027323337383923[[#This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/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IF(Table622027323337383923[[#This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IF(Table622027323337383923[[#This Row],[Non-Member]]="X"," ",IF(AH17=" "," ",IFERROR(VLOOKUP(AG17,Points!$A$2:$B$14,2,FALSE)," ")))</f>
        <v xml:space="preserve"> </v>
      </c>
      <c r="AJ17" s="97">
        <f>IF(Table622027323337383923[[#This Row],[Non-Member]]="X"," ",((IF(G17=" ",0,G17))+(IF(K17=" ",0,K17))+(IF(O17=" ",0,O17))+(IF(S17=" ",0,S17))+(IF(W17=" ",0,W17))+(IF(AA17=" ",0,AA17))+(IF(AE17=" ",0,AE17))+(IF(AI17=" ",0,AI17))))</f>
        <v>0</v>
      </c>
      <c r="AK17" s="151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85</v>
      </c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IF(Table622027323337383923[[#This Row],[Non-Member]]="X"," ",IF(F18=" "," ",IFERROR(VLOOKUP(E18,Points!$A$2:$B$14,2,FALSE)," ")))</f>
        <v xml:space="preserve"> </v>
      </c>
      <c r="H18" s="92">
        <v>20.98</v>
      </c>
      <c r="I18" s="97">
        <f t="shared" si="2"/>
        <v>13</v>
      </c>
      <c r="J18" s="97" t="str">
        <f t="shared" si="3"/>
        <v xml:space="preserve"> </v>
      </c>
      <c r="K18" s="94" t="str">
        <f>IF(Table622027323337383923[[#This Row],[Non-Member]]="X"," ",IF(J18=" "," ",IFERROR(VLOOKUP(I18,Points!$A$2:$B$14,2,FALSE)," ")))</f>
        <v xml:space="preserve"> </v>
      </c>
      <c r="L18" s="92">
        <v>14.56</v>
      </c>
      <c r="M18" s="97">
        <f t="shared" si="4"/>
        <v>9</v>
      </c>
      <c r="N18" s="97" t="str">
        <f t="shared" si="5"/>
        <v xml:space="preserve"> </v>
      </c>
      <c r="O18" s="94" t="str">
        <f>IF(Table622027323337383923[[#This Row],[Non-Member]]="X"," ",IF(N18=" "," ",IFERROR(VLOOKUP(M18,Points!$A$2:$B$14,2,FALSE)," ")))</f>
        <v xml:space="preserve"> </v>
      </c>
      <c r="P18" s="92">
        <v>18.62</v>
      </c>
      <c r="Q18" s="97">
        <f t="shared" si="6"/>
        <v>17</v>
      </c>
      <c r="R18" s="97" t="str">
        <f t="shared" si="7"/>
        <v xml:space="preserve"> </v>
      </c>
      <c r="S18" s="94" t="str">
        <f>IF(Table622027323337383923[[#This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IF(Table622027323337383923[[#This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/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IF(Table622027323337383923[[#This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IF(Table622027323337383923[[#This Row],[Non-Member]]="X"," ",IF(AH18=" "," ",IFERROR(VLOOKUP(AG18,Points!$A$2:$B$14,2,FALSE)," ")))</f>
        <v xml:space="preserve"> </v>
      </c>
      <c r="AJ18" s="97">
        <f>IF(Table622027323337383923[[#This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258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IF(Table622027323337383923[[#This Row],[Non-Member]]="X"," ",IF(F19=" "," ",IFERROR(VLOOKUP(E19,Points!$A$2:$B$14,2,FALSE)," ")))</f>
        <v xml:space="preserve"> </v>
      </c>
      <c r="H19" s="92">
        <v>17.760000000000002</v>
      </c>
      <c r="I19" s="93">
        <f t="shared" si="2"/>
        <v>7</v>
      </c>
      <c r="J19" s="93" t="str">
        <f t="shared" si="3"/>
        <v xml:space="preserve"> </v>
      </c>
      <c r="K19" s="94" t="str">
        <f>IF(Table622027323337383923[[#This Row],[Non-Member]]="X"," ",IF(J19=" "," ",IFERROR(VLOOKUP(I19,Points!$A$2:$B$14,2,FALSE)," ")))</f>
        <v xml:space="preserve"> </v>
      </c>
      <c r="L19" s="92">
        <v>15.56</v>
      </c>
      <c r="M19" s="93">
        <f t="shared" si="4"/>
        <v>12.5</v>
      </c>
      <c r="N19" s="93" t="str">
        <f t="shared" si="5"/>
        <v xml:space="preserve"> </v>
      </c>
      <c r="O19" s="94" t="str">
        <f>IF(Table622027323337383923[[#This Row],[Non-Member]]="X"," ",IF(N19=" "," ",IFERROR(VLOOKUP(M19,Points!$A$2:$B$14,2,FALSE)," ")))</f>
        <v xml:space="preserve"> </v>
      </c>
      <c r="P19" s="92">
        <v>14.9</v>
      </c>
      <c r="Q19" s="93">
        <f t="shared" si="6"/>
        <v>7</v>
      </c>
      <c r="R19" s="93" t="str">
        <f t="shared" si="7"/>
        <v xml:space="preserve"> </v>
      </c>
      <c r="S19" s="94" t="str">
        <f>IF(Table622027323337383923[[#This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/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IF(Table622027323337383923[[#This Row],[Non-Member]]="X"," ",IF(AH19=" "," ",IFERROR(VLOOKUP(AG19,Points!$A$2:$B$14,2,FALSE)," ")))</f>
        <v xml:space="preserve"> </v>
      </c>
      <c r="AJ19" s="93">
        <f>IF(Table622027323337383923[[#This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89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IF(Table622027323337383923[[#This Row],[Non-Member]]="X"," ",IF(F20=" "," ",IFERROR(VLOOKUP(E20,Points!$A$2:$B$14,2,FALSE)," ")))</f>
        <v xml:space="preserve"> </v>
      </c>
      <c r="H20" s="92">
        <v>22.63</v>
      </c>
      <c r="I20" s="97">
        <f t="shared" si="2"/>
        <v>16</v>
      </c>
      <c r="J20" s="97" t="str">
        <f t="shared" si="3"/>
        <v xml:space="preserve"> </v>
      </c>
      <c r="K20" s="94" t="str">
        <f>IF(Table622027323337383923[[#This Row],[Non-Member]]="X"," ",IF(J20=" "," ",IFERROR(VLOOKUP(I20,Points!$A$2:$B$14,2,FALSE)," ")))</f>
        <v xml:space="preserve"> </v>
      </c>
      <c r="L20" s="92">
        <v>19.62</v>
      </c>
      <c r="M20" s="97">
        <f t="shared" si="4"/>
        <v>17</v>
      </c>
      <c r="N20" s="97" t="str">
        <f t="shared" si="5"/>
        <v xml:space="preserve"> </v>
      </c>
      <c r="O20" s="94" t="str">
        <f>IF(Table622027323337383923[[#This Row],[Non-Member]]="X"," ",IF(N20=" "," ",IFERROR(VLOOKUP(M20,Points!$A$2:$B$14,2,FALSE)," ")))</f>
        <v xml:space="preserve"> </v>
      </c>
      <c r="P20" s="92">
        <v>19.59</v>
      </c>
      <c r="Q20" s="97">
        <f t="shared" si="6"/>
        <v>18</v>
      </c>
      <c r="R20" s="97" t="str">
        <f t="shared" si="7"/>
        <v xml:space="preserve"> </v>
      </c>
      <c r="S20" s="94" t="str">
        <f>IF(Table622027323337383923[[#This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IF(Table622027323337383923[[#This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/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IF(Table622027323337383923[[#This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IF(Table622027323337383923[[#This Row],[Non-Member]]="X"," ",IF(AH20=" "," ",IFERROR(VLOOKUP(AG20,Points!$A$2:$B$14,2,FALSE)," ")))</f>
        <v xml:space="preserve"> </v>
      </c>
      <c r="AJ20" s="97">
        <f>IF(Table622027323337383923[[#This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138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IF(Table622027323337383923[[#This Row],[Non-Member]]="X"," ",IF(J21=" "," ",IFERROR(VLOOKUP(I21,Points!$A$2:$B$14,2,FALSE)," ")))</f>
        <v xml:space="preserve"> </v>
      </c>
      <c r="L21" s="92">
        <v>16.100000000000001</v>
      </c>
      <c r="M21" s="93">
        <f t="shared" si="4"/>
        <v>14</v>
      </c>
      <c r="N21" s="93" t="str">
        <f t="shared" si="5"/>
        <v xml:space="preserve"> </v>
      </c>
      <c r="O21" s="94" t="str">
        <f>IF(Table622027323337383923[[#This Row],[Non-Member]]="X"," ",IF(N21=" "," ",IFERROR(VLOOKUP(M21,Points!$A$2:$B$14,2,FALSE)," ")))</f>
        <v xml:space="preserve"> </v>
      </c>
      <c r="P21" s="92">
        <v>18.079999999999998</v>
      </c>
      <c r="Q21" s="93">
        <f t="shared" si="6"/>
        <v>16</v>
      </c>
      <c r="R21" s="93" t="str">
        <f t="shared" si="7"/>
        <v xml:space="preserve"> </v>
      </c>
      <c r="S21" s="94" t="str">
        <f>IF(Table622027323337383923[[#This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/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IF(Table622027323337383923[[#This Row],[Non-Member]]="X"," ",IF(AH21=" "," ",IFERROR(VLOOKUP(AG21,Points!$A$2:$B$14,2,FALSE)," ")))</f>
        <v xml:space="preserve"> </v>
      </c>
      <c r="AJ21" s="93">
        <f>IF(Table622027323337383923[[#This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179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IF(Table622027323337383923[[#This Row],[Non-Member]]="X"," ",IF(F22=" "," ",IFERROR(VLOOKUP(E22,Points!$A$2:$B$14,2,FALSE)," ")))</f>
        <v xml:space="preserve"> </v>
      </c>
      <c r="H22" s="92">
        <v>21.34</v>
      </c>
      <c r="I22" s="93">
        <f t="shared" si="2"/>
        <v>14</v>
      </c>
      <c r="J22" s="93" t="str">
        <f t="shared" si="3"/>
        <v xml:space="preserve"> </v>
      </c>
      <c r="K22" s="94" t="str">
        <f>IF(Table622027323337383923[[#This Row],[Non-Member]]="X"," ",IF(J22=" "," ",IFERROR(VLOOKUP(I22,Points!$A$2:$B$14,2,FALSE)," ")))</f>
        <v xml:space="preserve"> </v>
      </c>
      <c r="L22" s="92">
        <v>14.76</v>
      </c>
      <c r="M22" s="93">
        <f t="shared" si="4"/>
        <v>10</v>
      </c>
      <c r="N22" s="93" t="str">
        <f t="shared" si="5"/>
        <v xml:space="preserve"> </v>
      </c>
      <c r="O22" s="94" t="str">
        <f>IF(Table622027323337383923[[#This Row],[Non-Member]]="X"," ",IF(N22=" "," ",IFERROR(VLOOKUP(M22,Points!$A$2:$B$14,2,FALSE)," ")))</f>
        <v xml:space="preserve"> </v>
      </c>
      <c r="P22" s="92">
        <v>17.25</v>
      </c>
      <c r="Q22" s="93">
        <f t="shared" si="6"/>
        <v>13</v>
      </c>
      <c r="R22" s="93" t="str">
        <f t="shared" si="7"/>
        <v xml:space="preserve"> </v>
      </c>
      <c r="S22" s="94" t="str">
        <f>IF(Table622027323337383923[[#This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/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IF(Table622027323337383923[[#This Row],[Non-Member]]="X"," ",IF(AH22=" "," ",IFERROR(VLOOKUP(AG22,Points!$A$2:$B$14,2,FALSE)," ")))</f>
        <v xml:space="preserve"> </v>
      </c>
      <c r="AJ22" s="93">
        <f>IF(Table622027323337383923[[#This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87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IF(Table622027323337383923[[#This Row],[Non-Member]]="X"," ",IF(F23=" "," ",IFERROR(VLOOKUP(E23,Points!$A$2:$B$14,2,FALSE)," ")))</f>
        <v xml:space="preserve"> </v>
      </c>
      <c r="H23" s="92">
        <v>19.649999999999999</v>
      </c>
      <c r="I23" s="97">
        <f t="shared" si="2"/>
        <v>11</v>
      </c>
      <c r="J23" s="97" t="str">
        <f t="shared" si="3"/>
        <v xml:space="preserve"> </v>
      </c>
      <c r="K23" s="94" t="str">
        <f>IF(Table622027323337383923[[#This Row],[Non-Member]]="X"," ",IF(J23=" "," ",IFERROR(VLOOKUP(I23,Points!$A$2:$B$14,2,FALSE)," ")))</f>
        <v xml:space="preserve"> </v>
      </c>
      <c r="L23" s="92">
        <v>0</v>
      </c>
      <c r="M23" s="97" t="str">
        <f t="shared" si="4"/>
        <v xml:space="preserve"> </v>
      </c>
      <c r="N23" s="97" t="str">
        <f t="shared" si="5"/>
        <v xml:space="preserve"> </v>
      </c>
      <c r="O23" s="94" t="str">
        <f>IF(Table622027323337383923[[#This Row],[Non-Member]]="X"," ",IF(N23=" "," ",IFERROR(VLOOKUP(M23,Points!$A$2:$B$14,2,FALSE)," ")))</f>
        <v xml:space="preserve"> </v>
      </c>
      <c r="P23" s="92">
        <v>0</v>
      </c>
      <c r="Q23" s="97" t="str">
        <f t="shared" si="6"/>
        <v xml:space="preserve"> </v>
      </c>
      <c r="R23" s="97" t="str">
        <f t="shared" si="7"/>
        <v xml:space="preserve"> </v>
      </c>
      <c r="S23" s="94" t="str">
        <f>IF(Table622027323337383923[[#This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IF(Table622027323337383923[[#This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/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IF(Table622027323337383923[[#This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IF(Table622027323337383923[[#This Row],[Non-Member]]="X"," ",IF(AH23=" "," ",IFERROR(VLOOKUP(AG23,Points!$A$2:$B$14,2,FALSE)," ")))</f>
        <v xml:space="preserve"> </v>
      </c>
      <c r="AJ23" s="97">
        <f>IF(Table622027323337383923[[#This Row],[Non-Member]]="X"," ",((IF(G23=" ",0,G23))+(IF(K23=" ",0,K23))+(IF(O23=" ",0,O23))+(IF(S23=" ",0,S23))+(IF(W23=" ",0,W23))+(IF(AA23=" ",0,AA23))+(IF(AE23=" ",0,AE23))+(IF(AI23=" ",0,AI23))))</f>
        <v>0</v>
      </c>
      <c r="AK23" s="151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174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IF(Table622027323337383923[[#This Row],[Non-Member]]="X"," ",IF(F24=" "," ",IFERROR(VLOOKUP(E24,Points!$A$2:$B$14,2,FALSE)," ")))</f>
        <v xml:space="preserve"> </v>
      </c>
      <c r="H24" s="92">
        <v>22.26</v>
      </c>
      <c r="I24" s="93">
        <f t="shared" si="2"/>
        <v>15</v>
      </c>
      <c r="J24" s="93" t="str">
        <f t="shared" si="3"/>
        <v xml:space="preserve"> </v>
      </c>
      <c r="K24" s="94" t="str">
        <f>IF(Table622027323337383923[[#This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IF(Table622027323337383923[[#This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IF(Table622027323337383923[[#This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IF(Table622027323337383923[[#This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/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IF(Table622027323337383923[[#This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IF(Table622027323337383923[[#This Row],[Non-Member]]="X"," ",IF(AH24=" "," ",IFERROR(VLOOKUP(AG24,Points!$A$2:$B$14,2,FALSE)," ")))</f>
        <v xml:space="preserve"> </v>
      </c>
      <c r="AJ24" s="93">
        <f>IF(Table622027323337383923[[#This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181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IF(Table622027323337383923[[#This Row],[Non-Member]]="X"," ",IF(F25=" "," ",IFERROR(VLOOKUP(E25,Points!$A$2:$B$14,2,FALSE)," ")))</f>
        <v xml:space="preserve"> </v>
      </c>
      <c r="H25" s="92">
        <v>18.95</v>
      </c>
      <c r="I25" s="93">
        <f t="shared" si="2"/>
        <v>8</v>
      </c>
      <c r="J25" s="93" t="str">
        <f t="shared" si="3"/>
        <v xml:space="preserve"> </v>
      </c>
      <c r="K25" s="94" t="str">
        <f>IF(Table622027323337383923[[#This Row],[Non-Member]]="X"," ",IF(J25=" "," ",IFERROR(VLOOKUP(I25,Points!$A$2:$B$14,2,FALSE)," ")))</f>
        <v xml:space="preserve"> </v>
      </c>
      <c r="L25" s="92">
        <v>17.559999999999999</v>
      </c>
      <c r="M25" s="93">
        <f t="shared" si="4"/>
        <v>15</v>
      </c>
      <c r="N25" s="93" t="str">
        <f t="shared" si="5"/>
        <v xml:space="preserve"> </v>
      </c>
      <c r="O25" s="94" t="str">
        <f>IF(Table622027323337383923[[#This Row],[Non-Member]]="X"," ",IF(N25=" "," ",IFERROR(VLOOKUP(M25,Points!$A$2:$B$14,2,FALSE)," ")))</f>
        <v xml:space="preserve"> </v>
      </c>
      <c r="P25" s="92">
        <v>16.329999999999998</v>
      </c>
      <c r="Q25" s="93">
        <f t="shared" si="6"/>
        <v>11</v>
      </c>
      <c r="R25" s="93" t="str">
        <f t="shared" si="7"/>
        <v xml:space="preserve"> </v>
      </c>
      <c r="S25" s="94" t="str">
        <f>IF(Table622027323337383923[[#This Row],[Non-Member]]="X"," ",IF(R25=" "," ",IFERROR(VLOOKUP(Q25,Points!$A$2:$B$14,2,FALSE)," ")))</f>
        <v xml:space="preserve"> </v>
      </c>
      <c r="T25" s="92"/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IF(Table622027323337383923[[#This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/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IF(Table622027323337383923[[#This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IF(Table622027323337383923[[#This Row],[Non-Member]]="X"," ",IF(AH25=" "," ",IFERROR(VLOOKUP(AG25,Points!$A$2:$B$14,2,FALSE)," ")))</f>
        <v xml:space="preserve"> </v>
      </c>
      <c r="AJ25" s="93">
        <f>IF(Table622027323337383923[[#This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180</v>
      </c>
      <c r="C26" s="91"/>
      <c r="D26" s="92"/>
      <c r="E26" s="97" t="str">
        <f t="shared" si="0"/>
        <v xml:space="preserve"> </v>
      </c>
      <c r="F26" s="97" t="str">
        <f t="shared" si="1"/>
        <v xml:space="preserve"> </v>
      </c>
      <c r="G26" s="94" t="str">
        <f>IF(Table622027323337383923[[#This Row],[Non-Member]]="X"," ",IF(F26=" "," ",IFERROR(VLOOKUP(E26,Points!$A$2:$B$14,2,FALSE)," ")))</f>
        <v xml:space="preserve"> </v>
      </c>
      <c r="H26" s="92"/>
      <c r="I26" s="97" t="str">
        <f t="shared" si="2"/>
        <v xml:space="preserve"> </v>
      </c>
      <c r="J26" s="97" t="str">
        <f t="shared" si="3"/>
        <v xml:space="preserve"> </v>
      </c>
      <c r="K26" s="94" t="str">
        <f>IF(Table622027323337383923[[#This Row],[Non-Member]]="X"," ",IF(J26=" "," ",IFERROR(VLOOKUP(I26,Points!$A$2:$B$14,2,FALSE)," ")))</f>
        <v xml:space="preserve"> </v>
      </c>
      <c r="L26" s="92">
        <v>21.97</v>
      </c>
      <c r="M26" s="97">
        <f t="shared" si="4"/>
        <v>20</v>
      </c>
      <c r="N26" s="97" t="str">
        <f t="shared" si="5"/>
        <v xml:space="preserve"> </v>
      </c>
      <c r="O26" s="94" t="str">
        <f>IF(Table622027323337383923[[#This Row],[Non-Member]]="X"," ",IF(N26=" "," ",IFERROR(VLOOKUP(M26,Points!$A$2:$B$14,2,FALSE)," ")))</f>
        <v xml:space="preserve"> </v>
      </c>
      <c r="P26" s="92">
        <v>17.97</v>
      </c>
      <c r="Q26" s="97">
        <f t="shared" si="6"/>
        <v>15</v>
      </c>
      <c r="R26" s="97" t="str">
        <f t="shared" si="7"/>
        <v xml:space="preserve"> </v>
      </c>
      <c r="S26" s="94" t="str">
        <f>IF(Table622027323337383923[[#This Row],[Non-Member]]="X"," ",IF(R26=" "," ",IFERROR(VLOOKUP(Q26,Points!$A$2:$B$14,2,FALSE)," ")))</f>
        <v xml:space="preserve"> </v>
      </c>
      <c r="T26" s="92"/>
      <c r="U26" s="97" t="str">
        <f t="shared" si="8"/>
        <v xml:space="preserve"> </v>
      </c>
      <c r="V26" s="97" t="str">
        <f t="shared" si="9"/>
        <v xml:space="preserve"> </v>
      </c>
      <c r="W26" s="94" t="str">
        <f>IF(Table622027323337383923[[#This Row],[Non-Member]]="X"," ",IF(V26=" "," ",IFERROR(VLOOKUP(U26,Points!$A$2:$B$14,2,FALSE)," ")))</f>
        <v xml:space="preserve"> </v>
      </c>
      <c r="X26" s="92"/>
      <c r="Y26" s="97" t="str">
        <f t="shared" si="10"/>
        <v xml:space="preserve"> </v>
      </c>
      <c r="Z26" s="97" t="str">
        <f t="shared" si="11"/>
        <v xml:space="preserve"> </v>
      </c>
      <c r="AA26" s="94"/>
      <c r="AB26" s="92"/>
      <c r="AC26" s="97" t="str">
        <f t="shared" si="12"/>
        <v xml:space="preserve"> </v>
      </c>
      <c r="AD26" s="97" t="str">
        <f t="shared" si="13"/>
        <v xml:space="preserve"> </v>
      </c>
      <c r="AE26" s="94" t="str">
        <f>IF(Table622027323337383923[[#This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8" t="str">
        <f t="shared" si="15"/>
        <v xml:space="preserve"> </v>
      </c>
      <c r="AH26" s="97" t="str">
        <f t="shared" si="16"/>
        <v xml:space="preserve"> </v>
      </c>
      <c r="AI26" s="94" t="str">
        <f>IF(Table622027323337383923[[#This Row],[Non-Member]]="X"," ",IF(AH26=" "," ",IFERROR(VLOOKUP(AG26,Points!$A$2:$B$14,2,FALSE)," ")))</f>
        <v xml:space="preserve"> </v>
      </c>
      <c r="AJ26" s="97">
        <f>IF(Table622027323337383923[[#This Row],[Non-Member]]="X"," ",((IF(G26=" ",0,G26))+(IF(K26=" ",0,K26))+(IF(O26=" ",0,O26))+(IF(S26=" ",0,S26))+(IF(W26=" ",0,W26))+(IF(AA26=" ",0,AA26))+(IF(AE26=" ",0,AE26))+(IF(AI26=" ",0,AI26))))</f>
        <v>0</v>
      </c>
      <c r="AK26" s="151" t="str">
        <f t="shared" si="17"/>
        <v xml:space="preserve"> </v>
      </c>
      <c r="AL26" s="98" t="str">
        <f t="shared" si="18"/>
        <v xml:space="preserve"> </v>
      </c>
    </row>
    <row r="27" spans="2:38" x14ac:dyDescent="0.3">
      <c r="B27" s="90" t="s">
        <v>250</v>
      </c>
      <c r="C27" s="91"/>
      <c r="D27" s="92"/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IF(Table622027323337383923[[#This Row],[Non-Member]]="X"," ",IF(F27=" "," ",IFERROR(VLOOKUP(E27,Points!$A$2:$B$14,2,FALSE)," ")))</f>
        <v xml:space="preserve"> </v>
      </c>
      <c r="H27" s="92">
        <v>0</v>
      </c>
      <c r="I27" s="93" t="str">
        <f t="shared" si="2"/>
        <v xml:space="preserve"> </v>
      </c>
      <c r="J27" s="93" t="str">
        <f t="shared" si="3"/>
        <v xml:space="preserve"> </v>
      </c>
      <c r="K27" s="94" t="str">
        <f>IF(Table622027323337383923[[#This Row],[Non-Member]]="X"," ",IF(J27=" "," ",IFERROR(VLOOKUP(I27,Points!$A$2:$B$14,2,FALSE)," ")))</f>
        <v xml:space="preserve"> </v>
      </c>
      <c r="L27" s="92">
        <v>0</v>
      </c>
      <c r="M27" s="93" t="str">
        <f t="shared" si="4"/>
        <v xml:space="preserve"> </v>
      </c>
      <c r="N27" s="93" t="str">
        <f t="shared" si="5"/>
        <v xml:space="preserve"> </v>
      </c>
      <c r="O27" s="94" t="str">
        <f>IF(Table622027323337383923[[#This Row],[Non-Member]]="X"," ",IF(N27=" "," ",IFERROR(VLOOKUP(M27,Points!$A$2:$B$14,2,FALSE)," ")))</f>
        <v xml:space="preserve"> </v>
      </c>
      <c r="P27" s="92">
        <v>22.84</v>
      </c>
      <c r="Q27" s="93">
        <f t="shared" si="6"/>
        <v>20</v>
      </c>
      <c r="R27" s="93" t="str">
        <f t="shared" si="7"/>
        <v xml:space="preserve"> </v>
      </c>
      <c r="S27" s="94" t="str">
        <f>IF(Table622027323337383923[[#This Row],[Non-Member]]="X"," ",IF(R27=" "," ",IFERROR(VLOOKUP(Q27,Points!$A$2:$B$14,2,FALSE)," ")))</f>
        <v xml:space="preserve"> </v>
      </c>
      <c r="T27" s="92"/>
      <c r="U27" s="93" t="str">
        <f t="shared" si="8"/>
        <v xml:space="preserve"> </v>
      </c>
      <c r="V27" s="93" t="str">
        <f t="shared" si="9"/>
        <v xml:space="preserve"> </v>
      </c>
      <c r="W27" s="94" t="str">
        <f>IF(Table622027323337383923[[#This Row],[Non-Member]]="X"," ",IF(V27=" "," ",IFERROR(VLOOKUP(U27,Points!$A$2:$B$14,2,FALSE)," ")))</f>
        <v xml:space="preserve"> </v>
      </c>
      <c r="X27" s="92"/>
      <c r="Y27" s="93" t="str">
        <f t="shared" si="10"/>
        <v xml:space="preserve"> </v>
      </c>
      <c r="Z27" s="93" t="str">
        <f t="shared" si="11"/>
        <v xml:space="preserve"> </v>
      </c>
      <c r="AA27" s="94"/>
      <c r="AB27" s="92"/>
      <c r="AC27" s="93" t="str">
        <f t="shared" si="12"/>
        <v xml:space="preserve"> </v>
      </c>
      <c r="AD27" s="93" t="str">
        <f t="shared" si="13"/>
        <v xml:space="preserve"> </v>
      </c>
      <c r="AE27" s="94" t="str">
        <f>IF(Table622027323337383923[[#This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IF(Table622027323337383923[[#This Row],[Non-Member]]="X"," ",IF(AH27=" "," ",IFERROR(VLOOKUP(AG27,Points!$A$2:$B$14,2,FALSE)," ")))</f>
        <v xml:space="preserve"> </v>
      </c>
      <c r="AJ27" s="93">
        <f>IF(Table622027323337383923[[#This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90" t="s">
        <v>254</v>
      </c>
      <c r="C28" s="91"/>
      <c r="D28" s="92"/>
      <c r="E28" s="97" t="str">
        <f t="shared" si="0"/>
        <v xml:space="preserve"> </v>
      </c>
      <c r="F28" s="97" t="str">
        <f t="shared" si="1"/>
        <v xml:space="preserve"> </v>
      </c>
      <c r="G28" s="94" t="str">
        <f>IF(Table622027323337383923[[#This Row],[Non-Member]]="X"," ",IF(F28=" "," ",IFERROR(VLOOKUP(E28,Points!$A$2:$B$14,2,FALSE)," ")))</f>
        <v xml:space="preserve"> </v>
      </c>
      <c r="H28" s="92">
        <v>27.06</v>
      </c>
      <c r="I28" s="97">
        <f t="shared" si="2"/>
        <v>20</v>
      </c>
      <c r="J28" s="97" t="str">
        <f t="shared" si="3"/>
        <v xml:space="preserve"> </v>
      </c>
      <c r="K28" s="94" t="str">
        <f>IF(Table622027323337383923[[#This Row],[Non-Member]]="X"," ",IF(J28=" "," ",IFERROR(VLOOKUP(I28,Points!$A$2:$B$14,2,FALSE)," ")))</f>
        <v xml:space="preserve"> </v>
      </c>
      <c r="L28" s="92">
        <v>25.24</v>
      </c>
      <c r="M28" s="97">
        <f t="shared" si="4"/>
        <v>21</v>
      </c>
      <c r="N28" s="97" t="str">
        <f t="shared" si="5"/>
        <v xml:space="preserve"> </v>
      </c>
      <c r="O28" s="94" t="str">
        <f>IF(Table622027323337383923[[#This Row],[Non-Member]]="X"," ",IF(N28=" "," ",IFERROR(VLOOKUP(M28,Points!$A$2:$B$14,2,FALSE)," ")))</f>
        <v xml:space="preserve"> </v>
      </c>
      <c r="P28" s="137">
        <v>0</v>
      </c>
      <c r="Q28" s="97" t="str">
        <f t="shared" si="6"/>
        <v xml:space="preserve"> </v>
      </c>
      <c r="R28" s="97" t="str">
        <f t="shared" si="7"/>
        <v xml:space="preserve"> </v>
      </c>
      <c r="S28" s="94" t="str">
        <f>IF(Table622027323337383923[[#This Row],[Non-Member]]="X"," ",IF(R28=" "," ",IFERROR(VLOOKUP(Q28,Points!$A$2:$B$14,2,FALSE)," ")))</f>
        <v xml:space="preserve"> </v>
      </c>
      <c r="T28" s="92"/>
      <c r="U28" s="97" t="str">
        <f t="shared" si="8"/>
        <v xml:space="preserve"> </v>
      </c>
      <c r="V28" s="97" t="str">
        <f t="shared" si="9"/>
        <v xml:space="preserve"> </v>
      </c>
      <c r="W28" s="94" t="str">
        <f>IF(Table622027323337383923[[#This Row],[Non-Member]]="X"," ",IF(V28=" "," ",IFERROR(VLOOKUP(U28,Points!$A$2:$B$14,2,FALSE)," ")))</f>
        <v xml:space="preserve"> </v>
      </c>
      <c r="X28" s="92"/>
      <c r="Y28" s="97" t="str">
        <f t="shared" si="10"/>
        <v xml:space="preserve"> </v>
      </c>
      <c r="Z28" s="97" t="str">
        <f t="shared" si="11"/>
        <v xml:space="preserve"> </v>
      </c>
      <c r="AA28" s="94"/>
      <c r="AB28" s="92"/>
      <c r="AC28" s="97" t="str">
        <f t="shared" si="12"/>
        <v xml:space="preserve"> </v>
      </c>
      <c r="AD28" s="97" t="str">
        <f t="shared" si="13"/>
        <v xml:space="preserve"> </v>
      </c>
      <c r="AE28" s="94" t="str">
        <f>IF(Table622027323337383923[[#This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8" t="str">
        <f t="shared" si="15"/>
        <v xml:space="preserve"> </v>
      </c>
      <c r="AH28" s="97" t="str">
        <f t="shared" si="16"/>
        <v xml:space="preserve"> </v>
      </c>
      <c r="AI28" s="94" t="str">
        <f>IF(Table622027323337383923[[#This Row],[Non-Member]]="X"," ",IF(AH28=" "," ",IFERROR(VLOOKUP(AG28,Points!$A$2:$B$14,2,FALSE)," ")))</f>
        <v xml:space="preserve"> </v>
      </c>
      <c r="AJ28" s="97">
        <f>IF(Table622027323337383923[[#This Row],[Non-Member]]="X"," ",((IF(G28=" ",0,G28))+(IF(K28=" ",0,K28))+(IF(O28=" ",0,O28))+(IF(S28=" ",0,S28))+(IF(W28=" ",0,W28))+(IF(AA28=" ",0,AA28))+(IF(AE28=" ",0,AE28))+(IF(AI28=" ",0,AI28))))</f>
        <v>0</v>
      </c>
      <c r="AK28" s="151" t="str">
        <f t="shared" si="17"/>
        <v xml:space="preserve"> </v>
      </c>
      <c r="AL28" s="98" t="str">
        <f t="shared" si="18"/>
        <v xml:space="preserve"> </v>
      </c>
    </row>
    <row r="29" spans="2:38" x14ac:dyDescent="0.3">
      <c r="B29" s="90" t="s">
        <v>192</v>
      </c>
      <c r="C29" s="91"/>
      <c r="D29" s="92"/>
      <c r="E29" s="93" t="str">
        <f t="shared" si="0"/>
        <v xml:space="preserve"> </v>
      </c>
      <c r="F29" s="93" t="str">
        <f t="shared" si="1"/>
        <v xml:space="preserve"> </v>
      </c>
      <c r="G29" s="94" t="str">
        <f>IF(Table622027323337383923[[#This Row],[Non-Member]]="X"," ",IF(F29=" "," ",IFERROR(VLOOKUP(E29,Points!$A$2:$B$14,2,FALSE)," ")))</f>
        <v xml:space="preserve"> </v>
      </c>
      <c r="H29" s="92">
        <v>0</v>
      </c>
      <c r="I29" s="93" t="str">
        <f t="shared" si="2"/>
        <v xml:space="preserve"> </v>
      </c>
      <c r="J29" s="93" t="str">
        <f t="shared" si="3"/>
        <v xml:space="preserve"> </v>
      </c>
      <c r="K29" s="94" t="str">
        <f>IF(Table622027323337383923[[#This Row],[Non-Member]]="X"," ",IF(J29=" "," ",IFERROR(VLOOKUP(I29,Points!$A$2:$B$14,2,FALSE)," ")))</f>
        <v xml:space="preserve"> </v>
      </c>
      <c r="L29" s="92">
        <v>18.07</v>
      </c>
      <c r="M29" s="93">
        <f t="shared" si="4"/>
        <v>16</v>
      </c>
      <c r="N29" s="93" t="str">
        <f t="shared" si="5"/>
        <v xml:space="preserve"> </v>
      </c>
      <c r="O29" s="94" t="str">
        <f>IF(Table622027323337383923[[#This Row],[Non-Member]]="X"," ",IF(N29=" "," ",IFERROR(VLOOKUP(M29,Points!$A$2:$B$14,2,FALSE)," ")))</f>
        <v xml:space="preserve"> </v>
      </c>
      <c r="P29" s="92">
        <v>16.57</v>
      </c>
      <c r="Q29" s="93">
        <f t="shared" si="6"/>
        <v>12</v>
      </c>
      <c r="R29" s="93" t="str">
        <f t="shared" si="7"/>
        <v xml:space="preserve"> </v>
      </c>
      <c r="S29" s="94" t="str">
        <f>IF(Table622027323337383923[[#This Row],[Non-Member]]="X"," ",IF(R29=" "," ",IFERROR(VLOOKUP(Q29,Points!$A$2:$B$14,2,FALSE)," ")))</f>
        <v xml:space="preserve"> </v>
      </c>
      <c r="T29" s="92"/>
      <c r="U29" s="93" t="str">
        <f t="shared" si="8"/>
        <v xml:space="preserve"> </v>
      </c>
      <c r="V29" s="93" t="str">
        <f t="shared" si="9"/>
        <v xml:space="preserve"> </v>
      </c>
      <c r="W29" s="94" t="str">
        <f>IF(Table622027323337383923[[#This Row],[Non-Member]]="X"," ",IF(V29=" "," ",IFERROR(VLOOKUP(U29,Points!$A$2:$B$14,2,FALSE)," ")))</f>
        <v xml:space="preserve"> </v>
      </c>
      <c r="X29" s="92"/>
      <c r="Y29" s="93" t="str">
        <f t="shared" si="10"/>
        <v xml:space="preserve"> </v>
      </c>
      <c r="Z29" s="93" t="str">
        <f t="shared" si="11"/>
        <v xml:space="preserve"> </v>
      </c>
      <c r="AA29" s="94"/>
      <c r="AB29" s="92"/>
      <c r="AC29" s="93" t="str">
        <f t="shared" si="12"/>
        <v xml:space="preserve"> </v>
      </c>
      <c r="AD29" s="93" t="str">
        <f t="shared" si="13"/>
        <v xml:space="preserve"> </v>
      </c>
      <c r="AE29" s="94" t="str">
        <f>IF(Table622027323337383923[[#This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3" t="str">
        <f t="shared" si="15"/>
        <v xml:space="preserve"> </v>
      </c>
      <c r="AH29" s="93" t="str">
        <f t="shared" si="16"/>
        <v xml:space="preserve"> </v>
      </c>
      <c r="AI29" s="94" t="str">
        <f>IF(Table622027323337383923[[#This Row],[Non-Member]]="X"," ",IF(AH29=" "," ",IFERROR(VLOOKUP(AG29,Points!$A$2:$B$14,2,FALSE)," ")))</f>
        <v xml:space="preserve"> </v>
      </c>
      <c r="AJ29" s="93">
        <f>IF(Table622027323337383923[[#This Row],[Non-Member]]="X"," ",((IF(G29=" ",0,G29))+(IF(K29=" ",0,K29))+(IF(O29=" ",0,O29))+(IF(S29=" ",0,S29))+(IF(W29=" ",0,W29))+(IF(AA29=" ",0,AA29))+(IF(AE29=" ",0,AE29))+(IF(AI29=" ",0,AI29))))</f>
        <v>0</v>
      </c>
      <c r="AK29" s="95" t="str">
        <f t="shared" si="17"/>
        <v xml:space="preserve"> </v>
      </c>
      <c r="AL29" s="96" t="str">
        <f t="shared" si="18"/>
        <v xml:space="preserve"> </v>
      </c>
    </row>
    <row r="30" spans="2:38" x14ac:dyDescent="0.3">
      <c r="B30" s="90" t="s">
        <v>83</v>
      </c>
      <c r="C30" s="91"/>
      <c r="D30" s="92"/>
      <c r="E30" s="93" t="str">
        <f t="shared" si="0"/>
        <v xml:space="preserve"> </v>
      </c>
      <c r="F30" s="93" t="str">
        <f t="shared" si="1"/>
        <v xml:space="preserve"> </v>
      </c>
      <c r="G30" s="94" t="str">
        <f>IF(Table622027323337383923[[#This Row],[Non-Member]]="X"," ",IF(F30=" "," ",IFERROR(VLOOKUP(E30,Points!$A$2:$B$14,2,FALSE)," ")))</f>
        <v xml:space="preserve"> </v>
      </c>
      <c r="H30" s="92">
        <v>23.36</v>
      </c>
      <c r="I30" s="93">
        <f t="shared" si="2"/>
        <v>18</v>
      </c>
      <c r="J30" s="93" t="str">
        <f t="shared" si="3"/>
        <v xml:space="preserve"> </v>
      </c>
      <c r="K30" s="94" t="str">
        <f>IF(Table622027323337383923[[#This Row],[Non-Member]]="X"," ",IF(J30=" "," ",IFERROR(VLOOKUP(I30,Points!$A$2:$B$14,2,FALSE)," ")))</f>
        <v xml:space="preserve"> </v>
      </c>
      <c r="L30" s="92"/>
      <c r="M30" s="93" t="str">
        <f t="shared" si="4"/>
        <v xml:space="preserve"> </v>
      </c>
      <c r="N30" s="93" t="str">
        <f t="shared" si="5"/>
        <v xml:space="preserve"> </v>
      </c>
      <c r="O30" s="94" t="str">
        <f>IF(Table622027323337383923[[#This Row],[Non-Member]]="X"," ",IF(N30=" "," ",IFERROR(VLOOKUP(M30,Points!$A$2:$B$14,2,FALSE)," ")))</f>
        <v xml:space="preserve"> </v>
      </c>
      <c r="P30" s="92">
        <v>17.899999999999999</v>
      </c>
      <c r="Q30" s="93">
        <f t="shared" si="6"/>
        <v>14</v>
      </c>
      <c r="R30" s="93" t="str">
        <f t="shared" si="7"/>
        <v xml:space="preserve"> </v>
      </c>
      <c r="S30" s="94" t="str">
        <f>IF(Table622027323337383923[[#This Row],[Non-Member]]="X"," ",IF(R30=" "," ",IFERROR(VLOOKUP(Q30,Points!$A$2:$B$14,2,FALSE)," ")))</f>
        <v xml:space="preserve"> </v>
      </c>
      <c r="T30" s="92"/>
      <c r="U30" s="93" t="str">
        <f t="shared" si="8"/>
        <v xml:space="preserve"> </v>
      </c>
      <c r="V30" s="93" t="str">
        <f t="shared" si="9"/>
        <v xml:space="preserve"> </v>
      </c>
      <c r="W30" s="94" t="str">
        <f>IF(Table622027323337383923[[#This Row],[Non-Member]]="X"," ",IF(V30=" "," ",IFERROR(VLOOKUP(U30,Points!$A$2:$B$14,2,FALSE)," ")))</f>
        <v xml:space="preserve"> </v>
      </c>
      <c r="X30" s="92"/>
      <c r="Y30" s="93" t="str">
        <f t="shared" si="10"/>
        <v xml:space="preserve"> </v>
      </c>
      <c r="Z30" s="93" t="str">
        <f t="shared" si="11"/>
        <v xml:space="preserve"> </v>
      </c>
      <c r="AA30" s="94"/>
      <c r="AB30" s="92"/>
      <c r="AC30" s="93" t="str">
        <f t="shared" si="12"/>
        <v xml:space="preserve"> </v>
      </c>
      <c r="AD30" s="93" t="str">
        <f t="shared" si="13"/>
        <v xml:space="preserve"> </v>
      </c>
      <c r="AE30" s="94" t="str">
        <f>IF(Table622027323337383923[[#This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3" t="str">
        <f t="shared" si="15"/>
        <v xml:space="preserve"> </v>
      </c>
      <c r="AH30" s="93" t="str">
        <f t="shared" si="16"/>
        <v xml:space="preserve"> </v>
      </c>
      <c r="AI30" s="94" t="str">
        <f>IF(Table622027323337383923[[#This Row],[Non-Member]]="X"," ",IF(AH30=" "," ",IFERROR(VLOOKUP(AG30,Points!$A$2:$B$14,2,FALSE)," ")))</f>
        <v xml:space="preserve"> </v>
      </c>
      <c r="AJ30" s="93">
        <f>IF(Table622027323337383923[[#This Row],[Non-Member]]="X"," ",((IF(G30=" ",0,G30))+(IF(K30=" ",0,K30))+(IF(O30=" ",0,O30))+(IF(S30=" ",0,S30))+(IF(W30=" ",0,W30))+(IF(AA30=" ",0,AA30))+(IF(AE30=" ",0,AE30))+(IF(AI30=" ",0,AI30))))</f>
        <v>0</v>
      </c>
      <c r="AK30" s="95" t="str">
        <f t="shared" si="17"/>
        <v xml:space="preserve"> </v>
      </c>
      <c r="AL30" s="96" t="str">
        <f t="shared" si="18"/>
        <v xml:space="preserve"> </v>
      </c>
    </row>
    <row r="31" spans="2:38" ht="14.5" thickBot="1" x14ac:dyDescent="0.35">
      <c r="B31" s="100" t="s">
        <v>255</v>
      </c>
      <c r="C31" s="101"/>
      <c r="D31" s="102"/>
      <c r="E31" s="153" t="str">
        <f t="shared" si="0"/>
        <v xml:space="preserve"> </v>
      </c>
      <c r="F31" s="153" t="str">
        <f t="shared" si="1"/>
        <v xml:space="preserve"> </v>
      </c>
      <c r="G31" s="104" t="str">
        <f>IF(Table622027323337383923[[#This Row],[Non-Member]]="X"," ",IF(F31=" "," ",IFERROR(VLOOKUP(E31,Points!$A$2:$B$14,2,FALSE)," ")))</f>
        <v xml:space="preserve"> </v>
      </c>
      <c r="H31" s="102">
        <v>0</v>
      </c>
      <c r="I31" s="153" t="str">
        <f t="shared" si="2"/>
        <v xml:space="preserve"> </v>
      </c>
      <c r="J31" s="153" t="str">
        <f t="shared" si="3"/>
        <v xml:space="preserve"> </v>
      </c>
      <c r="K31" s="104" t="str">
        <f>IF(Table622027323337383923[[#This Row],[Non-Member]]="X"," ",IF(J31=" "," ",IFERROR(VLOOKUP(I31,Points!$A$2:$B$14,2,FALSE)," ")))</f>
        <v xml:space="preserve"> </v>
      </c>
      <c r="L31" s="102"/>
      <c r="M31" s="153" t="str">
        <f t="shared" si="4"/>
        <v xml:space="preserve"> </v>
      </c>
      <c r="N31" s="153" t="str">
        <f t="shared" si="5"/>
        <v xml:space="preserve"> </v>
      </c>
      <c r="O31" s="104" t="str">
        <f>IF(Table622027323337383923[[#This Row],[Non-Member]]="X"," ",IF(N31=" "," ",IFERROR(VLOOKUP(M31,Points!$A$2:$B$14,2,FALSE)," ")))</f>
        <v xml:space="preserve"> </v>
      </c>
      <c r="P31" s="102">
        <v>0</v>
      </c>
      <c r="Q31" s="153" t="str">
        <f t="shared" si="6"/>
        <v xml:space="preserve"> </v>
      </c>
      <c r="R31" s="153" t="str">
        <f t="shared" si="7"/>
        <v xml:space="preserve"> </v>
      </c>
      <c r="S31" s="104" t="str">
        <f>IF(Table622027323337383923[[#This Row],[Non-Member]]="X"," ",IF(R31=" "," ",IFERROR(VLOOKUP(Q31,Points!$A$2:$B$14,2,FALSE)," ")))</f>
        <v xml:space="preserve"> </v>
      </c>
      <c r="T31" s="102"/>
      <c r="U31" s="153" t="str">
        <f t="shared" si="8"/>
        <v xml:space="preserve"> </v>
      </c>
      <c r="V31" s="153" t="str">
        <f t="shared" si="9"/>
        <v xml:space="preserve"> </v>
      </c>
      <c r="W31" s="104" t="str">
        <f>IF(Table622027323337383923[[#This Row],[Non-Member]]="X"," ",IF(V31=" "," ",IFERROR(VLOOKUP(U31,Points!$A$2:$B$14,2,FALSE)," ")))</f>
        <v xml:space="preserve"> </v>
      </c>
      <c r="X31" s="102"/>
      <c r="Y31" s="153" t="str">
        <f t="shared" si="10"/>
        <v xml:space="preserve"> </v>
      </c>
      <c r="Z31" s="153" t="str">
        <f t="shared" si="11"/>
        <v xml:space="preserve"> </v>
      </c>
      <c r="AA31" s="104"/>
      <c r="AB31" s="102"/>
      <c r="AC31" s="153" t="str">
        <f t="shared" si="12"/>
        <v xml:space="preserve"> </v>
      </c>
      <c r="AD31" s="153" t="str">
        <f t="shared" si="13"/>
        <v xml:space="preserve"> </v>
      </c>
      <c r="AE31" s="104" t="str">
        <f>IF(Table622027323337383923[[#This Row],[Non-Member]]="X"," ",IF(AD31=" "," ",IFERROR(VLOOKUP(AC31,Points!$A$2:$B$14,2,FALSE)," ")))</f>
        <v xml:space="preserve"> </v>
      </c>
      <c r="AF31" s="102" t="str">
        <f t="shared" si="14"/>
        <v xml:space="preserve"> </v>
      </c>
      <c r="AG31" s="154" t="str">
        <f t="shared" si="15"/>
        <v xml:space="preserve"> </v>
      </c>
      <c r="AH31" s="153" t="str">
        <f t="shared" si="16"/>
        <v xml:space="preserve"> </v>
      </c>
      <c r="AI31" s="104" t="str">
        <f>IF(Table622027323337383923[[#This Row],[Non-Member]]="X"," ",IF(AH31=" "," ",IFERROR(VLOOKUP(AG31,Points!$A$2:$B$14,2,FALSE)," ")))</f>
        <v xml:space="preserve"> </v>
      </c>
      <c r="AJ31" s="97">
        <f>IF(Table622027323337383923[[#This Row],[Non-Member]]="X"," ",((IF(G31=" ",0,G31))+(IF(K31=" ",0,K31))+(IF(O31=" ",0,O31))+(IF(S31=" ",0,S31))+(IF(W31=" ",0,W31))+(IF(AA31=" ",0,AA31))+(IF(AE31=" ",0,AE31))+(IF(AI31=" ",0,AI31))))</f>
        <v>0</v>
      </c>
      <c r="AK31" s="155" t="str">
        <f t="shared" si="17"/>
        <v xml:space="preserve"> </v>
      </c>
      <c r="AL31" s="98" t="str">
        <f t="shared" si="18"/>
        <v xml:space="preserve"> </v>
      </c>
    </row>
    <row r="32" spans="2:38" ht="14.5" thickBot="1" x14ac:dyDescent="0.35">
      <c r="B32" s="106" t="s">
        <v>190</v>
      </c>
      <c r="AG32" s="107"/>
    </row>
    <row r="34" spans="6:8" x14ac:dyDescent="0.3">
      <c r="F34" s="107"/>
    </row>
    <row r="35" spans="6:8" x14ac:dyDescent="0.3">
      <c r="F35" s="107"/>
    </row>
    <row r="36" spans="6:8" x14ac:dyDescent="0.3">
      <c r="H36" s="108"/>
    </row>
  </sheetData>
  <sheetProtection algorithmName="SHA-512" hashValue="N2J/6zAjlBRRputNer0BN1m2VomR+qw64fMJNR4F7eZ0L2hnZriufxc1yGaK+axTYEUkllTBoArVAC/5gl2Y5w==" saltValue="zF8Ipwn9/AMh5obiPkVm3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65">
    <tabColor theme="5" tint="0.79998168889431442"/>
  </sheetPr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106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IF(Table62202732333738392324[[#This Row],[Non-Member]]="X"," ",IF(J5=" "," ",IFERROR(VLOOKUP(I5,Points!$A$2:$B$14,2,FALSE)," ")))</f>
        <v xml:space="preserve"> </v>
      </c>
      <c r="L5" s="85">
        <v>5.38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IF(Table62202732333738392324[[#This Row],[Non-Member]]="X"," ",IF(N5=" "," ",IFERROR(VLOOKUP(M5,Points!$A$2:$B$14,2,FALSE)," ")))</f>
        <v>18</v>
      </c>
      <c r="P5" s="85">
        <v>6.54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IF(Table62202732333738392324[[#This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IF(Table62202732333738392324[[#This Row],[Non-Member]]="X"," ",IF(AD5=" "," ",IFERROR(VLOOKUP(AC5,Points!$A$2:$B$14,2,FALSE)," ")))</f>
        <v xml:space="preserve"> </v>
      </c>
      <c r="AF5" s="85"/>
      <c r="AG5" s="86" t="str">
        <f>IF(OR(AF5=0,AF5=" ")," ",_xlfn.RANK.AVG(AF5,AF$5:AF$24,1)-COUNTIF(AF$5:AF$24,0))</f>
        <v xml:space="preserve"> </v>
      </c>
      <c r="AH5" s="86" t="str">
        <f>IF(OR(AF5=0,AF5=" ")," ",IF((RANK(AF5,AF$5:AF$24,1)-COUNTIF(AF$5:AF$24,0)&gt;6)," ",RANK(AF5,AF$5:AF$24,1)-COUNTIF(AF$5:AF$24,0)))</f>
        <v xml:space="preserve"> </v>
      </c>
      <c r="AI5" s="87" t="str">
        <f>IF(Table62202732333738392324[[#This Row],[Non-Member]]="X"," ",IF(AH5=" "," ",IFERROR(VLOOKUP(AG5,Points!$A$2:$B$14,2,FALSE)," ")))</f>
        <v xml:space="preserve"> </v>
      </c>
      <c r="AJ5" s="86">
        <f>IF(Table62202732333738392324[[#This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4">IF(AJ5=0," ",AJ5)</f>
        <v>36</v>
      </c>
      <c r="AL5" s="89">
        <f t="shared" ref="AL5:AL24" si="15">IF(AK5=" "," ",RANK(AK5,$AK$5:$AK$24))</f>
        <v>1</v>
      </c>
    </row>
    <row r="6" spans="2:38" x14ac:dyDescent="0.3">
      <c r="B6" s="90" t="s">
        <v>88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IF(Table62202732333738392324[[#This Row],[Non-Member]]="X"," ",IF(F6=" "," ",IFERROR(VLOOKUP(E6,Points!$A$2:$B$14,2,FALSE)," ")))</f>
        <v xml:space="preserve"> </v>
      </c>
      <c r="H6" s="92">
        <v>7.31</v>
      </c>
      <c r="I6" s="97">
        <f t="shared" si="2"/>
        <v>1</v>
      </c>
      <c r="J6" s="97">
        <f t="shared" si="3"/>
        <v>1</v>
      </c>
      <c r="K6" s="94">
        <f>IF(Table62202732333738392324[[#This Row],[Non-Member]]="X"," ",IF(J6=" "," ",IFERROR(VLOOKUP(I6,Points!$A$2:$B$14,2,FALSE)," ")))</f>
        <v>18</v>
      </c>
      <c r="L6" s="92">
        <v>0</v>
      </c>
      <c r="M6" s="97" t="str">
        <f t="shared" si="4"/>
        <v xml:space="preserve"> </v>
      </c>
      <c r="N6" s="97" t="str">
        <f t="shared" si="5"/>
        <v xml:space="preserve"> </v>
      </c>
      <c r="O6" s="94" t="str">
        <f>IF(Table62202732333738392324[[#This Row],[Non-Member]]="X"," ",IF(N6=" "," ",IFERROR(VLOOKUP(M6,Points!$A$2:$B$14,2,FALSE)," ")))</f>
        <v xml:space="preserve"> </v>
      </c>
      <c r="P6" s="92">
        <v>19.309999999999999</v>
      </c>
      <c r="Q6" s="97">
        <f t="shared" si="6"/>
        <v>4</v>
      </c>
      <c r="R6" s="97">
        <f t="shared" si="7"/>
        <v>4</v>
      </c>
      <c r="S6" s="94">
        <f>IF(Table62202732333738392324[[#This Row],[Non-Member]]="X"," ",IF(R6=" "," ",IFERROR(VLOOKUP(Q6,Points!$A$2:$B$14,2,FALSE)," ")))</f>
        <v>9</v>
      </c>
      <c r="T6" s="92"/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IF(Table62202732333738392324[[#This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IF(Table62202732333738392324[[#This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IF(Table62202732333738392324[[#This Row],[Non-Member]]="X"," ",IF(AD6=" "," ",IFERROR(VLOOKUP(AC6,Points!$A$2:$B$14,2,FALSE)," ")))</f>
        <v xml:space="preserve"> </v>
      </c>
      <c r="AF6" s="92"/>
      <c r="AG6" s="97" t="str">
        <f>IF(OR(AF6=0,AF6=" ")," ",_xlfn.RANK.AVG(AF6,AF$5:AF$24,1)-COUNTIF(AF$5:AF$24,0))</f>
        <v xml:space="preserve"> </v>
      </c>
      <c r="AH6" s="97" t="str">
        <f>IF(OR(AF6=0,AF6=" ")," ",IF((RANK(AF6,AF$5:AF$24,1)-COUNTIF(AF$5:AF$24,0)&gt;6)," ",RANK(AF6,AF$5:AF$24,1)-COUNTIF(AF$5:AF$24,0)))</f>
        <v xml:space="preserve"> </v>
      </c>
      <c r="AI6" s="94" t="str">
        <f>IF(Table62202732333738392324[[#This Row],[Non-Member]]="X"," ",IF(AH6=" "," ",IFERROR(VLOOKUP(AG6,Points!$A$2:$B$14,2,FALSE)," ")))</f>
        <v xml:space="preserve"> </v>
      </c>
      <c r="AJ6" s="97">
        <f>IF(Table62202732333738392324[[#This Row],[Non-Member]]="X"," ",((IF(G6=" ",0,G6))+(IF(K6=" ",0,K6))+(IF(O6=" ",0,O6))+(IF(S6=" ",0,S6))+(IF(W6=" ",0,W6))+(IF(AA6=" ",0,AA6))+(IF(AE6=" ",0,AE6))+(IF(AI6=" ",0,AI6))))</f>
        <v>27</v>
      </c>
      <c r="AK6" s="95">
        <f t="shared" si="14"/>
        <v>27</v>
      </c>
      <c r="AL6" s="98">
        <f t="shared" si="15"/>
        <v>2</v>
      </c>
    </row>
    <row r="7" spans="2:38" x14ac:dyDescent="0.3">
      <c r="B7" s="90" t="s">
        <v>253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IF(Table62202732333738392324[[#This Row],[Non-Member]]="X"," ",IF(J7=" "," ",IFERROR(VLOOKUP(I7,Points!$A$2:$B$14,2,FALSE)," ")))</f>
        <v xml:space="preserve"> </v>
      </c>
      <c r="L7" s="92">
        <v>7</v>
      </c>
      <c r="M7" s="93">
        <f t="shared" si="4"/>
        <v>3</v>
      </c>
      <c r="N7" s="93">
        <f t="shared" si="5"/>
        <v>3</v>
      </c>
      <c r="O7" s="94">
        <f>IF(Table62202732333738392324[[#This Row],[Non-Member]]="X"," ",IF(N7=" "," ",IFERROR(VLOOKUP(M7,Points!$A$2:$B$14,2,FALSE)," ")))</f>
        <v>12</v>
      </c>
      <c r="P7" s="92">
        <v>7.02</v>
      </c>
      <c r="Q7" s="93">
        <f t="shared" si="6"/>
        <v>2</v>
      </c>
      <c r="R7" s="93">
        <f t="shared" si="7"/>
        <v>2</v>
      </c>
      <c r="S7" s="94">
        <f>IF(Table62202732333738392324[[#This Row],[Non-Member]]="X"," ",IF(R7=" "," ",IFERROR(VLOOKUP(Q7,Points!$A$2:$B$14,2,FALSE)," ")))</f>
        <v>15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IF(Table62202732333738392324[[#This Row],[Non-Member]]="X"," ",IF(AD7=" "," ",IFERROR(VLOOKUP(AC7,Points!$A$2:$B$14,2,FALSE)," ")))</f>
        <v xml:space="preserve"> </v>
      </c>
      <c r="AF7" s="92"/>
      <c r="AG7" s="93"/>
      <c r="AH7" s="93"/>
      <c r="AI7" s="94" t="str">
        <f>IF(Table62202732333738392324[[#This Row],[Non-Member]]="X"," ",IF(AH7=" "," ",IFERROR(VLOOKUP(AG7,Points!$A$2:$B$14,2,FALSE)," ")))</f>
        <v xml:space="preserve"> </v>
      </c>
      <c r="AJ7" s="93">
        <f>IF(Table62202732333738392324[[#This Row],[Non-Member]]="X"," ",((IF(G7=" ",0,G7))+(IF(K7=" ",0,K7))+(IF(O7=" ",0,O7))+(IF(S7=" ",0,S7))+(IF(W7=" ",0,W7))+(IF(AA7=" ",0,AA7))+(IF(AE7=" ",0,AE7))+(IF(AI7=" ",0,AI7))))</f>
        <v>27</v>
      </c>
      <c r="AK7" s="95">
        <f t="shared" si="14"/>
        <v>27</v>
      </c>
      <c r="AL7" s="96">
        <f t="shared" si="15"/>
        <v>2</v>
      </c>
    </row>
    <row r="8" spans="2:38" x14ac:dyDescent="0.3">
      <c r="B8" s="90" t="s">
        <v>86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IF(Table62202732333738392324[[#This Row],[Non-Member]]="X"," ",IF(J8=" "," ",IFERROR(VLOOKUP(I8,Points!$A$2:$B$14,2,FALSE)," ")))</f>
        <v xml:space="preserve"> </v>
      </c>
      <c r="L8" s="92">
        <v>6.1</v>
      </c>
      <c r="M8" s="93">
        <f t="shared" si="4"/>
        <v>2</v>
      </c>
      <c r="N8" s="93">
        <f t="shared" si="5"/>
        <v>2</v>
      </c>
      <c r="O8" s="94">
        <f>IF(Table62202732333738392324[[#This Row],[Non-Member]]="X"," ",IF(N8=" "," ",IFERROR(VLOOKUP(M8,Points!$A$2:$B$14,2,FALSE)," ")))</f>
        <v>15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IF(Table62202732333738392324[[#This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IF(Table62202732333738392324[[#This Row],[Non-Member]]="X"," ",IF(AD8=" "," ",IFERROR(VLOOKUP(AC8,Points!$A$2:$B$14,2,FALSE)," ")))</f>
        <v xml:space="preserve"> </v>
      </c>
      <c r="AF8" s="92"/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IF(Table62202732333738392324[[#This Row],[Non-Member]]="X"," ",IF(AH8=" "," ",IFERROR(VLOOKUP(AG8,Points!$A$2:$B$14,2,FALSE)," ")))</f>
        <v xml:space="preserve"> </v>
      </c>
      <c r="AJ8" s="93">
        <f>IF(Table62202732333738392324[[#This Row],[Non-Member]]="X"," ",((IF(G8=" ",0,G8))+(IF(K8=" ",0,K8))+(IF(O8=" ",0,O8))+(IF(S8=" ",0,S8))+(IF(W8=" ",0,W8))+(IF(AA8=" ",0,AA8))+(IF(AE8=" ",0,AE8))+(IF(AI8=" ",0,AI8))))</f>
        <v>15</v>
      </c>
      <c r="AK8" s="95">
        <f t="shared" si="14"/>
        <v>15</v>
      </c>
      <c r="AL8" s="96">
        <f t="shared" si="15"/>
        <v>4</v>
      </c>
    </row>
    <row r="9" spans="2:38" x14ac:dyDescent="0.3">
      <c r="B9" s="90" t="s">
        <v>139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IF(Table62202732333738392324[[#This Row],[Non-Member]]="X"," ",IF(F9=" "," ",IFERROR(VLOOKUP(E9,Points!$A$2:$B$14,2,FALSE)," ")))</f>
        <v xml:space="preserve"> </v>
      </c>
      <c r="H9" s="92">
        <v>7.75</v>
      </c>
      <c r="I9" s="93">
        <f t="shared" si="2"/>
        <v>2</v>
      </c>
      <c r="J9" s="93">
        <f t="shared" si="3"/>
        <v>2</v>
      </c>
      <c r="K9" s="94">
        <f>IF(Table62202732333738392324[[#This Row],[Non-Member]]="X"," ",IF(J9=" "," ",IFERROR(VLOOKUP(I9,Points!$A$2:$B$14,2,FALSE)," ")))</f>
        <v>15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IF(Table62202732333738392324[[#This Row],[Non-Member]]="X"," ",IF(AD9=" "," ",IFERROR(VLOOKUP(AC9,Points!$A$2:$B$14,2,FALSE)," ")))</f>
        <v xml:space="preserve"> </v>
      </c>
      <c r="AF9" s="160"/>
      <c r="AG9" s="93">
        <v>2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IF(Table62202732333738392324[[#This Row],[Non-Member]]="X"," ",IF(AH9=" "," ",IFERROR(VLOOKUP(AG9,Points!$A$2:$B$14,2,FALSE)," ")))</f>
        <v xml:space="preserve"> </v>
      </c>
      <c r="AJ9" s="93">
        <f>IF(Table62202732333738392324[[#This Row],[Non-Member]]="X"," ",((IF(G9=" ",0,G9))+(IF(K9=" ",0,K9))+(IF(O9=" ",0,O9))+(IF(S9=" ",0,S9))+(IF(W9=" ",0,W9))+(IF(AA9=" ",0,AA9))+(IF(AE9=" ",0,AE9))+(IF(AI9=" ",0,AI9))))</f>
        <v>15</v>
      </c>
      <c r="AK9" s="95">
        <f t="shared" si="14"/>
        <v>15</v>
      </c>
      <c r="AL9" s="96">
        <f t="shared" si="15"/>
        <v>4</v>
      </c>
    </row>
    <row r="10" spans="2:38" x14ac:dyDescent="0.3">
      <c r="B10" s="90" t="s">
        <v>257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IF(Table62202732333738392324[[#This Row],[Non-Member]]="X"," ",IF(N10=" "," ",IFERROR(VLOOKUP(M10,Points!$A$2:$B$14,2,FALSE)," ")))</f>
        <v xml:space="preserve"> </v>
      </c>
      <c r="P10" s="92">
        <v>14.53</v>
      </c>
      <c r="Q10" s="93">
        <f t="shared" si="6"/>
        <v>3</v>
      </c>
      <c r="R10" s="93">
        <f t="shared" si="7"/>
        <v>3</v>
      </c>
      <c r="S10" s="94">
        <f>IF(Table62202732333738392324[[#This Row],[Non-Member]]="X"," ",IF(R10=" "," ",IFERROR(VLOOKUP(Q10,Points!$A$2:$B$14,2,FALSE)," ")))</f>
        <v>12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IF(Table62202732333738392324[[#This Row],[Non-Member]]="X"," ",IF(AD10=" "," ",IFERROR(VLOOKUP(AC10,Points!$A$2:$B$14,2,FALSE)," ")))</f>
        <v xml:space="preserve"> </v>
      </c>
      <c r="AF10" s="92"/>
      <c r="AG10" s="93"/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IF(Table62202732333738392324[[#This Row],[Non-Member]]="X"," ",IF(AH10=" "," ",IFERROR(VLOOKUP(AG10,Points!$A$2:$B$14,2,FALSE)," ")))</f>
        <v xml:space="preserve"> </v>
      </c>
      <c r="AJ10" s="93">
        <f>IF(Table62202732333738392324[[#This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4"/>
        <v>12</v>
      </c>
      <c r="AL10" s="96">
        <f t="shared" si="15"/>
        <v>6</v>
      </c>
    </row>
    <row r="11" spans="2:38" x14ac:dyDescent="0.3">
      <c r="B11" s="90" t="s">
        <v>172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IF(Table62202732333738392324[[#This Row],[Non-Member]]="X"," ",IF(F11=" "," ",IFERROR(VLOOKUP(E11,Points!$A$2:$B$14,2,FALSE)," ")))</f>
        <v xml:space="preserve"> </v>
      </c>
      <c r="H11" s="92">
        <v>17.329999999999998</v>
      </c>
      <c r="I11" s="97">
        <f t="shared" si="2"/>
        <v>3</v>
      </c>
      <c r="J11" s="97">
        <f t="shared" si="3"/>
        <v>3</v>
      </c>
      <c r="K11" s="94">
        <f>IF(Table62202732333738392324[[#This Row],[Non-Member]]="X"," ",IF(J11=" "," ",IFERROR(VLOOKUP(I11,Points!$A$2:$B$14,2,FALSE)," ")))</f>
        <v>12</v>
      </c>
      <c r="L11" s="92">
        <v>0</v>
      </c>
      <c r="M11" s="97" t="str">
        <f t="shared" si="4"/>
        <v xml:space="preserve"> </v>
      </c>
      <c r="N11" s="97" t="str">
        <f t="shared" si="5"/>
        <v xml:space="preserve"> </v>
      </c>
      <c r="O11" s="94" t="str">
        <f>IF(Table62202732333738392324[[#This Row],[Non-Member]]="X"," ",IF(N11=" "," ",IFERROR(VLOOKUP(M11,Points!$A$2:$B$14,2,FALSE)," ")))</f>
        <v xml:space="preserve"> </v>
      </c>
      <c r="P11" s="92">
        <v>0</v>
      </c>
      <c r="Q11" s="97" t="str">
        <f t="shared" si="6"/>
        <v xml:space="preserve"> </v>
      </c>
      <c r="R11" s="97" t="str">
        <f t="shared" si="7"/>
        <v xml:space="preserve"> </v>
      </c>
      <c r="S11" s="94" t="str">
        <f>IF(Table62202732333738392324[[#This Row],[Non-Member]]="X"," ",IF(R11=" "," ",IFERROR(VLOOKUP(Q11,Points!$A$2:$B$14,2,FALSE)," ")))</f>
        <v xml:space="preserve"> </v>
      </c>
      <c r="T11" s="92"/>
      <c r="U11" s="97" t="str">
        <f t="shared" si="8"/>
        <v xml:space="preserve"> </v>
      </c>
      <c r="V11" s="97" t="str">
        <f t="shared" si="9"/>
        <v xml:space="preserve"> </v>
      </c>
      <c r="W11" s="94" t="str">
        <f>IF(Table62202732333738392324[[#This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IF(Table62202732333738392324[[#This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IF(Table62202732333738392324[[#This Row],[Non-Member]]="X"," ",IF(AD11=" "," ",IFERROR(VLOOKUP(AC11,Points!$A$2:$B$14,2,FALSE)," ")))</f>
        <v xml:space="preserve"> </v>
      </c>
      <c r="AF11" s="92"/>
      <c r="AG11" s="97"/>
      <c r="AH11" s="97"/>
      <c r="AI11" s="94" t="str">
        <f>IF(Table62202732333738392324[[#This Row],[Non-Member]]="X"," ",IF(AH11=" "," ",IFERROR(VLOOKUP(AG11,Points!$A$2:$B$14,2,FALSE)," ")))</f>
        <v xml:space="preserve"> </v>
      </c>
      <c r="AJ11" s="97">
        <f>IF(Table62202732333738392324[[#This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4"/>
        <v>12</v>
      </c>
      <c r="AL11" s="98">
        <f t="shared" si="15"/>
        <v>6</v>
      </c>
    </row>
    <row r="12" spans="2:38" x14ac:dyDescent="0.3">
      <c r="B12" s="90" t="s">
        <v>179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IF(Table62202732333738392324[[#This Row],[Non-Member]]="X"," ",IF(J12=" "," ",IFERROR(VLOOKUP(I12,Points!$A$2:$B$14,2,FALSE)," ")))</f>
        <v xml:space="preserve"> </v>
      </c>
      <c r="L12" s="92">
        <v>11.34</v>
      </c>
      <c r="M12" s="93">
        <f t="shared" si="4"/>
        <v>4</v>
      </c>
      <c r="N12" s="93">
        <f t="shared" si="5"/>
        <v>4</v>
      </c>
      <c r="O12" s="94">
        <f>IF(Table62202732333738392324[[#This Row],[Non-Member]]="X"," ",IF(N12=" "," ",IFERROR(VLOOKUP(M12,Points!$A$2:$B$14,2,FALSE)," ")))</f>
        <v>9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3" t="str">
        <f t="shared" ref="AG12:AG24" si="16">IF(OR(AF12=0,AF12=" ")," ",_xlfn.RANK.AVG(AF12,AF$5:AF$24,1)-COUNTIF(AF$5:AF$24,0))</f>
        <v xml:space="preserve"> </v>
      </c>
      <c r="AH12" s="93" t="str">
        <f t="shared" ref="AH12:AH24" si="17">IF(OR(AF12=0,AF12=" ")," ",IF((RANK(AF12,AF$5:AF$24,1)-COUNTIF(AF$5:AF$24,0)&gt;6)," ",RANK(AF12,AF$5:AF$24,1)-COUNTIF(AF$5:AF$24,0)))</f>
        <v xml:space="preserve"> </v>
      </c>
      <c r="AI12" s="94" t="str">
        <f>IF(Table62202732333738392324[[#This Row],[Non-Member]]="X"," ",IF(AH12=" "," ",IFERROR(VLOOKUP(AG12,Points!$A$2:$B$14,2,FALSE)," ")))</f>
        <v xml:space="preserve"> </v>
      </c>
      <c r="AJ12" s="93">
        <f>IF(Table62202732333738392324[[#This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4"/>
        <v>9</v>
      </c>
      <c r="AL12" s="96">
        <f t="shared" si="15"/>
        <v>8</v>
      </c>
    </row>
    <row r="13" spans="2:38" x14ac:dyDescent="0.3">
      <c r="B13" s="90" t="s">
        <v>251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IF(Table62202732333738392324[[#This Row],[Non-Member]]="X"," ",IF(F13=" "," ",IFERROR(VLOOKUP(E13,Points!$A$2:$B$14,2,FALSE)," ")))</f>
        <v xml:space="preserve"> </v>
      </c>
      <c r="H13" s="92">
        <v>0</v>
      </c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IF(Table62202732333738392324[[#This Row],[Non-Member]]="X"," ",IF(J13=" "," ",IFERROR(VLOOKUP(I13,Points!$A$2:$B$14,2,FALSE)," ")))</f>
        <v xml:space="preserve"> 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IF(Table62202732333738392324[[#This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IF(Table62202732333738392324[[#This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IF(Table62202732333738392324[[#This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IF(Table62202732333738392324[[#This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IF(Table62202732333738392324[[#This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7" t="str">
        <f t="shared" si="16"/>
        <v xml:space="preserve"> </v>
      </c>
      <c r="AH13" s="97" t="str">
        <f t="shared" si="17"/>
        <v xml:space="preserve"> </v>
      </c>
      <c r="AI13" s="94" t="str">
        <f>IF(Table62202732333738392324[[#This Row],[Non-Member]]="X"," ",IF(AH13=" "," ",IFERROR(VLOOKUP(AG13,Points!$A$2:$B$14,2,FALSE)," ")))</f>
        <v xml:space="preserve"> </v>
      </c>
      <c r="AJ13" s="97">
        <f>IF(Table62202732333738392324[[#This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8" t="str">
        <f t="shared" si="15"/>
        <v xml:space="preserve"> </v>
      </c>
    </row>
    <row r="14" spans="2:38" x14ac:dyDescent="0.3">
      <c r="B14" s="90" t="s">
        <v>90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IF(Table62202732333738392324[[#This Row],[Non-Member]]="X"," ",IF(AD14=" "," ",IFERROR(VLOOKUP(AC14,Points!$A$2:$B$14,2,FALSE)," ")))</f>
        <v xml:space="preserve"> </v>
      </c>
      <c r="AF14" s="92"/>
      <c r="AG14" s="93" t="str">
        <f t="shared" si="16"/>
        <v xml:space="preserve"> </v>
      </c>
      <c r="AH14" s="93" t="str">
        <f t="shared" si="17"/>
        <v xml:space="preserve"> </v>
      </c>
      <c r="AI14" s="94" t="str">
        <f>IF(Table62202732333738392324[[#This Row],[Non-Member]]="X"," ",IF(AH14=" "," ",IFERROR(VLOOKUP(AG14,Points!$A$2:$B$14,2,FALSE)," ")))</f>
        <v xml:space="preserve"> </v>
      </c>
      <c r="AJ14" s="93">
        <f>IF(Table62202732333738392324[[#This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3">
      <c r="B15" s="90" t="s">
        <v>258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 t="shared" si="16"/>
        <v xml:space="preserve"> </v>
      </c>
      <c r="AH15" s="93" t="str">
        <f t="shared" si="17"/>
        <v xml:space="preserve"> </v>
      </c>
      <c r="AI15" s="94" t="str">
        <f>IF(Table62202732333738392324[[#This Row],[Non-Member]]="X"," ",IF(AH15=" "," ",IFERROR(VLOOKUP(AG15,Points!$A$2:$B$14,2,FALSE)," ")))</f>
        <v xml:space="preserve"> </v>
      </c>
      <c r="AJ15" s="93">
        <f>IF(Table62202732333738392324[[#This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3">
      <c r="B16" s="90" t="s">
        <v>89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 t="shared" si="16"/>
        <v xml:space="preserve"> </v>
      </c>
      <c r="AH16" s="93" t="str">
        <f t="shared" si="17"/>
        <v xml:space="preserve"> </v>
      </c>
      <c r="AI16" s="94" t="str">
        <f>IF(Table62202732333738392324[[#This Row],[Non-Member]]="X"," ",IF(AH16=" "," ",IFERROR(VLOOKUP(AG16,Points!$A$2:$B$14,2,FALSE)," ")))</f>
        <v xml:space="preserve"> </v>
      </c>
      <c r="AJ16" s="93">
        <f>IF(Table62202732333738392324[[#This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138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 t="shared" si="16"/>
        <v xml:space="preserve"> </v>
      </c>
      <c r="AH17" s="93" t="str">
        <f t="shared" si="17"/>
        <v xml:space="preserve"> </v>
      </c>
      <c r="AI17" s="94" t="str">
        <f>IF(Table62202732333738392324[[#This Row],[Non-Member]]="X"," ",IF(AH17=" "," ",IFERROR(VLOOKUP(AG17,Points!$A$2:$B$14,2,FALSE)," ")))</f>
        <v xml:space="preserve"> </v>
      </c>
      <c r="AJ17" s="93">
        <f>IF(Table62202732333738392324[[#This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 t="s">
        <v>137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IF(Table62202732333738392324[[#This Row],[Non-Member]]="X"," ",IF(AD18=" "," ",IFERROR(VLOOKUP(AC18,Points!$A$2:$B$14,2,FALSE)," ")))</f>
        <v xml:space="preserve"> </v>
      </c>
      <c r="AF18" s="92"/>
      <c r="AG18" s="93" t="str">
        <f t="shared" si="16"/>
        <v xml:space="preserve"> </v>
      </c>
      <c r="AH18" s="93" t="str">
        <f t="shared" si="17"/>
        <v xml:space="preserve"> </v>
      </c>
      <c r="AI18" s="94" t="str">
        <f>IF(Table62202732333738392324[[#This Row],[Non-Member]]="X"," ",IF(AH18=" "," ",IFERROR(VLOOKUP(AG18,Points!$A$2:$B$14,2,FALSE)," ")))</f>
        <v xml:space="preserve"> </v>
      </c>
      <c r="AJ18" s="93">
        <f>IF(Table62202732333738392324[[#This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 t="s">
        <v>180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IF(Table62202732333738392324[[#This Row],[Non-Member]]="X"," ",IF(AD19=" "," ",IFERROR(VLOOKUP(AC19,Points!$A$2:$B$14,2,FALSE)," ")))</f>
        <v xml:space="preserve"> </v>
      </c>
      <c r="AF19" s="92"/>
      <c r="AG19" s="93" t="str">
        <f t="shared" si="16"/>
        <v xml:space="preserve"> </v>
      </c>
      <c r="AH19" s="93" t="str">
        <f t="shared" si="17"/>
        <v xml:space="preserve"> </v>
      </c>
      <c r="AI19" s="94" t="str">
        <f>IF(Table62202732333738392324[[#This Row],[Non-Member]]="X"," ",IF(AH19=" "," ",IFERROR(VLOOKUP(AG19,Points!$A$2:$B$14,2,FALSE)," ")))</f>
        <v xml:space="preserve"> </v>
      </c>
      <c r="AJ19" s="93">
        <f>IF(Table62202732333738392324[[#This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3" t="str">
        <f t="shared" si="16"/>
        <v xml:space="preserve"> </v>
      </c>
      <c r="AH20" s="93" t="str">
        <f t="shared" si="17"/>
        <v xml:space="preserve"> </v>
      </c>
      <c r="AI20" s="94" t="str">
        <f>IF(Table62202732333738392324[[#This Row],[Non-Member]]="X"," ",IF(AH20=" "," ",IFERROR(VLOOKUP(AG20,Points!$A$2:$B$14,2,FALSE)," ")))</f>
        <v xml:space="preserve"> </v>
      </c>
      <c r="AJ20" s="93">
        <f>IF(Table62202732333738392324[[#This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 t="shared" si="16"/>
        <v xml:space="preserve"> </v>
      </c>
      <c r="AH21" s="93" t="str">
        <f t="shared" si="17"/>
        <v xml:space="preserve"> </v>
      </c>
      <c r="AI21" s="94" t="str">
        <f>IF(Table62202732333738392324[[#This Row],[Non-Member]]="X"," ",IF(AH21=" "," ",IFERROR(VLOOKUP(AG21,Points!$A$2:$B$14,2,FALSE)," ")))</f>
        <v xml:space="preserve"> </v>
      </c>
      <c r="AJ21" s="93">
        <f>IF(Table62202732333738392324[[#This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6"/>
        <v xml:space="preserve"> </v>
      </c>
      <c r="AH22" s="93" t="str">
        <f t="shared" si="17"/>
        <v xml:space="preserve"> </v>
      </c>
      <c r="AI22" s="94" t="str">
        <f>IF(Table62202732333738392324[[#This Row],[Non-Member]]="X"," ",IF(AH22=" "," ",IFERROR(VLOOKUP(AG22,Points!$A$2:$B$14,2,FALSE)," ")))</f>
        <v xml:space="preserve"> </v>
      </c>
      <c r="AJ22" s="93">
        <f>IF(Table62202732333738392324[[#This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6"/>
        <v xml:space="preserve"> </v>
      </c>
      <c r="AH23" s="93" t="str">
        <f t="shared" si="17"/>
        <v xml:space="preserve"> </v>
      </c>
      <c r="AI23" s="94" t="str">
        <f>IF(Table62202732333738392324[[#This Row],[Non-Member]]="X"," ",IF(AH23=" "," ",IFERROR(VLOOKUP(AG23,Points!$A$2:$B$14,2,FALSE)," ")))</f>
        <v xml:space="preserve"> </v>
      </c>
      <c r="AJ23" s="93">
        <f>IF(Table62202732333738392324[[#This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6"/>
        <v xml:space="preserve"> </v>
      </c>
      <c r="AH24" s="103" t="str">
        <f t="shared" si="17"/>
        <v xml:space="preserve"> </v>
      </c>
      <c r="AI24" s="104" t="str">
        <f>IF(Table62202732333738392324[[#This Row],[Non-Member]]="X"," ",IF(AH24=" "," ",IFERROR(VLOOKUP(AG24,Points!$A$2:$B$14,2,FALSE)," ")))</f>
        <v xml:space="preserve"> </v>
      </c>
      <c r="AJ24" s="93">
        <f>IF(Table62202732333738392324[[#This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nxopzzY8XsdhmIUD579mZsn3J62voZouwy8GTKe/8/jO7YiphBRV5Bx8LpsOcBhNXSdLJdSaEQXSLKxPVCBUVg==" saltValue="qBKzCzi3lF6S2aFzoLTzU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66">
    <tabColor theme="5" tint="0.79998168889431442"/>
    <pageSetUpPr fitToPage="1"/>
  </sheetPr>
  <dimension ref="B1:AC32"/>
  <sheetViews>
    <sheetView showGridLines="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99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252</v>
      </c>
      <c r="C5" s="118">
        <f>IFERROR(IF(VLOOKUP($B5,'PW G-Breakaway'!$B$5:$AI$24,6,FALSE)=" ",0,VLOOKUP($B5,'PW G-Breakaway'!$B$5:$AI$24,6,FALSE)),0)+IFERROR(IF(VLOOKUP($B5,'PW G-Barrels'!$B$5:$AI$30,6,FALSE)=" ",0,VLOOKUP($B5,'PW G-Barrels'!$B$5:$AI$30,6,FALSE)),0)+IFERROR(IF(VLOOKUP($B5,'PW G-Poles'!$B$5:$AI$31,6,FALSE)=" ",0,VLOOKUP($B5,'PW G-Poles'!$B$5:$AI$31,6,FALSE)),0)+IFERROR(IF(VLOOKUP($B5,'PW G-Goats'!$B$5:$AI$31,6,FALSE)=" ",0,VLOOKUP($B5,'PW G-Goats'!$B$5:$AI$31,6,FALSE)),0)</f>
        <v>0</v>
      </c>
      <c r="D5" s="88" t="str">
        <f t="shared" ref="D5:D28" si="0">IF(C5&gt;0,C5," ")</f>
        <v xml:space="preserve"> </v>
      </c>
      <c r="E5" s="156" t="str">
        <f t="shared" ref="E5:E28" si="1">IF(C5=0," ",RANK(C5,C$5:C$28,0))</f>
        <v xml:space="preserve"> </v>
      </c>
      <c r="F5" s="119">
        <f>IFERROR(IF(VLOOKUP($B5,'PW G-Breakaway'!$B$5:$AI$24,10,FALSE)=" ",0,VLOOKUP($B5,'PW G-Breakaway'!$B$5:$AI$24,10,FALSE)),0)+IFERROR(IF(VLOOKUP($B5,'PW G-Barrels'!$B$5:$AI$30,10,FALSE)=" ",0,VLOOKUP($B5,'PW G-Barrels'!$B$5:$AI$30,10,FALSE)),0)+IFERROR(IF(VLOOKUP($B5,'PW G-Poles'!$B$5:$AI$31,10,FALSE)=" ",0,VLOOKUP($B5,'PW G-Poles'!$B$5:$AI$31,10,FALSE)),0)+IFERROR(IF(VLOOKUP($B5,'PW G-Goats'!$B$5:$AI$31,10,FALSE)=" ",0,VLOOKUP($B5,'PW G-Goats'!$B$5:$AI$31,10,FALSE)),0)</f>
        <v>27</v>
      </c>
      <c r="G5" s="88">
        <f t="shared" ref="G5:G28" si="2">IF(F5&gt;0,F5," ")</f>
        <v>27</v>
      </c>
      <c r="H5" s="156">
        <f t="shared" ref="H5:H28" si="3">IF(F5=0," ",RANK(F5,F$5:F$28,0))</f>
        <v>4</v>
      </c>
      <c r="I5" s="119">
        <f>IFERROR(IF(VLOOKUP($B5,'PW G-Breakaway'!$B$5:$AI$24,14,FALSE)=" ",0,VLOOKUP($B5,'PW G-Breakaway'!$B$5:$AI$24,14,FALSE)),0)+IFERROR(IF(VLOOKUP($B5,'PW G-Barrels'!$B$5:$AI$30,14,FALSE)=" ",0,VLOOKUP($B5,'PW G-Barrels'!$B$5:$AI$30,14,FALSE)),0)+IFERROR(IF(VLOOKUP($B5,'PW G-Poles'!$B$5:$AI$31,14,FALSE)=" ",0,VLOOKUP($B5,'PW G-Poles'!$B$5:$AI$31,14,FALSE)),0)+IFERROR(IF(VLOOKUP($B5,'PW G-Goats'!$B$5:$AI$31,14,FALSE)=" ",0,VLOOKUP($B5,'PW G-Goats'!$B$5:$AI$31,14,FALSE)),0)</f>
        <v>39</v>
      </c>
      <c r="J5" s="88">
        <f t="shared" ref="J5:J28" si="4">IF(I5&gt;0,I5," ")</f>
        <v>39</v>
      </c>
      <c r="K5" s="156">
        <f t="shared" ref="K5:K28" si="5">IF(I5=0," ",RANK(I5,I$5:I$28,0))</f>
        <v>1</v>
      </c>
      <c r="L5" s="119">
        <f>IFERROR(IF(VLOOKUP($B5,'PW G-Breakaway'!$B$5:$AI$24,18,FALSE)=" ",0,VLOOKUP($B5,'PW G-Breakaway'!$B$5:$AI$24,18,FALSE)),0)+IFERROR(IF(VLOOKUP($B5,'PW G-Barrels'!$B$5:$AI$30,18,FALSE)=" ",0,VLOOKUP($B5,'PW G-Barrels'!$B$5:$AI$30,18,FALSE)),0)+IFERROR(IF(VLOOKUP($B5,'PW G-Poles'!$B$5:$AI$31,18,FALSE)=" ",0,VLOOKUP($B5,'PW G-Poles'!$B$5:$AI$31,18,FALSE)),0)+IFERROR(IF(VLOOKUP($B5,'PW G-Goats'!$B$5:$AI$31,18,FALSE)=" ",0,VLOOKUP($B5,'PW G-Goats'!$B$5:$AI$31,18,FALSE)),0)</f>
        <v>61.5</v>
      </c>
      <c r="M5" s="88">
        <f t="shared" ref="M5:M28" si="6">IF(L5&gt;0,L5," ")</f>
        <v>61.5</v>
      </c>
      <c r="N5" s="156">
        <f t="shared" ref="N5:N28" si="7">IF(L5=0," ",RANK(L5,L$5:L$28,0))</f>
        <v>1</v>
      </c>
      <c r="O5" s="119">
        <f>IFERROR(IF(VLOOKUP($B5,'PW G-Breakaway'!$B$5:$AI$24,22,FALSE)=" ",0,VLOOKUP($B5,'PW G-Breakaway'!$B$5:$AI$24,22,FALSE)),0)+IFERROR(IF(VLOOKUP($B5,'PW G-Barrels'!$B$5:$AI$30,22,FALSE)=" ",0,VLOOKUP($B5,'PW G-Barrels'!$B$5:$AI$30,22,FALSE)),0)+IFERROR(IF(VLOOKUP($B5,'PW G-Poles'!$B$5:$AI$31,22,FALSE)=" ",0,VLOOKUP($B5,'PW G-Poles'!$B$5:$AI$31,22,FALSE)),0)+IFERROR(IF(VLOOKUP($B5,'PW G-Goats'!$B$5:$AI$31,22,FALSE)=" ",0,VLOOKUP($B5,'PW G-Goats'!$B$5:$AI$31,22,FALSE)),0)</f>
        <v>0</v>
      </c>
      <c r="P5" s="88" t="str">
        <f t="shared" ref="P5:P28" si="8">IF(O5&gt;0,O5," ")</f>
        <v xml:space="preserve"> </v>
      </c>
      <c r="Q5" s="156" t="str">
        <f t="shared" ref="Q5:Q28" si="9">IF(O5=0," ",RANK(O5,O$5:O$28,0))</f>
        <v xml:space="preserve"> </v>
      </c>
      <c r="R5" s="119">
        <f>IFERROR(IF(VLOOKUP($B5,'PW G-Breakaway'!$B$5:$AI$24,26,FALSE)=" ",0,VLOOKUP($B5,'PW G-Breakaway'!$B$5:$AI$24,26,FALSE)),0)+IFERROR(IF(VLOOKUP($B5,'PW G-Barrels'!$B$5:$AI$30,26,FALSE)=" ",0,VLOOKUP($B5,'PW G-Barrels'!$B$5:$AI$30,26,FALSE)),0)+IFERROR(IF(VLOOKUP($B5,'PW G-Poles'!$B$5:$AI$31,26,FALSE)=" ",0,VLOOKUP($B5,'PW G-Poles'!$B$5:$AI$31,26,FALSE)),0)+IFERROR(IF(VLOOKUP($B5,'PW G-Goats'!$B$5:$AI$31,26,FALSE)=" ",0,VLOOKUP($B5,'PW G-Goats'!$B$5:$AI$31,26,FALSE)),0)</f>
        <v>0</v>
      </c>
      <c r="S5" s="88" t="str">
        <f t="shared" ref="S5:S28" si="10">IF(R5&gt;0,R5," ")</f>
        <v xml:space="preserve"> </v>
      </c>
      <c r="T5" s="156" t="str">
        <f t="shared" ref="T5:T28" si="11">IF(R5=0," ",RANK(R5,R$5:R$28,0))</f>
        <v xml:space="preserve"> </v>
      </c>
      <c r="U5" s="119">
        <f>IFERROR(IF(VLOOKUP($B5,'PW G-Breakaway'!$B$5:$AI$24,30,FALSE)=" ",0,VLOOKUP($B5,'PW G-Breakaway'!$B$5:$AI$24,30,FALSE)),0)+IFERROR(IF(VLOOKUP($B5,'PW G-Barrels'!$B$5:$AI$30,30,FALSE)=" ",0,VLOOKUP($B5,'PW G-Barrels'!$B$5:$AI$30,30,FALSE)),0)+IFERROR(IF(VLOOKUP($B5,'PW G-Poles'!$B$5:$AI$31,30,FALSE)=" ",0,VLOOKUP($B5,'PW G-Poles'!$B$5:$AI$31,30,FALSE)),0)+IFERROR(IF(VLOOKUP($B5,'PW G-Goats'!$B$5:$AI$31,30,FALSE)=" ",0,VLOOKUP($B5,'PW G-Goats'!$B$5:$AI$31,30,FALSE)),0)</f>
        <v>0</v>
      </c>
      <c r="V5" s="88" t="str">
        <f t="shared" ref="V5:V28" si="12">IF(U5&gt;0,U5," ")</f>
        <v xml:space="preserve"> </v>
      </c>
      <c r="W5" s="156" t="str">
        <f t="shared" ref="W5:W28" si="13">IF(U5=0," ",RANK(U5,U$5:U$28,0))</f>
        <v xml:space="preserve"> </v>
      </c>
      <c r="X5" s="119">
        <f>IFERROR(IF(VLOOKUP($B5,'PW G-Breakaway'!$B$5:$AI$24,34,FALSE)=" ",0,VLOOKUP($B5,'PW G-Breakaway'!$B$5:$AI$24,34,FALSE)),0)+IFERROR(IF(VLOOKUP($B5,'PW G-Barrels'!$B$5:$AI$30,34,FALSE)=" ",0,VLOOKUP($B5,'PW G-Barrels'!$B$5:$AI$30,34,FALSE)),0)+IFERROR(IF(VLOOKUP($B5,'PW G-Poles'!$B$5:$AI$31,34,FALSE)=" ",0,VLOOKUP($B5,'PW G-Poles'!$B$5:$AI$31,34,FALSE)),0)+IFERROR(IF(VLOOKUP($B5,'PW G-Goats'!$B$5:$AI$31,34,FALSE)=" ",0,VLOOKUP($B5,'PW G-Goats'!$B$5:$AI$31,34,FALSE)),0)</f>
        <v>0</v>
      </c>
      <c r="Y5" s="88" t="str">
        <f t="shared" ref="Y5:Y28" si="14">IF(X5&gt;0,X5," ")</f>
        <v xml:space="preserve"> </v>
      </c>
      <c r="Z5" s="156" t="str">
        <f t="shared" ref="Z5:Z28" si="15">IF(X5=0," ",RANK(X5,X$5:X$28,0))</f>
        <v xml:space="preserve"> </v>
      </c>
      <c r="AA5" s="119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127.5</v>
      </c>
      <c r="AB5" s="88">
        <f t="shared" ref="AB5:AB28" si="16">IF(AA5&gt;0,AA5," ")</f>
        <v>127.5</v>
      </c>
      <c r="AC5" s="156">
        <f t="shared" ref="AC5:AC28" si="17">IF(AB5=" "," ",RANK(AB5,AB$5:AB$28))</f>
        <v>1</v>
      </c>
    </row>
    <row r="6" spans="2:29" x14ac:dyDescent="0.3">
      <c r="B6" s="152" t="s">
        <v>139</v>
      </c>
      <c r="C6" s="120">
        <f>IFERROR(IF(VLOOKUP($B6,'PW G-Breakaway'!$B$5:$AI$24,6,FALSE)=" ",0,VLOOKUP($B6,'PW G-Breakaway'!$B$5:$AI$24,6,FALSE)),0)+IFERROR(IF(VLOOKUP($B6,'PW G-Barrels'!$B$5:$AI$30,6,FALSE)=" ",0,VLOOKUP($B6,'PW G-Barrels'!$B$5:$AI$30,6,FALSE)),0)+IFERROR(IF(VLOOKUP($B6,'PW G-Poles'!$B$5:$AI$31,6,FALSE)=" ",0,VLOOKUP($B6,'PW G-Poles'!$B$5:$AI$31,6,FALSE)),0)+IFERROR(IF(VLOOKUP($B6,'PW G-Goats'!$B$5:$AI$31,6,FALSE)=" ",0,VLOOKUP($B6,'PW G-Goats'!$B$5:$AI$31,6,FALSE)),0)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IFERROR(IF(VLOOKUP($B6,'PW G-Breakaway'!$B$5:$AI$24,10,FALSE)=" ",0,VLOOKUP($B6,'PW G-Breakaway'!$B$5:$AI$24,10,FALSE)),0)+IFERROR(IF(VLOOKUP($B6,'PW G-Barrels'!$B$5:$AI$30,10,FALSE)=" ",0,VLOOKUP($B6,'PW G-Barrels'!$B$5:$AI$30,10,FALSE)),0)+IFERROR(IF(VLOOKUP($B6,'PW G-Poles'!$B$5:$AI$31,10,FALSE)=" ",0,VLOOKUP($B6,'PW G-Poles'!$B$5:$AI$31,10,FALSE)),0)+IFERROR(IF(VLOOKUP($B6,'PW G-Goats'!$B$5:$AI$31,10,FALSE)=" ",0,VLOOKUP($B6,'PW G-Goats'!$B$5:$AI$31,10,FALSE)),0)</f>
        <v>63</v>
      </c>
      <c r="G6" s="95">
        <f t="shared" si="2"/>
        <v>63</v>
      </c>
      <c r="H6" s="91">
        <f t="shared" si="3"/>
        <v>1</v>
      </c>
      <c r="I6" s="121">
        <f>IFERROR(IF(VLOOKUP($B6,'PW G-Breakaway'!$B$5:$AI$24,14,FALSE)=" ",0,VLOOKUP($B6,'PW G-Breakaway'!$B$5:$AI$24,14,FALSE)),0)+IFERROR(IF(VLOOKUP($B6,'PW G-Barrels'!$B$5:$AI$30,14,FALSE)=" ",0,VLOOKUP($B6,'PW G-Barrels'!$B$5:$AI$30,14,FALSE)),0)+IFERROR(IF(VLOOKUP($B6,'PW G-Poles'!$B$5:$AI$31,14,FALSE)=" ",0,VLOOKUP($B6,'PW G-Poles'!$B$5:$AI$31,14,FALSE)),0)+IFERROR(IF(VLOOKUP($B6,'PW G-Goats'!$B$5:$AI$31,14,FALSE)=" ",0,VLOOKUP($B6,'PW G-Goats'!$B$5:$AI$31,14,FALSE)),0)</f>
        <v>36</v>
      </c>
      <c r="J6" s="95">
        <f t="shared" si="4"/>
        <v>36</v>
      </c>
      <c r="K6" s="91">
        <f t="shared" si="5"/>
        <v>2</v>
      </c>
      <c r="L6" s="121">
        <f>IFERROR(IF(VLOOKUP($B6,'PW G-Breakaway'!$B$5:$AI$24,18,FALSE)=" ",0,VLOOKUP($B6,'PW G-Breakaway'!$B$5:$AI$24,18,FALSE)),0)+IFERROR(IF(VLOOKUP($B6,'PW G-Barrels'!$B$5:$AI$30,18,FALSE)=" ",0,VLOOKUP($B6,'PW G-Barrels'!$B$5:$AI$30,18,FALSE)),0)+IFERROR(IF(VLOOKUP($B6,'PW G-Poles'!$B$5:$AI$31,18,FALSE)=" ",0,VLOOKUP($B6,'PW G-Poles'!$B$5:$AI$31,18,FALSE)),0)+IFERROR(IF(VLOOKUP($B6,'PW G-Goats'!$B$5:$AI$31,18,FALSE)=" ",0,VLOOKUP($B6,'PW G-Goats'!$B$5:$AI$31,18,FALSE)),0)</f>
        <v>15</v>
      </c>
      <c r="M6" s="95">
        <f t="shared" si="6"/>
        <v>15</v>
      </c>
      <c r="N6" s="91">
        <f t="shared" si="7"/>
        <v>6</v>
      </c>
      <c r="O6" s="121">
        <f>IFERROR(IF(VLOOKUP($B6,'PW G-Breakaway'!$B$5:$AI$24,22,FALSE)=" ",0,VLOOKUP($B6,'PW G-Breakaway'!$B$5:$AI$24,22,FALSE)),0)+IFERROR(IF(VLOOKUP($B6,'PW G-Barrels'!$B$5:$AI$30,22,FALSE)=" ",0,VLOOKUP($B6,'PW G-Barrels'!$B$5:$AI$30,22,FALSE)),0)+IFERROR(IF(VLOOKUP($B6,'PW G-Poles'!$B$5:$AI$31,22,FALSE)=" ",0,VLOOKUP($B6,'PW G-Poles'!$B$5:$AI$31,22,FALSE)),0)+IFERROR(IF(VLOOKUP($B6,'PW G-Goats'!$B$5:$AI$31,22,FALSE)=" ",0,VLOOKUP($B6,'PW G-Goats'!$B$5:$AI$31,22,FALSE)),0)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IFERROR(IF(VLOOKUP($B6,'PW G-Breakaway'!$B$5:$AI$24,26,FALSE)=" ",0,VLOOKUP($B6,'PW G-Breakaway'!$B$5:$AI$24,26,FALSE)),0)+IFERROR(IF(VLOOKUP($B6,'PW G-Barrels'!$B$5:$AI$30,26,FALSE)=" ",0,VLOOKUP($B6,'PW G-Barrels'!$B$5:$AI$30,26,FALSE)),0)+IFERROR(IF(VLOOKUP($B6,'PW G-Poles'!$B$5:$AI$31,26,FALSE)=" ",0,VLOOKUP($B6,'PW G-Poles'!$B$5:$AI$31,26,FALSE)),0)+IFERROR(IF(VLOOKUP($B6,'PW G-Goats'!$B$5:$AI$31,26,FALSE)=" ",0,VLOOKUP($B6,'PW G-Goats'!$B$5:$AI$31,26,FALSE)),0)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IFERROR(IF(VLOOKUP($B6,'PW G-Breakaway'!$B$5:$AI$24,30,FALSE)=" ",0,VLOOKUP($B6,'PW G-Breakaway'!$B$5:$AI$24,30,FALSE)),0)+IFERROR(IF(VLOOKUP($B6,'PW G-Barrels'!$B$5:$AI$30,30,FALSE)=" ",0,VLOOKUP($B6,'PW G-Barrels'!$B$5:$AI$30,30,FALSE)),0)+IFERROR(IF(VLOOKUP($B6,'PW G-Poles'!$B$5:$AI$31,30,FALSE)=" ",0,VLOOKUP($B6,'PW G-Poles'!$B$5:$AI$31,30,FALSE)),0)+IFERROR(IF(VLOOKUP($B6,'PW G-Goats'!$B$5:$AI$31,30,FALSE)=" ",0,VLOOKUP($B6,'PW G-Goats'!$B$5:$AI$31,30,FALSE)),0)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IFERROR(IF(VLOOKUP($B6,'PW G-Breakaway'!$B$5:$AI$24,34,FALSE)=" ",0,VLOOKUP($B6,'PW G-Breakaway'!$B$5:$AI$24,34,FALSE)),0)+IFERROR(IF(VLOOKUP($B6,'PW G-Barrels'!$B$5:$AI$30,34,FALSE)=" ",0,VLOOKUP($B6,'PW G-Barrels'!$B$5:$AI$30,34,FALSE)),0)+IFERROR(IF(VLOOKUP($B6,'PW G-Poles'!$B$5:$AI$31,34,FALSE)=" ",0,VLOOKUP($B6,'PW G-Poles'!$B$5:$AI$31,34,FALSE)),0)+IFERROR(IF(VLOOKUP($B6,'PW G-Goats'!$B$5:$AI$31,34,FALSE)=" ",0,VLOOKUP($B6,'PW G-Goats'!$B$5:$AI$31,34,FALSE)),0)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114</v>
      </c>
      <c r="AB6" s="95">
        <f t="shared" si="16"/>
        <v>114</v>
      </c>
      <c r="AC6" s="91">
        <f t="shared" si="17"/>
        <v>2</v>
      </c>
    </row>
    <row r="7" spans="2:29" x14ac:dyDescent="0.3">
      <c r="B7" s="152" t="s">
        <v>86</v>
      </c>
      <c r="C7" s="120">
        <f>IFERROR(IF(VLOOKUP($B7,'PW G-Breakaway'!$B$5:$AI$24,6,FALSE)=" ",0,VLOOKUP($B7,'PW G-Breakaway'!$B$5:$AI$24,6,FALSE)),0)+IFERROR(IF(VLOOKUP($B7,'PW G-Barrels'!$B$5:$AI$30,6,FALSE)=" ",0,VLOOKUP($B7,'PW G-Barrels'!$B$5:$AI$30,6,FALSE)),0)+IFERROR(IF(VLOOKUP($B7,'PW G-Poles'!$B$5:$AI$31,6,FALSE)=" ",0,VLOOKUP($B7,'PW G-Poles'!$B$5:$AI$31,6,FALSE)),0)+IFERROR(IF(VLOOKUP($B7,'PW G-Goats'!$B$5:$AI$31,6,FALSE)=" ",0,VLOOKUP($B7,'PW G-Goats'!$B$5:$AI$31,6,FALSE)),0)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IFERROR(IF(VLOOKUP($B7,'PW G-Breakaway'!$B$5:$AI$24,10,FALSE)=" ",0,VLOOKUP($B7,'PW G-Breakaway'!$B$5:$AI$24,10,FALSE)),0)+IFERROR(IF(VLOOKUP($B7,'PW G-Barrels'!$B$5:$AI$30,10,FALSE)=" ",0,VLOOKUP($B7,'PW G-Barrels'!$B$5:$AI$30,10,FALSE)),0)+IFERROR(IF(VLOOKUP($B7,'PW G-Poles'!$B$5:$AI$31,10,FALSE)=" ",0,VLOOKUP($B7,'PW G-Poles'!$B$5:$AI$31,10,FALSE)),0)+IFERROR(IF(VLOOKUP($B7,'PW G-Goats'!$B$5:$AI$31,10,FALSE)=" ",0,VLOOKUP($B7,'PW G-Goats'!$B$5:$AI$31,10,FALSE)),0)</f>
        <v>36</v>
      </c>
      <c r="G7" s="95">
        <f t="shared" si="2"/>
        <v>36</v>
      </c>
      <c r="H7" s="91">
        <f t="shared" si="3"/>
        <v>2</v>
      </c>
      <c r="I7" s="121">
        <f>IFERROR(IF(VLOOKUP($B7,'PW G-Breakaway'!$B$5:$AI$24,14,FALSE)=" ",0,VLOOKUP($B7,'PW G-Breakaway'!$B$5:$AI$24,14,FALSE)),0)+IFERROR(IF(VLOOKUP($B7,'PW G-Barrels'!$B$5:$AI$30,14,FALSE)=" ",0,VLOOKUP($B7,'PW G-Barrels'!$B$5:$AI$30,14,FALSE)),0)+IFERROR(IF(VLOOKUP($B7,'PW G-Poles'!$B$5:$AI$31,14,FALSE)=" ",0,VLOOKUP($B7,'PW G-Poles'!$B$5:$AI$31,14,FALSE)),0)+IFERROR(IF(VLOOKUP($B7,'PW G-Goats'!$B$5:$AI$31,14,FALSE)=" ",0,VLOOKUP($B7,'PW G-Goats'!$B$5:$AI$31,14,FALSE)),0)</f>
        <v>36</v>
      </c>
      <c r="J7" s="95">
        <f t="shared" si="4"/>
        <v>36</v>
      </c>
      <c r="K7" s="91">
        <f t="shared" si="5"/>
        <v>2</v>
      </c>
      <c r="L7" s="121">
        <f>IFERROR(IF(VLOOKUP($B7,'PW G-Breakaway'!$B$5:$AI$24,18,FALSE)=" ",0,VLOOKUP($B7,'PW G-Breakaway'!$B$5:$AI$24,18,FALSE)),0)+IFERROR(IF(VLOOKUP($B7,'PW G-Barrels'!$B$5:$AI$30,18,FALSE)=" ",0,VLOOKUP($B7,'PW G-Barrels'!$B$5:$AI$30,18,FALSE)),0)+IFERROR(IF(VLOOKUP($B7,'PW G-Poles'!$B$5:$AI$31,18,FALSE)=" ",0,VLOOKUP($B7,'PW G-Poles'!$B$5:$AI$31,18,FALSE)),0)+IFERROR(IF(VLOOKUP($B7,'PW G-Goats'!$B$5:$AI$31,18,FALSE)=" ",0,VLOOKUP($B7,'PW G-Goats'!$B$5:$AI$31,18,FALSE)),0)</f>
        <v>9</v>
      </c>
      <c r="M7" s="95">
        <f t="shared" si="6"/>
        <v>9</v>
      </c>
      <c r="N7" s="91">
        <f t="shared" si="7"/>
        <v>10</v>
      </c>
      <c r="O7" s="121">
        <f>IFERROR(IF(VLOOKUP($B7,'PW G-Breakaway'!$B$5:$AI$24,22,FALSE)=" ",0,VLOOKUP($B7,'PW G-Breakaway'!$B$5:$AI$24,22,FALSE)),0)+IFERROR(IF(VLOOKUP($B7,'PW G-Barrels'!$B$5:$AI$30,22,FALSE)=" ",0,VLOOKUP($B7,'PW G-Barrels'!$B$5:$AI$30,22,FALSE)),0)+IFERROR(IF(VLOOKUP($B7,'PW G-Poles'!$B$5:$AI$31,22,FALSE)=" ",0,VLOOKUP($B7,'PW G-Poles'!$B$5:$AI$31,22,FALSE)),0)+IFERROR(IF(VLOOKUP($B7,'PW G-Goats'!$B$5:$AI$31,22,FALSE)=" ",0,VLOOKUP($B7,'PW G-Goats'!$B$5:$AI$31,22,FALSE)),0)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IFERROR(IF(VLOOKUP($B7,'PW G-Breakaway'!$B$5:$AI$24,26,FALSE)=" ",0,VLOOKUP($B7,'PW G-Breakaway'!$B$5:$AI$24,26,FALSE)),0)+IFERROR(IF(VLOOKUP($B7,'PW G-Barrels'!$B$5:$AI$30,26,FALSE)=" ",0,VLOOKUP($B7,'PW G-Barrels'!$B$5:$AI$30,26,FALSE)),0)+IFERROR(IF(VLOOKUP($B7,'PW G-Poles'!$B$5:$AI$31,26,FALSE)=" ",0,VLOOKUP($B7,'PW G-Poles'!$B$5:$AI$31,26,FALSE)),0)+IFERROR(IF(VLOOKUP($B7,'PW G-Goats'!$B$5:$AI$31,26,FALSE)=" ",0,VLOOKUP($B7,'PW G-Goats'!$B$5:$AI$31,26,FALSE)),0)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IFERROR(IF(VLOOKUP($B7,'PW G-Breakaway'!$B$5:$AI$24,30,FALSE)=" ",0,VLOOKUP($B7,'PW G-Breakaway'!$B$5:$AI$24,30,FALSE)),0)+IFERROR(IF(VLOOKUP($B7,'PW G-Barrels'!$B$5:$AI$30,30,FALSE)=" ",0,VLOOKUP($B7,'PW G-Barrels'!$B$5:$AI$30,30,FALSE)),0)+IFERROR(IF(VLOOKUP($B7,'PW G-Poles'!$B$5:$AI$31,30,FALSE)=" ",0,VLOOKUP($B7,'PW G-Poles'!$B$5:$AI$31,30,FALSE)),0)+IFERROR(IF(VLOOKUP($B7,'PW G-Goats'!$B$5:$AI$31,30,FALSE)=" ",0,VLOOKUP($B7,'PW G-Goats'!$B$5:$AI$31,30,FALSE)),0)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IFERROR(IF(VLOOKUP($B7,'PW G-Breakaway'!$B$5:$AI$24,34,FALSE)=" ",0,VLOOKUP($B7,'PW G-Breakaway'!$B$5:$AI$24,34,FALSE)),0)+IFERROR(IF(VLOOKUP($B7,'PW G-Barrels'!$B$5:$AI$30,34,FALSE)=" ",0,VLOOKUP($B7,'PW G-Barrels'!$B$5:$AI$30,34,FALSE)),0)+IFERROR(IF(VLOOKUP($B7,'PW G-Poles'!$B$5:$AI$31,34,FALSE)=" ",0,VLOOKUP($B7,'PW G-Poles'!$B$5:$AI$31,34,FALSE)),0)+IFERROR(IF(VLOOKUP($B7,'PW G-Goats'!$B$5:$AI$31,34,FALSE)=" ",0,VLOOKUP($B7,'PW G-Goats'!$B$5:$AI$31,34,FALSE)),0)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81</v>
      </c>
      <c r="AB7" s="95">
        <f t="shared" si="16"/>
        <v>81</v>
      </c>
      <c r="AC7" s="91">
        <f t="shared" si="17"/>
        <v>3</v>
      </c>
    </row>
    <row r="8" spans="2:29" x14ac:dyDescent="0.3">
      <c r="B8" s="152" t="s">
        <v>253</v>
      </c>
      <c r="C8" s="120">
        <f>IFERROR(IF(VLOOKUP($B8,'PW G-Breakaway'!$B$5:$AI$24,6,FALSE)=" ",0,VLOOKUP($B8,'PW G-Breakaway'!$B$5:$AI$24,6,FALSE)),0)+IFERROR(IF(VLOOKUP($B8,'PW G-Barrels'!$B$5:$AI$30,6,FALSE)=" ",0,VLOOKUP($B8,'PW G-Barrels'!$B$5:$AI$30,6,FALSE)),0)+IFERROR(IF(VLOOKUP($B8,'PW G-Poles'!$B$5:$AI$31,6,FALSE)=" ",0,VLOOKUP($B8,'PW G-Poles'!$B$5:$AI$31,6,FALSE)),0)+IFERROR(IF(VLOOKUP($B8,'PW G-Goats'!$B$5:$AI$31,6,FALSE)=" ",0,VLOOKUP($B8,'PW G-Goats'!$B$5:$AI$31,6,FALSE)),0)</f>
        <v>0</v>
      </c>
      <c r="D8" s="95" t="str">
        <f t="shared" si="0"/>
        <v xml:space="preserve"> </v>
      </c>
      <c r="E8" s="122" t="str">
        <f t="shared" si="1"/>
        <v xml:space="preserve"> </v>
      </c>
      <c r="F8" s="121">
        <f>IFERROR(IF(VLOOKUP($B8,'PW G-Breakaway'!$B$5:$AI$24,10,FALSE)=" ",0,VLOOKUP($B8,'PW G-Breakaway'!$B$5:$AI$24,10,FALSE)),0)+IFERROR(IF(VLOOKUP($B8,'PW G-Barrels'!$B$5:$AI$30,10,FALSE)=" ",0,VLOOKUP($B8,'PW G-Barrels'!$B$5:$AI$30,10,FALSE)),0)+IFERROR(IF(VLOOKUP($B8,'PW G-Poles'!$B$5:$AI$31,10,FALSE)=" ",0,VLOOKUP($B8,'PW G-Poles'!$B$5:$AI$31,10,FALSE)),0)+IFERROR(IF(VLOOKUP($B8,'PW G-Goats'!$B$5:$AI$31,10,FALSE)=" ",0,VLOOKUP($B8,'PW G-Goats'!$B$5:$AI$31,10,FALSE)),0)</f>
        <v>12</v>
      </c>
      <c r="G8" s="95">
        <f t="shared" si="2"/>
        <v>12</v>
      </c>
      <c r="H8" s="122">
        <f t="shared" si="3"/>
        <v>8</v>
      </c>
      <c r="I8" s="121">
        <f>IFERROR(IF(VLOOKUP($B8,'PW G-Breakaway'!$B$5:$AI$24,14,FALSE)=" ",0,VLOOKUP($B8,'PW G-Breakaway'!$B$5:$AI$24,14,FALSE)),0)+IFERROR(IF(VLOOKUP($B8,'PW G-Barrels'!$B$5:$AI$30,14,FALSE)=" ",0,VLOOKUP($B8,'PW G-Barrels'!$B$5:$AI$30,14,FALSE)),0)+IFERROR(IF(VLOOKUP($B8,'PW G-Poles'!$B$5:$AI$31,14,FALSE)=" ",0,VLOOKUP($B8,'PW G-Poles'!$B$5:$AI$31,14,FALSE)),0)+IFERROR(IF(VLOOKUP($B8,'PW G-Goats'!$B$5:$AI$31,14,FALSE)=" ",0,VLOOKUP($B8,'PW G-Goats'!$B$5:$AI$31,14,FALSE)),0)</f>
        <v>24</v>
      </c>
      <c r="J8" s="95">
        <f t="shared" si="4"/>
        <v>24</v>
      </c>
      <c r="K8" s="122">
        <f t="shared" si="5"/>
        <v>4</v>
      </c>
      <c r="L8" s="121">
        <f>IFERROR(IF(VLOOKUP($B8,'PW G-Breakaway'!$B$5:$AI$24,18,FALSE)=" ",0,VLOOKUP($B8,'PW G-Breakaway'!$B$5:$AI$24,18,FALSE)),0)+IFERROR(IF(VLOOKUP($B8,'PW G-Barrels'!$B$5:$AI$30,18,FALSE)=" ",0,VLOOKUP($B8,'PW G-Barrels'!$B$5:$AI$30,18,FALSE)),0)+IFERROR(IF(VLOOKUP($B8,'PW G-Poles'!$B$5:$AI$31,18,FALSE)=" ",0,VLOOKUP($B8,'PW G-Poles'!$B$5:$AI$31,18,FALSE)),0)+IFERROR(IF(VLOOKUP($B8,'PW G-Goats'!$B$5:$AI$31,18,FALSE)=" ",0,VLOOKUP($B8,'PW G-Goats'!$B$5:$AI$31,18,FALSE)),0)</f>
        <v>24</v>
      </c>
      <c r="M8" s="95">
        <f t="shared" si="6"/>
        <v>24</v>
      </c>
      <c r="N8" s="122">
        <f t="shared" si="7"/>
        <v>2</v>
      </c>
      <c r="O8" s="121">
        <f>IFERROR(IF(VLOOKUP($B8,'PW G-Breakaway'!$B$5:$AI$24,22,FALSE)=" ",0,VLOOKUP($B8,'PW G-Breakaway'!$B$5:$AI$24,22,FALSE)),0)+IFERROR(IF(VLOOKUP($B8,'PW G-Barrels'!$B$5:$AI$30,22,FALSE)=" ",0,VLOOKUP($B8,'PW G-Barrels'!$B$5:$AI$30,22,FALSE)),0)+IFERROR(IF(VLOOKUP($B8,'PW G-Poles'!$B$5:$AI$31,22,FALSE)=" ",0,VLOOKUP($B8,'PW G-Poles'!$B$5:$AI$31,22,FALSE)),0)+IFERROR(IF(VLOOKUP($B8,'PW G-Goats'!$B$5:$AI$31,22,FALSE)=" ",0,VLOOKUP($B8,'PW G-Goats'!$B$5:$AI$31,22,FALSE)),0)</f>
        <v>0</v>
      </c>
      <c r="P8" s="95" t="str">
        <f t="shared" si="8"/>
        <v xml:space="preserve"> </v>
      </c>
      <c r="Q8" s="122" t="str">
        <f t="shared" si="9"/>
        <v xml:space="preserve"> </v>
      </c>
      <c r="R8" s="121">
        <f>IFERROR(IF(VLOOKUP($B8,'PW G-Breakaway'!$B$5:$AI$24,26,FALSE)=" ",0,VLOOKUP($B8,'PW G-Breakaway'!$B$5:$AI$24,26,FALSE)),0)+IFERROR(IF(VLOOKUP($B8,'PW G-Barrels'!$B$5:$AI$30,26,FALSE)=" ",0,VLOOKUP($B8,'PW G-Barrels'!$B$5:$AI$30,26,FALSE)),0)+IFERROR(IF(VLOOKUP($B8,'PW G-Poles'!$B$5:$AI$31,26,FALSE)=" ",0,VLOOKUP($B8,'PW G-Poles'!$B$5:$AI$31,26,FALSE)),0)+IFERROR(IF(VLOOKUP($B8,'PW G-Goats'!$B$5:$AI$31,26,FALSE)=" ",0,VLOOKUP($B8,'PW G-Goats'!$B$5:$AI$31,26,FALSE)),0)</f>
        <v>0</v>
      </c>
      <c r="S8" s="95" t="str">
        <f t="shared" si="10"/>
        <v xml:space="preserve"> </v>
      </c>
      <c r="T8" s="122" t="str">
        <f t="shared" si="11"/>
        <v xml:space="preserve"> </v>
      </c>
      <c r="U8" s="121">
        <f>IFERROR(IF(VLOOKUP($B8,'PW G-Breakaway'!$B$5:$AI$24,30,FALSE)=" ",0,VLOOKUP($B8,'PW G-Breakaway'!$B$5:$AI$24,30,FALSE)),0)+IFERROR(IF(VLOOKUP($B8,'PW G-Barrels'!$B$5:$AI$30,30,FALSE)=" ",0,VLOOKUP($B8,'PW G-Barrels'!$B$5:$AI$30,30,FALSE)),0)+IFERROR(IF(VLOOKUP($B8,'PW G-Poles'!$B$5:$AI$31,30,FALSE)=" ",0,VLOOKUP($B8,'PW G-Poles'!$B$5:$AI$31,30,FALSE)),0)+IFERROR(IF(VLOOKUP($B8,'PW G-Goats'!$B$5:$AI$31,30,FALSE)=" ",0,VLOOKUP($B8,'PW G-Goats'!$B$5:$AI$31,30,FALSE)),0)</f>
        <v>0</v>
      </c>
      <c r="V8" s="95" t="str">
        <f t="shared" si="12"/>
        <v xml:space="preserve"> </v>
      </c>
      <c r="W8" s="122" t="str">
        <f t="shared" si="13"/>
        <v xml:space="preserve"> </v>
      </c>
      <c r="X8" s="121">
        <f>IFERROR(IF(VLOOKUP($B8,'PW G-Breakaway'!$B$5:$AI$24,34,FALSE)=" ",0,VLOOKUP($B8,'PW G-Breakaway'!$B$5:$AI$24,34,FALSE)),0)+IFERROR(IF(VLOOKUP($B8,'PW G-Barrels'!$B$5:$AI$30,34,FALSE)=" ",0,VLOOKUP($B8,'PW G-Barrels'!$B$5:$AI$30,34,FALSE)),0)+IFERROR(IF(VLOOKUP($B8,'PW G-Poles'!$B$5:$AI$31,34,FALSE)=" ",0,VLOOKUP($B8,'PW G-Poles'!$B$5:$AI$31,34,FALSE)),0)+IFERROR(IF(VLOOKUP($B8,'PW G-Goats'!$B$5:$AI$31,34,FALSE)=" ",0,VLOOKUP($B8,'PW G-Goats'!$B$5:$AI$31,34,FALSE)),0)</f>
        <v>0</v>
      </c>
      <c r="Y8" s="95" t="str">
        <f t="shared" si="14"/>
        <v xml:space="preserve"> </v>
      </c>
      <c r="Z8" s="122" t="str">
        <f t="shared" si="15"/>
        <v xml:space="preserve"> </v>
      </c>
      <c r="AA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60</v>
      </c>
      <c r="AB8" s="95">
        <f t="shared" si="16"/>
        <v>60</v>
      </c>
      <c r="AC8" s="122">
        <f t="shared" si="17"/>
        <v>4</v>
      </c>
    </row>
    <row r="9" spans="2:29" x14ac:dyDescent="0.3">
      <c r="B9" s="152" t="s">
        <v>137</v>
      </c>
      <c r="C9" s="120">
        <f>IFERROR(IF(VLOOKUP($B9,'PW G-Breakaway'!$B$5:$AI$24,6,FALSE)=" ",0,VLOOKUP($B9,'PW G-Breakaway'!$B$5:$AI$24,6,FALSE)),0)+IFERROR(IF(VLOOKUP($B9,'PW G-Barrels'!$B$5:$AI$31,6,FALSE)=" ",0,VLOOKUP($B9,'PW G-Barrels'!$B$5:$AI$31,6,FALSE)),0)+IFERROR(IF(VLOOKUP($B9,'PW G-Poles'!$B$5:$AI$31,6,FALSE)=" ",0,VLOOKUP($B9,'PW G-Poles'!$B$5:$AI$31,6,FALSE)),0)+IFERROR(IF(VLOOKUP($B9,'PW G-Goats'!$B$5:$AI$31,6,FALSE)=" ",0,VLOOKUP($B9,'PW G-Goats'!$B$5:$AI$31,6,FALSE)),0)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IFERROR(IF(VLOOKUP($B9,'PW G-Breakaway'!$B$5:$AI$24,10,FALSE)=" ",0,VLOOKUP($B9,'PW G-Breakaway'!$B$5:$AI$24,10,FALSE)),0)+IFERROR(IF(VLOOKUP($B9,'PW G-Barrels'!$B$5:$AI$31,10,FALSE)=" ",0,VLOOKUP($B9,'PW G-Barrels'!$B$5:$AI$31,10,FALSE)),0)+IFERROR(IF(VLOOKUP($B9,'PW G-Poles'!$B$5:$AI$31,10,FALSE)=" ",0,VLOOKUP($B9,'PW G-Poles'!$B$5:$AI$31,10,FALSE)),0)+IFERROR(IF(VLOOKUP($B9,'PW G-Goats'!$B$5:$AI$31,10,FALSE)=" ",0,VLOOKUP($B9,'PW G-Goats'!$B$5:$AI$31,10,FALSE)),0)</f>
        <v>18</v>
      </c>
      <c r="G9" s="95">
        <f t="shared" si="2"/>
        <v>18</v>
      </c>
      <c r="H9" s="122">
        <f t="shared" si="3"/>
        <v>5</v>
      </c>
      <c r="I9" s="121">
        <f>IFERROR(IF(VLOOKUP($B9,'PW G-Breakaway'!$B$5:$AI$24,14,FALSE)=" ",0,VLOOKUP($B9,'PW G-Breakaway'!$B$5:$AI$24,14,FALSE)),0)+IFERROR(IF(VLOOKUP($B9,'PW G-Barrels'!$B$5:$AI$31,14,FALSE)=" ",0,VLOOKUP($B9,'PW G-Barrels'!$B$5:$AI$31,14,FALSE)),0)+IFERROR(IF(VLOOKUP($B9,'PW G-Poles'!$B$5:$AI$31,14,FALSE)=" ",0,VLOOKUP($B9,'PW G-Poles'!$B$5:$AI$31,14,FALSE)),0)+IFERROR(IF(VLOOKUP($B9,'PW G-Goats'!$B$5:$AI$31,14,FALSE)=" ",0,VLOOKUP($B9,'PW G-Goats'!$B$5:$AI$31,14,FALSE)),0)</f>
        <v>24</v>
      </c>
      <c r="J9" s="95">
        <f t="shared" si="4"/>
        <v>24</v>
      </c>
      <c r="K9" s="122">
        <f t="shared" si="5"/>
        <v>4</v>
      </c>
      <c r="L9" s="121">
        <f>IFERROR(IF(VLOOKUP($B9,'PW G-Breakaway'!$B$5:$AI$24,18,FALSE)=" ",0,VLOOKUP($B9,'PW G-Breakaway'!$B$5:$AI$24,18,FALSE)),0)+IFERROR(IF(VLOOKUP($B9,'PW G-Barrels'!$B$5:$AI$31,18,FALSE)=" ",0,VLOOKUP($B9,'PW G-Barrels'!$B$5:$AI$31,18,FALSE)),0)+IFERROR(IF(VLOOKUP($B9,'PW G-Poles'!$B$5:$AI$31,18,FALSE)=" ",0,VLOOKUP($B9,'PW G-Poles'!$B$5:$AI$31,18,FALSE)),0)+IFERROR(IF(VLOOKUP($B9,'PW G-Goats'!$B$5:$AI$31,18,FALSE)=" ",0,VLOOKUP($B9,'PW G-Goats'!$B$5:$AI$31,18,FALSE)),0)</f>
        <v>18</v>
      </c>
      <c r="M9" s="95">
        <f t="shared" si="6"/>
        <v>18</v>
      </c>
      <c r="N9" s="122">
        <f t="shared" si="7"/>
        <v>4</v>
      </c>
      <c r="O9" s="121">
        <f>IFERROR(IF(VLOOKUP($B9,'PW G-Breakaway'!$B$5:$AI$24,22,FALSE)=" ",0,VLOOKUP($B9,'PW G-Breakaway'!$B$5:$AI$24,22,FALSE)),0)+IFERROR(IF(VLOOKUP($B9,'PW G-Barrels'!$B$5:$AI$31,22,FALSE)=" ",0,VLOOKUP($B9,'PW G-Barrels'!$B$5:$AI$31,22,FALSE)),0)+IFERROR(IF(VLOOKUP($B9,'PW G-Poles'!$B$5:$AI$31,22,FALSE)=" ",0,VLOOKUP($B9,'PW G-Poles'!$B$5:$AI$31,22,FALSE)),0)+IFERROR(IF(VLOOKUP($B9,'PW G-Goats'!$B$5:$AI$31,22,FALSE)=" ",0,VLOOKUP($B9,'PW G-Goats'!$B$5:$AI$31,22,FALSE)),0)</f>
        <v>0</v>
      </c>
      <c r="P9" s="95" t="str">
        <f t="shared" si="8"/>
        <v xml:space="preserve"> </v>
      </c>
      <c r="Q9" s="122" t="str">
        <f t="shared" si="9"/>
        <v xml:space="preserve"> </v>
      </c>
      <c r="R9" s="121">
        <f>IFERROR(IF(VLOOKUP($B9,'PW G-Breakaway'!$B$5:$AI$24,26,FALSE)=" ",0,VLOOKUP($B9,'PW G-Breakaway'!$B$5:$AI$24,26,FALSE)),0)+IFERROR(IF(VLOOKUP($B9,'PW G-Barrels'!$B$5:$AI$31,26,FALSE)=" ",0,VLOOKUP($B9,'PW G-Barrels'!$B$5:$AI$31,26,FALSE)),0)+IFERROR(IF(VLOOKUP($B9,'PW G-Poles'!$B$5:$AI$31,26,FALSE)=" ",0,VLOOKUP($B9,'PW G-Poles'!$B$5:$AI$31,26,FALSE)),0)+IFERROR(IF(VLOOKUP($B9,'PW G-Goats'!$B$5:$AI$31,26,FALSE)=" ",0,VLOOKUP($B9,'PW G-Goats'!$B$5:$AI$31,26,FALSE)),0)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IFERROR(IF(VLOOKUP($B9,'PW G-Breakaway'!$B$5:$AI$24,30,FALSE)=" ",0,VLOOKUP($B9,'PW G-Breakaway'!$B$5:$AI$24,30,FALSE)),0)+IFERROR(IF(VLOOKUP($B9,'PW G-Barrels'!$B$5:$AI$31,30,FALSE)=" ",0,VLOOKUP($B9,'PW G-Barrels'!$B$5:$AI$31,30,FALSE)),0)+IFERROR(IF(VLOOKUP($B9,'PW G-Poles'!$B$5:$AI$31,30,FALSE)=" ",0,VLOOKUP($B9,'PW G-Poles'!$B$5:$AI$31,30,FALSE)),0)+IFERROR(IF(VLOOKUP($B9,'PW G-Goats'!$B$5:$AI$31,30,FALSE)=" ",0,VLOOKUP($B9,'PW G-Goats'!$B$5:$AI$31,30,FALSE)),0)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IFERROR(IF(VLOOKUP($B9,'PW G-Breakaway'!$B$5:$AI$24,34,FALSE)=" ",0,VLOOKUP($B9,'PW G-Breakaway'!$B$5:$AI$24,34,FALSE)),0)+IFERROR(IF(VLOOKUP($B9,'PW G-Barrels'!$B$5:$AI$31,34,FALSE)=" ",0,VLOOKUP($B9,'PW G-Barrels'!$B$5:$AI$31,34,FALSE)),0)+IFERROR(IF(VLOOKUP($B9,'PW G-Poles'!$B$5:$AI$31,34,FALSE)=" ",0,VLOOKUP($B9,'PW G-Poles'!$B$5:$AI$31,34,FALSE)),0)+IFERROR(IF(VLOOKUP($B9,'PW G-Goats'!$B$5:$AI$31,34,FALSE)=" ",0,VLOOKUP($B9,'PW G-Goats'!$B$5:$AI$31,34,FALSE)),0)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60</v>
      </c>
      <c r="AB9" s="95">
        <f t="shared" si="16"/>
        <v>60</v>
      </c>
      <c r="AC9" s="122">
        <f t="shared" si="17"/>
        <v>4</v>
      </c>
    </row>
    <row r="10" spans="2:29" x14ac:dyDescent="0.3">
      <c r="B10" s="152" t="s">
        <v>257</v>
      </c>
      <c r="C10" s="120">
        <f>IFERROR(IF(VLOOKUP($B10,'PW G-Breakaway'!$B$5:$AI$24,6,FALSE)=" ",0,VLOOKUP($B10,'PW G-Breakaway'!$B$5:$AI$24,6,FALSE)),0)+IFERROR(IF(VLOOKUP($B10,'PW G-Barrels'!$B$5:$AI$30,6,FALSE)=" ",0,VLOOKUP($B10,'PW G-Barrels'!$B$5:$AI$30,6,FALSE)),0)+IFERROR(IF(VLOOKUP($B10,'PW G-Poles'!$B$5:$AI$31,6,FALSE)=" ",0,VLOOKUP($B10,'PW G-Poles'!$B$5:$AI$31,6,FALSE)),0)+IFERROR(IF(VLOOKUP($B10,'PW G-Goats'!$B$5:$AI$31,6,FALSE)=" ",0,VLOOKUP($B10,'PW G-Goats'!$B$5:$AI$31,6,FALSE)),0)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IFERROR(IF(VLOOKUP($B10,'PW G-Breakaway'!$B$5:$AI$24,10,FALSE)=" ",0,VLOOKUP($B10,'PW G-Breakaway'!$B$5:$AI$24,10,FALSE)),0)+IFERROR(IF(VLOOKUP($B10,'PW G-Barrels'!$B$5:$AI$30,10,FALSE)=" ",0,VLOOKUP($B10,'PW G-Barrels'!$B$5:$AI$30,10,FALSE)),0)+IFERROR(IF(VLOOKUP($B10,'PW G-Poles'!$B$5:$AI$31,10,FALSE)=" ",0,VLOOKUP($B10,'PW G-Poles'!$B$5:$AI$31,10,FALSE)),0)+IFERROR(IF(VLOOKUP($B10,'PW G-Goats'!$B$5:$AI$31,10,FALSE)=" ",0,VLOOKUP($B10,'PW G-Goats'!$B$5:$AI$31,10,FALSE)),0)</f>
        <v>18</v>
      </c>
      <c r="G10" s="95">
        <f t="shared" si="2"/>
        <v>18</v>
      </c>
      <c r="H10" s="91">
        <f t="shared" si="3"/>
        <v>5</v>
      </c>
      <c r="I10" s="121">
        <f>IFERROR(IF(VLOOKUP($B10,'PW G-Breakaway'!$B$5:$AI$24,14,FALSE)=" ",0,VLOOKUP($B10,'PW G-Breakaway'!$B$5:$AI$24,14,FALSE)),0)+IFERROR(IF(VLOOKUP($B10,'PW G-Barrels'!$B$5:$AI$30,14,FALSE)=" ",0,VLOOKUP($B10,'PW G-Barrels'!$B$5:$AI$30,14,FALSE)),0)+IFERROR(IF(VLOOKUP($B10,'PW G-Poles'!$B$5:$AI$31,14,FALSE)=" ",0,VLOOKUP($B10,'PW G-Poles'!$B$5:$AI$31,14,FALSE)),0)+IFERROR(IF(VLOOKUP($B10,'PW G-Goats'!$B$5:$AI$31,14,FALSE)=" ",0,VLOOKUP($B10,'PW G-Goats'!$B$5:$AI$31,14,FALSE)),0)</f>
        <v>15</v>
      </c>
      <c r="J10" s="95">
        <f t="shared" si="4"/>
        <v>15</v>
      </c>
      <c r="K10" s="91">
        <f t="shared" si="5"/>
        <v>6</v>
      </c>
      <c r="L10" s="121">
        <f>IFERROR(IF(VLOOKUP($B10,'PW G-Breakaway'!$B$5:$AI$24,18,FALSE)=" ",0,VLOOKUP($B10,'PW G-Breakaway'!$B$5:$AI$24,18,FALSE)),0)+IFERROR(IF(VLOOKUP($B10,'PW G-Barrels'!$B$5:$AI$30,18,FALSE)=" ",0,VLOOKUP($B10,'PW G-Barrels'!$B$5:$AI$30,18,FALSE)),0)+IFERROR(IF(VLOOKUP($B10,'PW G-Poles'!$B$5:$AI$31,18,FALSE)=" ",0,VLOOKUP($B10,'PW G-Poles'!$B$5:$AI$31,18,FALSE)),0)+IFERROR(IF(VLOOKUP($B10,'PW G-Goats'!$B$5:$AI$31,18,FALSE)=" ",0,VLOOKUP($B10,'PW G-Goats'!$B$5:$AI$31,18,FALSE)),0)</f>
        <v>12</v>
      </c>
      <c r="M10" s="95">
        <f t="shared" si="6"/>
        <v>12</v>
      </c>
      <c r="N10" s="91">
        <f t="shared" si="7"/>
        <v>7</v>
      </c>
      <c r="O10" s="121">
        <f>IFERROR(IF(VLOOKUP($B10,'PW G-Breakaway'!$B$5:$AI$24,22,FALSE)=" ",0,VLOOKUP($B10,'PW G-Breakaway'!$B$5:$AI$24,22,FALSE)),0)+IFERROR(IF(VLOOKUP($B10,'PW G-Barrels'!$B$5:$AI$30,22,FALSE)=" ",0,VLOOKUP($B10,'PW G-Barrels'!$B$5:$AI$30,22,FALSE)),0)+IFERROR(IF(VLOOKUP($B10,'PW G-Poles'!$B$5:$AI$31,22,FALSE)=" ",0,VLOOKUP($B10,'PW G-Poles'!$B$5:$AI$31,22,FALSE)),0)+IFERROR(IF(VLOOKUP($B10,'PW G-Goats'!$B$5:$AI$31,22,FALSE)=" ",0,VLOOKUP($B10,'PW G-Goats'!$B$5:$AI$31,22,FALSE)),0)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IFERROR(IF(VLOOKUP($B10,'PW G-Breakaway'!$B$5:$AI$24,26,FALSE)=" ",0,VLOOKUP($B10,'PW G-Breakaway'!$B$5:$AI$24,26,FALSE)),0)+IFERROR(IF(VLOOKUP($B10,'PW G-Barrels'!$B$5:$AI$30,26,FALSE)=" ",0,VLOOKUP($B10,'PW G-Barrels'!$B$5:$AI$30,26,FALSE)),0)+IFERROR(IF(VLOOKUP($B10,'PW G-Poles'!$B$5:$AI$31,26,FALSE)=" ",0,VLOOKUP($B10,'PW G-Poles'!$B$5:$AI$31,26,FALSE)),0)+IFERROR(IF(VLOOKUP($B10,'PW G-Goats'!$B$5:$AI$31,26,FALSE)=" ",0,VLOOKUP($B10,'PW G-Goats'!$B$5:$AI$31,26,FALSE)),0)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IFERROR(IF(VLOOKUP($B10,'PW G-Breakaway'!$B$5:$AI$24,30,FALSE)=" ",0,VLOOKUP($B10,'PW G-Breakaway'!$B$5:$AI$24,30,FALSE)),0)+IFERROR(IF(VLOOKUP($B10,'PW G-Barrels'!$B$5:$AI$30,30,FALSE)=" ",0,VLOOKUP($B10,'PW G-Barrels'!$B$5:$AI$30,30,FALSE)),0)+IFERROR(IF(VLOOKUP($B10,'PW G-Poles'!$B$5:$AI$31,30,FALSE)=" ",0,VLOOKUP($B10,'PW G-Poles'!$B$5:$AI$31,30,FALSE)),0)+IFERROR(IF(VLOOKUP($B10,'PW G-Goats'!$B$5:$AI$31,30,FALSE)=" ",0,VLOOKUP($B10,'PW G-Goats'!$B$5:$AI$31,30,FALSE)),0)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IFERROR(IF(VLOOKUP($B10,'PW G-Breakaway'!$B$5:$AI$24,34,FALSE)=" ",0,VLOOKUP($B10,'PW G-Breakaway'!$B$5:$AI$24,34,FALSE)),0)+IFERROR(IF(VLOOKUP($B10,'PW G-Barrels'!$B$5:$AI$30,34,FALSE)=" ",0,VLOOKUP($B10,'PW G-Barrels'!$B$5:$AI$30,34,FALSE)),0)+IFERROR(IF(VLOOKUP($B10,'PW G-Poles'!$B$5:$AI$31,34,FALSE)=" ",0,VLOOKUP($B10,'PW G-Poles'!$B$5:$AI$31,34,FALSE)),0)+IFERROR(IF(VLOOKUP($B10,'PW G-Goats'!$B$5:$AI$31,34,FALSE)=" ",0,VLOOKUP($B10,'PW G-Goats'!$B$5:$AI$31,34,FALSE)),0)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45</v>
      </c>
      <c r="AB10" s="95">
        <f t="shared" si="16"/>
        <v>45</v>
      </c>
      <c r="AC10" s="91">
        <f t="shared" si="17"/>
        <v>6</v>
      </c>
    </row>
    <row r="11" spans="2:29" x14ac:dyDescent="0.3">
      <c r="B11" s="152" t="s">
        <v>172</v>
      </c>
      <c r="C11" s="120">
        <f>IFERROR(IF(VLOOKUP($B11,'PW G-Breakaway'!$B$5:$AI$24,6,FALSE)=" ",0,VLOOKUP($B11,'PW G-Breakaway'!$B$5:$AI$24,6,FALSE)),0)+IFERROR(IF(VLOOKUP($B11,'PW G-Barrels'!$B$5:$AI$30,6,FALSE)=" ",0,VLOOKUP($B11,'PW G-Barrels'!$B$5:$AI$30,6,FALSE)),0)+IFERROR(IF(VLOOKUP($B11,'PW G-Poles'!$B$5:$AI$31,6,FALSE)=" ",0,VLOOKUP($B11,'PW G-Poles'!$B$5:$AI$31,6,FALSE)),0)+IFERROR(IF(VLOOKUP($B11,'PW G-Goats'!$B$5:$AI$31,6,FALSE)=" ",0,VLOOKUP($B11,'PW G-Goats'!$B$5:$AI$31,6,FALSE)),0)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IFERROR(IF(VLOOKUP($B11,'PW G-Breakaway'!$B$5:$AI$24,10,FALSE)=" ",0,VLOOKUP($B11,'PW G-Breakaway'!$B$5:$AI$24,10,FALSE)),0)+IFERROR(IF(VLOOKUP($B11,'PW G-Barrels'!$B$5:$AI$30,10,FALSE)=" ",0,VLOOKUP($B11,'PW G-Barrels'!$B$5:$AI$30,10,FALSE)),0)+IFERROR(IF(VLOOKUP($B11,'PW G-Poles'!$B$5:$AI$31,10,FALSE)=" ",0,VLOOKUP($B11,'PW G-Poles'!$B$5:$AI$31,10,FALSE)),0)+IFERROR(IF(VLOOKUP($B11,'PW G-Goats'!$B$5:$AI$31,10,FALSE)=" ",0,VLOOKUP($B11,'PW G-Goats'!$B$5:$AI$31,10,FALSE)),0)</f>
        <v>30</v>
      </c>
      <c r="G11" s="95">
        <f t="shared" si="2"/>
        <v>30</v>
      </c>
      <c r="H11" s="91">
        <f t="shared" si="3"/>
        <v>3</v>
      </c>
      <c r="I11" s="121">
        <f>IFERROR(IF(VLOOKUP($B11,'PW G-Breakaway'!$B$5:$AI$24,14,FALSE)=" ",0,VLOOKUP($B11,'PW G-Breakaway'!$B$5:$AI$24,14,FALSE)),0)+IFERROR(IF(VLOOKUP($B11,'PW G-Barrels'!$B$5:$AI$30,14,FALSE)=" ",0,VLOOKUP($B11,'PW G-Barrels'!$B$5:$AI$30,14,FALSE)),0)+IFERROR(IF(VLOOKUP($B11,'PW G-Poles'!$B$5:$AI$31,14,FALSE)=" ",0,VLOOKUP($B11,'PW G-Poles'!$B$5:$AI$31,14,FALSE)),0)+IFERROR(IF(VLOOKUP($B11,'PW G-Goats'!$B$5:$AI$31,14,FALSE)=" ",0,VLOOKUP($B11,'PW G-Goats'!$B$5:$AI$31,14,FALSE)),0)</f>
        <v>0</v>
      </c>
      <c r="J11" s="95" t="str">
        <f t="shared" si="4"/>
        <v xml:space="preserve"> </v>
      </c>
      <c r="K11" s="91" t="str">
        <f t="shared" si="5"/>
        <v xml:space="preserve"> </v>
      </c>
      <c r="L11" s="121">
        <f>IFERROR(IF(VLOOKUP($B11,'PW G-Breakaway'!$B$5:$AI$24,18,FALSE)=" ",0,VLOOKUP($B11,'PW G-Breakaway'!$B$5:$AI$24,18,FALSE)),0)+IFERROR(IF(VLOOKUP($B11,'PW G-Barrels'!$B$5:$AI$30,18,FALSE)=" ",0,VLOOKUP($B11,'PW G-Barrels'!$B$5:$AI$30,18,FALSE)),0)+IFERROR(IF(VLOOKUP($B11,'PW G-Poles'!$B$5:$AI$31,18,FALSE)=" ",0,VLOOKUP($B11,'PW G-Poles'!$B$5:$AI$31,18,FALSE)),0)+IFERROR(IF(VLOOKUP($B11,'PW G-Goats'!$B$5:$AI$31,18,FALSE)=" ",0,VLOOKUP($B11,'PW G-Goats'!$B$5:$AI$31,18,FALSE)),0)</f>
        <v>12</v>
      </c>
      <c r="M11" s="95">
        <f t="shared" si="6"/>
        <v>12</v>
      </c>
      <c r="N11" s="91">
        <f t="shared" si="7"/>
        <v>7</v>
      </c>
      <c r="O11" s="121">
        <f>IFERROR(IF(VLOOKUP($B11,'PW G-Breakaway'!$B$5:$AI$24,22,FALSE)=" ",0,VLOOKUP($B11,'PW G-Breakaway'!$B$5:$AI$24,22,FALSE)),0)+IFERROR(IF(VLOOKUP($B11,'PW G-Barrels'!$B$5:$AI$30,22,FALSE)=" ",0,VLOOKUP($B11,'PW G-Barrels'!$B$5:$AI$30,22,FALSE)),0)+IFERROR(IF(VLOOKUP($B11,'PW G-Poles'!$B$5:$AI$31,22,FALSE)=" ",0,VLOOKUP($B11,'PW G-Poles'!$B$5:$AI$31,22,FALSE)),0)+IFERROR(IF(VLOOKUP($B11,'PW G-Goats'!$B$5:$AI$31,22,FALSE)=" ",0,VLOOKUP($B11,'PW G-Goats'!$B$5:$AI$31,22,FALSE)),0)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IFERROR(IF(VLOOKUP($B11,'PW G-Breakaway'!$B$5:$AI$24,26,FALSE)=" ",0,VLOOKUP($B11,'PW G-Breakaway'!$B$5:$AI$24,26,FALSE)),0)+IFERROR(IF(VLOOKUP($B11,'PW G-Barrels'!$B$5:$AI$30,26,FALSE)=" ",0,VLOOKUP($B11,'PW G-Barrels'!$B$5:$AI$30,26,FALSE)),0)+IFERROR(IF(VLOOKUP($B11,'PW G-Poles'!$B$5:$AI$31,26,FALSE)=" ",0,VLOOKUP($B11,'PW G-Poles'!$B$5:$AI$31,26,FALSE)),0)+IFERROR(IF(VLOOKUP($B11,'PW G-Goats'!$B$5:$AI$31,26,FALSE)=" ",0,VLOOKUP($B11,'PW G-Goats'!$B$5:$AI$31,26,FALSE)),0)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IFERROR(IF(VLOOKUP($B11,'PW G-Breakaway'!$B$5:$AI$24,30,FALSE)=" ",0,VLOOKUP($B11,'PW G-Breakaway'!$B$5:$AI$24,30,FALSE)),0)+IFERROR(IF(VLOOKUP($B11,'PW G-Barrels'!$B$5:$AI$30,30,FALSE)=" ",0,VLOOKUP($B11,'PW G-Barrels'!$B$5:$AI$30,30,FALSE)),0)+IFERROR(IF(VLOOKUP($B11,'PW G-Poles'!$B$5:$AI$31,30,FALSE)=" ",0,VLOOKUP($B11,'PW G-Poles'!$B$5:$AI$31,30,FALSE)),0)+IFERROR(IF(VLOOKUP($B11,'PW G-Goats'!$B$5:$AI$31,30,FALSE)=" ",0,VLOOKUP($B11,'PW G-Goats'!$B$5:$AI$31,30,FALSE)),0)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IFERROR(IF(VLOOKUP($B11,'PW G-Breakaway'!$B$5:$AI$24,34,FALSE)=" ",0,VLOOKUP($B11,'PW G-Breakaway'!$B$5:$AI$24,34,FALSE)),0)+IFERROR(IF(VLOOKUP($B11,'PW G-Barrels'!$B$5:$AI$30,34,FALSE)=" ",0,VLOOKUP($B11,'PW G-Barrels'!$B$5:$AI$30,34,FALSE)),0)+IFERROR(IF(VLOOKUP($B11,'PW G-Poles'!$B$5:$AI$31,34,FALSE)=" ",0,VLOOKUP($B11,'PW G-Poles'!$B$5:$AI$31,34,FALSE)),0)+IFERROR(IF(VLOOKUP($B11,'PW G-Goats'!$B$5:$AI$31,34,FALSE)=" ",0,VLOOKUP($B11,'PW G-Goats'!$B$5:$AI$31,34,FALSE)),0)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42</v>
      </c>
      <c r="AB11" s="95">
        <f t="shared" si="16"/>
        <v>42</v>
      </c>
      <c r="AC11" s="91">
        <f t="shared" si="17"/>
        <v>7</v>
      </c>
    </row>
    <row r="12" spans="2:29" x14ac:dyDescent="0.3">
      <c r="B12" s="152" t="s">
        <v>256</v>
      </c>
      <c r="C12" s="120">
        <f>IFERROR(IF(VLOOKUP($B12,'PW G-Breakaway'!$B$5:$AI$24,6,FALSE)=" ",0,VLOOKUP($B12,'PW G-Breakaway'!$B$5:$AI$24,6,FALSE)),0)+IFERROR(IF(VLOOKUP($B12,'PW G-Barrels'!$B$5:$AI$30,6,FALSE)=" ",0,VLOOKUP($B12,'PW G-Barrels'!$B$5:$AI$30,6,FALSE)),0)+IFERROR(IF(VLOOKUP($B12,'PW G-Poles'!$B$5:$AI$31,6,FALSE)=" ",0,VLOOKUP($B12,'PW G-Poles'!$B$5:$AI$31,6,FALSE)),0)+IFERROR(IF(VLOOKUP($B12,'PW G-Goats'!$B$5:$AI$31,6,FALSE)=" ",0,VLOOKUP($B12,'PW G-Goats'!$B$5:$AI$31,6,FALSE)),0)</f>
        <v>0</v>
      </c>
      <c r="D12" s="95" t="str">
        <f t="shared" si="0"/>
        <v xml:space="preserve"> </v>
      </c>
      <c r="E12" s="122" t="str">
        <f t="shared" si="1"/>
        <v xml:space="preserve"> </v>
      </c>
      <c r="F12" s="121">
        <f>IFERROR(IF(VLOOKUP($B12,'PW G-Breakaway'!$B$5:$AI$24,10,FALSE)=" ",0,VLOOKUP($B12,'PW G-Breakaway'!$B$5:$AI$24,10,FALSE)),0)+IFERROR(IF(VLOOKUP($B12,'PW G-Barrels'!$B$5:$AI$30,10,FALSE)=" ",0,VLOOKUP($B12,'PW G-Barrels'!$B$5:$AI$30,10,FALSE)),0)+IFERROR(IF(VLOOKUP($B12,'PW G-Poles'!$B$5:$AI$31,10,FALSE)=" ",0,VLOOKUP($B12,'PW G-Poles'!$B$5:$AI$31,10,FALSE)),0)+IFERROR(IF(VLOOKUP($B12,'PW G-Goats'!$B$5:$AI$31,10,FALSE)=" ",0,VLOOKUP($B12,'PW G-Goats'!$B$5:$AI$31,10,FALSE)),0)</f>
        <v>0</v>
      </c>
      <c r="G12" s="95" t="str">
        <f t="shared" si="2"/>
        <v xml:space="preserve"> </v>
      </c>
      <c r="H12" s="122" t="str">
        <f t="shared" si="3"/>
        <v xml:space="preserve"> </v>
      </c>
      <c r="I12" s="121">
        <f>IFERROR(IF(VLOOKUP($B12,'PW G-Breakaway'!$B$5:$AI$24,14,FALSE)=" ",0,VLOOKUP($B12,'PW G-Breakaway'!$B$5:$AI$24,14,FALSE)),0)+IFERROR(IF(VLOOKUP($B12,'PW G-Barrels'!$B$5:$AI$30,14,FALSE)=" ",0,VLOOKUP($B12,'PW G-Barrels'!$B$5:$AI$30,14,FALSE)),0)+IFERROR(IF(VLOOKUP($B12,'PW G-Poles'!$B$5:$AI$31,14,FALSE)=" ",0,VLOOKUP($B12,'PW G-Poles'!$B$5:$AI$31,14,FALSE)),0)+IFERROR(IF(VLOOKUP($B12,'PW G-Goats'!$B$5:$AI$31,14,FALSE)=" ",0,VLOOKUP($B12,'PW G-Goats'!$B$5:$AI$31,14,FALSE)),0)</f>
        <v>12</v>
      </c>
      <c r="J12" s="95">
        <f t="shared" si="4"/>
        <v>12</v>
      </c>
      <c r="K12" s="122">
        <f t="shared" si="5"/>
        <v>7</v>
      </c>
      <c r="L12" s="121">
        <f>IFERROR(IF(VLOOKUP($B12,'PW G-Breakaway'!$B$5:$AI$24,18,FALSE)=" ",0,VLOOKUP($B12,'PW G-Breakaway'!$B$5:$AI$24,18,FALSE)),0)+IFERROR(IF(VLOOKUP($B12,'PW G-Barrels'!$B$5:$AI$30,18,FALSE)=" ",0,VLOOKUP($B12,'PW G-Barrels'!$B$5:$AI$30,18,FALSE)),0)+IFERROR(IF(VLOOKUP($B12,'PW G-Poles'!$B$5:$AI$31,18,FALSE)=" ",0,VLOOKUP($B12,'PW G-Poles'!$B$5:$AI$31,18,FALSE)),0)+IFERROR(IF(VLOOKUP($B12,'PW G-Goats'!$B$5:$AI$31,18,FALSE)=" ",0,VLOOKUP($B12,'PW G-Goats'!$B$5:$AI$31,18,FALSE)),0)</f>
        <v>21</v>
      </c>
      <c r="M12" s="95">
        <f t="shared" si="6"/>
        <v>21</v>
      </c>
      <c r="N12" s="122">
        <f t="shared" si="7"/>
        <v>3</v>
      </c>
      <c r="O12" s="121">
        <f>IFERROR(IF(VLOOKUP($B12,'PW G-Breakaway'!$B$5:$AI$24,22,FALSE)=" ",0,VLOOKUP($B12,'PW G-Breakaway'!$B$5:$AI$24,22,FALSE)),0)+IFERROR(IF(VLOOKUP($B12,'PW G-Barrels'!$B$5:$AI$30,22,FALSE)=" ",0,VLOOKUP($B12,'PW G-Barrels'!$B$5:$AI$30,22,FALSE)),0)+IFERROR(IF(VLOOKUP($B12,'PW G-Poles'!$B$5:$AI$31,22,FALSE)=" ",0,VLOOKUP($B12,'PW G-Poles'!$B$5:$AI$31,22,FALSE)),0)+IFERROR(IF(VLOOKUP($B12,'PW G-Goats'!$B$5:$AI$31,22,FALSE)=" ",0,VLOOKUP($B12,'PW G-Goats'!$B$5:$AI$31,22,FALSE)),0)</f>
        <v>0</v>
      </c>
      <c r="P12" s="95" t="str">
        <f t="shared" si="8"/>
        <v xml:space="preserve"> </v>
      </c>
      <c r="Q12" s="122" t="str">
        <f t="shared" si="9"/>
        <v xml:space="preserve"> </v>
      </c>
      <c r="R12" s="121">
        <f>IFERROR(IF(VLOOKUP($B12,'PW G-Breakaway'!$B$5:$AI$24,26,FALSE)=" ",0,VLOOKUP($B12,'PW G-Breakaway'!$B$5:$AI$24,26,FALSE)),0)+IFERROR(IF(VLOOKUP($B12,'PW G-Barrels'!$B$5:$AI$30,26,FALSE)=" ",0,VLOOKUP($B12,'PW G-Barrels'!$B$5:$AI$30,26,FALSE)),0)+IFERROR(IF(VLOOKUP($B12,'PW G-Poles'!$B$5:$AI$31,26,FALSE)=" ",0,VLOOKUP($B12,'PW G-Poles'!$B$5:$AI$31,26,FALSE)),0)+IFERROR(IF(VLOOKUP($B12,'PW G-Goats'!$B$5:$AI$31,26,FALSE)=" ",0,VLOOKUP($B12,'PW G-Goats'!$B$5:$AI$31,26,FALSE)),0)</f>
        <v>0</v>
      </c>
      <c r="S12" s="95" t="str">
        <f t="shared" si="10"/>
        <v xml:space="preserve"> </v>
      </c>
      <c r="T12" s="122" t="str">
        <f t="shared" si="11"/>
        <v xml:space="preserve"> </v>
      </c>
      <c r="U12" s="121">
        <f>IFERROR(IF(VLOOKUP($B12,'PW G-Breakaway'!$B$5:$AI$24,30,FALSE)=" ",0,VLOOKUP($B12,'PW G-Breakaway'!$B$5:$AI$24,30,FALSE)),0)+IFERROR(IF(VLOOKUP($B12,'PW G-Barrels'!$B$5:$AI$30,30,FALSE)=" ",0,VLOOKUP($B12,'PW G-Barrels'!$B$5:$AI$30,30,FALSE)),0)+IFERROR(IF(VLOOKUP($B12,'PW G-Poles'!$B$5:$AI$31,30,FALSE)=" ",0,VLOOKUP($B12,'PW G-Poles'!$B$5:$AI$31,30,FALSE)),0)+IFERROR(IF(VLOOKUP($B12,'PW G-Goats'!$B$5:$AI$31,30,FALSE)=" ",0,VLOOKUP($B12,'PW G-Goats'!$B$5:$AI$31,30,FALSE)),0)</f>
        <v>0</v>
      </c>
      <c r="V12" s="95" t="str">
        <f t="shared" si="12"/>
        <v xml:space="preserve"> </v>
      </c>
      <c r="W12" s="122" t="str">
        <f t="shared" si="13"/>
        <v xml:space="preserve"> </v>
      </c>
      <c r="X12" s="121">
        <f>IFERROR(IF(VLOOKUP($B12,'PW G-Breakaway'!$B$5:$AI$24,34,FALSE)=" ",0,VLOOKUP($B12,'PW G-Breakaway'!$B$5:$AI$24,34,FALSE)),0)+IFERROR(IF(VLOOKUP($B12,'PW G-Barrels'!$B$5:$AI$30,34,FALSE)=" ",0,VLOOKUP($B12,'PW G-Barrels'!$B$5:$AI$30,34,FALSE)),0)+IFERROR(IF(VLOOKUP($B12,'PW G-Poles'!$B$5:$AI$31,34,FALSE)=" ",0,VLOOKUP($B12,'PW G-Poles'!$B$5:$AI$31,34,FALSE)),0)+IFERROR(IF(VLOOKUP($B12,'PW G-Goats'!$B$5:$AI$31,34,FALSE)=" ",0,VLOOKUP($B12,'PW G-Goats'!$B$5:$AI$31,34,FALSE)),0)</f>
        <v>0</v>
      </c>
      <c r="Y12" s="95" t="str">
        <f t="shared" si="14"/>
        <v xml:space="preserve"> </v>
      </c>
      <c r="Z12" s="122" t="str">
        <f t="shared" si="15"/>
        <v xml:space="preserve"> </v>
      </c>
      <c r="AA1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33</v>
      </c>
      <c r="AB12" s="95">
        <f t="shared" si="16"/>
        <v>33</v>
      </c>
      <c r="AC12" s="122">
        <f t="shared" si="17"/>
        <v>8</v>
      </c>
    </row>
    <row r="13" spans="2:29" x14ac:dyDescent="0.3">
      <c r="B13" s="141" t="s">
        <v>88</v>
      </c>
      <c r="C13" s="120">
        <f>IFERROR(IF(VLOOKUP($B13,'PW G-Breakaway'!$B$5:$AI$24,6,FALSE)=" ",0,VLOOKUP($B13,'PW G-Breakaway'!$B$5:$AI$24,6,FALSE)),0)+IFERROR(IF(VLOOKUP($B13,'PW G-Barrels'!$B$5:$AI$30,6,FALSE)=" ",0,VLOOKUP($B13,'PW G-Barrels'!$B$5:$AI$30,6,FALSE)),0)+IFERROR(IF(VLOOKUP($B13,'PW G-Poles'!$B$5:$AI$31,6,FALSE)=" ",0,VLOOKUP($B13,'PW G-Poles'!$B$5:$AI$31,6,FALSE)),0)+IFERROR(IF(VLOOKUP($B13,'PW G-Goats'!$B$5:$AI$31,6,FALSE)=" ",0,VLOOKUP($B13,'PW G-Goats'!$B$5:$AI$31,6,FALSE)),0)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IFERROR(IF(VLOOKUP($B13,'PW G-Breakaway'!$B$5:$AI$24,10,FALSE)=" ",0,VLOOKUP($B13,'PW G-Breakaway'!$B$5:$AI$24,10,FALSE)),0)+IFERROR(IF(VLOOKUP($B13,'PW G-Barrels'!$B$5:$AI$30,10,FALSE)=" ",0,VLOOKUP($B13,'PW G-Barrels'!$B$5:$AI$30,10,FALSE)),0)+IFERROR(IF(VLOOKUP($B13,'PW G-Poles'!$B$5:$AI$31,10,FALSE)=" ",0,VLOOKUP($B13,'PW G-Poles'!$B$5:$AI$31,10,FALSE)),0)+IFERROR(IF(VLOOKUP($B13,'PW G-Goats'!$B$5:$AI$31,10,FALSE)=" ",0,VLOOKUP($B13,'PW G-Goats'!$B$5:$AI$31,10,FALSE)),0)</f>
        <v>18</v>
      </c>
      <c r="G13" s="95">
        <f t="shared" si="2"/>
        <v>18</v>
      </c>
      <c r="H13" s="91">
        <f t="shared" si="3"/>
        <v>5</v>
      </c>
      <c r="I13" s="121">
        <f>IFERROR(IF(VLOOKUP($B13,'PW G-Breakaway'!$B$5:$AI$24,14,FALSE)=" ",0,VLOOKUP($B13,'PW G-Breakaway'!$B$5:$AI$24,14,FALSE)),0)+IFERROR(IF(VLOOKUP($B13,'PW G-Barrels'!$B$5:$AI$30,14,FALSE)=" ",0,VLOOKUP($B13,'PW G-Barrels'!$B$5:$AI$30,14,FALSE)),0)+IFERROR(IF(VLOOKUP($B13,'PW G-Poles'!$B$5:$AI$31,14,FALSE)=" ",0,VLOOKUP($B13,'PW G-Poles'!$B$5:$AI$31,14,FALSE)),0)+IFERROR(IF(VLOOKUP($B13,'PW G-Goats'!$B$5:$AI$31,14,FALSE)=" ",0,VLOOKUP($B13,'PW G-Goats'!$B$5:$AI$31,14,FALSE)),0)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IFERROR(IF(VLOOKUP($B13,'PW G-Breakaway'!$B$5:$AI$24,18,FALSE)=" ",0,VLOOKUP($B13,'PW G-Breakaway'!$B$5:$AI$24,18,FALSE)),0)+IFERROR(IF(VLOOKUP($B13,'PW G-Barrels'!$B$5:$AI$30,18,FALSE)=" ",0,VLOOKUP($B13,'PW G-Barrels'!$B$5:$AI$30,18,FALSE)),0)+IFERROR(IF(VLOOKUP($B13,'PW G-Poles'!$B$5:$AI$31,18,FALSE)=" ",0,VLOOKUP($B13,'PW G-Poles'!$B$5:$AI$31,18,FALSE)),0)+IFERROR(IF(VLOOKUP($B13,'PW G-Goats'!$B$5:$AI$31,18,FALSE)=" ",0,VLOOKUP($B13,'PW G-Goats'!$B$5:$AI$31,18,FALSE)),0)</f>
        <v>9</v>
      </c>
      <c r="M13" s="95">
        <f t="shared" si="6"/>
        <v>9</v>
      </c>
      <c r="N13" s="91">
        <f t="shared" si="7"/>
        <v>10</v>
      </c>
      <c r="O13" s="121">
        <f>IFERROR(IF(VLOOKUP($B13,'PW G-Breakaway'!$B$5:$AI$24,22,FALSE)=" ",0,VLOOKUP($B13,'PW G-Breakaway'!$B$5:$AI$24,22,FALSE)),0)+IFERROR(IF(VLOOKUP($B13,'PW G-Barrels'!$B$5:$AI$30,22,FALSE)=" ",0,VLOOKUP($B13,'PW G-Barrels'!$B$5:$AI$30,22,FALSE)),0)+IFERROR(IF(VLOOKUP($B13,'PW G-Poles'!$B$5:$AI$31,22,FALSE)=" ",0,VLOOKUP($B13,'PW G-Poles'!$B$5:$AI$31,22,FALSE)),0)+IFERROR(IF(VLOOKUP($B13,'PW G-Goats'!$B$5:$AI$31,22,FALSE)=" ",0,VLOOKUP($B13,'PW G-Goats'!$B$5:$AI$31,22,FALSE)),0)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IFERROR(IF(VLOOKUP($B13,'PW G-Breakaway'!$B$5:$AI$24,26,FALSE)=" ",0,VLOOKUP($B13,'PW G-Breakaway'!$B$5:$AI$24,26,FALSE)),0)+IFERROR(IF(VLOOKUP($B13,'PW G-Barrels'!$B$5:$AI$30,26,FALSE)=" ",0,VLOOKUP($B13,'PW G-Barrels'!$B$5:$AI$30,26,FALSE)),0)+IFERROR(IF(VLOOKUP($B13,'PW G-Poles'!$B$5:$AI$31,26,FALSE)=" ",0,VLOOKUP($B13,'PW G-Poles'!$B$5:$AI$31,26,FALSE)),0)+IFERROR(IF(VLOOKUP($B13,'PW G-Goats'!$B$5:$AI$31,26,FALSE)=" ",0,VLOOKUP($B13,'PW G-Goats'!$B$5:$AI$31,26,FALSE)),0)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IFERROR(IF(VLOOKUP($B13,'PW G-Breakaway'!$B$5:$AI$24,30,FALSE)=" ",0,VLOOKUP($B13,'PW G-Breakaway'!$B$5:$AI$24,30,FALSE)),0)+IFERROR(IF(VLOOKUP($B13,'PW G-Barrels'!$B$5:$AI$30,30,FALSE)=" ",0,VLOOKUP($B13,'PW G-Barrels'!$B$5:$AI$30,30,FALSE)),0)+IFERROR(IF(VLOOKUP($B13,'PW G-Poles'!$B$5:$AI$31,30,FALSE)=" ",0,VLOOKUP($B13,'PW G-Poles'!$B$5:$AI$31,30,FALSE)),0)+IFERROR(IF(VLOOKUP($B13,'PW G-Goats'!$B$5:$AI$31,30,FALSE)=" ",0,VLOOKUP($B13,'PW G-Goats'!$B$5:$AI$31,30,FALSE)),0)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IFERROR(IF(VLOOKUP($B13,'PW G-Breakaway'!$B$5:$AI$24,34,FALSE)=" ",0,VLOOKUP($B13,'PW G-Breakaway'!$B$5:$AI$24,34,FALSE)),0)+IFERROR(IF(VLOOKUP($B13,'PW G-Barrels'!$B$5:$AI$30,34,FALSE)=" ",0,VLOOKUP($B13,'PW G-Barrels'!$B$5:$AI$30,34,FALSE)),0)+IFERROR(IF(VLOOKUP($B13,'PW G-Poles'!$B$5:$AI$31,34,FALSE)=" ",0,VLOOKUP($B13,'PW G-Poles'!$B$5:$AI$31,34,FALSE)),0)+IFERROR(IF(VLOOKUP($B13,'PW G-Goats'!$B$5:$AI$31,34,FALSE)=" ",0,VLOOKUP($B13,'PW G-Goats'!$B$5:$AI$31,34,FALSE)),0)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27</v>
      </c>
      <c r="AB13" s="95">
        <f t="shared" si="16"/>
        <v>27</v>
      </c>
      <c r="AC13" s="91">
        <f t="shared" si="17"/>
        <v>9</v>
      </c>
    </row>
    <row r="14" spans="2:29" x14ac:dyDescent="0.3">
      <c r="B14" s="141" t="s">
        <v>90</v>
      </c>
      <c r="C14" s="120">
        <f>IFERROR(IF(VLOOKUP($B14,'PW G-Breakaway'!$B$5:$AI$24,6,FALSE)=" ",0,VLOOKUP($B14,'PW G-Breakaway'!$B$5:$AI$24,6,FALSE)),0)+IFERROR(IF(VLOOKUP($B14,'PW G-Barrels'!$B$5:$AI$30,6,FALSE)=" ",0,VLOOKUP($B14,'PW G-Barrels'!$B$5:$AI$30,6,FALSE)),0)+IFERROR(IF(VLOOKUP($B14,'PW G-Poles'!$B$5:$AI$31,6,FALSE)=" ",0,VLOOKUP($B14,'PW G-Poles'!$B$5:$AI$31,6,FALSE)),0)+IFERROR(IF(VLOOKUP($B14,'PW G-Goats'!$B$5:$AI$31,6,FALSE)=" ",0,VLOOKUP($B14,'PW G-Goats'!$B$5:$AI$31,6,FALSE)),0)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IFERROR(IF(VLOOKUP($B14,'PW G-Breakaway'!$B$5:$AI$24,10,FALSE)=" ",0,VLOOKUP($B14,'PW G-Breakaway'!$B$5:$AI$24,10,FALSE)),0)+IFERROR(IF(VLOOKUP($B14,'PW G-Barrels'!$B$5:$AI$30,10,FALSE)=" ",0,VLOOKUP($B14,'PW G-Barrels'!$B$5:$AI$30,10,FALSE)),0)+IFERROR(IF(VLOOKUP($B14,'PW G-Poles'!$B$5:$AI$31,10,FALSE)=" ",0,VLOOKUP($B14,'PW G-Poles'!$B$5:$AI$31,10,FALSE)),0)+IFERROR(IF(VLOOKUP($B14,'PW G-Goats'!$B$5:$AI$31,10,FALSE)=" ",0,VLOOKUP($B14,'PW G-Goats'!$B$5:$AI$31,10,FALSE)),0)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IFERROR(IF(VLOOKUP($B14,'PW G-Breakaway'!$B$5:$AI$24,14,FALSE)=" ",0,VLOOKUP($B14,'PW G-Breakaway'!$B$5:$AI$24,14,FALSE)),0)+IFERROR(IF(VLOOKUP($B14,'PW G-Barrels'!$B$5:$AI$30,14,FALSE)=" ",0,VLOOKUP($B14,'PW G-Barrels'!$B$5:$AI$30,14,FALSE)),0)+IFERROR(IF(VLOOKUP($B14,'PW G-Poles'!$B$5:$AI$31,14,FALSE)=" ",0,VLOOKUP($B14,'PW G-Poles'!$B$5:$AI$31,14,FALSE)),0)+IFERROR(IF(VLOOKUP($B14,'PW G-Goats'!$B$5:$AI$31,14,FALSE)=" ",0,VLOOKUP($B14,'PW G-Goats'!$B$5:$AI$31,14,FALSE)),0)</f>
        <v>12</v>
      </c>
      <c r="J14" s="95">
        <f t="shared" si="4"/>
        <v>12</v>
      </c>
      <c r="K14" s="91">
        <f t="shared" si="5"/>
        <v>7</v>
      </c>
      <c r="L14" s="121">
        <f>IFERROR(IF(VLOOKUP($B14,'PW G-Breakaway'!$B$5:$AI$24,18,FALSE)=" ",0,VLOOKUP($B14,'PW G-Breakaway'!$B$5:$AI$24,18,FALSE)),0)+IFERROR(IF(VLOOKUP($B14,'PW G-Barrels'!$B$5:$AI$30,18,FALSE)=" ",0,VLOOKUP($B14,'PW G-Barrels'!$B$5:$AI$30,18,FALSE)),0)+IFERROR(IF(VLOOKUP($B14,'PW G-Poles'!$B$5:$AI$31,18,FALSE)=" ",0,VLOOKUP($B14,'PW G-Poles'!$B$5:$AI$31,18,FALSE)),0)+IFERROR(IF(VLOOKUP($B14,'PW G-Goats'!$B$5:$AI$31,18,FALSE)=" ",0,VLOOKUP($B14,'PW G-Goats'!$B$5:$AI$31,18,FALSE)),0)</f>
        <v>12</v>
      </c>
      <c r="M14" s="95">
        <f t="shared" si="6"/>
        <v>12</v>
      </c>
      <c r="N14" s="91">
        <f t="shared" si="7"/>
        <v>7</v>
      </c>
      <c r="O14" s="121">
        <f>IFERROR(IF(VLOOKUP($B14,'PW G-Breakaway'!$B$5:$AI$24,22,FALSE)=" ",0,VLOOKUP($B14,'PW G-Breakaway'!$B$5:$AI$24,22,FALSE)),0)+IFERROR(IF(VLOOKUP($B14,'PW G-Barrels'!$B$5:$AI$30,22,FALSE)=" ",0,VLOOKUP($B14,'PW G-Barrels'!$B$5:$AI$30,22,FALSE)),0)+IFERROR(IF(VLOOKUP($B14,'PW G-Poles'!$B$5:$AI$31,22,FALSE)=" ",0,VLOOKUP($B14,'PW G-Poles'!$B$5:$AI$31,22,FALSE)),0)+IFERROR(IF(VLOOKUP($B14,'PW G-Goats'!$B$5:$AI$31,22,FALSE)=" ",0,VLOOKUP($B14,'PW G-Goats'!$B$5:$AI$31,22,FALSE)),0)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IFERROR(IF(VLOOKUP($B14,'PW G-Breakaway'!$B$5:$AI$24,26,FALSE)=" ",0,VLOOKUP($B14,'PW G-Breakaway'!$B$5:$AI$24,26,FALSE)),0)+IFERROR(IF(VLOOKUP($B14,'PW G-Barrels'!$B$5:$AI$30,26,FALSE)=" ",0,VLOOKUP($B14,'PW G-Barrels'!$B$5:$AI$30,26,FALSE)),0)+IFERROR(IF(VLOOKUP($B14,'PW G-Poles'!$B$5:$AI$31,26,FALSE)=" ",0,VLOOKUP($B14,'PW G-Poles'!$B$5:$AI$31,26,FALSE)),0)+IFERROR(IF(VLOOKUP($B14,'PW G-Goats'!$B$5:$AI$31,26,FALSE)=" ",0,VLOOKUP($B14,'PW G-Goats'!$B$5:$AI$31,26,FALSE)),0)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IFERROR(IF(VLOOKUP($B14,'PW G-Breakaway'!$B$5:$AI$24,30,FALSE)=" ",0,VLOOKUP($B14,'PW G-Breakaway'!$B$5:$AI$24,30,FALSE)),0)+IFERROR(IF(VLOOKUP($B14,'PW G-Barrels'!$B$5:$AI$30,30,FALSE)=" ",0,VLOOKUP($B14,'PW G-Barrels'!$B$5:$AI$30,30,FALSE)),0)+IFERROR(IF(VLOOKUP($B14,'PW G-Poles'!$B$5:$AI$31,30,FALSE)=" ",0,VLOOKUP($B14,'PW G-Poles'!$B$5:$AI$31,30,FALSE)),0)+IFERROR(IF(VLOOKUP($B14,'PW G-Goats'!$B$5:$AI$31,30,FALSE)=" ",0,VLOOKUP($B14,'PW G-Goats'!$B$5:$AI$31,30,FALSE)),0)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IFERROR(IF(VLOOKUP($B14,'PW G-Breakaway'!$B$5:$AI$24,34,FALSE)=" ",0,VLOOKUP($B14,'PW G-Breakaway'!$B$5:$AI$24,34,FALSE)),0)+IFERROR(IF(VLOOKUP($B14,'PW G-Barrels'!$B$5:$AI$30,34,FALSE)=" ",0,VLOOKUP($B14,'PW G-Barrels'!$B$5:$AI$30,34,FALSE)),0)+IFERROR(IF(VLOOKUP($B14,'PW G-Poles'!$B$5:$AI$31,34,FALSE)=" ",0,VLOOKUP($B14,'PW G-Poles'!$B$5:$AI$31,34,FALSE)),0)+IFERROR(IF(VLOOKUP($B14,'PW G-Goats'!$B$5:$AI$31,34,FALSE)=" ",0,VLOOKUP($B14,'PW G-Goats'!$B$5:$AI$31,34,FALSE)),0)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24</v>
      </c>
      <c r="AB14" s="95">
        <f t="shared" si="16"/>
        <v>24</v>
      </c>
      <c r="AC14" s="91">
        <f t="shared" si="17"/>
        <v>10</v>
      </c>
    </row>
    <row r="15" spans="2:29" x14ac:dyDescent="0.3">
      <c r="B15" s="141" t="s">
        <v>83</v>
      </c>
      <c r="C15" s="120">
        <f>IFERROR(IF(VLOOKUP($B15,'PW G-Breakaway'!$B$5:$AI$24,6,FALSE)=" ",0,VLOOKUP($B15,'PW G-Breakaway'!$B$5:$AI$24,6,FALSE)),0)+IFERROR(IF(VLOOKUP($B15,'PW G-Barrels'!$B$5:$AI$30,6,FALSE)=" ",0,VLOOKUP($B15,'PW G-Barrels'!$B$5:$AI$30,6,FALSE)),0)+IFERROR(IF(VLOOKUP($B15,'PW G-Poles'!$B$5:$AI$31,6,FALSE)=" ",0,VLOOKUP($B15,'PW G-Poles'!$B$5:$AI$31,6,FALSE)),0)+IFERROR(IF(VLOOKUP($B15,'PW G-Goats'!$B$5:$AI$31,6,FALSE)=" ",0,VLOOKUP($B15,'PW G-Goats'!$B$5:$AI$31,6,FALSE)),0)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IFERROR(IF(VLOOKUP($B15,'PW G-Breakaway'!$B$5:$AI$24,10,FALSE)=" ",0,VLOOKUP($B15,'PW G-Breakaway'!$B$5:$AI$24,10,FALSE)),0)+IFERROR(IF(VLOOKUP($B15,'PW G-Barrels'!$B$5:$AI$30,10,FALSE)=" ",0,VLOOKUP($B15,'PW G-Barrels'!$B$5:$AI$30,10,FALSE)),0)+IFERROR(IF(VLOOKUP($B15,'PW G-Poles'!$B$5:$AI$31,10,FALSE)=" ",0,VLOOKUP($B15,'PW G-Poles'!$B$5:$AI$31,10,FALSE)),0)+IFERROR(IF(VLOOKUP($B15,'PW G-Goats'!$B$5:$AI$31,10,FALSE)=" ",0,VLOOKUP($B15,'PW G-Goats'!$B$5:$AI$31,10,FALSE)),0)</f>
        <v>6</v>
      </c>
      <c r="G15" s="95">
        <f t="shared" si="2"/>
        <v>6</v>
      </c>
      <c r="H15" s="91">
        <f t="shared" si="3"/>
        <v>9</v>
      </c>
      <c r="I15" s="121">
        <f>IFERROR(IF(VLOOKUP($B15,'PW G-Breakaway'!$B$5:$AI$24,14,FALSE)=" ",0,VLOOKUP($B15,'PW G-Breakaway'!$B$5:$AI$24,14,FALSE)),0)+IFERROR(IF(VLOOKUP($B15,'PW G-Barrels'!$B$5:$AI$30,14,FALSE)=" ",0,VLOOKUP($B15,'PW G-Barrels'!$B$5:$AI$30,14,FALSE)),0)+IFERROR(IF(VLOOKUP($B15,'PW G-Poles'!$B$5:$AI$31,14,FALSE)=" ",0,VLOOKUP($B15,'PW G-Poles'!$B$5:$AI$31,14,FALSE)),0)+IFERROR(IF(VLOOKUP($B15,'PW G-Goats'!$B$5:$AI$31,14,FALSE)=" ",0,VLOOKUP($B15,'PW G-Goats'!$B$5:$AI$31,14,FALSE)),0)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IFERROR(IF(VLOOKUP($B15,'PW G-Breakaway'!$B$5:$AI$24,18,FALSE)=" ",0,VLOOKUP($B15,'PW G-Breakaway'!$B$5:$AI$24,18,FALSE)),0)+IFERROR(IF(VLOOKUP($B15,'PW G-Barrels'!$B$5:$AI$30,18,FALSE)=" ",0,VLOOKUP($B15,'PW G-Barrels'!$B$5:$AI$30,18,FALSE)),0)+IFERROR(IF(VLOOKUP($B15,'PW G-Poles'!$B$5:$AI$31,18,FALSE)=" ",0,VLOOKUP($B15,'PW G-Poles'!$B$5:$AI$31,18,FALSE)),0)+IFERROR(IF(VLOOKUP($B15,'PW G-Goats'!$B$5:$AI$31,18,FALSE)=" ",0,VLOOKUP($B15,'PW G-Goats'!$B$5:$AI$31,18,FALSE)),0)</f>
        <v>16.5</v>
      </c>
      <c r="M15" s="95">
        <f t="shared" si="6"/>
        <v>16.5</v>
      </c>
      <c r="N15" s="91">
        <f t="shared" si="7"/>
        <v>5</v>
      </c>
      <c r="O15" s="121">
        <f>IFERROR(IF(VLOOKUP($B15,'PW G-Breakaway'!$B$5:$AI$24,22,FALSE)=" ",0,VLOOKUP($B15,'PW G-Breakaway'!$B$5:$AI$24,22,FALSE)),0)+IFERROR(IF(VLOOKUP($B15,'PW G-Barrels'!$B$5:$AI$30,22,FALSE)=" ",0,VLOOKUP($B15,'PW G-Barrels'!$B$5:$AI$30,22,FALSE)),0)+IFERROR(IF(VLOOKUP($B15,'PW G-Poles'!$B$5:$AI$31,22,FALSE)=" ",0,VLOOKUP($B15,'PW G-Poles'!$B$5:$AI$31,22,FALSE)),0)+IFERROR(IF(VLOOKUP($B15,'PW G-Goats'!$B$5:$AI$31,22,FALSE)=" ",0,VLOOKUP($B15,'PW G-Goats'!$B$5:$AI$31,22,FALSE)),0)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IFERROR(IF(VLOOKUP($B15,'PW G-Breakaway'!$B$5:$AI$24,26,FALSE)=" ",0,VLOOKUP($B15,'PW G-Breakaway'!$B$5:$AI$24,26,FALSE)),0)+IFERROR(IF(VLOOKUP($B15,'PW G-Barrels'!$B$5:$AI$30,26,FALSE)=" ",0,VLOOKUP($B15,'PW G-Barrels'!$B$5:$AI$30,26,FALSE)),0)+IFERROR(IF(VLOOKUP($B15,'PW G-Poles'!$B$5:$AI$31,26,FALSE)=" ",0,VLOOKUP($B15,'PW G-Poles'!$B$5:$AI$31,26,FALSE)),0)+IFERROR(IF(VLOOKUP($B15,'PW G-Goats'!$B$5:$AI$31,26,FALSE)=" ",0,VLOOKUP($B15,'PW G-Goats'!$B$5:$AI$31,26,FALSE)),0)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G-Breakaway'!$B$5:$AI$24,30,FALSE)=" ",0,VLOOKUP($B15,'PW G-Breakaway'!$B$5:$AI$24,30,FALSE)),0)+IFERROR(IF(VLOOKUP($B15,'PW G-Barrels'!$B$5:$AI$30,30,FALSE)=" ",0,VLOOKUP($B15,'PW G-Barrels'!$B$5:$AI$30,30,FALSE)),0)+IFERROR(IF(VLOOKUP($B15,'PW G-Poles'!$B$5:$AI$31,30,FALSE)=" ",0,VLOOKUP($B15,'PW G-Poles'!$B$5:$AI$31,30,FALSE)),0)+IFERROR(IF(VLOOKUP($B15,'PW G-Goats'!$B$5:$AI$31,30,FALSE)=" ",0,VLOOKUP($B15,'PW G-Goats'!$B$5:$AI$31,30,FALSE)),0)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IFERROR(IF(VLOOKUP($B15,'PW G-Breakaway'!$B$5:$AI$24,34,FALSE)=" ",0,VLOOKUP($B15,'PW G-Breakaway'!$B$5:$AI$24,34,FALSE)),0)+IFERROR(IF(VLOOKUP($B15,'PW G-Barrels'!$B$5:$AI$30,34,FALSE)=" ",0,VLOOKUP($B15,'PW G-Barrels'!$B$5:$AI$30,34,FALSE)),0)+IFERROR(IF(VLOOKUP($B15,'PW G-Poles'!$B$5:$AI$31,34,FALSE)=" ",0,VLOOKUP($B15,'PW G-Poles'!$B$5:$AI$31,34,FALSE)),0)+IFERROR(IF(VLOOKUP($B15,'PW G-Goats'!$B$5:$AI$31,34,FALSE)=" ",0,VLOOKUP($B15,'PW G-Goats'!$B$5:$AI$31,34,FALSE)),0)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22.5</v>
      </c>
      <c r="AB15" s="95">
        <f t="shared" si="16"/>
        <v>22.5</v>
      </c>
      <c r="AC15" s="91">
        <f t="shared" si="17"/>
        <v>11</v>
      </c>
    </row>
    <row r="16" spans="2:29" x14ac:dyDescent="0.3">
      <c r="B16" s="152" t="s">
        <v>92</v>
      </c>
      <c r="C16" s="120">
        <f>IFERROR(IF(VLOOKUP($B16,'PW G-Breakaway'!$B$5:$AI$24,6,FALSE)=" ",0,VLOOKUP($B16,'PW G-Breakaway'!$B$5:$AI$24,6,FALSE)),0)+IFERROR(IF(VLOOKUP($B16,'PW G-Barrels'!$B$5:$AI$30,6,FALSE)=" ",0,VLOOKUP($B16,'PW G-Barrels'!$B$5:$AI$30,6,FALSE)),0)+IFERROR(IF(VLOOKUP($B16,'PW G-Poles'!$B$5:$AI$31,6,FALSE)=" ",0,VLOOKUP($B16,'PW G-Poles'!$B$5:$AI$31,6,FALSE)),0)+IFERROR(IF(VLOOKUP($B16,'PW G-Goats'!$B$5:$AI$31,6,FALSE)=" ",0,VLOOKUP($B16,'PW G-Goats'!$B$5:$AI$31,6,FALSE)),0)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IFERROR(IF(VLOOKUP($B16,'PW G-Breakaway'!$B$5:$AI$24,10,FALSE)=" ",0,VLOOKUP($B16,'PW G-Breakaway'!$B$5:$AI$24,10,FALSE)),0)+IFERROR(IF(VLOOKUP($B16,'PW G-Barrels'!$B$5:$AI$30,10,FALSE)=" ",0,VLOOKUP($B16,'PW G-Barrels'!$B$5:$AI$30,10,FALSE)),0)+IFERROR(IF(VLOOKUP($B16,'PW G-Poles'!$B$5:$AI$31,10,FALSE)=" ",0,VLOOKUP($B16,'PW G-Poles'!$B$5:$AI$31,10,FALSE)),0)+IFERROR(IF(VLOOKUP($B16,'PW G-Goats'!$B$5:$AI$31,10,FALSE)=" ",0,VLOOKUP($B16,'PW G-Goats'!$B$5:$AI$31,10,FALSE)),0)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IFERROR(IF(VLOOKUP($B16,'PW G-Breakaway'!$B$5:$AI$24,14,FALSE)=" ",0,VLOOKUP($B16,'PW G-Breakaway'!$B$5:$AI$24,14,FALSE)),0)+IFERROR(IF(VLOOKUP($B16,'PW G-Barrels'!$B$5:$AI$30,14,FALSE)=" ",0,VLOOKUP($B16,'PW G-Barrels'!$B$5:$AI$30,14,FALSE)),0)+IFERROR(IF(VLOOKUP($B16,'PW G-Poles'!$B$5:$AI$31,14,FALSE)=" ",0,VLOOKUP($B16,'PW G-Poles'!$B$5:$AI$31,14,FALSE)),0)+IFERROR(IF(VLOOKUP($B16,'PW G-Goats'!$B$5:$AI$31,14,FALSE)=" ",0,VLOOKUP($B16,'PW G-Goats'!$B$5:$AI$31,14,FALSE)),0)</f>
        <v>9</v>
      </c>
      <c r="J16" s="95">
        <f t="shared" si="4"/>
        <v>9</v>
      </c>
      <c r="K16" s="91">
        <f t="shared" si="5"/>
        <v>9</v>
      </c>
      <c r="L16" s="121">
        <f>IFERROR(IF(VLOOKUP($B16,'PW G-Breakaway'!$B$5:$AI$24,18,FALSE)=" ",0,VLOOKUP($B16,'PW G-Breakaway'!$B$5:$AI$24,18,FALSE)),0)+IFERROR(IF(VLOOKUP($B16,'PW G-Barrels'!$B$5:$AI$30,18,FALSE)=" ",0,VLOOKUP($B16,'PW G-Barrels'!$B$5:$AI$30,18,FALSE)),0)+IFERROR(IF(VLOOKUP($B16,'PW G-Poles'!$B$5:$AI$31,18,FALSE)=" ",0,VLOOKUP($B16,'PW G-Poles'!$B$5:$AI$31,18,FALSE)),0)+IFERROR(IF(VLOOKUP($B16,'PW G-Goats'!$B$5:$AI$31,18,FALSE)=" ",0,VLOOKUP($B16,'PW G-Goats'!$B$5:$AI$31,18,FALSE)),0)</f>
        <v>9</v>
      </c>
      <c r="M16" s="95">
        <f t="shared" si="6"/>
        <v>9</v>
      </c>
      <c r="N16" s="91">
        <f t="shared" si="7"/>
        <v>10</v>
      </c>
      <c r="O16" s="121">
        <f>IFERROR(IF(VLOOKUP($B16,'PW G-Breakaway'!$B$5:$AI$24,22,FALSE)=" ",0,VLOOKUP($B16,'PW G-Breakaway'!$B$5:$AI$24,22,FALSE)),0)+IFERROR(IF(VLOOKUP($B16,'PW G-Barrels'!$B$5:$AI$30,22,FALSE)=" ",0,VLOOKUP($B16,'PW G-Barrels'!$B$5:$AI$30,22,FALSE)),0)+IFERROR(IF(VLOOKUP($B16,'PW G-Poles'!$B$5:$AI$31,22,FALSE)=" ",0,VLOOKUP($B16,'PW G-Poles'!$B$5:$AI$31,22,FALSE)),0)+IFERROR(IF(VLOOKUP($B16,'PW G-Goats'!$B$5:$AI$31,22,FALSE)=" ",0,VLOOKUP($B16,'PW G-Goats'!$B$5:$AI$31,22,FALSE)),0)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IFERROR(IF(VLOOKUP($B16,'PW G-Breakaway'!$B$5:$AI$24,26,FALSE)=" ",0,VLOOKUP($B16,'PW G-Breakaway'!$B$5:$AI$24,26,FALSE)),0)+IFERROR(IF(VLOOKUP($B16,'PW G-Barrels'!$B$5:$AI$30,26,FALSE)=" ",0,VLOOKUP($B16,'PW G-Barrels'!$B$5:$AI$30,26,FALSE)),0)+IFERROR(IF(VLOOKUP($B16,'PW G-Poles'!$B$5:$AI$31,26,FALSE)=" ",0,VLOOKUP($B16,'PW G-Poles'!$B$5:$AI$31,26,FALSE)),0)+IFERROR(IF(VLOOKUP($B16,'PW G-Goats'!$B$5:$AI$31,26,FALSE)=" ",0,VLOOKUP($B16,'PW G-Goats'!$B$5:$AI$31,26,FALSE)),0)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G-Breakaway'!$B$5:$AI$24,30,FALSE)=" ",0,VLOOKUP($B16,'PW G-Breakaway'!$B$5:$AI$24,30,FALSE)),0)+IFERROR(IF(VLOOKUP($B16,'PW G-Barrels'!$B$5:$AI$30,30,FALSE)=" ",0,VLOOKUP($B16,'PW G-Barrels'!$B$5:$AI$30,30,FALSE)),0)+IFERROR(IF(VLOOKUP($B16,'PW G-Poles'!$B$5:$AI$31,30,FALSE)=" ",0,VLOOKUP($B16,'PW G-Poles'!$B$5:$AI$31,30,FALSE)),0)+IFERROR(IF(VLOOKUP($B16,'PW G-Goats'!$B$5:$AI$31,30,FALSE)=" ",0,VLOOKUP($B16,'PW G-Goats'!$B$5:$AI$31,30,FALSE)),0)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IFERROR(IF(VLOOKUP($B16,'PW G-Breakaway'!$B$5:$AI$24,34,FALSE)=" ",0,VLOOKUP($B16,'PW G-Breakaway'!$B$5:$AI$24,34,FALSE)),0)+IFERROR(IF(VLOOKUP($B16,'PW G-Barrels'!$B$5:$AI$30,34,FALSE)=" ",0,VLOOKUP($B16,'PW G-Barrels'!$B$5:$AI$30,34,FALSE)),0)+IFERROR(IF(VLOOKUP($B16,'PW G-Poles'!$B$5:$AI$31,34,FALSE)=" ",0,VLOOKUP($B16,'PW G-Poles'!$B$5:$AI$31,34,FALSE)),0)+IFERROR(IF(VLOOKUP($B16,'PW G-Goats'!$B$5:$AI$31,34,FALSE)=" ",0,VLOOKUP($B16,'PW G-Goats'!$B$5:$AI$31,34,FALSE)),0)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18</v>
      </c>
      <c r="AB16" s="95">
        <f t="shared" si="16"/>
        <v>18</v>
      </c>
      <c r="AC16" s="91">
        <f t="shared" si="17"/>
        <v>12</v>
      </c>
    </row>
    <row r="17" spans="2:29" x14ac:dyDescent="0.3">
      <c r="B17" s="141" t="s">
        <v>89</v>
      </c>
      <c r="C17" s="120">
        <f>IFERROR(IF(VLOOKUP($B17,'PW G-Breakaway'!$B$5:$AI$24,6,FALSE)=" ",0,VLOOKUP($B17,'PW G-Breakaway'!$B$5:$AI$24,6,FALSE)),0)+IFERROR(IF(VLOOKUP($B17,'PW G-Barrels'!$B$5:$AI$31,6,FALSE)=" ",0,VLOOKUP($B17,'PW G-Barrels'!$B$5:$AI$31,6,FALSE)),0)+IFERROR(IF(VLOOKUP($B17,'PW G-Poles'!$B$5:$AI$31,6,FALSE)=" ",0,VLOOKUP($B17,'PW G-Poles'!$B$5:$AI$31,6,FALSE)),0)+IFERROR(IF(VLOOKUP($B17,'PW G-Goats'!$B$5:$AI$31,6,FALSE)=" ",0,VLOOKUP($B17,'PW G-Goats'!$B$5:$AI$31,6,FALSE)),0)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IFERROR(IF(VLOOKUP($B17,'PW G-Breakaway'!$B$5:$AI$24,10,FALSE)=" ",0,VLOOKUP($B17,'PW G-Breakaway'!$B$5:$AI$24,10,FALSE)),0)+IFERROR(IF(VLOOKUP($B17,'PW G-Barrels'!$B$5:$AI$31,10,FALSE)=" ",0,VLOOKUP($B17,'PW G-Barrels'!$B$5:$AI$31,10,FALSE)),0)+IFERROR(IF(VLOOKUP($B17,'PW G-Poles'!$B$5:$AI$31,10,FALSE)=" ",0,VLOOKUP($B17,'PW G-Poles'!$B$5:$AI$31,10,FALSE)),0)+IFERROR(IF(VLOOKUP($B17,'PW G-Goats'!$B$5:$AI$31,10,FALSE)=" ",0,VLOOKUP($B17,'PW G-Goats'!$B$5:$AI$31,10,FALSE)),0)</f>
        <v>3</v>
      </c>
      <c r="G17" s="95">
        <f t="shared" si="2"/>
        <v>3</v>
      </c>
      <c r="H17" s="122">
        <f t="shared" si="3"/>
        <v>10</v>
      </c>
      <c r="I17" s="121">
        <f>IFERROR(IF(VLOOKUP($B17,'PW G-Breakaway'!$B$5:$AI$24,14,FALSE)=" ",0,VLOOKUP($B17,'PW G-Breakaway'!$B$5:$AI$24,14,FALSE)),0)+IFERROR(IF(VLOOKUP($B17,'PW G-Barrels'!$B$5:$AI$31,14,FALSE)=" ",0,VLOOKUP($B17,'PW G-Barrels'!$B$5:$AI$31,14,FALSE)),0)+IFERROR(IF(VLOOKUP($B17,'PW G-Poles'!$B$5:$AI$31,14,FALSE)=" ",0,VLOOKUP($B17,'PW G-Poles'!$B$5:$AI$31,14,FALSE)),0)+IFERROR(IF(VLOOKUP($B17,'PW G-Goats'!$B$5:$AI$31,14,FALSE)=" ",0,VLOOKUP($B17,'PW G-Goats'!$B$5:$AI$31,14,FALSE)),0)</f>
        <v>3</v>
      </c>
      <c r="J17" s="95">
        <f t="shared" si="4"/>
        <v>3</v>
      </c>
      <c r="K17" s="122">
        <f t="shared" si="5"/>
        <v>11</v>
      </c>
      <c r="L17" s="121">
        <f>IFERROR(IF(VLOOKUP($B17,'PW G-Breakaway'!$B$5:$AI$24,18,FALSE)=" ",0,VLOOKUP($B17,'PW G-Breakaway'!$B$5:$AI$24,18,FALSE)),0)+IFERROR(IF(VLOOKUP($B17,'PW G-Barrels'!$B$5:$AI$31,18,FALSE)=" ",0,VLOOKUP($B17,'PW G-Barrels'!$B$5:$AI$31,18,FALSE)),0)+IFERROR(IF(VLOOKUP($B17,'PW G-Poles'!$B$5:$AI$31,18,FALSE)=" ",0,VLOOKUP($B17,'PW G-Poles'!$B$5:$AI$31,18,FALSE)),0)+IFERROR(IF(VLOOKUP($B17,'PW G-Goats'!$B$5:$AI$31,18,FALSE)=" ",0,VLOOKUP($B17,'PW G-Goats'!$B$5:$AI$31,18,FALSE)),0)</f>
        <v>6</v>
      </c>
      <c r="M17" s="95">
        <f t="shared" si="6"/>
        <v>6</v>
      </c>
      <c r="N17" s="122">
        <f t="shared" si="7"/>
        <v>13</v>
      </c>
      <c r="O17" s="121">
        <f>IFERROR(IF(VLOOKUP($B17,'PW G-Breakaway'!$B$5:$AI$24,22,FALSE)=" ",0,VLOOKUP($B17,'PW G-Breakaway'!$B$5:$AI$24,22,FALSE)),0)+IFERROR(IF(VLOOKUP($B17,'PW G-Barrels'!$B$5:$AI$31,22,FALSE)=" ",0,VLOOKUP($B17,'PW G-Barrels'!$B$5:$AI$31,22,FALSE)),0)+IFERROR(IF(VLOOKUP($B17,'PW G-Poles'!$B$5:$AI$31,22,FALSE)=" ",0,VLOOKUP($B17,'PW G-Poles'!$B$5:$AI$31,22,FALSE)),0)+IFERROR(IF(VLOOKUP($B17,'PW G-Goats'!$B$5:$AI$31,22,FALSE)=" ",0,VLOOKUP($B17,'PW G-Goats'!$B$5:$AI$31,22,FALSE)),0)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IFERROR(IF(VLOOKUP($B17,'PW G-Breakaway'!$B$5:$AI$24,26,FALSE)=" ",0,VLOOKUP($B17,'PW G-Breakaway'!$B$5:$AI$24,26,FALSE)),0)+IFERROR(IF(VLOOKUP($B17,'PW G-Barrels'!$B$5:$AI$31,26,FALSE)=" ",0,VLOOKUP($B17,'PW G-Barrels'!$B$5:$AI$31,26,FALSE)),0)+IFERROR(IF(VLOOKUP($B17,'PW G-Poles'!$B$5:$AI$31,26,FALSE)=" ",0,VLOOKUP($B17,'PW G-Poles'!$B$5:$AI$31,26,FALSE)),0)+IFERROR(IF(VLOOKUP($B17,'PW G-Goats'!$B$5:$AI$31,26,FALSE)=" ",0,VLOOKUP($B17,'PW G-Goats'!$B$5:$AI$31,26,FALSE)),0)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IFERROR(IF(VLOOKUP($B17,'PW G-Breakaway'!$B$5:$AI$24,30,FALSE)=" ",0,VLOOKUP($B17,'PW G-Breakaway'!$B$5:$AI$24,30,FALSE)),0)+IFERROR(IF(VLOOKUP($B17,'PW G-Barrels'!$B$5:$AI$31,30,FALSE)=" ",0,VLOOKUP($B17,'PW G-Barrels'!$B$5:$AI$31,30,FALSE)),0)+IFERROR(IF(VLOOKUP($B17,'PW G-Poles'!$B$5:$AI$31,30,FALSE)=" ",0,VLOOKUP($B17,'PW G-Poles'!$B$5:$AI$31,30,FALSE)),0)+IFERROR(IF(VLOOKUP($B17,'PW G-Goats'!$B$5:$AI$31,30,FALSE)=" ",0,VLOOKUP($B17,'PW G-Goats'!$B$5:$AI$31,30,FALSE)),0)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IFERROR(IF(VLOOKUP($B17,'PW G-Breakaway'!$B$5:$AI$24,34,FALSE)=" ",0,VLOOKUP($B17,'PW G-Breakaway'!$B$5:$AI$24,34,FALSE)),0)+IFERROR(IF(VLOOKUP($B17,'PW G-Barrels'!$B$5:$AI$31,34,FALSE)=" ",0,VLOOKUP($B17,'PW G-Barrels'!$B$5:$AI$31,34,FALSE)),0)+IFERROR(IF(VLOOKUP($B17,'PW G-Poles'!$B$5:$AI$31,34,FALSE)=" ",0,VLOOKUP($B17,'PW G-Poles'!$B$5:$AI$31,34,FALSE)),0)+IFERROR(IF(VLOOKUP($B17,'PW G-Goats'!$B$5:$AI$31,34,FALSE)=" ",0,VLOOKUP($B17,'PW G-Goats'!$B$5:$AI$31,34,FALSE)),0)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</v>
      </c>
      <c r="AB17" s="95">
        <f t="shared" si="16"/>
        <v>12</v>
      </c>
      <c r="AC17" s="122">
        <f t="shared" si="17"/>
        <v>13</v>
      </c>
    </row>
    <row r="18" spans="2:29" x14ac:dyDescent="0.3">
      <c r="B18" s="141" t="s">
        <v>87</v>
      </c>
      <c r="C18" s="120">
        <f>IFERROR(IF(VLOOKUP($B18,'PW G-Breakaway'!$B$5:$AI$24,6,FALSE)=" ",0,VLOOKUP($B18,'PW G-Breakaway'!$B$5:$AI$24,6,FALSE)),0)+IFERROR(IF(VLOOKUP($B18,'PW G-Barrels'!$B$5:$AI$30,6,FALSE)=" ",0,VLOOKUP($B18,'PW G-Barrels'!$B$5:$AI$30,6,FALSE)),0)+IFERROR(IF(VLOOKUP($B18,'PW G-Poles'!$B$5:$AI$31,6,FALSE)=" ",0,VLOOKUP($B18,'PW G-Poles'!$B$5:$AI$31,6,FALSE)),0)+IFERROR(IF(VLOOKUP($B18,'PW G-Goats'!$B$5:$AI$31,6,FALSE)=" ",0,VLOOKUP($B18,'PW G-Goats'!$B$5:$AI$31,6,FALSE)),0)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G-Breakaway'!$B$5:$AI$24,10,FALSE)=" ",0,VLOOKUP($B18,'PW G-Breakaway'!$B$5:$AI$24,10,FALSE)),0)+IFERROR(IF(VLOOKUP($B18,'PW G-Barrels'!$B$5:$AI$30,10,FALSE)=" ",0,VLOOKUP($B18,'PW G-Barrels'!$B$5:$AI$30,10,FALSE)),0)+IFERROR(IF(VLOOKUP($B18,'PW G-Poles'!$B$5:$AI$31,10,FALSE)=" ",0,VLOOKUP($B18,'PW G-Poles'!$B$5:$AI$31,10,FALSE)),0)+IFERROR(IF(VLOOKUP($B18,'PW G-Goats'!$B$5:$AI$31,10,FALSE)=" ",0,VLOOKUP($B18,'PW G-Goats'!$B$5:$AI$31,10,FALSE)),0)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G-Breakaway'!$B$5:$AI$24,14,FALSE)=" ",0,VLOOKUP($B18,'PW G-Breakaway'!$B$5:$AI$24,14,FALSE)),0)+IFERROR(IF(VLOOKUP($B18,'PW G-Barrels'!$B$5:$AI$30,14,FALSE)=" ",0,VLOOKUP($B18,'PW G-Barrels'!$B$5:$AI$30,14,FALSE)),0)+IFERROR(IF(VLOOKUP($B18,'PW G-Poles'!$B$5:$AI$31,14,FALSE)=" ",0,VLOOKUP($B18,'PW G-Poles'!$B$5:$AI$31,14,FALSE)),0)+IFERROR(IF(VLOOKUP($B18,'PW G-Goats'!$B$5:$AI$31,14,FALSE)=" ",0,VLOOKUP($B18,'PW G-Goats'!$B$5:$AI$31,14,FALSE)),0)</f>
        <v>9</v>
      </c>
      <c r="J18" s="95">
        <f t="shared" si="4"/>
        <v>9</v>
      </c>
      <c r="K18" s="91">
        <f t="shared" si="5"/>
        <v>9</v>
      </c>
      <c r="L18" s="121">
        <f>IFERROR(IF(VLOOKUP($B18,'PW G-Breakaway'!$B$5:$AI$24,18,FALSE)=" ",0,VLOOKUP($B18,'PW G-Breakaway'!$B$5:$AI$24,18,FALSE)),0)+IFERROR(IF(VLOOKUP($B18,'PW G-Barrels'!$B$5:$AI$30,18,FALSE)=" ",0,VLOOKUP($B18,'PW G-Barrels'!$B$5:$AI$30,18,FALSE)),0)+IFERROR(IF(VLOOKUP($B18,'PW G-Poles'!$B$5:$AI$31,18,FALSE)=" ",0,VLOOKUP($B18,'PW G-Poles'!$B$5:$AI$31,18,FALSE)),0)+IFERROR(IF(VLOOKUP($B18,'PW G-Goats'!$B$5:$AI$31,18,FALSE)=" ",0,VLOOKUP($B18,'PW G-Goats'!$B$5:$AI$31,18,FALSE)),0)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IFERROR(IF(VLOOKUP($B18,'PW G-Breakaway'!$B$5:$AI$24,22,FALSE)=" ",0,VLOOKUP($B18,'PW G-Breakaway'!$B$5:$AI$24,22,FALSE)),0)+IFERROR(IF(VLOOKUP($B18,'PW G-Barrels'!$B$5:$AI$30,22,FALSE)=" ",0,VLOOKUP($B18,'PW G-Barrels'!$B$5:$AI$30,22,FALSE)),0)+IFERROR(IF(VLOOKUP($B18,'PW G-Poles'!$B$5:$AI$31,22,FALSE)=" ",0,VLOOKUP($B18,'PW G-Poles'!$B$5:$AI$31,22,FALSE)),0)+IFERROR(IF(VLOOKUP($B18,'PW G-Goats'!$B$5:$AI$31,22,FALSE)=" ",0,VLOOKUP($B18,'PW G-Goats'!$B$5:$AI$31,22,FALSE)),0)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IFERROR(IF(VLOOKUP($B18,'PW G-Breakaway'!$B$5:$AI$24,26,FALSE)=" ",0,VLOOKUP($B18,'PW G-Breakaway'!$B$5:$AI$24,26,FALSE)),0)+IFERROR(IF(VLOOKUP($B18,'PW G-Barrels'!$B$5:$AI$30,26,FALSE)=" ",0,VLOOKUP($B18,'PW G-Barrels'!$B$5:$AI$30,26,FALSE)),0)+IFERROR(IF(VLOOKUP($B18,'PW G-Poles'!$B$5:$AI$31,26,FALSE)=" ",0,VLOOKUP($B18,'PW G-Poles'!$B$5:$AI$31,26,FALSE)),0)+IFERROR(IF(VLOOKUP($B18,'PW G-Goats'!$B$5:$AI$31,26,FALSE)=" ",0,VLOOKUP($B18,'PW G-Goats'!$B$5:$AI$31,26,FALSE)),0)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IFERROR(IF(VLOOKUP($B18,'PW G-Breakaway'!$B$5:$AI$24,30,FALSE)=" ",0,VLOOKUP($B18,'PW G-Breakaway'!$B$5:$AI$24,30,FALSE)),0)+IFERROR(IF(VLOOKUP($B18,'PW G-Barrels'!$B$5:$AI$30,30,FALSE)=" ",0,VLOOKUP($B18,'PW G-Barrels'!$B$5:$AI$30,30,FALSE)),0)+IFERROR(IF(VLOOKUP($B18,'PW G-Poles'!$B$5:$AI$31,30,FALSE)=" ",0,VLOOKUP($B18,'PW G-Poles'!$B$5:$AI$31,30,FALSE)),0)+IFERROR(IF(VLOOKUP($B18,'PW G-Goats'!$B$5:$AI$31,30,FALSE)=" ",0,VLOOKUP($B18,'PW G-Goats'!$B$5:$AI$31,30,FALSE)),0)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G-Breakaway'!$B$5:$AI$24,34,FALSE)=" ",0,VLOOKUP($B18,'PW G-Breakaway'!$B$5:$AI$24,34,FALSE)),0)+IFERROR(IF(VLOOKUP($B18,'PW G-Barrels'!$B$5:$AI$30,34,FALSE)=" ",0,VLOOKUP($B18,'PW G-Barrels'!$B$5:$AI$30,34,FALSE)),0)+IFERROR(IF(VLOOKUP($B18,'PW G-Poles'!$B$5:$AI$31,34,FALSE)=" ",0,VLOOKUP($B18,'PW G-Poles'!$B$5:$AI$31,34,FALSE)),0)+IFERROR(IF(VLOOKUP($B18,'PW G-Goats'!$B$5:$AI$31,34,FALSE)=" ",0,VLOOKUP($B18,'PW G-Goats'!$B$5:$AI$31,34,FALSE)),0)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9</v>
      </c>
      <c r="AB18" s="95">
        <f t="shared" si="16"/>
        <v>9</v>
      </c>
      <c r="AC18" s="91">
        <f t="shared" si="17"/>
        <v>14</v>
      </c>
    </row>
    <row r="19" spans="2:29" x14ac:dyDescent="0.3">
      <c r="B19" s="141" t="s">
        <v>251</v>
      </c>
      <c r="C19" s="120">
        <f>IFERROR(IF(VLOOKUP($B19,'PW G-Breakaway'!$B$5:$AI$24,6,FALSE)=" ",0,VLOOKUP($B19,'PW G-Breakaway'!$B$5:$AI$24,6,FALSE)),0)+IFERROR(IF(VLOOKUP($B19,'PW G-Barrels'!$B$5:$AI$30,6,FALSE)=" ",0,VLOOKUP($B19,'PW G-Barrels'!$B$5:$AI$30,6,FALSE)),0)+IFERROR(IF(VLOOKUP($B19,'PW G-Poles'!$B$5:$AI$31,6,FALSE)=" ",0,VLOOKUP($B19,'PW G-Poles'!$B$5:$AI$31,6,FALSE)),0)+IFERROR(IF(VLOOKUP($B19,'PW G-Goats'!$B$5:$AI$31,6,FALSE)=" ",0,VLOOKUP($B19,'PW G-Goats'!$B$5:$AI$31,6,FALSE)),0)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IFERROR(IF(VLOOKUP($B19,'PW G-Breakaway'!$B$5:$AI$24,10,FALSE)=" ",0,VLOOKUP($B19,'PW G-Breakaway'!$B$5:$AI$24,10,FALSE)),0)+IFERROR(IF(VLOOKUP($B19,'PW G-Barrels'!$B$5:$AI$30,10,FALSE)=" ",0,VLOOKUP($B19,'PW G-Barrels'!$B$5:$AI$30,10,FALSE)),0)+IFERROR(IF(VLOOKUP($B19,'PW G-Poles'!$B$5:$AI$31,10,FALSE)=" ",0,VLOOKUP($B19,'PW G-Poles'!$B$5:$AI$31,10,FALSE)),0)+IFERROR(IF(VLOOKUP($B19,'PW G-Goats'!$B$5:$AI$31,10,FALSE)=" ",0,VLOOKUP($B19,'PW G-Goats'!$B$5:$AI$31,10,FALSE)),0)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G-Breakaway'!$B$5:$AI$24,14,FALSE)=" ",0,VLOOKUP($B19,'PW G-Breakaway'!$B$5:$AI$24,14,FALSE)),0)+IFERROR(IF(VLOOKUP($B19,'PW G-Barrels'!$B$5:$AI$30,14,FALSE)=" ",0,VLOOKUP($B19,'PW G-Barrels'!$B$5:$AI$30,14,FALSE)),0)+IFERROR(IF(VLOOKUP($B19,'PW G-Poles'!$B$5:$AI$31,14,FALSE)=" ",0,VLOOKUP($B19,'PW G-Poles'!$B$5:$AI$31,14,FALSE)),0)+IFERROR(IF(VLOOKUP($B19,'PW G-Goats'!$B$5:$AI$31,14,FALSE)=" ",0,VLOOKUP($B19,'PW G-Goats'!$B$5:$AI$31,14,FALSE)),0)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G-Breakaway'!$B$5:$AI$24,18,FALSE)=" ",0,VLOOKUP($B19,'PW G-Breakaway'!$B$5:$AI$24,18,FALSE)),0)+IFERROR(IF(VLOOKUP($B19,'PW G-Barrels'!$B$5:$AI$30,18,FALSE)=" ",0,VLOOKUP($B19,'PW G-Barrels'!$B$5:$AI$30,18,FALSE)),0)+IFERROR(IF(VLOOKUP($B19,'PW G-Poles'!$B$5:$AI$31,18,FALSE)=" ",0,VLOOKUP($B19,'PW G-Poles'!$B$5:$AI$31,18,FALSE)),0)+IFERROR(IF(VLOOKUP($B19,'PW G-Goats'!$B$5:$AI$31,18,FALSE)=" ",0,VLOOKUP($B19,'PW G-Goats'!$B$5:$AI$31,18,FALSE)),0)</f>
        <v>3</v>
      </c>
      <c r="M19" s="95">
        <f t="shared" si="6"/>
        <v>3</v>
      </c>
      <c r="N19" s="91">
        <f t="shared" si="7"/>
        <v>14</v>
      </c>
      <c r="O19" s="121">
        <f>IFERROR(IF(VLOOKUP($B19,'PW G-Breakaway'!$B$5:$AI$24,22,FALSE)=" ",0,VLOOKUP($B19,'PW G-Breakaway'!$B$5:$AI$24,22,FALSE)),0)+IFERROR(IF(VLOOKUP($B19,'PW G-Barrels'!$B$5:$AI$30,22,FALSE)=" ",0,VLOOKUP($B19,'PW G-Barrels'!$B$5:$AI$30,22,FALSE)),0)+IFERROR(IF(VLOOKUP($B19,'PW G-Poles'!$B$5:$AI$31,22,FALSE)=" ",0,VLOOKUP($B19,'PW G-Poles'!$B$5:$AI$31,22,FALSE)),0)+IFERROR(IF(VLOOKUP($B19,'PW G-Goats'!$B$5:$AI$31,22,FALSE)=" ",0,VLOOKUP($B19,'PW G-Goats'!$B$5:$AI$31,22,FALSE)),0)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G-Breakaway'!$B$5:$AI$24,26,FALSE)=" ",0,VLOOKUP($B19,'PW G-Breakaway'!$B$5:$AI$24,26,FALSE)),0)+IFERROR(IF(VLOOKUP($B19,'PW G-Barrels'!$B$5:$AI$30,26,FALSE)=" ",0,VLOOKUP($B19,'PW G-Barrels'!$B$5:$AI$30,26,FALSE)),0)+IFERROR(IF(VLOOKUP($B19,'PW G-Poles'!$B$5:$AI$31,26,FALSE)=" ",0,VLOOKUP($B19,'PW G-Poles'!$B$5:$AI$31,26,FALSE)),0)+IFERROR(IF(VLOOKUP($B19,'PW G-Goats'!$B$5:$AI$31,26,FALSE)=" ",0,VLOOKUP($B19,'PW G-Goats'!$B$5:$AI$31,26,FALSE)),0)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G-Breakaway'!$B$5:$AI$24,30,FALSE)=" ",0,VLOOKUP($B19,'PW G-Breakaway'!$B$5:$AI$24,30,FALSE)),0)+IFERROR(IF(VLOOKUP($B19,'PW G-Barrels'!$B$5:$AI$30,30,FALSE)=" ",0,VLOOKUP($B19,'PW G-Barrels'!$B$5:$AI$30,30,FALSE)),0)+IFERROR(IF(VLOOKUP($B19,'PW G-Poles'!$B$5:$AI$31,30,FALSE)=" ",0,VLOOKUP($B19,'PW G-Poles'!$B$5:$AI$31,30,FALSE)),0)+IFERROR(IF(VLOOKUP($B19,'PW G-Goats'!$B$5:$AI$31,30,FALSE)=" ",0,VLOOKUP($B19,'PW G-Goats'!$B$5:$AI$31,30,FALSE)),0)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IFERROR(IF(VLOOKUP($B19,'PW G-Breakaway'!$B$5:$AI$24,34,FALSE)=" ",0,VLOOKUP($B19,'PW G-Breakaway'!$B$5:$AI$24,34,FALSE)),0)+IFERROR(IF(VLOOKUP($B19,'PW G-Barrels'!$B$5:$AI$30,34,FALSE)=" ",0,VLOOKUP($B19,'PW G-Barrels'!$B$5:$AI$30,34,FALSE)),0)+IFERROR(IF(VLOOKUP($B19,'PW G-Poles'!$B$5:$AI$31,34,FALSE)=" ",0,VLOOKUP($B19,'PW G-Poles'!$B$5:$AI$31,34,FALSE)),0)+IFERROR(IF(VLOOKUP($B19,'PW G-Goats'!$B$5:$AI$31,34,FALSE)=" ",0,VLOOKUP($B19,'PW G-Goats'!$B$5:$AI$31,34,FALSE)),0)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</v>
      </c>
      <c r="AB19" s="95">
        <f t="shared" si="16"/>
        <v>3</v>
      </c>
      <c r="AC19" s="91">
        <f t="shared" si="17"/>
        <v>15</v>
      </c>
    </row>
    <row r="20" spans="2:29" x14ac:dyDescent="0.3">
      <c r="B20" s="141" t="s">
        <v>258</v>
      </c>
      <c r="C20" s="120">
        <f>IFERROR(IF(VLOOKUP($B20,'PW G-Breakaway'!$B$5:$AI$24,6,FALSE)=" ",0,VLOOKUP($B20,'PW G-Breakaway'!$B$5:$AI$24,6,FALSE)),0)+IFERROR(IF(VLOOKUP($B20,'PW G-Barrels'!$B$5:$AI$30,6,FALSE)=" ",0,VLOOKUP($B20,'PW G-Barrels'!$B$5:$AI$30,6,FALSE)),0)+IFERROR(IF(VLOOKUP($B20,'PW G-Poles'!$B$5:$AI$31,6,FALSE)=" ",0,VLOOKUP($B20,'PW G-Poles'!$B$5:$AI$31,6,FALSE)),0)+IFERROR(IF(VLOOKUP($B20,'PW G-Goats'!$B$5:$AI$31,6,FALSE)=" ",0,VLOOKUP($B20,'PW G-Goats'!$B$5:$AI$31,6,FALSE)),0)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G-Breakaway'!$B$5:$AI$24,10,FALSE)=" ",0,VLOOKUP($B20,'PW G-Breakaway'!$B$5:$AI$24,10,FALSE)),0)+IFERROR(IF(VLOOKUP($B20,'PW G-Barrels'!$B$5:$AI$30,10,FALSE)=" ",0,VLOOKUP($B20,'PW G-Barrels'!$B$5:$AI$30,10,FALSE)),0)+IFERROR(IF(VLOOKUP($B20,'PW G-Poles'!$B$5:$AI$31,10,FALSE)=" ",0,VLOOKUP($B20,'PW G-Poles'!$B$5:$AI$31,10,FALSE)),0)+IFERROR(IF(VLOOKUP($B20,'PW G-Goats'!$B$5:$AI$31,10,FALSE)=" ",0,VLOOKUP($B20,'PW G-Goats'!$B$5:$AI$31,10,FALSE)),0)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G-Breakaway'!$B$5:$AI$24,14,FALSE)=" ",0,VLOOKUP($B20,'PW G-Breakaway'!$B$5:$AI$24,14,FALSE)),0)+IFERROR(IF(VLOOKUP($B20,'PW G-Barrels'!$B$5:$AI$30,14,FALSE)=" ",0,VLOOKUP($B20,'PW G-Barrels'!$B$5:$AI$30,14,FALSE)),0)+IFERROR(IF(VLOOKUP($B20,'PW G-Poles'!$B$5:$AI$31,14,FALSE)=" ",0,VLOOKUP($B20,'PW G-Poles'!$B$5:$AI$31,14,FALSE)),0)+IFERROR(IF(VLOOKUP($B20,'PW G-Goats'!$B$5:$AI$31,14,FALSE)=" ",0,VLOOKUP($B20,'PW G-Goats'!$B$5:$AI$31,14,FALSE)),0)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G-Breakaway'!$B$5:$AI$24,18,FALSE)=" ",0,VLOOKUP($B20,'PW G-Breakaway'!$B$5:$AI$24,18,FALSE)),0)+IFERROR(IF(VLOOKUP($B20,'PW G-Barrels'!$B$5:$AI$30,18,FALSE)=" ",0,VLOOKUP($B20,'PW G-Barrels'!$B$5:$AI$30,18,FALSE)),0)+IFERROR(IF(VLOOKUP($B20,'PW G-Poles'!$B$5:$AI$31,18,FALSE)=" ",0,VLOOKUP($B20,'PW G-Poles'!$B$5:$AI$31,18,FALSE)),0)+IFERROR(IF(VLOOKUP($B20,'PW G-Goats'!$B$5:$AI$31,18,FALSE)=" ",0,VLOOKUP($B20,'PW G-Goats'!$B$5:$AI$31,18,FALSE)),0)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G-Breakaway'!$B$5:$AI$24,22,FALSE)=" ",0,VLOOKUP($B20,'PW G-Breakaway'!$B$5:$AI$24,22,FALSE)),0)+IFERROR(IF(VLOOKUP($B20,'PW G-Barrels'!$B$5:$AI$30,22,FALSE)=" ",0,VLOOKUP($B20,'PW G-Barrels'!$B$5:$AI$30,22,FALSE)),0)+IFERROR(IF(VLOOKUP($B20,'PW G-Poles'!$B$5:$AI$31,22,FALSE)=" ",0,VLOOKUP($B20,'PW G-Poles'!$B$5:$AI$31,22,FALSE)),0)+IFERROR(IF(VLOOKUP($B20,'PW G-Goats'!$B$5:$AI$31,22,FALSE)=" ",0,VLOOKUP($B20,'PW G-Goats'!$B$5:$AI$31,22,FALSE)),0)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G-Breakaway'!$B$5:$AI$24,26,FALSE)=" ",0,VLOOKUP($B20,'PW G-Breakaway'!$B$5:$AI$24,26,FALSE)),0)+IFERROR(IF(VLOOKUP($B20,'PW G-Barrels'!$B$5:$AI$30,26,FALSE)=" ",0,VLOOKUP($B20,'PW G-Barrels'!$B$5:$AI$30,26,FALSE)),0)+IFERROR(IF(VLOOKUP($B20,'PW G-Poles'!$B$5:$AI$31,26,FALSE)=" ",0,VLOOKUP($B20,'PW G-Poles'!$B$5:$AI$31,26,FALSE)),0)+IFERROR(IF(VLOOKUP($B20,'PW G-Goats'!$B$5:$AI$31,26,FALSE)=" ",0,VLOOKUP($B20,'PW G-Goats'!$B$5:$AI$31,26,FALSE)),0)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G-Breakaway'!$B$5:$AI$24,30,FALSE)=" ",0,VLOOKUP($B20,'PW G-Breakaway'!$B$5:$AI$24,30,FALSE)),0)+IFERROR(IF(VLOOKUP($B20,'PW G-Barrels'!$B$5:$AI$30,30,FALSE)=" ",0,VLOOKUP($B20,'PW G-Barrels'!$B$5:$AI$30,30,FALSE)),0)+IFERROR(IF(VLOOKUP($B20,'PW G-Poles'!$B$5:$AI$31,30,FALSE)=" ",0,VLOOKUP($B20,'PW G-Poles'!$B$5:$AI$31,30,FALSE)),0)+IFERROR(IF(VLOOKUP($B20,'PW G-Goats'!$B$5:$AI$31,30,FALSE)=" ",0,VLOOKUP($B20,'PW G-Goats'!$B$5:$AI$31,30,FALSE)),0)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G-Breakaway'!$B$5:$AI$24,34,FALSE)=" ",0,VLOOKUP($B20,'PW G-Breakaway'!$B$5:$AI$24,34,FALSE)),0)+IFERROR(IF(VLOOKUP($B20,'PW G-Barrels'!$B$5:$AI$30,34,FALSE)=" ",0,VLOOKUP($B20,'PW G-Barrels'!$B$5:$AI$30,34,FALSE)),0)+IFERROR(IF(VLOOKUP($B20,'PW G-Poles'!$B$5:$AI$31,34,FALSE)=" ",0,VLOOKUP($B20,'PW G-Poles'!$B$5:$AI$31,34,FALSE)),0)+IFERROR(IF(VLOOKUP($B20,'PW G-Goats'!$B$5:$AI$31,34,FALSE)=" ",0,VLOOKUP($B20,'PW G-Goats'!$B$5:$AI$31,34,FALSE)),0)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1" t="s">
        <v>138</v>
      </c>
      <c r="C21" s="120">
        <f>IFERROR(IF(VLOOKUP($B21,'PW G-Breakaway'!$B$5:$AI$24,6,FALSE)=" ",0,VLOOKUP($B21,'PW G-Breakaway'!$B$5:$AI$24,6,FALSE)),0)+IFERROR(IF(VLOOKUP($B21,'PW G-Barrels'!$B$5:$AI$31,6,FALSE)=" ",0,VLOOKUP($B21,'PW G-Barrels'!$B$5:$AI$31,6,FALSE)),0)+IFERROR(IF(VLOOKUP($B21,'PW G-Poles'!$B$5:$AI$31,6,FALSE)=" ",0,VLOOKUP($B21,'PW G-Poles'!$B$5:$AI$31,6,FALSE)),0)+IFERROR(IF(VLOOKUP($B21,'PW G-Goats'!$B$5:$AI$31,6,FALSE)=" ",0,VLOOKUP($B21,'PW G-Goats'!$B$5:$AI$31,6,FALSE)),0)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IFERROR(IF(VLOOKUP($B21,'PW G-Breakaway'!$B$5:$AI$24,10,FALSE)=" ",0,VLOOKUP($B21,'PW G-Breakaway'!$B$5:$AI$24,10,FALSE)),0)+IFERROR(IF(VLOOKUP($B21,'PW G-Barrels'!$B$5:$AI$31,10,FALSE)=" ",0,VLOOKUP($B21,'PW G-Barrels'!$B$5:$AI$31,10,FALSE)),0)+IFERROR(IF(VLOOKUP($B21,'PW G-Poles'!$B$5:$AI$31,10,FALSE)=" ",0,VLOOKUP($B21,'PW G-Poles'!$B$5:$AI$31,10,FALSE)),0)+IFERROR(IF(VLOOKUP($B21,'PW G-Goats'!$B$5:$AI$31,10,FALSE)=" ",0,VLOOKUP($B21,'PW G-Goats'!$B$5:$AI$31,10,FALSE)),0)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IFERROR(IF(VLOOKUP($B21,'PW G-Breakaway'!$B$5:$AI$24,14,FALSE)=" ",0,VLOOKUP($B21,'PW G-Breakaway'!$B$5:$AI$24,14,FALSE)),0)+IFERROR(IF(VLOOKUP($B21,'PW G-Barrels'!$B$5:$AI$31,14,FALSE)=" ",0,VLOOKUP($B21,'PW G-Barrels'!$B$5:$AI$31,14,FALSE)),0)+IFERROR(IF(VLOOKUP($B21,'PW G-Poles'!$B$5:$AI$31,14,FALSE)=" ",0,VLOOKUP($B21,'PW G-Poles'!$B$5:$AI$31,14,FALSE)),0)+IFERROR(IF(VLOOKUP($B21,'PW G-Goats'!$B$5:$AI$31,14,FALSE)=" ",0,VLOOKUP($B21,'PW G-Goats'!$B$5:$AI$31,14,FALSE)),0)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IFERROR(IF(VLOOKUP($B21,'PW G-Breakaway'!$B$5:$AI$24,18,FALSE)=" ",0,VLOOKUP($B21,'PW G-Breakaway'!$B$5:$AI$24,18,FALSE)),0)+IFERROR(IF(VLOOKUP($B21,'PW G-Barrels'!$B$5:$AI$31,18,FALSE)=" ",0,VLOOKUP($B21,'PW G-Barrels'!$B$5:$AI$31,18,FALSE)),0)+IFERROR(IF(VLOOKUP($B21,'PW G-Poles'!$B$5:$AI$31,18,FALSE)=" ",0,VLOOKUP($B21,'PW G-Poles'!$B$5:$AI$31,18,FALSE)),0)+IFERROR(IF(VLOOKUP($B21,'PW G-Goats'!$B$5:$AI$31,18,FALSE)=" ",0,VLOOKUP($B21,'PW G-Goats'!$B$5:$AI$31,18,FALSE)),0)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IFERROR(IF(VLOOKUP($B21,'PW G-Breakaway'!$B$5:$AI$24,22,FALSE)=" ",0,VLOOKUP($B21,'PW G-Breakaway'!$B$5:$AI$24,22,FALSE)),0)+IFERROR(IF(VLOOKUP($B21,'PW G-Barrels'!$B$5:$AI$31,22,FALSE)=" ",0,VLOOKUP($B21,'PW G-Barrels'!$B$5:$AI$31,22,FALSE)),0)+IFERROR(IF(VLOOKUP($B21,'PW G-Poles'!$B$5:$AI$31,22,FALSE)=" ",0,VLOOKUP($B21,'PW G-Poles'!$B$5:$AI$31,22,FALSE)),0)+IFERROR(IF(VLOOKUP($B21,'PW G-Goats'!$B$5:$AI$31,22,FALSE)=" ",0,VLOOKUP($B21,'PW G-Goats'!$B$5:$AI$31,22,FALSE)),0)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IFERROR(IF(VLOOKUP($B21,'PW G-Breakaway'!$B$5:$AI$24,26,FALSE)=" ",0,VLOOKUP($B21,'PW G-Breakaway'!$B$5:$AI$24,26,FALSE)),0)+IFERROR(IF(VLOOKUP($B21,'PW G-Barrels'!$B$5:$AI$31,26,FALSE)=" ",0,VLOOKUP($B21,'PW G-Barrels'!$B$5:$AI$31,26,FALSE)),0)+IFERROR(IF(VLOOKUP($B21,'PW G-Poles'!$B$5:$AI$31,26,FALSE)=" ",0,VLOOKUP($B21,'PW G-Poles'!$B$5:$AI$31,26,FALSE)),0)+IFERROR(IF(VLOOKUP($B21,'PW G-Goats'!$B$5:$AI$31,26,FALSE)=" ",0,VLOOKUP($B21,'PW G-Goats'!$B$5:$AI$31,26,FALSE)),0)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IFERROR(IF(VLOOKUP($B21,'PW G-Breakaway'!$B$5:$AI$24,30,FALSE)=" ",0,VLOOKUP($B21,'PW G-Breakaway'!$B$5:$AI$24,30,FALSE)),0)+IFERROR(IF(VLOOKUP($B21,'PW G-Barrels'!$B$5:$AI$31,30,FALSE)=" ",0,VLOOKUP($B21,'PW G-Barrels'!$B$5:$AI$31,30,FALSE)),0)+IFERROR(IF(VLOOKUP($B21,'PW G-Poles'!$B$5:$AI$31,30,FALSE)=" ",0,VLOOKUP($B21,'PW G-Poles'!$B$5:$AI$31,30,FALSE)),0)+IFERROR(IF(VLOOKUP($B21,'PW G-Goats'!$B$5:$AI$31,30,FALSE)=" ",0,VLOOKUP($B21,'PW G-Goats'!$B$5:$AI$31,30,FALSE)),0)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IFERROR(IF(VLOOKUP($B21,'PW G-Breakaway'!$B$5:$AI$24,34,FALSE)=" ",0,VLOOKUP($B21,'PW G-Breakaway'!$B$5:$AI$24,34,FALSE)),0)+IFERROR(IF(VLOOKUP($B21,'PW G-Barrels'!$B$5:$AI$31,34,FALSE)=" ",0,VLOOKUP($B21,'PW G-Barrels'!$B$5:$AI$31,34,FALSE)),0)+IFERROR(IF(VLOOKUP($B21,'PW G-Poles'!$B$5:$AI$31,34,FALSE)=" ",0,VLOOKUP($B21,'PW G-Poles'!$B$5:$AI$31,34,FALSE)),0)+IFERROR(IF(VLOOKUP($B21,'PW G-Goats'!$B$5:$AI$31,34,FALSE)=" ",0,VLOOKUP($B21,'PW G-Goats'!$B$5:$AI$31,34,FALSE)),0)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41" t="s">
        <v>312</v>
      </c>
      <c r="C22" s="120">
        <f>IFERROR(IF(VLOOKUP($B22,'PW G-Breakaway'!$B$5:$AI$24,6,FALSE)=" ",0,VLOOKUP($B22,'PW G-Breakaway'!$B$5:$AI$24,6,FALSE)),0)+IFERROR(IF(VLOOKUP($B22,'PW G-Barrels'!$B$5:$AI$31,6,FALSE)=" ",0,VLOOKUP($B22,'PW G-Barrels'!$B$5:$AI$31,6,FALSE)),0)+IFERROR(IF(VLOOKUP($B22,'PW G-Poles'!$B$5:$AI$31,6,FALSE)=" ",0,VLOOKUP($B22,'PW G-Poles'!$B$5:$AI$31,6,FALSE)),0)+IFERROR(IF(VLOOKUP($B22,'PW G-Goats'!$B$5:$AI$31,6,FALSE)=" ",0,VLOOKUP($B22,'PW G-Goats'!$B$5:$AI$31,6,FALSE)),0)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IFERROR(IF(VLOOKUP($B22,'PW G-Breakaway'!$B$5:$AI$24,10,FALSE)=" ",0,VLOOKUP($B22,'PW G-Breakaway'!$B$5:$AI$24,10,FALSE)),0)+IFERROR(IF(VLOOKUP($B22,'PW G-Barrels'!$B$5:$AI$31,10,FALSE)=" ",0,VLOOKUP($B22,'PW G-Barrels'!$B$5:$AI$31,10,FALSE)),0)+IFERROR(IF(VLOOKUP($B22,'PW G-Poles'!$B$5:$AI$31,10,FALSE)=" ",0,VLOOKUP($B22,'PW G-Poles'!$B$5:$AI$31,10,FALSE)),0)+IFERROR(IF(VLOOKUP($B22,'PW G-Goats'!$B$5:$AI$31,10,FALSE)=" ",0,VLOOKUP($B22,'PW G-Goats'!$B$5:$AI$31,10,FALSE)),0)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IFERROR(IF(VLOOKUP($B22,'PW G-Breakaway'!$B$5:$AI$24,14,FALSE)=" ",0,VLOOKUP($B22,'PW G-Breakaway'!$B$5:$AI$24,14,FALSE)),0)+IFERROR(IF(VLOOKUP($B22,'PW G-Barrels'!$B$5:$AI$31,14,FALSE)=" ",0,VLOOKUP($B22,'PW G-Barrels'!$B$5:$AI$31,14,FALSE)),0)+IFERROR(IF(VLOOKUP($B22,'PW G-Poles'!$B$5:$AI$31,14,FALSE)=" ",0,VLOOKUP($B22,'PW G-Poles'!$B$5:$AI$31,14,FALSE)),0)+IFERROR(IF(VLOOKUP($B22,'PW G-Goats'!$B$5:$AI$31,14,FALSE)=" ",0,VLOOKUP($B22,'PW G-Goats'!$B$5:$AI$31,14,FALSE)),0)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IFERROR(IF(VLOOKUP($B22,'PW G-Breakaway'!$B$5:$AI$24,18,FALSE)=" ",0,VLOOKUP($B22,'PW G-Breakaway'!$B$5:$AI$24,18,FALSE)),0)+IFERROR(IF(VLOOKUP($B22,'PW G-Barrels'!$B$5:$AI$31,18,FALSE)=" ",0,VLOOKUP($B22,'PW G-Barrels'!$B$5:$AI$31,18,FALSE)),0)+IFERROR(IF(VLOOKUP($B22,'PW G-Poles'!$B$5:$AI$31,18,FALSE)=" ",0,VLOOKUP($B22,'PW G-Poles'!$B$5:$AI$31,18,FALSE)),0)+IFERROR(IF(VLOOKUP($B22,'PW G-Goats'!$B$5:$AI$31,18,FALSE)=" ",0,VLOOKUP($B22,'PW G-Goats'!$B$5:$AI$31,18,FALSE)),0)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IFERROR(IF(VLOOKUP($B22,'PW G-Breakaway'!$B$5:$AI$24,22,FALSE)=" ",0,VLOOKUP($B22,'PW G-Breakaway'!$B$5:$AI$24,22,FALSE)),0)+IFERROR(IF(VLOOKUP($B22,'PW G-Barrels'!$B$5:$AI$31,22,FALSE)=" ",0,VLOOKUP($B22,'PW G-Barrels'!$B$5:$AI$31,22,FALSE)),0)+IFERROR(IF(VLOOKUP($B22,'PW G-Poles'!$B$5:$AI$31,22,FALSE)=" ",0,VLOOKUP($B22,'PW G-Poles'!$B$5:$AI$31,22,FALSE)),0)+IFERROR(IF(VLOOKUP($B22,'PW G-Goats'!$B$5:$AI$31,22,FALSE)=" ",0,VLOOKUP($B22,'PW G-Goats'!$B$5:$AI$31,22,FALSE)),0)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IFERROR(IF(VLOOKUP($B22,'PW G-Breakaway'!$B$5:$AI$24,26,FALSE)=" ",0,VLOOKUP($B22,'PW G-Breakaway'!$B$5:$AI$24,26,FALSE)),0)+IFERROR(IF(VLOOKUP($B22,'PW G-Barrels'!$B$5:$AI$31,26,FALSE)=" ",0,VLOOKUP($B22,'PW G-Barrels'!$B$5:$AI$31,26,FALSE)),0)+IFERROR(IF(VLOOKUP($B22,'PW G-Poles'!$B$5:$AI$31,26,FALSE)=" ",0,VLOOKUP($B22,'PW G-Poles'!$B$5:$AI$31,26,FALSE)),0)+IFERROR(IF(VLOOKUP($B22,'PW G-Goats'!$B$5:$AI$31,26,FALSE)=" ",0,VLOOKUP($B22,'PW G-Goats'!$B$5:$AI$31,26,FALSE)),0)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IFERROR(IF(VLOOKUP($B22,'PW G-Breakaway'!$B$5:$AI$24,30,FALSE)=" ",0,VLOOKUP($B22,'PW G-Breakaway'!$B$5:$AI$24,30,FALSE)),0)+IFERROR(IF(VLOOKUP($B22,'PW G-Barrels'!$B$5:$AI$31,30,FALSE)=" ",0,VLOOKUP($B22,'PW G-Barrels'!$B$5:$AI$31,30,FALSE)),0)+IFERROR(IF(VLOOKUP($B22,'PW G-Poles'!$B$5:$AI$31,30,FALSE)=" ",0,VLOOKUP($B22,'PW G-Poles'!$B$5:$AI$31,30,FALSE)),0)+IFERROR(IF(VLOOKUP($B22,'PW G-Goats'!$B$5:$AI$31,30,FALSE)=" ",0,VLOOKUP($B22,'PW G-Goats'!$B$5:$AI$31,30,FALSE)),0)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IFERROR(IF(VLOOKUP($B22,'PW G-Breakaway'!$B$5:$AI$24,34,FALSE)=" ",0,VLOOKUP($B22,'PW G-Breakaway'!$B$5:$AI$24,34,FALSE)),0)+IFERROR(IF(VLOOKUP($B22,'PW G-Barrels'!$B$5:$AI$31,34,FALSE)=" ",0,VLOOKUP($B22,'PW G-Barrels'!$B$5:$AI$31,34,FALSE)),0)+IFERROR(IF(VLOOKUP($B22,'PW G-Poles'!$B$5:$AI$31,34,FALSE)=" ",0,VLOOKUP($B22,'PW G-Poles'!$B$5:$AI$31,34,FALSE)),0)+IFERROR(IF(VLOOKUP($B22,'PW G-Goats'!$B$5:$AI$31,34,FALSE)=" ",0,VLOOKUP($B22,'PW G-Goats'!$B$5:$AI$31,34,FALSE)),0)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41" t="s">
        <v>93</v>
      </c>
      <c r="C23" s="120">
        <f>IFERROR(IF(VLOOKUP($B23,'PW G-Breakaway'!$B$5:$AI$24,6,FALSE)=" ",0,VLOOKUP($B23,'PW G-Breakaway'!$B$5:$AI$24,6,FALSE)),0)+IFERROR(IF(VLOOKUP($B23,'PW G-Barrels'!$B$5:$AI$30,6,FALSE)=" ",0,VLOOKUP($B23,'PW G-Barrels'!$B$5:$AI$30,6,FALSE)),0)+IFERROR(IF(VLOOKUP($B23,'PW G-Poles'!$B$5:$AI$31,6,FALSE)=" ",0,VLOOKUP($B23,'PW G-Poles'!$B$5:$AI$31,6,FALSE)),0)+IFERROR(IF(VLOOKUP($B23,'PW G-Goats'!$B$5:$AI$31,6,FALSE)=" ",0,VLOOKUP($B23,'PW G-Goats'!$B$5:$AI$31,6,FALSE)),0)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IFERROR(IF(VLOOKUP($B23,'PW G-Breakaway'!$B$5:$AI$24,10,FALSE)=" ",0,VLOOKUP($B23,'PW G-Breakaway'!$B$5:$AI$24,10,FALSE)),0)+IFERROR(IF(VLOOKUP($B23,'PW G-Barrels'!$B$5:$AI$30,10,FALSE)=" ",0,VLOOKUP($B23,'PW G-Barrels'!$B$5:$AI$30,10,FALSE)),0)+IFERROR(IF(VLOOKUP($B23,'PW G-Poles'!$B$5:$AI$31,10,FALSE)=" ",0,VLOOKUP($B23,'PW G-Poles'!$B$5:$AI$31,10,FALSE)),0)+IFERROR(IF(VLOOKUP($B23,'PW G-Goats'!$B$5:$AI$31,10,FALSE)=" ",0,VLOOKUP($B23,'PW G-Goats'!$B$5:$AI$31,10,FALSE)),0)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IFERROR(IF(VLOOKUP($B23,'PW G-Breakaway'!$B$5:$AI$24,14,FALSE)=" ",0,VLOOKUP($B23,'PW G-Breakaway'!$B$5:$AI$24,14,FALSE)),0)+IFERROR(IF(VLOOKUP($B23,'PW G-Barrels'!$B$5:$AI$30,14,FALSE)=" ",0,VLOOKUP($B23,'PW G-Barrels'!$B$5:$AI$30,14,FALSE)),0)+IFERROR(IF(VLOOKUP($B23,'PW G-Poles'!$B$5:$AI$31,14,FALSE)=" ",0,VLOOKUP($B23,'PW G-Poles'!$B$5:$AI$31,14,FALSE)),0)+IFERROR(IF(VLOOKUP($B23,'PW G-Goats'!$B$5:$AI$31,14,FALSE)=" ",0,VLOOKUP($B23,'PW G-Goats'!$B$5:$AI$31,14,FALSE)),0)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IFERROR(IF(VLOOKUP($B23,'PW G-Breakaway'!$B$5:$AI$24,18,FALSE)=" ",0,VLOOKUP($B23,'PW G-Breakaway'!$B$5:$AI$24,18,FALSE)),0)+IFERROR(IF(VLOOKUP($B23,'PW G-Barrels'!$B$5:$AI$30,18,FALSE)=" ",0,VLOOKUP($B23,'PW G-Barrels'!$B$5:$AI$30,18,FALSE)),0)+IFERROR(IF(VLOOKUP($B23,'PW G-Poles'!$B$5:$AI$31,18,FALSE)=" ",0,VLOOKUP($B23,'PW G-Poles'!$B$5:$AI$31,18,FALSE)),0)+IFERROR(IF(VLOOKUP($B23,'PW G-Goats'!$B$5:$AI$31,18,FALSE)=" ",0,VLOOKUP($B23,'PW G-Goats'!$B$5:$AI$31,18,FALSE)),0)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IFERROR(IF(VLOOKUP($B23,'PW G-Breakaway'!$B$5:$AI$24,22,FALSE)=" ",0,VLOOKUP($B23,'PW G-Breakaway'!$B$5:$AI$24,22,FALSE)),0)+IFERROR(IF(VLOOKUP($B23,'PW G-Barrels'!$B$5:$AI$30,22,FALSE)=" ",0,VLOOKUP($B23,'PW G-Barrels'!$B$5:$AI$30,22,FALSE)),0)+IFERROR(IF(VLOOKUP($B23,'PW G-Poles'!$B$5:$AI$31,22,FALSE)=" ",0,VLOOKUP($B23,'PW G-Poles'!$B$5:$AI$31,22,FALSE)),0)+IFERROR(IF(VLOOKUP($B23,'PW G-Goats'!$B$5:$AI$31,22,FALSE)=" ",0,VLOOKUP($B23,'PW G-Goats'!$B$5:$AI$31,22,FALSE)),0)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IFERROR(IF(VLOOKUP($B23,'PW G-Breakaway'!$B$5:$AI$24,26,FALSE)=" ",0,VLOOKUP($B23,'PW G-Breakaway'!$B$5:$AI$24,26,FALSE)),0)+IFERROR(IF(VLOOKUP($B23,'PW G-Barrels'!$B$5:$AI$30,26,FALSE)=" ",0,VLOOKUP($B23,'PW G-Barrels'!$B$5:$AI$30,26,FALSE)),0)+IFERROR(IF(VLOOKUP($B23,'PW G-Poles'!$B$5:$AI$31,26,FALSE)=" ",0,VLOOKUP($B23,'PW G-Poles'!$B$5:$AI$31,26,FALSE)),0)+IFERROR(IF(VLOOKUP($B23,'PW G-Goats'!$B$5:$AI$31,26,FALSE)=" ",0,VLOOKUP($B23,'PW G-Goats'!$B$5:$AI$31,26,FALSE)),0)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IFERROR(IF(VLOOKUP($B23,'PW G-Breakaway'!$B$5:$AI$24,30,FALSE)=" ",0,VLOOKUP($B23,'PW G-Breakaway'!$B$5:$AI$24,30,FALSE)),0)+IFERROR(IF(VLOOKUP($B23,'PW G-Barrels'!$B$5:$AI$30,30,FALSE)=" ",0,VLOOKUP($B23,'PW G-Barrels'!$B$5:$AI$30,30,FALSE)),0)+IFERROR(IF(VLOOKUP($B23,'PW G-Poles'!$B$5:$AI$31,30,FALSE)=" ",0,VLOOKUP($B23,'PW G-Poles'!$B$5:$AI$31,30,FALSE)),0)+IFERROR(IF(VLOOKUP($B23,'PW G-Goats'!$B$5:$AI$31,30,FALSE)=" ",0,VLOOKUP($B23,'PW G-Goats'!$B$5:$AI$31,30,FALSE)),0)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IFERROR(IF(VLOOKUP($B23,'PW G-Breakaway'!$B$5:$AI$24,34,FALSE)=" ",0,VLOOKUP($B23,'PW G-Breakaway'!$B$5:$AI$24,34,FALSE)),0)+IFERROR(IF(VLOOKUP($B23,'PW G-Barrels'!$B$5:$AI$30,34,FALSE)=" ",0,VLOOKUP($B23,'PW G-Barrels'!$B$5:$AI$30,34,FALSE)),0)+IFERROR(IF(VLOOKUP($B23,'PW G-Poles'!$B$5:$AI$31,34,FALSE)=" ",0,VLOOKUP($B23,'PW G-Poles'!$B$5:$AI$31,34,FALSE)),0)+IFERROR(IF(VLOOKUP($B23,'PW G-Goats'!$B$5:$AI$31,34,FALSE)=" ",0,VLOOKUP($B23,'PW G-Goats'!$B$5:$AI$31,34,FALSE)),0)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x14ac:dyDescent="0.3">
      <c r="B24" s="141" t="s">
        <v>174</v>
      </c>
      <c r="C24" s="120">
        <f>IFERROR(IF(VLOOKUP($B24,'PW G-Breakaway'!$B$5:$AI$24,6,FALSE)=" ",0,VLOOKUP($B24,'PW G-Breakaway'!$B$5:$AI$24,6,FALSE)),0)+IFERROR(IF(VLOOKUP($B24,'PW G-Barrels'!$B$5:$AI$30,6,FALSE)=" ",0,VLOOKUP($B24,'PW G-Barrels'!$B$5:$AI$30,6,FALSE)),0)+IFERROR(IF(VLOOKUP($B24,'PW G-Poles'!$B$5:$AI$31,6,FALSE)=" ",0,VLOOKUP($B24,'PW G-Poles'!$B$5:$AI$31,6,FALSE)),0)+IFERROR(IF(VLOOKUP($B24,'PW G-Goats'!$B$5:$AI$31,6,FALSE)=" ",0,VLOOKUP($B24,'PW G-Goats'!$B$5:$AI$31,6,FALSE)),0)</f>
        <v>0</v>
      </c>
      <c r="D24" s="95" t="str">
        <f t="shared" si="0"/>
        <v xml:space="preserve"> </v>
      </c>
      <c r="E24" s="122" t="str">
        <f t="shared" si="1"/>
        <v xml:space="preserve"> </v>
      </c>
      <c r="F24" s="121">
        <f>IFERROR(IF(VLOOKUP($B24,'PW G-Breakaway'!$B$5:$AI$24,10,FALSE)=" ",0,VLOOKUP($B24,'PW G-Breakaway'!$B$5:$AI$24,10,FALSE)),0)+IFERROR(IF(VLOOKUP($B24,'PW G-Barrels'!$B$5:$AI$30,10,FALSE)=" ",0,VLOOKUP($B24,'PW G-Barrels'!$B$5:$AI$30,10,FALSE)),0)+IFERROR(IF(VLOOKUP($B24,'PW G-Poles'!$B$5:$AI$31,10,FALSE)=" ",0,VLOOKUP($B24,'PW G-Poles'!$B$5:$AI$31,10,FALSE)),0)+IFERROR(IF(VLOOKUP($B24,'PW G-Goats'!$B$5:$AI$31,10,FALSE)=" ",0,VLOOKUP($B24,'PW G-Goats'!$B$5:$AI$31,10,FALSE)),0)</f>
        <v>0</v>
      </c>
      <c r="G24" s="95" t="str">
        <f t="shared" si="2"/>
        <v xml:space="preserve"> </v>
      </c>
      <c r="H24" s="122" t="str">
        <f t="shared" si="3"/>
        <v xml:space="preserve"> </v>
      </c>
      <c r="I24" s="121">
        <f>IFERROR(IF(VLOOKUP($B24,'PW G-Breakaway'!$B$5:$AI$24,14,FALSE)=" ",0,VLOOKUP($B24,'PW G-Breakaway'!$B$5:$AI$24,14,FALSE)),0)+IFERROR(IF(VLOOKUP($B24,'PW G-Barrels'!$B$5:$AI$30,14,FALSE)=" ",0,VLOOKUP($B24,'PW G-Barrels'!$B$5:$AI$30,14,FALSE)),0)+IFERROR(IF(VLOOKUP($B24,'PW G-Poles'!$B$5:$AI$31,14,FALSE)=" ",0,VLOOKUP($B24,'PW G-Poles'!$B$5:$AI$31,14,FALSE)),0)+IFERROR(IF(VLOOKUP($B24,'PW G-Goats'!$B$5:$AI$31,14,FALSE)=" ",0,VLOOKUP($B24,'PW G-Goats'!$B$5:$AI$31,14,FALSE)),0)</f>
        <v>0</v>
      </c>
      <c r="J24" s="95" t="str">
        <f t="shared" si="4"/>
        <v xml:space="preserve"> </v>
      </c>
      <c r="K24" s="122" t="str">
        <f t="shared" si="5"/>
        <v xml:space="preserve"> </v>
      </c>
      <c r="L24" s="121">
        <f>IFERROR(IF(VLOOKUP($B24,'PW G-Breakaway'!$B$5:$AI$24,18,FALSE)=" ",0,VLOOKUP($B24,'PW G-Breakaway'!$B$5:$AI$24,18,FALSE)),0)+IFERROR(IF(VLOOKUP($B24,'PW G-Barrels'!$B$5:$AI$30,18,FALSE)=" ",0,VLOOKUP($B24,'PW G-Barrels'!$B$5:$AI$30,18,FALSE)),0)+IFERROR(IF(VLOOKUP($B24,'PW G-Poles'!$B$5:$AI$31,18,FALSE)=" ",0,VLOOKUP($B24,'PW G-Poles'!$B$5:$AI$31,18,FALSE)),0)+IFERROR(IF(VLOOKUP($B24,'PW G-Goats'!$B$5:$AI$31,18,FALSE)=" ",0,VLOOKUP($B24,'PW G-Goats'!$B$5:$AI$31,18,FALSE)),0)</f>
        <v>0</v>
      </c>
      <c r="M24" s="95" t="str">
        <f t="shared" si="6"/>
        <v xml:space="preserve"> </v>
      </c>
      <c r="N24" s="122" t="str">
        <f t="shared" si="7"/>
        <v xml:space="preserve"> </v>
      </c>
      <c r="O24" s="121">
        <f>IFERROR(IF(VLOOKUP($B24,'PW G-Breakaway'!$B$5:$AI$24,22,FALSE)=" ",0,VLOOKUP($B24,'PW G-Breakaway'!$B$5:$AI$24,22,FALSE)),0)+IFERROR(IF(VLOOKUP($B24,'PW G-Barrels'!$B$5:$AI$30,22,FALSE)=" ",0,VLOOKUP($B24,'PW G-Barrels'!$B$5:$AI$30,22,FALSE)),0)+IFERROR(IF(VLOOKUP($B24,'PW G-Poles'!$B$5:$AI$31,22,FALSE)=" ",0,VLOOKUP($B24,'PW G-Poles'!$B$5:$AI$31,22,FALSE)),0)+IFERROR(IF(VLOOKUP($B24,'PW G-Goats'!$B$5:$AI$31,22,FALSE)=" ",0,VLOOKUP($B24,'PW G-Goats'!$B$5:$AI$31,22,FALSE)),0)</f>
        <v>0</v>
      </c>
      <c r="P24" s="95" t="str">
        <f t="shared" si="8"/>
        <v xml:space="preserve"> </v>
      </c>
      <c r="Q24" s="122" t="str">
        <f t="shared" si="9"/>
        <v xml:space="preserve"> </v>
      </c>
      <c r="R24" s="121">
        <f>IFERROR(IF(VLOOKUP($B24,'PW G-Breakaway'!$B$5:$AI$24,26,FALSE)=" ",0,VLOOKUP($B24,'PW G-Breakaway'!$B$5:$AI$24,26,FALSE)),0)+IFERROR(IF(VLOOKUP($B24,'PW G-Barrels'!$B$5:$AI$30,26,FALSE)=" ",0,VLOOKUP($B24,'PW G-Barrels'!$B$5:$AI$30,26,FALSE)),0)+IFERROR(IF(VLOOKUP($B24,'PW G-Poles'!$B$5:$AI$31,26,FALSE)=" ",0,VLOOKUP($B24,'PW G-Poles'!$B$5:$AI$31,26,FALSE)),0)+IFERROR(IF(VLOOKUP($B24,'PW G-Goats'!$B$5:$AI$31,26,FALSE)=" ",0,VLOOKUP($B24,'PW G-Goats'!$B$5:$AI$31,26,FALSE)),0)</f>
        <v>0</v>
      </c>
      <c r="S24" s="95" t="str">
        <f t="shared" si="10"/>
        <v xml:space="preserve"> </v>
      </c>
      <c r="T24" s="122" t="str">
        <f t="shared" si="11"/>
        <v xml:space="preserve"> </v>
      </c>
      <c r="U24" s="121">
        <f>IFERROR(IF(VLOOKUP($B24,'PW G-Breakaway'!$B$5:$AI$24,30,FALSE)=" ",0,VLOOKUP($B24,'PW G-Breakaway'!$B$5:$AI$24,30,FALSE)),0)+IFERROR(IF(VLOOKUP($B24,'PW G-Barrels'!$B$5:$AI$30,30,FALSE)=" ",0,VLOOKUP($B24,'PW G-Barrels'!$B$5:$AI$30,30,FALSE)),0)+IFERROR(IF(VLOOKUP($B24,'PW G-Poles'!$B$5:$AI$31,30,FALSE)=" ",0,VLOOKUP($B24,'PW G-Poles'!$B$5:$AI$31,30,FALSE)),0)+IFERROR(IF(VLOOKUP($B24,'PW G-Goats'!$B$5:$AI$31,30,FALSE)=" ",0,VLOOKUP($B24,'PW G-Goats'!$B$5:$AI$31,30,FALSE)),0)</f>
        <v>0</v>
      </c>
      <c r="V24" s="95" t="str">
        <f t="shared" si="12"/>
        <v xml:space="preserve"> </v>
      </c>
      <c r="W24" s="122" t="str">
        <f t="shared" si="13"/>
        <v xml:space="preserve"> </v>
      </c>
      <c r="X24" s="121">
        <f>IFERROR(IF(VLOOKUP($B24,'PW G-Breakaway'!$B$5:$AI$24,34,FALSE)=" ",0,VLOOKUP($B24,'PW G-Breakaway'!$B$5:$AI$24,34,FALSE)),0)+IFERROR(IF(VLOOKUP($B24,'PW G-Barrels'!$B$5:$AI$30,34,FALSE)=" ",0,VLOOKUP($B24,'PW G-Barrels'!$B$5:$AI$30,34,FALSE)),0)+IFERROR(IF(VLOOKUP($B24,'PW G-Poles'!$B$5:$AI$31,34,FALSE)=" ",0,VLOOKUP($B24,'PW G-Poles'!$B$5:$AI$31,34,FALSE)),0)+IFERROR(IF(VLOOKUP($B24,'PW G-Goats'!$B$5:$AI$31,34,FALSE)=" ",0,VLOOKUP($B24,'PW G-Goats'!$B$5:$AI$31,34,FALSE)),0)</f>
        <v>0</v>
      </c>
      <c r="Y24" s="95" t="str">
        <f t="shared" si="14"/>
        <v xml:space="preserve"> </v>
      </c>
      <c r="Z24" s="122" t="str">
        <f t="shared" si="15"/>
        <v xml:space="preserve"> </v>
      </c>
      <c r="AA2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4" s="95" t="str">
        <f t="shared" si="16"/>
        <v xml:space="preserve"> </v>
      </c>
      <c r="AC24" s="122" t="str">
        <f t="shared" si="17"/>
        <v xml:space="preserve"> </v>
      </c>
    </row>
    <row r="25" spans="2:29" x14ac:dyDescent="0.3">
      <c r="B25" s="141" t="s">
        <v>250</v>
      </c>
      <c r="C25" s="120">
        <f>IFERROR(IF(VLOOKUP($B25,'PW G-Breakaway'!$B$5:$AI$24,6,FALSE)=" ",0,VLOOKUP($B25,'PW G-Breakaway'!$B$5:$AI$24,6,FALSE)),0)+IFERROR(IF(VLOOKUP($B25,'PW G-Barrels'!$B$5:$AI$30,6,FALSE)=" ",0,VLOOKUP($B25,'PW G-Barrels'!$B$5:$AI$30,6,FALSE)),0)+IFERROR(IF(VLOOKUP($B25,'PW G-Poles'!$B$5:$AI$31,6,FALSE)=" ",0,VLOOKUP($B25,'PW G-Poles'!$B$5:$AI$31,6,FALSE)),0)+IFERROR(IF(VLOOKUP($B25,'PW G-Goats'!$B$5:$AI$31,6,FALSE)=" ",0,VLOOKUP($B25,'PW G-Goats'!$B$5:$AI$31,6,FALSE)),0)</f>
        <v>0</v>
      </c>
      <c r="D25" s="95" t="str">
        <f t="shared" si="0"/>
        <v xml:space="preserve"> </v>
      </c>
      <c r="E25" s="91" t="str">
        <f t="shared" si="1"/>
        <v xml:space="preserve"> </v>
      </c>
      <c r="F25" s="121">
        <f>IFERROR(IF(VLOOKUP($B25,'PW G-Breakaway'!$B$5:$AI$24,10,FALSE)=" ",0,VLOOKUP($B25,'PW G-Breakaway'!$B$5:$AI$24,10,FALSE)),0)+IFERROR(IF(VLOOKUP($B25,'PW G-Barrels'!$B$5:$AI$30,10,FALSE)=" ",0,VLOOKUP($B25,'PW G-Barrels'!$B$5:$AI$30,10,FALSE)),0)+IFERROR(IF(VLOOKUP($B25,'PW G-Poles'!$B$5:$AI$31,10,FALSE)=" ",0,VLOOKUP($B25,'PW G-Poles'!$B$5:$AI$31,10,FALSE)),0)+IFERROR(IF(VLOOKUP($B25,'PW G-Goats'!$B$5:$AI$31,10,FALSE)=" ",0,VLOOKUP($B25,'PW G-Goats'!$B$5:$AI$31,10,FALSE)),0)</f>
        <v>0</v>
      </c>
      <c r="G25" s="95" t="str">
        <f t="shared" si="2"/>
        <v xml:space="preserve"> </v>
      </c>
      <c r="H25" s="91" t="str">
        <f t="shared" si="3"/>
        <v xml:space="preserve"> </v>
      </c>
      <c r="I25" s="121">
        <f>IFERROR(IF(VLOOKUP($B25,'PW G-Breakaway'!$B$5:$AI$24,14,FALSE)=" ",0,VLOOKUP($B25,'PW G-Breakaway'!$B$5:$AI$24,14,FALSE)),0)+IFERROR(IF(VLOOKUP($B25,'PW G-Barrels'!$B$5:$AI$30,14,FALSE)=" ",0,VLOOKUP($B25,'PW G-Barrels'!$B$5:$AI$30,14,FALSE)),0)+IFERROR(IF(VLOOKUP($B25,'PW G-Poles'!$B$5:$AI$31,14,FALSE)=" ",0,VLOOKUP($B25,'PW G-Poles'!$B$5:$AI$31,14,FALSE)),0)+IFERROR(IF(VLOOKUP($B25,'PW G-Goats'!$B$5:$AI$31,14,FALSE)=" ",0,VLOOKUP($B25,'PW G-Goats'!$B$5:$AI$31,14,FALSE)),0)</f>
        <v>0</v>
      </c>
      <c r="J25" s="95" t="str">
        <f t="shared" si="4"/>
        <v xml:space="preserve"> </v>
      </c>
      <c r="K25" s="91" t="str">
        <f t="shared" si="5"/>
        <v xml:space="preserve"> </v>
      </c>
      <c r="L25" s="121">
        <f>IFERROR(IF(VLOOKUP($B25,'PW G-Breakaway'!$B$5:$AI$24,18,FALSE)=" ",0,VLOOKUP($B25,'PW G-Breakaway'!$B$5:$AI$24,18,FALSE)),0)+IFERROR(IF(VLOOKUP($B25,'PW G-Barrels'!$B$5:$AI$30,18,FALSE)=" ",0,VLOOKUP($B25,'PW G-Barrels'!$B$5:$AI$30,18,FALSE)),0)+IFERROR(IF(VLOOKUP($B25,'PW G-Poles'!$B$5:$AI$31,18,FALSE)=" ",0,VLOOKUP($B25,'PW G-Poles'!$B$5:$AI$31,18,FALSE)),0)+IFERROR(IF(VLOOKUP($B25,'PW G-Goats'!$B$5:$AI$31,18,FALSE)=" ",0,VLOOKUP($B25,'PW G-Goats'!$B$5:$AI$31,18,FALSE)),0)</f>
        <v>0</v>
      </c>
      <c r="M25" s="95" t="str">
        <f t="shared" si="6"/>
        <v xml:space="preserve"> </v>
      </c>
      <c r="N25" s="91" t="str">
        <f t="shared" si="7"/>
        <v xml:space="preserve"> </v>
      </c>
      <c r="O25" s="121">
        <f>IFERROR(IF(VLOOKUP($B25,'PW G-Breakaway'!$B$5:$AI$24,22,FALSE)=" ",0,VLOOKUP($B25,'PW G-Breakaway'!$B$5:$AI$24,22,FALSE)),0)+IFERROR(IF(VLOOKUP($B25,'PW G-Barrels'!$B$5:$AI$30,22,FALSE)=" ",0,VLOOKUP($B25,'PW G-Barrels'!$B$5:$AI$30,22,FALSE)),0)+IFERROR(IF(VLOOKUP($B25,'PW G-Poles'!$B$5:$AI$31,22,FALSE)=" ",0,VLOOKUP($B25,'PW G-Poles'!$B$5:$AI$31,22,FALSE)),0)+IFERROR(IF(VLOOKUP($B25,'PW G-Goats'!$B$5:$AI$31,22,FALSE)=" ",0,VLOOKUP($B25,'PW G-Goats'!$B$5:$AI$31,22,FALSE)),0)</f>
        <v>0</v>
      </c>
      <c r="P25" s="95" t="str">
        <f t="shared" si="8"/>
        <v xml:space="preserve"> </v>
      </c>
      <c r="Q25" s="91" t="str">
        <f t="shared" si="9"/>
        <v xml:space="preserve"> </v>
      </c>
      <c r="R25" s="121">
        <f>IFERROR(IF(VLOOKUP($B25,'PW G-Breakaway'!$B$5:$AI$24,26,FALSE)=" ",0,VLOOKUP($B25,'PW G-Breakaway'!$B$5:$AI$24,26,FALSE)),0)+IFERROR(IF(VLOOKUP($B25,'PW G-Barrels'!$B$5:$AI$30,26,FALSE)=" ",0,VLOOKUP($B25,'PW G-Barrels'!$B$5:$AI$30,26,FALSE)),0)+IFERROR(IF(VLOOKUP($B25,'PW G-Poles'!$B$5:$AI$31,26,FALSE)=" ",0,VLOOKUP($B25,'PW G-Poles'!$B$5:$AI$31,26,FALSE)),0)+IFERROR(IF(VLOOKUP($B25,'PW G-Goats'!$B$5:$AI$31,26,FALSE)=" ",0,VLOOKUP($B25,'PW G-Goats'!$B$5:$AI$31,26,FALSE)),0)</f>
        <v>0</v>
      </c>
      <c r="S25" s="95" t="str">
        <f t="shared" si="10"/>
        <v xml:space="preserve"> </v>
      </c>
      <c r="T25" s="91" t="str">
        <f t="shared" si="11"/>
        <v xml:space="preserve"> </v>
      </c>
      <c r="U25" s="121">
        <f>IFERROR(IF(VLOOKUP($B25,'PW G-Breakaway'!$B$5:$AI$24,30,FALSE)=" ",0,VLOOKUP($B25,'PW G-Breakaway'!$B$5:$AI$24,30,FALSE)),0)+IFERROR(IF(VLOOKUP($B25,'PW G-Barrels'!$B$5:$AI$30,30,FALSE)=" ",0,VLOOKUP($B25,'PW G-Barrels'!$B$5:$AI$30,30,FALSE)),0)+IFERROR(IF(VLOOKUP($B25,'PW G-Poles'!$B$5:$AI$31,30,FALSE)=" ",0,VLOOKUP($B25,'PW G-Poles'!$B$5:$AI$31,30,FALSE)),0)+IFERROR(IF(VLOOKUP($B25,'PW G-Goats'!$B$5:$AI$31,30,FALSE)=" ",0,VLOOKUP($B25,'PW G-Goats'!$B$5:$AI$31,30,FALSE)),0)</f>
        <v>0</v>
      </c>
      <c r="V25" s="95" t="str">
        <f t="shared" si="12"/>
        <v xml:space="preserve"> </v>
      </c>
      <c r="W25" s="91" t="str">
        <f t="shared" si="13"/>
        <v xml:space="preserve"> </v>
      </c>
      <c r="X25" s="121">
        <f>IFERROR(IF(VLOOKUP($B25,'PW G-Breakaway'!$B$5:$AI$24,34,FALSE)=" ",0,VLOOKUP($B25,'PW G-Breakaway'!$B$5:$AI$24,34,FALSE)),0)+IFERROR(IF(VLOOKUP($B25,'PW G-Barrels'!$B$5:$AI$30,34,FALSE)=" ",0,VLOOKUP($B25,'PW G-Barrels'!$B$5:$AI$30,34,FALSE)),0)+IFERROR(IF(VLOOKUP($B25,'PW G-Poles'!$B$5:$AI$31,34,FALSE)=" ",0,VLOOKUP($B25,'PW G-Poles'!$B$5:$AI$31,34,FALSE)),0)+IFERROR(IF(VLOOKUP($B25,'PW G-Goats'!$B$5:$AI$31,34,FALSE)=" ",0,VLOOKUP($B25,'PW G-Goats'!$B$5:$AI$31,34,FALSE)),0)</f>
        <v>0</v>
      </c>
      <c r="Y25" s="95" t="str">
        <f t="shared" si="14"/>
        <v xml:space="preserve"> </v>
      </c>
      <c r="Z25" s="91" t="str">
        <f t="shared" si="15"/>
        <v xml:space="preserve"> </v>
      </c>
      <c r="AA2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5" s="95" t="str">
        <f t="shared" si="16"/>
        <v xml:space="preserve"> </v>
      </c>
      <c r="AC25" s="91" t="str">
        <f t="shared" si="17"/>
        <v xml:space="preserve"> </v>
      </c>
    </row>
    <row r="26" spans="2:29" x14ac:dyDescent="0.3">
      <c r="B26" s="141" t="s">
        <v>254</v>
      </c>
      <c r="C26" s="120">
        <f>IFERROR(IF(VLOOKUP($B26,'PW G-Breakaway'!$B$5:$AI$24,6,FALSE)=" ",0,VLOOKUP($B26,'PW G-Breakaway'!$B$5:$AI$24,6,FALSE)),0)+IFERROR(IF(VLOOKUP($B26,'PW G-Barrels'!$B$5:$AI$30,6,FALSE)=" ",0,VLOOKUP($B26,'PW G-Barrels'!$B$5:$AI$30,6,FALSE)),0)+IFERROR(IF(VLOOKUP($B26,'PW G-Poles'!$B$5:$AI$31,6,FALSE)=" ",0,VLOOKUP($B26,'PW G-Poles'!$B$5:$AI$31,6,FALSE)),0)+IFERROR(IF(VLOOKUP($B26,'PW G-Goats'!$B$5:$AI$31,6,FALSE)=" ",0,VLOOKUP($B26,'PW G-Goats'!$B$5:$AI$31,6,FALSE)),0)</f>
        <v>0</v>
      </c>
      <c r="D26" s="95" t="str">
        <f t="shared" si="0"/>
        <v xml:space="preserve"> </v>
      </c>
      <c r="E26" s="91" t="str">
        <f t="shared" si="1"/>
        <v xml:space="preserve"> </v>
      </c>
      <c r="F26" s="121">
        <f>IFERROR(IF(VLOOKUP($B26,'PW G-Breakaway'!$B$5:$AI$24,10,FALSE)=" ",0,VLOOKUP($B26,'PW G-Breakaway'!$B$5:$AI$24,10,FALSE)),0)+IFERROR(IF(VLOOKUP($B26,'PW G-Barrels'!$B$5:$AI$30,10,FALSE)=" ",0,VLOOKUP($B26,'PW G-Barrels'!$B$5:$AI$30,10,FALSE)),0)+IFERROR(IF(VLOOKUP($B26,'PW G-Poles'!$B$5:$AI$31,10,FALSE)=" ",0,VLOOKUP($B26,'PW G-Poles'!$B$5:$AI$31,10,FALSE)),0)+IFERROR(IF(VLOOKUP($B26,'PW G-Goats'!$B$5:$AI$31,10,FALSE)=" ",0,VLOOKUP($B26,'PW G-Goats'!$B$5:$AI$31,10,FALSE)),0)</f>
        <v>0</v>
      </c>
      <c r="G26" s="95" t="str">
        <f t="shared" si="2"/>
        <v xml:space="preserve"> </v>
      </c>
      <c r="H26" s="91" t="str">
        <f t="shared" si="3"/>
        <v xml:space="preserve"> </v>
      </c>
      <c r="I26" s="121">
        <f>IFERROR(IF(VLOOKUP($B26,'PW G-Breakaway'!$B$5:$AI$24,14,FALSE)=" ",0,VLOOKUP($B26,'PW G-Breakaway'!$B$5:$AI$24,14,FALSE)),0)+IFERROR(IF(VLOOKUP($B26,'PW G-Barrels'!$B$5:$AI$30,14,FALSE)=" ",0,VLOOKUP($B26,'PW G-Barrels'!$B$5:$AI$30,14,FALSE)),0)+IFERROR(IF(VLOOKUP($B26,'PW G-Poles'!$B$5:$AI$31,14,FALSE)=" ",0,VLOOKUP($B26,'PW G-Poles'!$B$5:$AI$31,14,FALSE)),0)+IFERROR(IF(VLOOKUP($B26,'PW G-Goats'!$B$5:$AI$31,14,FALSE)=" ",0,VLOOKUP($B26,'PW G-Goats'!$B$5:$AI$31,14,FALSE)),0)</f>
        <v>0</v>
      </c>
      <c r="J26" s="95" t="str">
        <f t="shared" si="4"/>
        <v xml:space="preserve"> </v>
      </c>
      <c r="K26" s="91" t="str">
        <f t="shared" si="5"/>
        <v xml:space="preserve"> </v>
      </c>
      <c r="L26" s="121">
        <f>IFERROR(IF(VLOOKUP($B26,'PW G-Breakaway'!$B$5:$AI$24,18,FALSE)=" ",0,VLOOKUP($B26,'PW G-Breakaway'!$B$5:$AI$24,18,FALSE)),0)+IFERROR(IF(VLOOKUP($B26,'PW G-Barrels'!$B$5:$AI$30,18,FALSE)=" ",0,VLOOKUP($B26,'PW G-Barrels'!$B$5:$AI$30,18,FALSE)),0)+IFERROR(IF(VLOOKUP($B26,'PW G-Poles'!$B$5:$AI$31,18,FALSE)=" ",0,VLOOKUP($B26,'PW G-Poles'!$B$5:$AI$31,18,FALSE)),0)+IFERROR(IF(VLOOKUP($B26,'PW G-Goats'!$B$5:$AI$31,18,FALSE)=" ",0,VLOOKUP($B26,'PW G-Goats'!$B$5:$AI$31,18,FALSE)),0)</f>
        <v>0</v>
      </c>
      <c r="M26" s="95" t="str">
        <f t="shared" si="6"/>
        <v xml:space="preserve"> </v>
      </c>
      <c r="N26" s="91" t="str">
        <f t="shared" si="7"/>
        <v xml:space="preserve"> </v>
      </c>
      <c r="O26" s="121">
        <f>IFERROR(IF(VLOOKUP($B26,'PW G-Breakaway'!$B$5:$AI$24,22,FALSE)=" ",0,VLOOKUP($B26,'PW G-Breakaway'!$B$5:$AI$24,22,FALSE)),0)+IFERROR(IF(VLOOKUP($B26,'PW G-Barrels'!$B$5:$AI$30,22,FALSE)=" ",0,VLOOKUP($B26,'PW G-Barrels'!$B$5:$AI$30,22,FALSE)),0)+IFERROR(IF(VLOOKUP($B26,'PW G-Poles'!$B$5:$AI$31,22,FALSE)=" ",0,VLOOKUP($B26,'PW G-Poles'!$B$5:$AI$31,22,FALSE)),0)+IFERROR(IF(VLOOKUP($B26,'PW G-Goats'!$B$5:$AI$31,22,FALSE)=" ",0,VLOOKUP($B26,'PW G-Goats'!$B$5:$AI$31,22,FALSE)),0)</f>
        <v>0</v>
      </c>
      <c r="P26" s="95" t="str">
        <f t="shared" si="8"/>
        <v xml:space="preserve"> </v>
      </c>
      <c r="Q26" s="91" t="str">
        <f t="shared" si="9"/>
        <v xml:space="preserve"> </v>
      </c>
      <c r="R26" s="121">
        <f>IFERROR(IF(VLOOKUP($B26,'PW G-Breakaway'!$B$5:$AI$24,26,FALSE)=" ",0,VLOOKUP($B26,'PW G-Breakaway'!$B$5:$AI$24,26,FALSE)),0)+IFERROR(IF(VLOOKUP($B26,'PW G-Barrels'!$B$5:$AI$30,26,FALSE)=" ",0,VLOOKUP($B26,'PW G-Barrels'!$B$5:$AI$30,26,FALSE)),0)+IFERROR(IF(VLOOKUP($B26,'PW G-Poles'!$B$5:$AI$31,26,FALSE)=" ",0,VLOOKUP($B26,'PW G-Poles'!$B$5:$AI$31,26,FALSE)),0)+IFERROR(IF(VLOOKUP($B26,'PW G-Goats'!$B$5:$AI$31,26,FALSE)=" ",0,VLOOKUP($B26,'PW G-Goats'!$B$5:$AI$31,26,FALSE)),0)</f>
        <v>0</v>
      </c>
      <c r="S26" s="95" t="str">
        <f t="shared" si="10"/>
        <v xml:space="preserve"> </v>
      </c>
      <c r="T26" s="91" t="str">
        <f t="shared" si="11"/>
        <v xml:space="preserve"> </v>
      </c>
      <c r="U26" s="121">
        <f>IFERROR(IF(VLOOKUP($B26,'PW G-Breakaway'!$B$5:$AI$24,30,FALSE)=" ",0,VLOOKUP($B26,'PW G-Breakaway'!$B$5:$AI$24,30,FALSE)),0)+IFERROR(IF(VLOOKUP($B26,'PW G-Barrels'!$B$5:$AI$30,30,FALSE)=" ",0,VLOOKUP($B26,'PW G-Barrels'!$B$5:$AI$30,30,FALSE)),0)+IFERROR(IF(VLOOKUP($B26,'PW G-Poles'!$B$5:$AI$31,30,FALSE)=" ",0,VLOOKUP($B26,'PW G-Poles'!$B$5:$AI$31,30,FALSE)),0)+IFERROR(IF(VLOOKUP($B26,'PW G-Goats'!$B$5:$AI$31,30,FALSE)=" ",0,VLOOKUP($B26,'PW G-Goats'!$B$5:$AI$31,30,FALSE)),0)</f>
        <v>0</v>
      </c>
      <c r="V26" s="95" t="str">
        <f t="shared" si="12"/>
        <v xml:space="preserve"> </v>
      </c>
      <c r="W26" s="91" t="str">
        <f t="shared" si="13"/>
        <v xml:space="preserve"> </v>
      </c>
      <c r="X26" s="121">
        <f>IFERROR(IF(VLOOKUP($B26,'PW G-Breakaway'!$B$5:$AI$24,34,FALSE)=" ",0,VLOOKUP($B26,'PW G-Breakaway'!$B$5:$AI$24,34,FALSE)),0)+IFERROR(IF(VLOOKUP($B26,'PW G-Barrels'!$B$5:$AI$30,34,FALSE)=" ",0,VLOOKUP($B26,'PW G-Barrels'!$B$5:$AI$30,34,FALSE)),0)+IFERROR(IF(VLOOKUP($B26,'PW G-Poles'!$B$5:$AI$31,34,FALSE)=" ",0,VLOOKUP($B26,'PW G-Poles'!$B$5:$AI$31,34,FALSE)),0)+IFERROR(IF(VLOOKUP($B26,'PW G-Goats'!$B$5:$AI$31,34,FALSE)=" ",0,VLOOKUP($B26,'PW G-Goats'!$B$5:$AI$31,34,FALSE)),0)</f>
        <v>0</v>
      </c>
      <c r="Y26" s="95" t="str">
        <f t="shared" si="14"/>
        <v xml:space="preserve"> </v>
      </c>
      <c r="Z26" s="91" t="str">
        <f t="shared" si="15"/>
        <v xml:space="preserve"> </v>
      </c>
      <c r="AA2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6" s="95" t="str">
        <f t="shared" si="16"/>
        <v xml:space="preserve"> </v>
      </c>
      <c r="AC26" s="91" t="str">
        <f t="shared" si="17"/>
        <v xml:space="preserve"> </v>
      </c>
    </row>
    <row r="27" spans="2:29" x14ac:dyDescent="0.3">
      <c r="B27" s="141" t="s">
        <v>255</v>
      </c>
      <c r="C27" s="120">
        <f>IFERROR(IF(VLOOKUP($B27,'PW G-Breakaway'!$B$5:$AI$24,6,FALSE)=" ",0,VLOOKUP($B27,'PW G-Breakaway'!$B$5:$AI$24,6,FALSE)),0)+IFERROR(IF(VLOOKUP($B27,'PW G-Barrels'!$B$5:$AI$30,6,FALSE)=" ",0,VLOOKUP($B27,'PW G-Barrels'!$B$5:$AI$30,6,FALSE)),0)+IFERROR(IF(VLOOKUP($B27,'PW G-Poles'!$B$5:$AI$31,6,FALSE)=" ",0,VLOOKUP($B27,'PW G-Poles'!$B$5:$AI$31,6,FALSE)),0)+IFERROR(IF(VLOOKUP($B27,'PW G-Goats'!$B$5:$AI$31,6,FALSE)=" ",0,VLOOKUP($B27,'PW G-Goats'!$B$5:$AI$31,6,FALSE)),0)</f>
        <v>0</v>
      </c>
      <c r="D27" s="95" t="str">
        <f t="shared" si="0"/>
        <v xml:space="preserve"> </v>
      </c>
      <c r="E27" s="91" t="str">
        <f t="shared" si="1"/>
        <v xml:space="preserve"> </v>
      </c>
      <c r="F27" s="121">
        <f>IFERROR(IF(VLOOKUP($B27,'PW G-Breakaway'!$B$5:$AI$24,10,FALSE)=" ",0,VLOOKUP($B27,'PW G-Breakaway'!$B$5:$AI$24,10,FALSE)),0)+IFERROR(IF(VLOOKUP($B27,'PW G-Barrels'!$B$5:$AI$30,10,FALSE)=" ",0,VLOOKUP($B27,'PW G-Barrels'!$B$5:$AI$30,10,FALSE)),0)+IFERROR(IF(VLOOKUP($B27,'PW G-Poles'!$B$5:$AI$31,10,FALSE)=" ",0,VLOOKUP($B27,'PW G-Poles'!$B$5:$AI$31,10,FALSE)),0)+IFERROR(IF(VLOOKUP($B27,'PW G-Goats'!$B$5:$AI$31,10,FALSE)=" ",0,VLOOKUP($B27,'PW G-Goats'!$B$5:$AI$31,10,FALSE)),0)</f>
        <v>0</v>
      </c>
      <c r="G27" s="95" t="str">
        <f t="shared" si="2"/>
        <v xml:space="preserve"> </v>
      </c>
      <c r="H27" s="91" t="str">
        <f t="shared" si="3"/>
        <v xml:space="preserve"> </v>
      </c>
      <c r="I27" s="121">
        <f>IFERROR(IF(VLOOKUP($B27,'PW G-Breakaway'!$B$5:$AI$24,14,FALSE)=" ",0,VLOOKUP($B27,'PW G-Breakaway'!$B$5:$AI$24,14,FALSE)),0)+IFERROR(IF(VLOOKUP($B27,'PW G-Barrels'!$B$5:$AI$30,14,FALSE)=" ",0,VLOOKUP($B27,'PW G-Barrels'!$B$5:$AI$30,14,FALSE)),0)+IFERROR(IF(VLOOKUP($B27,'PW G-Poles'!$B$5:$AI$31,14,FALSE)=" ",0,VLOOKUP($B27,'PW G-Poles'!$B$5:$AI$31,14,FALSE)),0)+IFERROR(IF(VLOOKUP($B27,'PW G-Goats'!$B$5:$AI$31,14,FALSE)=" ",0,VLOOKUP($B27,'PW G-Goats'!$B$5:$AI$31,14,FALSE)),0)</f>
        <v>0</v>
      </c>
      <c r="J27" s="95" t="str">
        <f t="shared" si="4"/>
        <v xml:space="preserve"> </v>
      </c>
      <c r="K27" s="91" t="str">
        <f t="shared" si="5"/>
        <v xml:space="preserve"> </v>
      </c>
      <c r="L27" s="121">
        <f>IFERROR(IF(VLOOKUP($B27,'PW G-Breakaway'!$B$5:$AI$24,18,FALSE)=" ",0,VLOOKUP($B27,'PW G-Breakaway'!$B$5:$AI$24,18,FALSE)),0)+IFERROR(IF(VLOOKUP($B27,'PW G-Barrels'!$B$5:$AI$30,18,FALSE)=" ",0,VLOOKUP($B27,'PW G-Barrels'!$B$5:$AI$30,18,FALSE)),0)+IFERROR(IF(VLOOKUP($B27,'PW G-Poles'!$B$5:$AI$31,18,FALSE)=" ",0,VLOOKUP($B27,'PW G-Poles'!$B$5:$AI$31,18,FALSE)),0)+IFERROR(IF(VLOOKUP($B27,'PW G-Goats'!$B$5:$AI$31,18,FALSE)=" ",0,VLOOKUP($B27,'PW G-Goats'!$B$5:$AI$31,18,FALSE)),0)</f>
        <v>0</v>
      </c>
      <c r="M27" s="95" t="str">
        <f t="shared" si="6"/>
        <v xml:space="preserve"> </v>
      </c>
      <c r="N27" s="91" t="str">
        <f t="shared" si="7"/>
        <v xml:space="preserve"> </v>
      </c>
      <c r="O27" s="121">
        <f>IFERROR(IF(VLOOKUP($B27,'PW G-Breakaway'!$B$5:$AI$24,22,FALSE)=" ",0,VLOOKUP($B27,'PW G-Breakaway'!$B$5:$AI$24,22,FALSE)),0)+IFERROR(IF(VLOOKUP($B27,'PW G-Barrels'!$B$5:$AI$30,22,FALSE)=" ",0,VLOOKUP($B27,'PW G-Barrels'!$B$5:$AI$30,22,FALSE)),0)+IFERROR(IF(VLOOKUP($B27,'PW G-Poles'!$B$5:$AI$31,22,FALSE)=" ",0,VLOOKUP($B27,'PW G-Poles'!$B$5:$AI$31,22,FALSE)),0)+IFERROR(IF(VLOOKUP($B27,'PW G-Goats'!$B$5:$AI$31,22,FALSE)=" ",0,VLOOKUP($B27,'PW G-Goats'!$B$5:$AI$31,22,FALSE)),0)</f>
        <v>0</v>
      </c>
      <c r="P27" s="95" t="str">
        <f t="shared" si="8"/>
        <v xml:space="preserve"> </v>
      </c>
      <c r="Q27" s="91" t="str">
        <f t="shared" si="9"/>
        <v xml:space="preserve"> </v>
      </c>
      <c r="R27" s="121">
        <f>IFERROR(IF(VLOOKUP($B27,'PW G-Breakaway'!$B$5:$AI$24,26,FALSE)=" ",0,VLOOKUP($B27,'PW G-Breakaway'!$B$5:$AI$24,26,FALSE)),0)+IFERROR(IF(VLOOKUP($B27,'PW G-Barrels'!$B$5:$AI$30,26,FALSE)=" ",0,VLOOKUP($B27,'PW G-Barrels'!$B$5:$AI$30,26,FALSE)),0)+IFERROR(IF(VLOOKUP($B27,'PW G-Poles'!$B$5:$AI$31,26,FALSE)=" ",0,VLOOKUP($B27,'PW G-Poles'!$B$5:$AI$31,26,FALSE)),0)+IFERROR(IF(VLOOKUP($B27,'PW G-Goats'!$B$5:$AI$31,26,FALSE)=" ",0,VLOOKUP($B27,'PW G-Goats'!$B$5:$AI$31,26,FALSE)),0)</f>
        <v>0</v>
      </c>
      <c r="S27" s="95" t="str">
        <f t="shared" si="10"/>
        <v xml:space="preserve"> </v>
      </c>
      <c r="T27" s="91" t="str">
        <f t="shared" si="11"/>
        <v xml:space="preserve"> </v>
      </c>
      <c r="U27" s="121">
        <f>IFERROR(IF(VLOOKUP($B27,'PW G-Breakaway'!$B$5:$AI$24,30,FALSE)=" ",0,VLOOKUP($B27,'PW G-Breakaway'!$B$5:$AI$24,30,FALSE)),0)+IFERROR(IF(VLOOKUP($B27,'PW G-Barrels'!$B$5:$AI$30,30,FALSE)=" ",0,VLOOKUP($B27,'PW G-Barrels'!$B$5:$AI$30,30,FALSE)),0)+IFERROR(IF(VLOOKUP($B27,'PW G-Poles'!$B$5:$AI$31,30,FALSE)=" ",0,VLOOKUP($B27,'PW G-Poles'!$B$5:$AI$31,30,FALSE)),0)+IFERROR(IF(VLOOKUP($B27,'PW G-Goats'!$B$5:$AI$31,30,FALSE)=" ",0,VLOOKUP($B27,'PW G-Goats'!$B$5:$AI$31,30,FALSE)),0)</f>
        <v>0</v>
      </c>
      <c r="V27" s="95" t="str">
        <f t="shared" si="12"/>
        <v xml:space="preserve"> </v>
      </c>
      <c r="W27" s="91" t="str">
        <f t="shared" si="13"/>
        <v xml:space="preserve"> </v>
      </c>
      <c r="X27" s="121">
        <f>IFERROR(IF(VLOOKUP($B27,'PW G-Breakaway'!$B$5:$AI$24,34,FALSE)=" ",0,VLOOKUP($B27,'PW G-Breakaway'!$B$5:$AI$24,34,FALSE)),0)+IFERROR(IF(VLOOKUP($B27,'PW G-Barrels'!$B$5:$AI$30,34,FALSE)=" ",0,VLOOKUP($B27,'PW G-Barrels'!$B$5:$AI$30,34,FALSE)),0)+IFERROR(IF(VLOOKUP($B27,'PW G-Poles'!$B$5:$AI$31,34,FALSE)=" ",0,VLOOKUP($B27,'PW G-Poles'!$B$5:$AI$31,34,FALSE)),0)+IFERROR(IF(VLOOKUP($B27,'PW G-Goats'!$B$5:$AI$31,34,FALSE)=" ",0,VLOOKUP($B27,'PW G-Goats'!$B$5:$AI$31,34,FALSE)),0)</f>
        <v>0</v>
      </c>
      <c r="Y27" s="95" t="str">
        <f t="shared" si="14"/>
        <v xml:space="preserve"> </v>
      </c>
      <c r="Z27" s="91" t="str">
        <f t="shared" si="15"/>
        <v xml:space="preserve"> </v>
      </c>
      <c r="AA2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7" s="95" t="str">
        <f t="shared" si="16"/>
        <v xml:space="preserve"> </v>
      </c>
      <c r="AC27" s="91" t="str">
        <f t="shared" si="17"/>
        <v xml:space="preserve"> </v>
      </c>
    </row>
    <row r="28" spans="2:29" ht="14.5" thickBot="1" x14ac:dyDescent="0.35">
      <c r="B28" s="149" t="s">
        <v>94</v>
      </c>
      <c r="C28" s="123">
        <f>IFERROR(IF(VLOOKUP($B28,'PW G-Breakaway'!$B$5:$AI$24,6,FALSE)=" ",0,VLOOKUP($B28,'PW G-Breakaway'!$B$5:$AI$24,6,FALSE)),0)+IFERROR(IF(VLOOKUP($B28,'PW G-Barrels'!$B$5:$AI$30,6,FALSE)=" ",0,VLOOKUP($B28,'PW G-Barrels'!$B$5:$AI$30,6,FALSE)),0)+IFERROR(IF(VLOOKUP($B28,'PW G-Poles'!$B$5:$AI$31,6,FALSE)=" ",0,VLOOKUP($B28,'PW G-Poles'!$B$5:$AI$31,6,FALSE)),0)+IFERROR(IF(VLOOKUP($B28,'PW G-Goats'!$B$5:$AI$31,6,FALSE)=" ",0,VLOOKUP($B28,'PW G-Goats'!$B$5:$AI$31,6,FALSE)),0)</f>
        <v>0</v>
      </c>
      <c r="D28" s="105" t="str">
        <f t="shared" si="0"/>
        <v xml:space="preserve"> </v>
      </c>
      <c r="E28" s="101" t="str">
        <f t="shared" si="1"/>
        <v xml:space="preserve"> </v>
      </c>
      <c r="F28" s="124">
        <f>IFERROR(IF(VLOOKUP($B28,'PW G-Breakaway'!$B$5:$AI$24,10,FALSE)=" ",0,VLOOKUP($B28,'PW G-Breakaway'!$B$5:$AI$24,10,FALSE)),0)+IFERROR(IF(VLOOKUP($B28,'PW G-Barrels'!$B$5:$AI$30,10,FALSE)=" ",0,VLOOKUP($B28,'PW G-Barrels'!$B$5:$AI$30,10,FALSE)),0)+IFERROR(IF(VLOOKUP($B28,'PW G-Poles'!$B$5:$AI$31,10,FALSE)=" ",0,VLOOKUP($B28,'PW G-Poles'!$B$5:$AI$31,10,FALSE)),0)+IFERROR(IF(VLOOKUP($B28,'PW G-Goats'!$B$5:$AI$31,10,FALSE)=" ",0,VLOOKUP($B28,'PW G-Goats'!$B$5:$AI$31,10,FALSE)),0)</f>
        <v>0</v>
      </c>
      <c r="G28" s="105" t="str">
        <f t="shared" si="2"/>
        <v xml:space="preserve"> </v>
      </c>
      <c r="H28" s="101" t="str">
        <f t="shared" si="3"/>
        <v xml:space="preserve"> </v>
      </c>
      <c r="I28" s="124">
        <f>IFERROR(IF(VLOOKUP($B28,'PW G-Breakaway'!$B$5:$AI$24,14,FALSE)=" ",0,VLOOKUP($B28,'PW G-Breakaway'!$B$5:$AI$24,14,FALSE)),0)+IFERROR(IF(VLOOKUP($B28,'PW G-Barrels'!$B$5:$AI$30,14,FALSE)=" ",0,VLOOKUP($B28,'PW G-Barrels'!$B$5:$AI$30,14,FALSE)),0)+IFERROR(IF(VLOOKUP($B28,'PW G-Poles'!$B$5:$AI$31,14,FALSE)=" ",0,VLOOKUP($B28,'PW G-Poles'!$B$5:$AI$31,14,FALSE)),0)+IFERROR(IF(VLOOKUP($B28,'PW G-Goats'!$B$5:$AI$31,14,FALSE)=" ",0,VLOOKUP($B28,'PW G-Goats'!$B$5:$AI$31,14,FALSE)),0)</f>
        <v>0</v>
      </c>
      <c r="J28" s="105" t="str">
        <f t="shared" si="4"/>
        <v xml:space="preserve"> </v>
      </c>
      <c r="K28" s="101" t="str">
        <f t="shared" si="5"/>
        <v xml:space="preserve"> </v>
      </c>
      <c r="L28" s="124">
        <f>IFERROR(IF(VLOOKUP($B28,'PW G-Breakaway'!$B$5:$AI$24,18,FALSE)=" ",0,VLOOKUP($B28,'PW G-Breakaway'!$B$5:$AI$24,18,FALSE)),0)+IFERROR(IF(VLOOKUP($B28,'PW G-Barrels'!$B$5:$AI$30,18,FALSE)=" ",0,VLOOKUP($B28,'PW G-Barrels'!$B$5:$AI$30,18,FALSE)),0)+IFERROR(IF(VLOOKUP($B28,'PW G-Poles'!$B$5:$AI$31,18,FALSE)=" ",0,VLOOKUP($B28,'PW G-Poles'!$B$5:$AI$31,18,FALSE)),0)+IFERROR(IF(VLOOKUP($B28,'PW G-Goats'!$B$5:$AI$31,18,FALSE)=" ",0,VLOOKUP($B28,'PW G-Goats'!$B$5:$AI$31,18,FALSE)),0)</f>
        <v>0</v>
      </c>
      <c r="M28" s="105" t="str">
        <f t="shared" si="6"/>
        <v xml:space="preserve"> </v>
      </c>
      <c r="N28" s="101" t="str">
        <f t="shared" si="7"/>
        <v xml:space="preserve"> </v>
      </c>
      <c r="O28" s="124">
        <f>IFERROR(IF(VLOOKUP($B28,'PW G-Breakaway'!$B$5:$AI$24,22,FALSE)=" ",0,VLOOKUP($B28,'PW G-Breakaway'!$B$5:$AI$24,22,FALSE)),0)+IFERROR(IF(VLOOKUP($B28,'PW G-Barrels'!$B$5:$AI$30,22,FALSE)=" ",0,VLOOKUP($B28,'PW G-Barrels'!$B$5:$AI$30,22,FALSE)),0)+IFERROR(IF(VLOOKUP($B28,'PW G-Poles'!$B$5:$AI$31,22,FALSE)=" ",0,VLOOKUP($B28,'PW G-Poles'!$B$5:$AI$31,22,FALSE)),0)+IFERROR(IF(VLOOKUP($B28,'PW G-Goats'!$B$5:$AI$31,22,FALSE)=" ",0,VLOOKUP($B28,'PW G-Goats'!$B$5:$AI$31,22,FALSE)),0)</f>
        <v>0</v>
      </c>
      <c r="P28" s="105" t="str">
        <f t="shared" si="8"/>
        <v xml:space="preserve"> </v>
      </c>
      <c r="Q28" s="101" t="str">
        <f t="shared" si="9"/>
        <v xml:space="preserve"> </v>
      </c>
      <c r="R28" s="124">
        <f>IFERROR(IF(VLOOKUP($B28,'PW G-Breakaway'!$B$5:$AI$24,26,FALSE)=" ",0,VLOOKUP($B28,'PW G-Breakaway'!$B$5:$AI$24,26,FALSE)),0)+IFERROR(IF(VLOOKUP($B28,'PW G-Barrels'!$B$5:$AI$30,26,FALSE)=" ",0,VLOOKUP($B28,'PW G-Barrels'!$B$5:$AI$30,26,FALSE)),0)+IFERROR(IF(VLOOKUP($B28,'PW G-Poles'!$B$5:$AI$31,26,FALSE)=" ",0,VLOOKUP($B28,'PW G-Poles'!$B$5:$AI$31,26,FALSE)),0)+IFERROR(IF(VLOOKUP($B28,'PW G-Goats'!$B$5:$AI$31,26,FALSE)=" ",0,VLOOKUP($B28,'PW G-Goats'!$B$5:$AI$31,26,FALSE)),0)</f>
        <v>0</v>
      </c>
      <c r="S28" s="105" t="str">
        <f t="shared" si="10"/>
        <v xml:space="preserve"> </v>
      </c>
      <c r="T28" s="101" t="str">
        <f t="shared" si="11"/>
        <v xml:space="preserve"> </v>
      </c>
      <c r="U28" s="124">
        <f>IFERROR(IF(VLOOKUP($B28,'PW G-Breakaway'!$B$5:$AI$24,30,FALSE)=" ",0,VLOOKUP($B28,'PW G-Breakaway'!$B$5:$AI$24,30,FALSE)),0)+IFERROR(IF(VLOOKUP($B28,'PW G-Barrels'!$B$5:$AI$30,30,FALSE)=" ",0,VLOOKUP($B28,'PW G-Barrels'!$B$5:$AI$30,30,FALSE)),0)+IFERROR(IF(VLOOKUP($B28,'PW G-Poles'!$B$5:$AI$31,30,FALSE)=" ",0,VLOOKUP($B28,'PW G-Poles'!$B$5:$AI$31,30,FALSE)),0)+IFERROR(IF(VLOOKUP($B28,'PW G-Goats'!$B$5:$AI$31,30,FALSE)=" ",0,VLOOKUP($B28,'PW G-Goats'!$B$5:$AI$31,30,FALSE)),0)</f>
        <v>0</v>
      </c>
      <c r="V28" s="105" t="str">
        <f t="shared" si="12"/>
        <v xml:space="preserve"> </v>
      </c>
      <c r="W28" s="101" t="str">
        <f t="shared" si="13"/>
        <v xml:space="preserve"> </v>
      </c>
      <c r="X28" s="124">
        <f>IFERROR(IF(VLOOKUP($B28,'PW G-Breakaway'!$B$5:$AI$24,34,FALSE)=" ",0,VLOOKUP($B28,'PW G-Breakaway'!$B$5:$AI$24,34,FALSE)),0)+IFERROR(IF(VLOOKUP($B28,'PW G-Barrels'!$B$5:$AI$30,34,FALSE)=" ",0,VLOOKUP($B28,'PW G-Barrels'!$B$5:$AI$30,34,FALSE)),0)+IFERROR(IF(VLOOKUP($B28,'PW G-Poles'!$B$5:$AI$31,34,FALSE)=" ",0,VLOOKUP($B28,'PW G-Poles'!$B$5:$AI$31,34,FALSE)),0)+IFERROR(IF(VLOOKUP($B28,'PW G-Goats'!$B$5:$AI$31,34,FALSE)=" ",0,VLOOKUP($B28,'PW G-Goats'!$B$5:$AI$31,34,FALSE)),0)</f>
        <v>0</v>
      </c>
      <c r="Y28" s="105" t="str">
        <f t="shared" si="14"/>
        <v xml:space="preserve"> </v>
      </c>
      <c r="Z28" s="101" t="str">
        <f t="shared" si="15"/>
        <v xml:space="preserve"> </v>
      </c>
      <c r="AA28" s="124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8" s="105" t="str">
        <f t="shared" si="16"/>
        <v xml:space="preserve"> </v>
      </c>
      <c r="AC28" s="101" t="str">
        <f t="shared" si="17"/>
        <v xml:space="preserve"> </v>
      </c>
    </row>
    <row r="29" spans="2:29" ht="14.5" thickBot="1" x14ac:dyDescent="0.35">
      <c r="B29" s="125" t="s">
        <v>191</v>
      </c>
    </row>
    <row r="31" spans="2:29" x14ac:dyDescent="0.3">
      <c r="C31" s="126"/>
      <c r="D31" s="126"/>
      <c r="F31" s="126"/>
      <c r="G31" s="126"/>
      <c r="I31" s="126"/>
      <c r="J31" s="126"/>
      <c r="L31" s="126"/>
      <c r="M31" s="126"/>
      <c r="O31" s="126"/>
      <c r="P31" s="126"/>
      <c r="R31" s="126"/>
      <c r="S31" s="126"/>
      <c r="U31" s="126"/>
      <c r="V31" s="126"/>
      <c r="X31" s="126"/>
      <c r="Y31" s="126"/>
      <c r="AA31" s="126"/>
      <c r="AB31" s="126"/>
    </row>
    <row r="32" spans="2:29" x14ac:dyDescent="0.3">
      <c r="C32" s="126"/>
      <c r="D32" s="126"/>
      <c r="F32" s="126"/>
      <c r="G32" s="126"/>
      <c r="I32" s="126"/>
      <c r="J32" s="126"/>
      <c r="L32" s="126"/>
      <c r="M32" s="126"/>
      <c r="O32" s="126"/>
      <c r="P32" s="126"/>
      <c r="R32" s="126"/>
      <c r="S32" s="126"/>
      <c r="U32" s="126"/>
      <c r="V32" s="126"/>
      <c r="X32" s="126"/>
      <c r="Y32" s="126"/>
      <c r="AA32" s="126"/>
      <c r="AB32" s="126"/>
    </row>
  </sheetData>
  <sheetProtection algorithmName="SHA-512" hashValue="HfRX6PZ+YzaxwTmEiHkXVVvoxoCgrEh0IT1M8DB4zdinT704gaKNPKl1o9cf3S+2maNTKP906SJc2sdc+mdvhQ==" saltValue="6HrZcEU8uplZ19hBW48mj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tabColor theme="5" tint="0.39997558519241921"/>
  </sheetPr>
  <dimension ref="B1:AL54"/>
  <sheetViews>
    <sheetView showGridLines="0" zoomScaleNormal="100" workbookViewId="0">
      <pane xSplit="2" topLeftCell="C1" activePane="topRight" state="frozen"/>
      <selection activeCell="E39" sqref="E39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7" customWidth="1"/>
    <col min="5" max="5" width="11.7265625" style="57" hidden="1" customWidth="1"/>
    <col min="6" max="6" width="11.7265625" style="57" customWidth="1"/>
    <col min="7" max="7" width="11.7265625" style="60" customWidth="1"/>
    <col min="8" max="8" width="11.7265625" style="57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7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101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135</v>
      </c>
      <c r="C5" s="84"/>
      <c r="D5" s="145"/>
      <c r="E5" s="109" t="str">
        <f t="shared" ref="E5:E24" si="0">IF(D5=0," ",_xlfn.RANK.AVG(D5,D$5:D$24,0))</f>
        <v xml:space="preserve"> </v>
      </c>
      <c r="F5" s="109" t="str">
        <f t="shared" ref="F5:F24" si="1">IF(D5=0," ",IF((RANK(D5,D$5:D$24,0)&gt;6)," ",RANK(D5,D$5:D$24,0)))</f>
        <v xml:space="preserve"> </v>
      </c>
      <c r="G5" s="87" t="str">
        <f>IF(Table6220273215[[#This Row],[Non-Member]]="X"," ",IF(F5=" "," ",IFERROR(VLOOKUP(E5,Points!$A$2:$B$14,2,FALSE)," ")))</f>
        <v xml:space="preserve"> </v>
      </c>
      <c r="H5" s="145">
        <v>63</v>
      </c>
      <c r="I5" s="109">
        <f t="shared" ref="I5:I24" si="2">IF(H5=0," ",_xlfn.RANK.AVG(H5,H$5:H$24,0))</f>
        <v>2</v>
      </c>
      <c r="J5" s="86">
        <f t="shared" ref="J5:J24" si="3">IF(H5=0," ",IF((RANK(H5,H$5:H$24,0)&gt;6)," ",RANK(H5,H$5:H$24,0)))</f>
        <v>2</v>
      </c>
      <c r="K5" s="87">
        <f>IF(Table6220273215[[#This Row],[Non-Member]]="X"," ",IF(J5=" "," ",IFERROR(VLOOKUP(I5,Points!$A$2:$B$14,2,FALSE)," ")))</f>
        <v>15</v>
      </c>
      <c r="L5" s="145">
        <v>59</v>
      </c>
      <c r="M5" s="109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IF(Table6220273215[[#This Row],[Non-Member]]="X"," ",IF(N5=" "," ",IFERROR(VLOOKUP(M5,Points!$A$2:$B$14,2,FALSE)," ")))</f>
        <v>18</v>
      </c>
      <c r="P5" s="145">
        <v>0</v>
      </c>
      <c r="Q5" s="109" t="str">
        <f t="shared" ref="Q5:Q24" si="6">IF(P5=0," ",_xlfn.RANK.AVG(P5,P$5:P$24,0))</f>
        <v xml:space="preserve"> </v>
      </c>
      <c r="R5" s="86" t="str">
        <f t="shared" ref="R5:R24" si="7">IF(P5=0," ",IF((RANK(P5,P$5:P$24,0)&gt;6)," ",RANK(P5,P$5:P$24,0)))</f>
        <v xml:space="preserve"> </v>
      </c>
      <c r="S5" s="87" t="str">
        <f>IF(Table6220273215[[#This Row],[Non-Member]]="X"," ",IF(R5=" "," ",IFERROR(VLOOKUP(Q5,Points!$A$2:$B$14,2,FALSE)," ")))</f>
        <v xml:space="preserve"> </v>
      </c>
      <c r="T5" s="145"/>
      <c r="U5" s="109" t="str">
        <f t="shared" ref="U5:U24" si="8">IF(T5=0," ",_xlfn.RANK.AVG(T5,T$5:T$24,0))</f>
        <v xml:space="preserve"> </v>
      </c>
      <c r="V5" s="86" t="str">
        <f t="shared" ref="V5:V24" si="9">IF(T5=0," ",IF((RANK(T5,T$5:T$24,0)&gt;6)," ",RANK(T5,T$5:T$24,0)))</f>
        <v xml:space="preserve"> </v>
      </c>
      <c r="W5" s="87" t="str">
        <f>IF(Table6220273215[[#This Row],[Non-Member]]="X"," ",IF(V5=" "," ",IFERROR(VLOOKUP(U5,Points!$A$2:$B$14,2,FALSE)," ")))</f>
        <v xml:space="preserve"> </v>
      </c>
      <c r="X5" s="145"/>
      <c r="Y5" s="109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IF(Table6220273215[[#This Row],[Non-Member]]="X"," ",IF(Z5=" "," ",IFERROR(VLOOKUP(Y5,Points!$A$2:$B$14,2,FALSE)," ")))</f>
        <v xml:space="preserve"> </v>
      </c>
      <c r="AB5" s="166"/>
      <c r="AC5" s="109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110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IF(Table6220273215[[#This Row],[Non-Member]]="X"," ",IF(AH5=" "," ",IFERROR(VLOOKUP(AG5,Points!$A$2:$B$14,2,FALSE)," ")))</f>
        <v xml:space="preserve"> </v>
      </c>
      <c r="AJ5" s="109">
        <f>IF(Table6220273215[[#This Row],[Non-Member]]="X"," ",((IF(G5=" ",0,G5))+(IF(K5=" ",0,K5))+(IF(O5=" ",0,O5))+(IF(S5=" ",0,S5))+(IF(W5=" ",0,W5))+(IF(AA5=" ",0,AA5))+(IF(AE5=" ",0,AE5))+(IF(AI5=" ",0,AI5))))</f>
        <v>33</v>
      </c>
      <c r="AK5" s="88">
        <f t="shared" ref="AK5:AK24" si="17">IF(AJ5=0," ",AJ5)</f>
        <v>33</v>
      </c>
      <c r="AL5" s="110">
        <f t="shared" ref="AL5:AL24" si="18">IF(AK5=" "," ",RANK(AK5,$AK$5:$AK$24))</f>
        <v>1</v>
      </c>
    </row>
    <row r="6" spans="2:38" x14ac:dyDescent="0.3">
      <c r="B6" s="90" t="s">
        <v>262</v>
      </c>
      <c r="C6" s="91"/>
      <c r="D6" s="165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IF(Table6220273215[[#This Row],[Non-Member]]="X"," ",IF(F6=" "," ",IFERROR(VLOOKUP(E6,Points!$A$2:$B$14,2,FALSE)," ")))</f>
        <v xml:space="preserve"> </v>
      </c>
      <c r="H6" s="165">
        <v>64</v>
      </c>
      <c r="I6" s="93">
        <f t="shared" si="2"/>
        <v>1</v>
      </c>
      <c r="J6" s="93">
        <f t="shared" si="3"/>
        <v>1</v>
      </c>
      <c r="K6" s="94">
        <f>IF(Table6220273215[[#This Row],[Non-Member]]="X"," ",IF(J6=" "," ",IFERROR(VLOOKUP(I6,Points!$A$2:$B$14,2,FALSE)," ")))</f>
        <v>18</v>
      </c>
      <c r="L6" s="165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IF(Table6220273215[[#This Row],[Non-Member]]="X"," ",IF(N6=" "," ",IFERROR(VLOOKUP(M6,Points!$A$2:$B$14,2,FALSE)," ")))</f>
        <v xml:space="preserve"> </v>
      </c>
      <c r="P6" s="146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IF(Table6220273215[[#This Row],[Non-Member]]="X"," ",IF(R6=" "," ",IFERROR(VLOOKUP(Q6,Points!$A$2:$B$14,2,FALSE)," ")))</f>
        <v xml:space="preserve"> </v>
      </c>
      <c r="T6" s="146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IF(Table6220273215[[#This Row],[Non-Member]]="X"," ",IF(V6=" "," ",IFERROR(VLOOKUP(U6,Points!$A$2:$B$14,2,FALSE)," ")))</f>
        <v xml:space="preserve"> 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IF(Table6220273215[[#This Row],[Non-Member]]="X"," ",IF(Z6=" "," ",IFERROR(VLOOKUP(Y6,Points!$A$2:$B$14,2,FALSE)," ")))</f>
        <v xml:space="preserve"> </v>
      </c>
      <c r="AB6" s="165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IF(Table6220273215[[#This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IF(Table6220273215[[#This Row],[Non-Member]]="X"," ",IF(AH6=" "," ",IFERROR(VLOOKUP(AG6,Points!$A$2:$B$14,2,FALSE)," ")))</f>
        <v xml:space="preserve"> </v>
      </c>
      <c r="AJ6" s="93">
        <f>IF(Table6220273215[[#This Row],[Non-Member]]="X"," ",((IF(G6=" ",0,G6))+(IF(K6=" ",0,K6))+(IF(O6=" ",0,O6))+(IF(S6=" ",0,S6))+(IF(W6=" ",0,W6))+(IF(AA6=" ",0,AA6))+(IF(AE6=" ",0,AE6))+(IF(AI6=" ",0,AI6))))</f>
        <v>18</v>
      </c>
      <c r="AK6" s="95">
        <f t="shared" si="17"/>
        <v>18</v>
      </c>
      <c r="AL6" s="96">
        <f t="shared" si="18"/>
        <v>2</v>
      </c>
    </row>
    <row r="7" spans="2:38" x14ac:dyDescent="0.3">
      <c r="B7" s="90" t="s">
        <v>129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IF(Table6220273215[[#This Row],[Non-Member]]="X"," ",IF(F7=" "," ",IFERROR(VLOOKUP(E7,Points!$A$2:$B$14,2,FALSE)," ")))</f>
        <v xml:space="preserve"> </v>
      </c>
      <c r="H7" s="146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IF(Table6220273215[[#This Row],[Non-Member]]="X"," ",IF(J7=" "," ",IFERROR(VLOOKUP(I7,Points!$A$2:$B$14,2,FALSE)," ")))</f>
        <v xml:space="preserve"> </v>
      </c>
      <c r="L7" s="146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IF(Table6220273215[[#This Row],[Non-Member]]="X"," ",IF(N7=" "," ",IFERROR(VLOOKUP(M7,Points!$A$2:$B$14,2,FALSE)," ")))</f>
        <v xml:space="preserve"> </v>
      </c>
      <c r="P7" s="146">
        <v>55</v>
      </c>
      <c r="Q7" s="93">
        <f t="shared" si="6"/>
        <v>1</v>
      </c>
      <c r="R7" s="93">
        <f t="shared" si="7"/>
        <v>1</v>
      </c>
      <c r="S7" s="94">
        <f>IF(Table6220273215[[#This Row],[Non-Member]]="X"," ",IF(R7=" "," ",IFERROR(VLOOKUP(Q7,Points!$A$2:$B$14,2,FALSE)," ")))</f>
        <v>18</v>
      </c>
      <c r="T7" s="146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IF(Table6220273215[[#This Row],[Non-Member]]="X"," ",IF(V7=" "," ",IFERROR(VLOOKUP(U7,Points!$A$2:$B$14,2,FALSE)," ")))</f>
        <v xml:space="preserve"> 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IF(Table6220273215[[#This Row],[Non-Member]]="X"," ",IF(Z7=" "," ",IFERROR(VLOOKUP(Y7,Points!$A$2:$B$14,2,FALSE)," ")))</f>
        <v xml:space="preserve"> </v>
      </c>
      <c r="AB7" s="165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IF(Table6220273215[[#This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IF(Table6220273215[[#This Row],[Non-Member]]="X"," ",IF(AH7=" "," ",IFERROR(VLOOKUP(AG7,Points!$A$2:$B$14,2,FALSE)," ")))</f>
        <v xml:space="preserve"> </v>
      </c>
      <c r="AJ7" s="93">
        <f>IF(Table6220273215[[#This Row],[Non-Member]]="X"," ",((IF(G7=" ",0,G7))+(IF(K7=" ",0,K7))+(IF(O7=" ",0,O7))+(IF(S7=" ",0,S7))+(IF(W7=" ",0,W7))+(IF(AA7=" ",0,AA7))+(IF(AE7=" ",0,AE7))+(IF(AI7=" ",0,AI7))))</f>
        <v>18</v>
      </c>
      <c r="AK7" s="95">
        <f t="shared" si="17"/>
        <v>18</v>
      </c>
      <c r="AL7" s="96">
        <f t="shared" si="18"/>
        <v>2</v>
      </c>
    </row>
    <row r="8" spans="2:38" x14ac:dyDescent="0.3">
      <c r="B8" s="90" t="s">
        <v>175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IF(Table6220273215[[#This Row],[Non-Member]]="X"," ",IF(F8=" "," ",IFERROR(VLOOKUP(E8,Points!$A$2:$B$14,2,FALSE)," ")))</f>
        <v xml:space="preserve"> </v>
      </c>
      <c r="H8" s="146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IF(Table6220273215[[#This Row],[Non-Member]]="X"," ",IF(J8=" "," ",IFERROR(VLOOKUP(I8,Points!$A$2:$B$14,2,FALSE)," ")))</f>
        <v xml:space="preserve"> </v>
      </c>
      <c r="L8" s="146">
        <v>58</v>
      </c>
      <c r="M8" s="93">
        <f t="shared" si="4"/>
        <v>2</v>
      </c>
      <c r="N8" s="93">
        <f t="shared" si="5"/>
        <v>2</v>
      </c>
      <c r="O8" s="94">
        <f>IF(Table6220273215[[#This Row],[Non-Member]]="X"," ",IF(N8=" "," ",IFERROR(VLOOKUP(M8,Points!$A$2:$B$14,2,FALSE)," ")))</f>
        <v>15</v>
      </c>
      <c r="P8" s="146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IF(Table6220273215[[#This Row],[Non-Member]]="X"," ",IF(R8=" "," ",IFERROR(VLOOKUP(Q8,Points!$A$2:$B$14,2,FALSE)," ")))</f>
        <v xml:space="preserve"> </v>
      </c>
      <c r="T8" s="146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IF(Table6220273215[[#This Row],[Non-Member]]="X"," ",IF(V8=" "," ",IFERROR(VLOOKUP(U8,Points!$A$2:$B$14,2,FALSE)," ")))</f>
        <v xml:space="preserve"> 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IF(Table6220273215[[#This Row],[Non-Member]]="X"," ",IF(Z8=" "," ",IFERROR(VLOOKUP(Y8,Points!$A$2:$B$14,2,FALSE)," ")))</f>
        <v xml:space="preserve"> </v>
      </c>
      <c r="AB8" s="165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IF(Table6220273215[[#This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IF(Table6220273215[[#This Row],[Non-Member]]="X"," ",IF(AH8=" "," ",IFERROR(VLOOKUP(AG8,Points!$A$2:$B$14,2,FALSE)," ")))</f>
        <v xml:space="preserve"> </v>
      </c>
      <c r="AJ8" s="93">
        <f>IF(Table6220273215[[#This Row],[Non-Member]]="X"," ",((IF(G8=" ",0,G8))+(IF(K8=" ",0,K8))+(IF(O8=" ",0,O8))+(IF(S8=" ",0,S8))+(IF(W8=" ",0,W8))+(IF(AA8=" ",0,AA8))+(IF(AE8=" ",0,AE8))+(IF(AI8=" ",0,AI8))))</f>
        <v>15</v>
      </c>
      <c r="AK8" s="95">
        <f t="shared" si="17"/>
        <v>15</v>
      </c>
      <c r="AL8" s="96">
        <f t="shared" si="18"/>
        <v>4</v>
      </c>
    </row>
    <row r="9" spans="2:38" x14ac:dyDescent="0.3">
      <c r="B9" s="90" t="s">
        <v>314</v>
      </c>
      <c r="C9" s="91" t="s">
        <v>325</v>
      </c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IF(Table6220273215[[#This Row],[Non-Member]]="X"," ",IF(F9=" "," ",IFERROR(VLOOKUP(E9,Points!$A$2:$B$14,2,FALSE)," ")))</f>
        <v xml:space="preserve"> </v>
      </c>
      <c r="H9" s="146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IF(Table6220273215[[#This Row],[Non-Member]]="X"," ",IF(J9=" "," ",IFERROR(VLOOKUP(I9,Points!$A$2:$B$14,2,FALSE)," ")))</f>
        <v xml:space="preserve"> </v>
      </c>
      <c r="L9" s="146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IF(Table6220273215[[#This Row],[Non-Member]]="X"," ",IF(N9=" "," ",IFERROR(VLOOKUP(M9,Points!$A$2:$B$14,2,FALSE)," ")))</f>
        <v xml:space="preserve"> </v>
      </c>
      <c r="P9" s="146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IF(Table6220273215[[#This Row],[Non-Member]]="X"," ",IF(R9=" "," ",IFERROR(VLOOKUP(Q9,Points!$A$2:$B$14,2,FALSE)," ")))</f>
        <v xml:space="preserve"> </v>
      </c>
      <c r="T9" s="146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IF(Table6220273215[[#This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IF(Table6220273215[[#This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IF(Table6220273215[[#This Row],[Non-Member]]="X"," ",IF(AH9=" "," ",IFERROR(VLOOKUP(AG9,Points!$A$2:$B$14,2,FALSE)," ")))</f>
        <v xml:space="preserve"> </v>
      </c>
      <c r="AJ9" s="93" t="str">
        <f>IF(Table6220273215[[#This Row],[Non-Member]]="X"," ",((IF(G9=" ",0,G9))+(IF(K9=" ",0,K9))+(IF(O9=" ",0,O9))+(IF(S9=" ",0,S9))+(IF(W9=" ",0,W9))+(IF(AA9=" ",0,AA9))+(IF(AE9=" ",0,AE9))+(IF(AI9=" ",0,AI9))))</f>
        <v xml:space="preserve"> </v>
      </c>
      <c r="AK9" s="95" t="str">
        <f t="shared" si="17"/>
        <v xml:space="preserve"> </v>
      </c>
      <c r="AL9" s="96" t="str">
        <f t="shared" si="18"/>
        <v xml:space="preserve"> </v>
      </c>
    </row>
    <row r="10" spans="2:38" x14ac:dyDescent="0.3">
      <c r="B10" s="90" t="s">
        <v>261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IF(Table6220273215[[#This Row],[Non-Member]]="X"," ",IF(F10=" "," ",IFERROR(VLOOKUP(E10,Points!$A$2:$B$14,2,FALSE)," ")))</f>
        <v xml:space="preserve"> </v>
      </c>
      <c r="H10" s="146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IF(Table6220273215[[#This Row],[Non-Member]]="X"," ",IF(J10=" "," ",IFERROR(VLOOKUP(I10,Points!$A$2:$B$14,2,FALSE)," ")))</f>
        <v xml:space="preserve"> </v>
      </c>
      <c r="L10" s="146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IF(Table6220273215[[#This Row],[Non-Member]]="X"," ",IF(N10=" "," ",IFERROR(VLOOKUP(M10,Points!$A$2:$B$14,2,FALSE)," ")))</f>
        <v xml:space="preserve"> </v>
      </c>
      <c r="P10" s="146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IF(Table6220273215[[#This Row],[Non-Member]]="X"," ",IF(R10=" "," ",IFERROR(VLOOKUP(Q10,Points!$A$2:$B$14,2,FALSE)," ")))</f>
        <v xml:space="preserve"> </v>
      </c>
      <c r="T10" s="146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IF(Table6220273215[[#This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IF(Table6220273215[[#This Row],[Non-Member]]="X"," ",IF(Z10=" "," ",IFERROR(VLOOKUP(Y10,Points!$A$2:$B$14,2,FALSE)," ")))</f>
        <v xml:space="preserve"> </v>
      </c>
      <c r="AB10" s="165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IF(Table6220273215[[#This Row],[Non-Member]]="X"," ",IF(AH10=" "," ",IFERROR(VLOOKUP(AG10,Points!$A$2:$B$14,2,FALSE)," ")))</f>
        <v xml:space="preserve"> </v>
      </c>
      <c r="AJ10" s="93">
        <f>IF(Table6220273215[[#This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 t="s">
        <v>313</v>
      </c>
      <c r="C11" s="91"/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IF(Table6220273215[[#This Row],[Non-Member]]="X"," ",IF(F11=" "," ",IFERROR(VLOOKUP(E11,Points!$A$2:$B$14,2,FALSE)," ")))</f>
        <v xml:space="preserve"> </v>
      </c>
      <c r="H11" s="146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IF(Table6220273215[[#This Row],[Non-Member]]="X"," ",IF(J11=" "," ",IFERROR(VLOOKUP(I11,Points!$A$2:$B$14,2,FALSE)," ")))</f>
        <v xml:space="preserve"> </v>
      </c>
      <c r="L11" s="146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IF(Table6220273215[[#This Row],[Non-Member]]="X"," ",IF(N11=" "," ",IFERROR(VLOOKUP(M11,Points!$A$2:$B$14,2,FALSE)," ")))</f>
        <v xml:space="preserve"> </v>
      </c>
      <c r="P11" s="146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IF(Table6220273215[[#This Row],[Non-Member]]="X"," ",IF(R11=" "," ",IFERROR(VLOOKUP(Q11,Points!$A$2:$B$14,2,FALSE)," ")))</f>
        <v xml:space="preserve"> </v>
      </c>
      <c r="T11" s="146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IF(Table6220273215[[#This Row],[Non-Member]]="X"," ",IF(AH11=" "," ",IFERROR(VLOOKUP(AG11,Points!$A$2:$B$14,2,FALSE)," ")))</f>
        <v xml:space="preserve"> </v>
      </c>
      <c r="AJ11" s="93">
        <f>IF(Table6220273215[[#This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 t="s">
        <v>274</v>
      </c>
      <c r="C12" s="91"/>
      <c r="D12" s="146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IF(Table6220273215[[#This Row],[Non-Member]]="X"," ",IF(F12=" "," ",IFERROR(VLOOKUP(E12,Points!$A$2:$B$14,2,FALSE)," ")))</f>
        <v xml:space="preserve"> </v>
      </c>
      <c r="H12" s="146"/>
      <c r="I12" s="97" t="str">
        <f t="shared" si="2"/>
        <v xml:space="preserve"> </v>
      </c>
      <c r="J12" s="93" t="str">
        <f t="shared" si="3"/>
        <v xml:space="preserve"> </v>
      </c>
      <c r="K12" s="94" t="str">
        <f>IF(Table6220273215[[#This Row],[Non-Member]]="X"," ",IF(J12=" "," ",IFERROR(VLOOKUP(I12,Points!$A$2:$B$14,2,FALSE)," ")))</f>
        <v xml:space="preserve"> </v>
      </c>
      <c r="L12" s="146">
        <v>0</v>
      </c>
      <c r="M12" s="97" t="str">
        <f t="shared" si="4"/>
        <v xml:space="preserve"> </v>
      </c>
      <c r="N12" s="93" t="str">
        <f t="shared" si="5"/>
        <v xml:space="preserve"> </v>
      </c>
      <c r="O12" s="94" t="str">
        <f>IF(Table6220273215[[#This Row],[Non-Member]]="X"," ",IF(N12=" "," ",IFERROR(VLOOKUP(M12,Points!$A$2:$B$14,2,FALSE)," ")))</f>
        <v xml:space="preserve"> </v>
      </c>
      <c r="P12" s="146">
        <v>0</v>
      </c>
      <c r="Q12" s="97" t="str">
        <f t="shared" si="6"/>
        <v xml:space="preserve"> </v>
      </c>
      <c r="R12" s="93" t="str">
        <f t="shared" si="7"/>
        <v xml:space="preserve"> </v>
      </c>
      <c r="S12" s="94" t="str">
        <f>IF(Table6220273215[[#This Row],[Non-Member]]="X"," ",IF(R12=" "," ",IFERROR(VLOOKUP(Q12,Points!$A$2:$B$14,2,FALSE)," ")))</f>
        <v xml:space="preserve"> </v>
      </c>
      <c r="T12" s="146"/>
      <c r="U12" s="97" t="str">
        <f t="shared" si="8"/>
        <v xml:space="preserve"> </v>
      </c>
      <c r="V12" s="93" t="str">
        <f t="shared" si="9"/>
        <v xml:space="preserve"> </v>
      </c>
      <c r="W12" s="94" t="str">
        <f>IF(Table6220273215[[#This Row],[Non-Member]]="X"," ",IF(V12=" "," ",IFERROR(VLOOKUP(U12,Points!$A$2:$B$14,2,FALSE)," ")))</f>
        <v xml:space="preserve"> </v>
      </c>
      <c r="X12" s="146"/>
      <c r="Y12" s="97" t="str">
        <f t="shared" si="10"/>
        <v xml:space="preserve"> </v>
      </c>
      <c r="Z12" s="93" t="str">
        <f t="shared" si="11"/>
        <v xml:space="preserve"> </v>
      </c>
      <c r="AA12" s="94" t="str">
        <f>IF(Table6220273215[[#This Row],[Non-Member]]="X"," ",IF(Z12=" "," ",IFERROR(VLOOKUP(Y12,Points!$A$2:$B$14,2,FALSE)," ")))</f>
        <v xml:space="preserve"> </v>
      </c>
      <c r="AB12" s="165"/>
      <c r="AC12" s="97" t="str">
        <f t="shared" si="12"/>
        <v xml:space="preserve"> </v>
      </c>
      <c r="AD12" s="93" t="str">
        <f t="shared" si="13"/>
        <v xml:space="preserve"> </v>
      </c>
      <c r="AE12" s="94" t="str">
        <f>IF(Table6220273215[[#This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8" t="e">
        <f t="shared" si="15"/>
        <v>#VALUE!</v>
      </c>
      <c r="AH12" s="93" t="str">
        <f t="shared" si="16"/>
        <v xml:space="preserve"> </v>
      </c>
      <c r="AI12" s="94" t="str">
        <f>IF(Table6220273215[[#This Row],[Non-Member]]="X"," ",IF(AH12=" "," ",IFERROR(VLOOKUP(AG12,Points!$A$2:$B$14,2,FALSE)," ")))</f>
        <v xml:space="preserve"> </v>
      </c>
      <c r="AJ12" s="97">
        <f>IF(Table6220273215[[#This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8" t="str">
        <f t="shared" si="18"/>
        <v xml:space="preserve"> </v>
      </c>
    </row>
    <row r="13" spans="2:38" x14ac:dyDescent="0.3">
      <c r="B13" s="90" t="s">
        <v>263</v>
      </c>
      <c r="C13" s="91" t="s">
        <v>325</v>
      </c>
      <c r="D13" s="146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IF(Table6220273215[[#This Row],[Non-Member]]="X"," ",IF(F13=" "," ",IFERROR(VLOOKUP(E13,Points!$A$2:$B$14,2,FALSE)," ")))</f>
        <v xml:space="preserve"> </v>
      </c>
      <c r="H13" s="146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IF(Table6220273215[[#This Row],[Non-Member]]="X"," ",IF(J13=" "," ",IFERROR(VLOOKUP(I13,Points!$A$2:$B$14,2,FALSE)," ")))</f>
        <v xml:space="preserve"> </v>
      </c>
      <c r="L13" s="146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IF(Table6220273215[[#This Row],[Non-Member]]="X"," ",IF(N13=" "," ",IFERROR(VLOOKUP(M13,Points!$A$2:$B$14,2,FALSE)," ")))</f>
        <v xml:space="preserve"> </v>
      </c>
      <c r="P13" s="146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IF(Table6220273215[[#This Row],[Non-Member]]="X"," ",IF(R13=" "," ",IFERROR(VLOOKUP(Q13,Points!$A$2:$B$14,2,FALSE)," ")))</f>
        <v xml:space="preserve"> </v>
      </c>
      <c r="T13" s="146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IF(Table6220273215[[#This Row],[Non-Member]]="X"," ",IF(Z13=" "," ",IFERROR(VLOOKUP(Y13,Points!$A$2:$B$14,2,FALSE)," ")))</f>
        <v xml:space="preserve"> </v>
      </c>
      <c r="AB13" s="165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IF(Table6220273215[[#This Row],[Non-Member]]="X"," ",IF(AH13=" "," ",IFERROR(VLOOKUP(AG13,Points!$A$2:$B$14,2,FALSE)," ")))</f>
        <v xml:space="preserve"> </v>
      </c>
      <c r="AJ13" s="93" t="str">
        <f>IF(Table6220273215[[#This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71</v>
      </c>
      <c r="C14" s="91"/>
      <c r="D14" s="146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IF(Table6220273215[[#This Row],[Non-Member]]="X"," ",IF(F14=" "," ",IFERROR(VLOOKUP(E14,Points!$A$2:$B$14,2,FALSE)," ")))</f>
        <v xml:space="preserve"> </v>
      </c>
      <c r="H14" s="146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IF(Table6220273215[[#This Row],[Non-Member]]="X"," ",IF(J14=" "," ",IFERROR(VLOOKUP(I14,Points!$A$2:$B$14,2,FALSE)," ")))</f>
        <v xml:space="preserve"> </v>
      </c>
      <c r="L14" s="146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IF(Table6220273215[[#This Row],[Non-Member]]="X"," ",IF(N14=" "," ",IFERROR(VLOOKUP(M14,Points!$A$2:$B$14,2,FALSE)," ")))</f>
        <v xml:space="preserve"> </v>
      </c>
      <c r="P14" s="146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IF(Table6220273215[[#This Row],[Non-Member]]="X"," ",IF(R14=" "," ",IFERROR(VLOOKUP(Q14,Points!$A$2:$B$14,2,FALSE)," ")))</f>
        <v xml:space="preserve"> </v>
      </c>
      <c r="T14" s="146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IF(Table6220273215[[#This Row],[Non-Member]]="X"," ",IF(V14=" "," ",IFERROR(VLOOKUP(U14,Points!$A$2:$B$14,2,FALSE)," ")))</f>
        <v xml:space="preserve"> </v>
      </c>
      <c r="X14" s="146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IF(Table6220273215[[#This Row],[Non-Member]]="X"," ",IF(Z14=" "," ",IFERROR(VLOOKUP(Y14,Points!$A$2:$B$14,2,FALSE)," ")))</f>
        <v xml:space="preserve"> </v>
      </c>
      <c r="AB14" s="165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IF(Table6220273215[[#This Row],[Non-Member]]="X"," ",IF(AH14=" "," ",IFERROR(VLOOKUP(AG14,Points!$A$2:$B$14,2,FALSE)," ")))</f>
        <v xml:space="preserve"> </v>
      </c>
      <c r="AJ14" s="93">
        <f>IF(Table6220273215[[#This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68</v>
      </c>
      <c r="C15" s="91"/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IF(Table6220273215[[#This Row],[Non-Member]]="X"," ",IF(F15=" "," ",IFERROR(VLOOKUP(E15,Points!$A$2:$B$14,2,FALSE)," ")))</f>
        <v xml:space="preserve"> </v>
      </c>
      <c r="H15" s="146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IF(Table6220273215[[#This Row],[Non-Member]]="X"," ",IF(J15=" "," ",IFERROR(VLOOKUP(I15,Points!$A$2:$B$14,2,FALSE)," ")))</f>
        <v xml:space="preserve"> </v>
      </c>
      <c r="L15" s="146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IF(Table6220273215[[#This Row],[Non-Member]]="X"," ",IF(N15=" "," ",IFERROR(VLOOKUP(M15,Points!$A$2:$B$14,2,FALSE)," ")))</f>
        <v xml:space="preserve"> </v>
      </c>
      <c r="P15" s="146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IF(Table6220273215[[#This Row],[Non-Member]]="X"," ",IF(R15=" "," ",IFERROR(VLOOKUP(Q15,Points!$A$2:$B$14,2,FALSE)," ")))</f>
        <v xml:space="preserve"> </v>
      </c>
      <c r="T15" s="146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IF(Table6220273215[[#This Row],[Non-Member]]="X"," ",IF(Z15=" "," ",IFERROR(VLOOKUP(Y15,Points!$A$2:$B$14,2,FALSE)," ")))</f>
        <v xml:space="preserve"> </v>
      </c>
      <c r="AB15" s="165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IF(Table6220273215[[#This Row],[Non-Member]]="X"," ",IF(AH15=" "," ",IFERROR(VLOOKUP(AG15,Points!$A$2:$B$14,2,FALSE)," ")))</f>
        <v xml:space="preserve"> </v>
      </c>
      <c r="AJ15" s="93">
        <f>IF(Table6220273215[[#This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69</v>
      </c>
      <c r="C16" s="91"/>
      <c r="D16" s="146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IF(Table6220273215[[#This Row],[Non-Member]]="X"," ",IF(F16=" "," ",IFERROR(VLOOKUP(E16,Points!$A$2:$B$14,2,FALSE)," ")))</f>
        <v xml:space="preserve"> </v>
      </c>
      <c r="H16" s="146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IF(Table6220273215[[#This Row],[Non-Member]]="X"," ",IF(J16=" "," ",IFERROR(VLOOKUP(I16,Points!$A$2:$B$14,2,FALSE)," ")))</f>
        <v xml:space="preserve"> </v>
      </c>
      <c r="L16" s="146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IF(Table6220273215[[#This Row],[Non-Member]]="X"," ",IF(N16=" "," ",IFERROR(VLOOKUP(M16,Points!$A$2:$B$14,2,FALSE)," ")))</f>
        <v xml:space="preserve"> </v>
      </c>
      <c r="P16" s="146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IF(Table6220273215[[#This Row],[Non-Member]]="X"," ",IF(R16=" "," ",IFERROR(VLOOKUP(Q16,Points!$A$2:$B$14,2,FALSE)," ")))</f>
        <v xml:space="preserve"> </v>
      </c>
      <c r="T16" s="146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IF(Table6220273215[[#This Row],[Non-Member]]="X"," ",IF(V16=" "," ",IFERROR(VLOOKUP(U16,Points!$A$2:$B$14,2,FALSE)," ")))</f>
        <v xml:space="preserve"> </v>
      </c>
      <c r="X16" s="146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IF(Table6220273215[[#This Row],[Non-Member]]="X"," ",IF(Z16=" "," ",IFERROR(VLOOKUP(Y16,Points!$A$2:$B$14,2,FALSE)," ")))</f>
        <v xml:space="preserve"> </v>
      </c>
      <c r="AB16" s="165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IF(Table6220273215[[#This Row],[Non-Member]]="X"," ",IF(AH16=" "," ",IFERROR(VLOOKUP(AG16,Points!$A$2:$B$14,2,FALSE)," ")))</f>
        <v xml:space="preserve"> </v>
      </c>
      <c r="AJ16" s="93">
        <f>IF(Table6220273215[[#This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260</v>
      </c>
      <c r="C17" s="91"/>
      <c r="D17" s="146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IF(Table6220273215[[#This Row],[Non-Member]]="X"," ",IF(F17=" "," ",IFERROR(VLOOKUP(E17,Points!$A$2:$B$14,2,FALSE)," ")))</f>
        <v xml:space="preserve"> </v>
      </c>
      <c r="H17" s="146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IF(Table6220273215[[#This Row],[Non-Member]]="X"," ",IF(J17=" "," ",IFERROR(VLOOKUP(I17,Points!$A$2:$B$14,2,FALSE)," ")))</f>
        <v xml:space="preserve"> </v>
      </c>
      <c r="L17" s="146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IF(Table6220273215[[#This Row],[Non-Member]]="X"," ",IF(N17=" "," ",IFERROR(VLOOKUP(M17,Points!$A$2:$B$14,2,FALSE)," ")))</f>
        <v xml:space="preserve"> </v>
      </c>
      <c r="P17" s="146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IF(Table6220273215[[#This Row],[Non-Member]]="X"," ",IF(R17=" "," ",IFERROR(VLOOKUP(Q17,Points!$A$2:$B$14,2,FALSE)," ")))</f>
        <v xml:space="preserve"> </v>
      </c>
      <c r="T17" s="146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IF(Table6220273215[[#This Row],[Non-Member]]="X"," ",IF(V17=" "," ",IFERROR(VLOOKUP(U17,Points!$A$2:$B$14,2,FALSE)," ")))</f>
        <v xml:space="preserve"> </v>
      </c>
      <c r="X17" s="146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IF(Table6220273215[[#This Row],[Non-Member]]="X"," ",IF(Z17=" "," ",IFERROR(VLOOKUP(Y17,Points!$A$2:$B$14,2,FALSE)," ")))</f>
        <v xml:space="preserve"> </v>
      </c>
      <c r="AB17" s="165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IF(Table6220273215[[#This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IF(Table6220273215[[#This Row],[Non-Member]]="X"," ",IF(AH17=" "," ",IFERROR(VLOOKUP(AG17,Points!$A$2:$B$14,2,FALSE)," ")))</f>
        <v xml:space="preserve"> </v>
      </c>
      <c r="AJ17" s="93">
        <f>IF(Table6220273215[[#This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130</v>
      </c>
      <c r="C18" s="91"/>
      <c r="D18" s="146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IF(Table6220273215[[#This Row],[Non-Member]]="X"," ",IF(F18=" "," ",IFERROR(VLOOKUP(E18,Points!$A$2:$B$14,2,FALSE)," ")))</f>
        <v xml:space="preserve"> </v>
      </c>
      <c r="H18" s="146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IF(Table6220273215[[#This Row],[Non-Member]]="X"," ",IF(J18=" "," ",IFERROR(VLOOKUP(I18,Points!$A$2:$B$14,2,FALSE)," ")))</f>
        <v xml:space="preserve"> </v>
      </c>
      <c r="L18" s="146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IF(Table6220273215[[#This Row],[Non-Member]]="X"," ",IF(N18=" "," ",IFERROR(VLOOKUP(M18,Points!$A$2:$B$14,2,FALSE)," ")))</f>
        <v xml:space="preserve"> </v>
      </c>
      <c r="P18" s="146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IF(Table6220273215[[#This Row],[Non-Member]]="X"," ",IF(R18=" "," ",IFERROR(VLOOKUP(Q18,Points!$A$2:$B$14,2,FALSE)," ")))</f>
        <v xml:space="preserve"> </v>
      </c>
      <c r="T18" s="146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IF(Table6220273215[[#This Row],[Non-Member]]="X"," ",IF(V18=" "," ",IFERROR(VLOOKUP(U18,Points!$A$2:$B$14,2,FALSE)," ")))</f>
        <v xml:space="preserve"> </v>
      </c>
      <c r="X18" s="146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IF(Table6220273215[[#This Row],[Non-Member]]="X"," ",IF(Z18=" "," ",IFERROR(VLOOKUP(Y18,Points!$A$2:$B$14,2,FALSE)," ")))</f>
        <v xml:space="preserve"> </v>
      </c>
      <c r="AB18" s="165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IF(Table6220273215[[#This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IF(Table6220273215[[#This Row],[Non-Member]]="X"," ",IF(AH18=" "," ",IFERROR(VLOOKUP(AG18,Points!$A$2:$B$14,2,FALSE)," ")))</f>
        <v xml:space="preserve"> </v>
      </c>
      <c r="AJ18" s="93">
        <f>IF(Table6220273215[[#This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73</v>
      </c>
      <c r="C19" s="91"/>
      <c r="D19" s="146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IF(Table6220273215[[#This Row],[Non-Member]]="X"," ",IF(F19=" "," ",IFERROR(VLOOKUP(E19,Points!$A$2:$B$14,2,FALSE)," ")))</f>
        <v xml:space="preserve"> </v>
      </c>
      <c r="H19" s="146"/>
      <c r="I19" s="97" t="str">
        <f t="shared" si="2"/>
        <v xml:space="preserve"> </v>
      </c>
      <c r="J19" s="93" t="str">
        <f t="shared" si="3"/>
        <v xml:space="preserve"> </v>
      </c>
      <c r="K19" s="94" t="str">
        <f>IF(Table6220273215[[#This Row],[Non-Member]]="X"," ",IF(J19=" "," ",IFERROR(VLOOKUP(I19,Points!$A$2:$B$14,2,FALSE)," ")))</f>
        <v xml:space="preserve"> </v>
      </c>
      <c r="L19" s="146">
        <v>0</v>
      </c>
      <c r="M19" s="97" t="str">
        <f t="shared" si="4"/>
        <v xml:space="preserve"> </v>
      </c>
      <c r="N19" s="93" t="str">
        <f t="shared" si="5"/>
        <v xml:space="preserve"> </v>
      </c>
      <c r="O19" s="94" t="str">
        <f>IF(Table6220273215[[#This Row],[Non-Member]]="X"," ",IF(N19=" "," ",IFERROR(VLOOKUP(M19,Points!$A$2:$B$14,2,FALSE)," ")))</f>
        <v xml:space="preserve"> </v>
      </c>
      <c r="P19" s="146">
        <v>0</v>
      </c>
      <c r="Q19" s="97" t="str">
        <f t="shared" si="6"/>
        <v xml:space="preserve"> </v>
      </c>
      <c r="R19" s="93" t="str">
        <f t="shared" si="7"/>
        <v xml:space="preserve"> </v>
      </c>
      <c r="S19" s="94" t="str">
        <f>IF(Table6220273215[[#This Row],[Non-Member]]="X"," ",IF(R19=" "," ",IFERROR(VLOOKUP(Q19,Points!$A$2:$B$14,2,FALSE)," ")))</f>
        <v xml:space="preserve"> </v>
      </c>
      <c r="T19" s="146"/>
      <c r="U19" s="97" t="str">
        <f t="shared" si="8"/>
        <v xml:space="preserve"> </v>
      </c>
      <c r="V19" s="93" t="str">
        <f t="shared" si="9"/>
        <v xml:space="preserve"> </v>
      </c>
      <c r="W19" s="94" t="str">
        <f>IF(Table6220273215[[#This Row],[Non-Member]]="X"," ",IF(V19=" "," ",IFERROR(VLOOKUP(U19,Points!$A$2:$B$14,2,FALSE)," ")))</f>
        <v xml:space="preserve"> </v>
      </c>
      <c r="X19" s="146"/>
      <c r="Y19" s="97" t="str">
        <f t="shared" si="10"/>
        <v xml:space="preserve"> </v>
      </c>
      <c r="Z19" s="93" t="str">
        <f t="shared" si="11"/>
        <v xml:space="preserve"> </v>
      </c>
      <c r="AA19" s="94" t="str">
        <f>IF(Table6220273215[[#This Row],[Non-Member]]="X"," ",IF(Z19=" "," ",IFERROR(VLOOKUP(Y19,Points!$A$2:$B$14,2,FALSE)," ")))</f>
        <v xml:space="preserve"> </v>
      </c>
      <c r="AB19" s="146"/>
      <c r="AC19" s="97" t="str">
        <f t="shared" si="12"/>
        <v xml:space="preserve"> </v>
      </c>
      <c r="AD19" s="93" t="str">
        <f t="shared" si="13"/>
        <v xml:space="preserve"> </v>
      </c>
      <c r="AE19" s="94" t="str">
        <f>IF(Table6220273215[[#This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8" t="e">
        <f t="shared" si="15"/>
        <v>#VALUE!</v>
      </c>
      <c r="AH19" s="93" t="str">
        <f t="shared" si="16"/>
        <v xml:space="preserve"> </v>
      </c>
      <c r="AI19" s="94" t="str">
        <f>IF(Table6220273215[[#This Row],[Non-Member]]="X"," ",IF(AH19=" "," ",IFERROR(VLOOKUP(AG19,Points!$A$2:$B$14,2,FALSE)," ")))</f>
        <v xml:space="preserve"> </v>
      </c>
      <c r="AJ19" s="97">
        <f>IF(Table6220273215[[#This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195</v>
      </c>
      <c r="C20" s="91"/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IF(Table6220273215[[#This Row],[Non-Member]]="X"," ",IF(F20=" "," ",IFERROR(VLOOKUP(E20,Points!$A$2:$B$14,2,FALSE)," ")))</f>
        <v xml:space="preserve"> </v>
      </c>
      <c r="H20" s="146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IF(Table6220273215[[#This Row],[Non-Member]]="X"," ",IF(J20=" "," ",IFERROR(VLOOKUP(I20,Points!$A$2:$B$14,2,FALSE)," ")))</f>
        <v xml:space="preserve"> </v>
      </c>
      <c r="L20" s="146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IF(Table6220273215[[#This Row],[Non-Member]]="X"," ",IF(N20=" "," ",IFERROR(VLOOKUP(M20,Points!$A$2:$B$14,2,FALSE)," ")))</f>
        <v xml:space="preserve"> </v>
      </c>
      <c r="P20" s="146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IF(Table6220273215[[#This Row],[Non-Member]]="X"," ",IF(R20=" "," ",IFERROR(VLOOKUP(Q20,Points!$A$2:$B$14,2,FALSE)," ")))</f>
        <v xml:space="preserve"> </v>
      </c>
      <c r="T20" s="146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IF(Table6220273215[[#This Row],[Non-Member]]="X"," ",IF(Z20=" "," ",IFERROR(VLOOKUP(Y20,Points!$A$2:$B$14,2,FALSE)," ")))</f>
        <v xml:space="preserve"> </v>
      </c>
      <c r="AB20" s="165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IF(Table6220273215[[#This Row],[Non-Member]]="X"," ",IF(AH20=" "," ",IFERROR(VLOOKUP(AG20,Points!$A$2:$B$14,2,FALSE)," ")))</f>
        <v xml:space="preserve"> </v>
      </c>
      <c r="AJ20" s="93">
        <f>IF(Table6220273215[[#This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IF(Table6220273215[[#This Row],[Non-Member]]="X"," ",IF(F21=" "," ",IFERROR(VLOOKUP(E21,Points!$A$2:$B$14,2,FALSE)," ")))</f>
        <v xml:space="preserve"> </v>
      </c>
      <c r="H21" s="146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IF(Table6220273215[[#This Row],[Non-Member]]="X"," ",IF(J21=" "," ",IFERROR(VLOOKUP(I21,Points!$A$2:$B$14,2,FALSE)," ")))</f>
        <v xml:space="preserve"> </v>
      </c>
      <c r="L21" s="146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IF(Table6220273215[[#This Row],[Non-Member]]="X"," ",IF(N21=" "," ",IFERROR(VLOOKUP(M21,Points!$A$2:$B$14,2,FALSE)," ")))</f>
        <v xml:space="preserve"> </v>
      </c>
      <c r="P21" s="146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IF(Table6220273215[[#This Row],[Non-Member]]="X"," ",IF(R21=" "," ",IFERROR(VLOOKUP(Q21,Points!$A$2:$B$14,2,FALSE)," ")))</f>
        <v xml:space="preserve"> </v>
      </c>
      <c r="T21" s="146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IF(Table6220273215[[#This Row],[Non-Member]]="X"," ",IF(AH21=" "," ",IFERROR(VLOOKUP(AG21,Points!$A$2:$B$14,2,FALSE)," ")))</f>
        <v xml:space="preserve"> </v>
      </c>
      <c r="AJ21" s="93">
        <f>IF(Table6220273215[[#This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IF(Table6220273215[[#This Row],[Non-Member]]="X"," ",IF(F22=" "," ",IFERROR(VLOOKUP(E22,Points!$A$2:$B$14,2,FALSE)," ")))</f>
        <v xml:space="preserve"> </v>
      </c>
      <c r="H22" s="146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IF(Table6220273215[[#This Row],[Non-Member]]="X"," ",IF(J22=" "," ",IFERROR(VLOOKUP(I22,Points!$A$2:$B$14,2,FALSE)," ")))</f>
        <v xml:space="preserve"> </v>
      </c>
      <c r="L22" s="146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IF(Table6220273215[[#This Row],[Non-Member]]="X"," ",IF(N22=" "," ",IFERROR(VLOOKUP(M22,Points!$A$2:$B$14,2,FALSE)," ")))</f>
        <v xml:space="preserve"> </v>
      </c>
      <c r="P22" s="146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IF(Table6220273215[[#This Row],[Non-Member]]="X"," ",IF(R22=" "," ",IFERROR(VLOOKUP(Q22,Points!$A$2:$B$14,2,FALSE)," ")))</f>
        <v xml:space="preserve"> </v>
      </c>
      <c r="T22" s="146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IF(Table6220273215[[#This Row],[Non-Member]]="X"," ",IF(AH22=" "," ",IFERROR(VLOOKUP(AG22,Points!$A$2:$B$14,2,FALSE)," ")))</f>
        <v xml:space="preserve"> </v>
      </c>
      <c r="AJ22" s="93">
        <f>IF(Table6220273215[[#This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IF(Table6220273215[[#This Row],[Non-Member]]="X"," ",IF(F23=" "," ",IFERROR(VLOOKUP(E23,Points!$A$2:$B$14,2,FALSE)," ")))</f>
        <v xml:space="preserve"> </v>
      </c>
      <c r="H23" s="146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IF(Table6220273215[[#This Row],[Non-Member]]="X"," ",IF(J23=" "," ",IFERROR(VLOOKUP(I23,Points!$A$2:$B$14,2,FALSE)," ")))</f>
        <v xml:space="preserve"> </v>
      </c>
      <c r="L23" s="146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IF(Table6220273215[[#This Row],[Non-Member]]="X"," ",IF(N23=" "," ",IFERROR(VLOOKUP(M23,Points!$A$2:$B$14,2,FALSE)," ")))</f>
        <v xml:space="preserve"> </v>
      </c>
      <c r="P23" s="146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IF(Table6220273215[[#This Row],[Non-Member]]="X"," ",IF(R23=" "," ",IFERROR(VLOOKUP(Q23,Points!$A$2:$B$14,2,FALSE)," ")))</f>
        <v xml:space="preserve"> </v>
      </c>
      <c r="T23" s="146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IF(Table6220273215[[#This Row],[Non-Member]]="X"," ",IF(AH23=" "," ",IFERROR(VLOOKUP(AG23,Points!$A$2:$B$14,2,FALSE)," ")))</f>
        <v xml:space="preserve"> </v>
      </c>
      <c r="AJ23" s="93">
        <f>IF(Table6220273215[[#This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6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IF(Table6220273215[[#This Row],[Non-Member]]="X"," ",IF(J24=" "," ",IFERROR(VLOOKUP(I24,Points!$A$2:$B$14,2,FALSE)," ")))</f>
        <v xml:space="preserve"> </v>
      </c>
      <c r="L24" s="146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IF(Table6220273215[[#This Row],[Non-Member]]="X"," ",IF(N24=" "," ",IFERROR(VLOOKUP(M24,Points!$A$2:$B$14,2,FALSE)," ")))</f>
        <v xml:space="preserve"> </v>
      </c>
      <c r="P24" s="146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IF(Table6220273215[[#This Row],[Non-Member]]="X"," ",IF(AH24=" "," ",IFERROR(VLOOKUP(AG24,Points!$A$2:$B$14,2,FALSE)," ")))</f>
        <v xml:space="preserve"> </v>
      </c>
      <c r="AJ24" s="93">
        <f>IF(Table6220273215[[#This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  <row r="54" ht="13.5" customHeight="1" x14ac:dyDescent="0.3"/>
  </sheetData>
  <sheetProtection algorithmName="SHA-512" hashValue="hdZzUr9ZCFLB1VQwazxWCZ904sDW66jchgc1thjBOCOQTZ/jv3zJTB6RGrnAJAI7btJfqMPHxZm2tU1QrXV+Hg==" saltValue="gLF9Q4eky26iccuZnA5SW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tabColor theme="5" tint="0.39997558519241921"/>
  </sheetPr>
  <dimension ref="B1:AL31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102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/>
      <c r="E5" s="86" t="str">
        <f t="shared" ref="E5:E26" si="0">IF(D5=0," ",_xlfn.RANK.AVG(D5,D$5:D$26,1)-COUNTIF(D$5:D$26,0))</f>
        <v xml:space="preserve"> </v>
      </c>
      <c r="F5" s="86" t="str">
        <f t="shared" ref="F5:F26" si="1">IF(D5=0," ",IF((RANK(D5,D$5:D$26,1)-COUNTIF(D$5:D$26,0)&gt;6)," ",RANK(D5,D$5:D$26,1)-COUNTIF(D$5:D$26,0)))</f>
        <v xml:space="preserve"> </v>
      </c>
      <c r="G5" s="87" t="str">
        <f>IF(Table622027323316[[#This Row],[Non-Member]]="X"," ",IF(F5=" "," ",IFERROR(VLOOKUP(E5,Points!$A$2:$B$14,2,FALSE)," ")))</f>
        <v xml:space="preserve"> </v>
      </c>
      <c r="H5" s="85">
        <v>13.64</v>
      </c>
      <c r="I5" s="86">
        <f t="shared" ref="I5:I26" si="2">IF(H5=0," ",_xlfn.RANK.AVG(H5,H$5:H$26,1)-COUNTIF(H$5:H$26,0))</f>
        <v>1</v>
      </c>
      <c r="J5" s="86">
        <f t="shared" ref="J5:J26" si="3">IF(H5=0," ",IF((RANK(H5,H$5:H$26,1)-COUNTIF(H$5:H$26,0)&gt;6)," ",RANK(H5,H$5:H$26,1)-COUNTIF(H$5:H$26,0)))</f>
        <v>1</v>
      </c>
      <c r="K5" s="87">
        <f>IF(Table622027323316[[#This Row],[Non-Member]]="X"," ",IF(J5=" "," ",IFERROR(VLOOKUP(I5,Points!$A$2:$B$14,2,FALSE)," ")))</f>
        <v>18</v>
      </c>
      <c r="L5" s="85">
        <v>17.22</v>
      </c>
      <c r="M5" s="86">
        <f t="shared" ref="M5:M26" si="4">IF(L5=0," ",_xlfn.RANK.AVG(L5,L$5:L$26,1)-COUNTIF(L$5:L$26,0))</f>
        <v>4</v>
      </c>
      <c r="N5" s="86">
        <f t="shared" ref="N5:N26" si="5">IF(L5=0," ",IF((RANK(L5,L$5:L$26,1)-COUNTIF(L$5:L$26,0)&gt;6)," ",RANK(L5,L$5:L$26,1)-COUNTIF(L$5:L$26,0)))</f>
        <v>4</v>
      </c>
      <c r="O5" s="87">
        <f>IF(Table622027323316[[#This Row],[Non-Member]]="X"," ",IF(N5=" "," ",IFERROR(VLOOKUP(M5,Points!$A$2:$B$14,2,FALSE)," ")))</f>
        <v>9</v>
      </c>
      <c r="P5" s="85">
        <v>11.77</v>
      </c>
      <c r="Q5" s="86">
        <f t="shared" ref="Q5:Q26" si="6">IF(P5=0," ",_xlfn.RANK.AVG(P5,P$5:P$26,1)-COUNTIF(P$5:P$26,0))</f>
        <v>1</v>
      </c>
      <c r="R5" s="86">
        <f t="shared" ref="R5:R26" si="7">IF(P5=0," ",IF((RANK(P5,P$5:P$26,1)-COUNTIF(P$5:P$26,0)&gt;6)," ",RANK(P5,P$5:P$26,1)-COUNTIF(P$5:P$26,0)))</f>
        <v>1</v>
      </c>
      <c r="S5" s="87">
        <f>IF(Table622027323316[[#This Row],[Non-Member]]="X"," ",IF(R5=" "," ",IFERROR(VLOOKUP(Q5,Points!$A$2:$B$14,2,FALSE)," ")))</f>
        <v>18</v>
      </c>
      <c r="T5" s="85"/>
      <c r="U5" s="86" t="str">
        <f t="shared" ref="U5:U26" si="8">IF(T5=0," ",_xlfn.RANK.AVG(T5,T$5:T$26,1)-COUNTIF(T$5:T$26,0))</f>
        <v xml:space="preserve"> </v>
      </c>
      <c r="V5" s="86" t="str">
        <f t="shared" ref="V5:V26" si="9">IF(T5=0," ",IF((RANK(T5,T$5:T$26,1)-COUNTIF(T$5:T$26,0)&gt;6)," ",RANK(T5,T$5:T$26,1)-COUNTIF(T$5:T$26,0)))</f>
        <v xml:space="preserve"> </v>
      </c>
      <c r="W5" s="87" t="str">
        <f>IF(Table622027323316[[#This Row],[Non-Member]]="X"," ",IF(V5=" "," ",IFERROR(VLOOKUP(U5,Points!$A$2:$B$14,2,FALSE)," ")))</f>
        <v xml:space="preserve"> </v>
      </c>
      <c r="X5" s="85"/>
      <c r="Y5" s="86" t="str">
        <f t="shared" ref="Y5:Y26" si="10">IF(X5=0," ",_xlfn.RANK.AVG(X5,X$5:X$26,1)-COUNTIF(X$5:X$26,0))</f>
        <v xml:space="preserve"> </v>
      </c>
      <c r="Z5" s="86" t="str">
        <f t="shared" ref="Z5:Z26" si="11">IF(X5=0," ",IF((RANK(X5,X$5:X$26,1)-COUNTIF(X$5:X$26,0)&gt;6)," ",RANK(X5,X$5:X$26,1)-COUNTIF(X$5:X$26,0)))</f>
        <v xml:space="preserve"> </v>
      </c>
      <c r="AA5" s="87" t="str">
        <f>IF(Table622027323316[[#This Row],[Non-Member]]="X"," ",IF(Z5=" "," ",IFERROR(VLOOKUP(Y5,Points!$A$2:$B$14,2,FALSE)," ")))</f>
        <v xml:space="preserve"> </v>
      </c>
      <c r="AB5" s="85"/>
      <c r="AC5" s="86" t="str">
        <f t="shared" ref="AC5:AC26" si="12">IF(AB5=0," ",_xlfn.RANK.AVG(AB5,AB$5:AB$26,1)-COUNTIF(AB$5:AB$26,0))</f>
        <v xml:space="preserve"> </v>
      </c>
      <c r="AD5" s="86" t="str">
        <f t="shared" ref="AD5:AD26" si="13">IF(AB5=0," ",IF((RANK(AB5,AB$5:AB$26,1)-COUNTIF(AB$5:AB$26,0)&gt;6)," ",RANK(AB5,AB$5:AB$26,1)-COUNTIF(AB$5:AB$26,0)))</f>
        <v xml:space="preserve"> </v>
      </c>
      <c r="AE5" s="87" t="str">
        <f>IF(Table622027323316[[#This Row],[Non-Member]]="X"," ",IF(AD5=" "," ",IFERROR(VLOOKUP(AC5,Points!$A$2:$B$14,2,FALSE)," ")))</f>
        <v xml:space="preserve"> </v>
      </c>
      <c r="AF5" s="85" t="str">
        <f t="shared" ref="AF5:AF26" si="14">IF(OR(X5=0,AB5=0)," ",X5+AB5)</f>
        <v xml:space="preserve"> </v>
      </c>
      <c r="AG5" s="86" t="str">
        <f t="shared" ref="AG5:AG26" si="15">IF(OR(AF5=0,AF5=" ")," ",_xlfn.RANK.AVG(AF5,AF$5:AF$26,1)-COUNTIF(AF$5:AF$26,0))</f>
        <v xml:space="preserve"> </v>
      </c>
      <c r="AH5" s="86" t="str">
        <f t="shared" ref="AH5:AH26" si="16">IF(OR(AF5=0,AF5=" ")," ",IF((RANK(AF5,AF$5:AF$26,1)-COUNTIF(AF$5:AF$26,0)&gt;6)," ",RANK(AF5,AF$5:AF$26,1)-COUNTIF(AF$5:AF$26,0)))</f>
        <v xml:space="preserve"> </v>
      </c>
      <c r="AI5" s="87" t="str">
        <f>IF(Table622027323316[[#This Row],[Non-Member]]="X"," ",IF(AH5=" "," ",IFERROR(VLOOKUP(AG5,Points!$A$2:$B$14,2,FALSE)," ")))</f>
        <v xml:space="preserve"> </v>
      </c>
      <c r="AJ5" s="86">
        <f>IF(Table622027323316[[#This Row],[Non-Member]]="X"," ",((IF(G5=" ",0,G5))+(IF(K5=" ",0,K5))+(IF(O5=" ",0,O5))+(IF(S5=" ",0,S5))+(IF(W5=" ",0,W5))+(IF(AA5=" ",0,AA5))+(IF(AE5=" ",0,AE5))+(IF(AI5=" ",0,AI5))))</f>
        <v>45</v>
      </c>
      <c r="AK5" s="88">
        <f t="shared" ref="AK5:AK26" si="17">IF(AJ5=0," ",AJ5)</f>
        <v>45</v>
      </c>
      <c r="AL5" s="89">
        <f t="shared" ref="AL5:AL26" si="18">IF(AK5=" "," ",RANK(AK5,$AK$5:$AK$26))</f>
        <v>1</v>
      </c>
    </row>
    <row r="6" spans="2:38" x14ac:dyDescent="0.3">
      <c r="B6" s="90" t="s">
        <v>68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IF(Table622027323316[[#This Row],[Non-Member]]="X"," ",IF(F6=" "," ",IFERROR(VLOOKUP(E6,Points!$A$2:$B$14,2,FALSE)," ")))</f>
        <v xml:space="preserve"> </v>
      </c>
      <c r="H6" s="92">
        <v>15.96</v>
      </c>
      <c r="I6" s="97">
        <f t="shared" si="2"/>
        <v>2</v>
      </c>
      <c r="J6" s="97">
        <f t="shared" si="3"/>
        <v>2</v>
      </c>
      <c r="K6" s="94">
        <f>IF(Table622027323316[[#This Row],[Non-Member]]="X"," ",IF(J6=" "," ",IFERROR(VLOOKUP(I6,Points!$A$2:$B$14,2,FALSE)," ")))</f>
        <v>15</v>
      </c>
      <c r="L6" s="92">
        <v>13.94</v>
      </c>
      <c r="M6" s="97">
        <f t="shared" si="4"/>
        <v>2</v>
      </c>
      <c r="N6" s="97">
        <f t="shared" si="5"/>
        <v>2</v>
      </c>
      <c r="O6" s="94">
        <f>IF(Table622027323316[[#This Row],[Non-Member]]="X"," ",IF(N6=" "," ",IFERROR(VLOOKUP(M6,Points!$A$2:$B$14,2,FALSE)," ")))</f>
        <v>15</v>
      </c>
      <c r="P6" s="92">
        <v>13.78</v>
      </c>
      <c r="Q6" s="97">
        <f t="shared" si="6"/>
        <v>5</v>
      </c>
      <c r="R6" s="97">
        <f t="shared" si="7"/>
        <v>5</v>
      </c>
      <c r="S6" s="94">
        <f>IF(Table622027323316[[#This Row],[Non-Member]]="X"," ",IF(R6=" "," ",IFERROR(VLOOKUP(Q6,Points!$A$2:$B$14,2,FALSE)," ")))</f>
        <v>6</v>
      </c>
      <c r="T6" s="92"/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IF(Table622027323316[[#This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IF(Table622027323316[[#This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IF(Table622027323316[[#This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7" t="str">
        <f t="shared" si="15"/>
        <v xml:space="preserve"> </v>
      </c>
      <c r="AH6" s="97" t="str">
        <f t="shared" si="16"/>
        <v xml:space="preserve"> </v>
      </c>
      <c r="AI6" s="94" t="str">
        <f>IF(Table622027323316[[#This Row],[Non-Member]]="X"," ",IF(AH6=" "," ",IFERROR(VLOOKUP(AG6,Points!$A$2:$B$14,2,FALSE)," ")))</f>
        <v xml:space="preserve"> </v>
      </c>
      <c r="AJ6" s="97">
        <f>IF(Table622027323316[[#This Row],[Non-Member]]="X"," ",((IF(G6=" ",0,G6))+(IF(K6=" ",0,K6))+(IF(O6=" ",0,O6))+(IF(S6=" ",0,S6))+(IF(W6=" ",0,W6))+(IF(AA6=" ",0,AA6))+(IF(AE6=" ",0,AE6))+(IF(AI6=" ",0,AI6))))</f>
        <v>36</v>
      </c>
      <c r="AK6" s="95">
        <f t="shared" si="17"/>
        <v>36</v>
      </c>
      <c r="AL6" s="98">
        <f t="shared" si="18"/>
        <v>2</v>
      </c>
    </row>
    <row r="7" spans="2:38" x14ac:dyDescent="0.3">
      <c r="B7" s="90" t="s">
        <v>130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IF(Table622027323316[[#This Row],[Non-Member]]="X"," ",IF(F7=" "," ",IFERROR(VLOOKUP(E7,Points!$A$2:$B$14,2,FALSE)," ")))</f>
        <v xml:space="preserve"> </v>
      </c>
      <c r="H7" s="92">
        <v>16.96</v>
      </c>
      <c r="I7" s="93">
        <f t="shared" si="2"/>
        <v>3</v>
      </c>
      <c r="J7" s="93">
        <f t="shared" si="3"/>
        <v>3</v>
      </c>
      <c r="K7" s="94">
        <f>IF(Table622027323316[[#This Row],[Non-Member]]="X"," ",IF(J7=" "," ",IFERROR(VLOOKUP(I7,Points!$A$2:$B$14,2,FALSE)," ")))</f>
        <v>12</v>
      </c>
      <c r="L7" s="92">
        <v>14.04</v>
      </c>
      <c r="M7" s="93">
        <f t="shared" si="4"/>
        <v>3</v>
      </c>
      <c r="N7" s="93">
        <f t="shared" si="5"/>
        <v>3</v>
      </c>
      <c r="O7" s="94">
        <f>IF(Table622027323316[[#This Row],[Non-Member]]="X"," ",IF(N7=" "," ",IFERROR(VLOOKUP(M7,Points!$A$2:$B$14,2,FALSE)," ")))</f>
        <v>12</v>
      </c>
      <c r="P7" s="92">
        <v>13.51</v>
      </c>
      <c r="Q7" s="93">
        <f t="shared" si="6"/>
        <v>4</v>
      </c>
      <c r="R7" s="93">
        <f t="shared" si="7"/>
        <v>4</v>
      </c>
      <c r="S7" s="94">
        <f>IF(Table622027323316[[#This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IF(Table622027323316[[#This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IF(Table622027323316[[#This Row],[Non-Member]]="X"," ",IF(AH7=" "," ",IFERROR(VLOOKUP(AG7,Points!$A$2:$B$14,2,FALSE)," ")))</f>
        <v xml:space="preserve"> </v>
      </c>
      <c r="AJ7" s="93">
        <f>IF(Table622027323316[[#This Row],[Non-Member]]="X"," ",((IF(G7=" ",0,G7))+(IF(K7=" ",0,K7))+(IF(O7=" ",0,O7))+(IF(S7=" ",0,S7))+(IF(W7=" ",0,W7))+(IF(AA7=" ",0,AA7))+(IF(AE7=" ",0,AE7))+(IF(AI7=" ",0,AI7))))</f>
        <v>33</v>
      </c>
      <c r="AK7" s="95">
        <f t="shared" si="17"/>
        <v>33</v>
      </c>
      <c r="AL7" s="96">
        <f t="shared" si="18"/>
        <v>3</v>
      </c>
    </row>
    <row r="8" spans="2:38" x14ac:dyDescent="0.3">
      <c r="B8" s="90" t="s">
        <v>195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IF(Table622027323316[[#This Row],[Non-Member]]="X"," ",IF(F8=" "," ",IFERROR(VLOOKUP(E8,Points!$A$2:$B$14,2,FALSE)," ")))</f>
        <v xml:space="preserve"> </v>
      </c>
      <c r="H8" s="92">
        <v>17.440000000000001</v>
      </c>
      <c r="I8" s="97">
        <f t="shared" si="2"/>
        <v>6</v>
      </c>
      <c r="J8" s="97">
        <f t="shared" si="3"/>
        <v>6</v>
      </c>
      <c r="K8" s="94">
        <f>IF(Table622027323316[[#This Row],[Non-Member]]="X"," ",IF(J8=" "," ",IFERROR(VLOOKUP(I8,Points!$A$2:$B$14,2,FALSE)," ")))</f>
        <v>3</v>
      </c>
      <c r="L8" s="92">
        <v>12.05</v>
      </c>
      <c r="M8" s="97">
        <f t="shared" si="4"/>
        <v>1</v>
      </c>
      <c r="N8" s="97">
        <f t="shared" si="5"/>
        <v>1</v>
      </c>
      <c r="O8" s="94">
        <f>IF(Table622027323316[[#This Row],[Non-Member]]="X"," ",IF(N8=" "," ",IFERROR(VLOOKUP(M8,Points!$A$2:$B$14,2,FALSE)," ")))</f>
        <v>18</v>
      </c>
      <c r="P8" s="92">
        <v>12.87</v>
      </c>
      <c r="Q8" s="97">
        <f t="shared" si="6"/>
        <v>3</v>
      </c>
      <c r="R8" s="97">
        <f t="shared" si="7"/>
        <v>3</v>
      </c>
      <c r="S8" s="94">
        <f>IF(Table622027323316[[#This Row],[Non-Member]]="X"," ",IF(R8=" "," ",IFERROR(VLOOKUP(Q8,Points!$A$2:$B$14,2,FALSE)," ")))</f>
        <v>12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IF(Table622027323316[[#This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IF(Table622027323316[[#This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IF(Table622027323316[[#This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IF(Table622027323316[[#This Row],[Non-Member]]="X"," ",IF(AH8=" "," ",IFERROR(VLOOKUP(AG8,Points!$A$2:$B$14,2,FALSE)," ")))</f>
        <v xml:space="preserve"> </v>
      </c>
      <c r="AJ8" s="97">
        <f>IF(Table622027323316[[#This Row],[Non-Member]]="X"," ",((IF(G8=" ",0,G8))+(IF(K8=" ",0,K8))+(IF(O8=" ",0,O8))+(IF(S8=" ",0,S8))+(IF(W8=" ",0,W8))+(IF(AA8=" ",0,AA8))+(IF(AE8=" ",0,AE8))+(IF(AI8=" ",0,AI8))))</f>
        <v>33</v>
      </c>
      <c r="AK8" s="95">
        <f t="shared" si="17"/>
        <v>33</v>
      </c>
      <c r="AL8" s="98">
        <f t="shared" si="18"/>
        <v>3</v>
      </c>
    </row>
    <row r="9" spans="2:38" x14ac:dyDescent="0.3">
      <c r="B9" s="90" t="s">
        <v>262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IF(Table622027323316[[#This Row],[Non-Member]]="X"," ",IF(F9=" "," ",IFERROR(VLOOKUP(E9,Points!$A$2:$B$14,2,FALSE)," ")))</f>
        <v xml:space="preserve"> </v>
      </c>
      <c r="H9" s="92">
        <v>18.190000000000001</v>
      </c>
      <c r="I9" s="93">
        <f t="shared" si="2"/>
        <v>7</v>
      </c>
      <c r="J9" s="93" t="str">
        <f t="shared" si="3"/>
        <v xml:space="preserve"> </v>
      </c>
      <c r="K9" s="94" t="str">
        <f>IF(Table622027323316[[#This Row],[Non-Member]]="X"," ",IF(J9=" "," ",IFERROR(VLOOKUP(I9,Points!$A$2:$B$14,2,FALSE)," ")))</f>
        <v xml:space="preserve"> </v>
      </c>
      <c r="L9" s="92">
        <v>18.47</v>
      </c>
      <c r="M9" s="93">
        <f t="shared" si="4"/>
        <v>8</v>
      </c>
      <c r="N9" s="93" t="str">
        <f t="shared" si="5"/>
        <v xml:space="preserve"> </v>
      </c>
      <c r="O9" s="94" t="str">
        <f>IF(Table622027323316[[#This Row],[Non-Member]]="X"," ",IF(N9=" "," ",IFERROR(VLOOKUP(M9,Points!$A$2:$B$14,2,FALSE)," ")))</f>
        <v xml:space="preserve"> </v>
      </c>
      <c r="P9" s="92">
        <v>12.78</v>
      </c>
      <c r="Q9" s="93">
        <f t="shared" si="6"/>
        <v>2</v>
      </c>
      <c r="R9" s="93">
        <f t="shared" si="7"/>
        <v>2</v>
      </c>
      <c r="S9" s="94">
        <f>IF(Table622027323316[[#This Row],[Non-Member]]="X"," ",IF(R9=" "," ",IFERROR(VLOOKUP(Q9,Points!$A$2:$B$14,2,FALSE)," ")))</f>
        <v>15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IF(Table622027323316[[#This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IF(Table622027323316[[#This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IF(Table622027323316[[#This Row],[Non-Member]]="X"," ",IF(AH9=" "," ",IFERROR(VLOOKUP(AG9,Points!$A$2:$B$14,2,FALSE)," ")))</f>
        <v xml:space="preserve"> </v>
      </c>
      <c r="AJ9" s="93">
        <f>IF(Table622027323316[[#This Row],[Non-Member]]="X"," ",((IF(G9=" ",0,G9))+(IF(K9=" ",0,K9))+(IF(O9=" ",0,O9))+(IF(S9=" ",0,S9))+(IF(W9=" ",0,W9))+(IF(AA9=" ",0,AA9))+(IF(AE9=" ",0,AE9))+(IF(AI9=" ",0,AI9))))</f>
        <v>15</v>
      </c>
      <c r="AK9" s="95">
        <f t="shared" si="17"/>
        <v>15</v>
      </c>
      <c r="AL9" s="96">
        <f t="shared" si="18"/>
        <v>5</v>
      </c>
    </row>
    <row r="10" spans="2:38" x14ac:dyDescent="0.3">
      <c r="B10" s="90" t="s">
        <v>135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IF(Table622027323316[[#This Row],[Non-Member]]="X"," ",IF(F10=" "," ",IFERROR(VLOOKUP(E10,Points!$A$2:$B$14,2,FALSE)," ")))</f>
        <v xml:space="preserve"> </v>
      </c>
      <c r="H10" s="92">
        <v>17.36</v>
      </c>
      <c r="I10" s="93">
        <f t="shared" si="2"/>
        <v>4</v>
      </c>
      <c r="J10" s="93">
        <f t="shared" si="3"/>
        <v>4</v>
      </c>
      <c r="K10" s="94">
        <f>IF(Table622027323316[[#This Row],[Non-Member]]="X"," ",IF(J10=" "," ",IFERROR(VLOOKUP(I10,Points!$A$2:$B$14,2,FALSE)," ")))</f>
        <v>9</v>
      </c>
      <c r="L10" s="92">
        <v>18.690000000000001</v>
      </c>
      <c r="M10" s="93">
        <f t="shared" si="4"/>
        <v>9</v>
      </c>
      <c r="N10" s="93" t="str">
        <f t="shared" si="5"/>
        <v xml:space="preserve"> </v>
      </c>
      <c r="O10" s="94" t="str">
        <f>IF(Table622027323316[[#This Row],[Non-Member]]="X"," ",IF(N10=" "," ",IFERROR(VLOOKUP(M10,Points!$A$2:$B$14,2,FALSE)," ")))</f>
        <v xml:space="preserve"> </v>
      </c>
      <c r="P10" s="92">
        <v>15.47</v>
      </c>
      <c r="Q10" s="93">
        <f t="shared" si="6"/>
        <v>6</v>
      </c>
      <c r="R10" s="93">
        <f t="shared" si="7"/>
        <v>6</v>
      </c>
      <c r="S10" s="94">
        <f>IF(Table622027323316[[#This Row],[Non-Member]]="X"," ",IF(R10=" "," ",IFERROR(VLOOKUP(Q10,Points!$A$2:$B$14,2,FALSE)," ")))</f>
        <v>3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IF(Table622027323316[[#This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IF(Table622027323316[[#This Row],[Non-Member]]="X"," ",IF(AH10=" "," ",IFERROR(VLOOKUP(AG10,Points!$A$2:$B$14,2,FALSE)," ")))</f>
        <v xml:space="preserve"> </v>
      </c>
      <c r="AJ10" s="93">
        <f>IF(Table622027323316[[#This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7"/>
        <v>12</v>
      </c>
      <c r="AL10" s="96">
        <f t="shared" si="18"/>
        <v>6</v>
      </c>
    </row>
    <row r="11" spans="2:38" x14ac:dyDescent="0.3">
      <c r="B11" s="90" t="s">
        <v>136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IF(Table622027323316[[#This Row],[Non-Member]]="X"," ",IF(F11=" "," ",IFERROR(VLOOKUP(E11,Points!$A$2:$B$14,2,FALSE)," ")))</f>
        <v xml:space="preserve"> </v>
      </c>
      <c r="H11" s="92">
        <v>17.39</v>
      </c>
      <c r="I11" s="93">
        <f t="shared" si="2"/>
        <v>5</v>
      </c>
      <c r="J11" s="93">
        <f t="shared" si="3"/>
        <v>5</v>
      </c>
      <c r="K11" s="94">
        <f>IF(Table622027323316[[#This Row],[Non-Member]]="X"," ",IF(J11=" "," ",IFERROR(VLOOKUP(I11,Points!$A$2:$B$14,2,FALSE)," ")))</f>
        <v>6</v>
      </c>
      <c r="L11" s="92">
        <v>17.41</v>
      </c>
      <c r="M11" s="93">
        <f t="shared" si="4"/>
        <v>5</v>
      </c>
      <c r="N11" s="93">
        <f t="shared" si="5"/>
        <v>5</v>
      </c>
      <c r="O11" s="94">
        <f>IF(Table622027323316[[#This Row],[Non-Member]]="X"," ",IF(N11=" "," ",IFERROR(VLOOKUP(M11,Points!$A$2:$B$14,2,FALSE)," ")))</f>
        <v>6</v>
      </c>
      <c r="P11" s="92">
        <v>16.27</v>
      </c>
      <c r="Q11" s="93">
        <f t="shared" si="6"/>
        <v>7</v>
      </c>
      <c r="R11" s="93" t="str">
        <f t="shared" si="7"/>
        <v xml:space="preserve"> </v>
      </c>
      <c r="S11" s="94" t="str">
        <f>IF(Table622027323316[[#This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IF(Table622027323316[[#This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IF(Table622027323316[[#This Row],[Non-Member]]="X"," ",IF(AH11=" "," ",IFERROR(VLOOKUP(AG11,Points!$A$2:$B$14,2,FALSE)," ")))</f>
        <v xml:space="preserve"> </v>
      </c>
      <c r="AJ11" s="93">
        <f>IF(Table622027323316[[#This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6</v>
      </c>
    </row>
    <row r="12" spans="2:38" x14ac:dyDescent="0.3">
      <c r="B12" s="90" t="s">
        <v>175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IF(Table622027323316[[#This Row],[Non-Member]]="X"," ",IF(F12=" "," ",IFERROR(VLOOKUP(E12,Points!$A$2:$B$14,2,FALSE)," ")))</f>
        <v xml:space="preserve"> </v>
      </c>
      <c r="H12" s="92">
        <v>19.600000000000001</v>
      </c>
      <c r="I12" s="93">
        <f t="shared" si="2"/>
        <v>9</v>
      </c>
      <c r="J12" s="93" t="str">
        <f t="shared" si="3"/>
        <v xml:space="preserve"> </v>
      </c>
      <c r="K12" s="94" t="str">
        <f>IF(Table622027323316[[#This Row],[Non-Member]]="X"," ",IF(J12=" "," ",IFERROR(VLOOKUP(I12,Points!$A$2:$B$14,2,FALSE)," ")))</f>
        <v xml:space="preserve"> </v>
      </c>
      <c r="L12" s="92">
        <v>17.78</v>
      </c>
      <c r="M12" s="93">
        <f t="shared" si="4"/>
        <v>6</v>
      </c>
      <c r="N12" s="93">
        <f t="shared" si="5"/>
        <v>6</v>
      </c>
      <c r="O12" s="94">
        <f>IF(Table622027323316[[#This Row],[Non-Member]]="X"," ",IF(N12=" "," ",IFERROR(VLOOKUP(M12,Points!$A$2:$B$14,2,FALSE)," ")))</f>
        <v>3</v>
      </c>
      <c r="P12" s="92">
        <v>18.39</v>
      </c>
      <c r="Q12" s="93">
        <f t="shared" si="6"/>
        <v>8</v>
      </c>
      <c r="R12" s="93" t="str">
        <f t="shared" si="7"/>
        <v xml:space="preserve"> </v>
      </c>
      <c r="S12" s="94" t="str">
        <f>IF(Table622027323316[[#This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IF(Table622027323316[[#This Row],[Non-Member]]="X"," ",IF(AH12=" "," ",IFERROR(VLOOKUP(AG12,Points!$A$2:$B$14,2,FALSE)," ")))</f>
        <v xml:space="preserve"> </v>
      </c>
      <c r="AJ12" s="93">
        <f>IF(Table622027323316[[#This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314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IF(Table622027323316[[#This Row],[Non-Member]]="X"," ",IF(F13=" "," ",IFERROR(VLOOKUP(E13,Points!$A$2:$B$14,2,FALSE)," ")))</f>
        <v xml:space="preserve"> </v>
      </c>
      <c r="H13" s="92"/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IF(Table622027323316[[#This Row],[Non-Member]]="X"," ",IF(J13=" "," ",IFERROR(VLOOKUP(I13,Points!$A$2:$B$14,2,FALSE)," ")))</f>
        <v xml:space="preserve"> </v>
      </c>
      <c r="L13" s="92">
        <v>18.100000000000001</v>
      </c>
      <c r="M13" s="97">
        <f t="shared" si="4"/>
        <v>7</v>
      </c>
      <c r="N13" s="97" t="str">
        <f t="shared" si="5"/>
        <v xml:space="preserve"> </v>
      </c>
      <c r="O13" s="94" t="str">
        <f>IF(Table622027323316[[#This Row],[Non-Member]]="X"," ",IF(N13=" "," ",IFERROR(VLOOKUP(M13,Points!$A$2:$B$14,2,FALSE)," ")))</f>
        <v xml:space="preserve"> </v>
      </c>
      <c r="P13" s="92">
        <v>18.47</v>
      </c>
      <c r="Q13" s="97">
        <f t="shared" si="6"/>
        <v>9</v>
      </c>
      <c r="R13" s="97" t="str">
        <f t="shared" si="7"/>
        <v xml:space="preserve"> </v>
      </c>
      <c r="S13" s="94" t="str">
        <f>IF(Table622027323316[[#This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IF(Table622027323316[[#This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IF(Table622027323316[[#This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IF(Table622027323316[[#This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IF(Table622027323316[[#This Row],[Non-Member]]="X"," ",IF(AH13=" "," ",IFERROR(VLOOKUP(AG13,Points!$A$2:$B$14,2,FALSE)," ")))</f>
        <v xml:space="preserve"> </v>
      </c>
      <c r="AJ13" s="97">
        <f>IF(Table622027323316[[#This Row],[Non-Member]]="X"," ",((IF(G13=" ",0,G13))+(IF(K13=" ",0,K13))+(IF(O13=" ",0,O13))+(IF(S13=" ",0,S13))+(IF(W13=" ",0,W13))+(IF(AA13=" ",0,AA13))+(IF(AE13=" ",0,AE13))+(IF(AI13=" ",0,AI13))))</f>
        <v>0</v>
      </c>
      <c r="AK13" s="151" t="str">
        <f t="shared" si="17"/>
        <v xml:space="preserve"> </v>
      </c>
      <c r="AL13" s="98" t="str">
        <f t="shared" si="18"/>
        <v xml:space="preserve"> </v>
      </c>
    </row>
    <row r="14" spans="2:38" x14ac:dyDescent="0.3">
      <c r="B14" s="90" t="s">
        <v>265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IF(Table622027323316[[#This Row],[Non-Member]]="X"," ",IF(F14=" "," ",IFERROR(VLOOKUP(E14,Points!$A$2:$B$14,2,FALSE)," ")))</f>
        <v xml:space="preserve"> </v>
      </c>
      <c r="H14" s="92">
        <v>36.07</v>
      </c>
      <c r="I14" s="93">
        <f t="shared" si="2"/>
        <v>14</v>
      </c>
      <c r="J14" s="93" t="str">
        <f t="shared" si="3"/>
        <v xml:space="preserve"> </v>
      </c>
      <c r="K14" s="94" t="str">
        <f>IF(Table622027323316[[#This Row],[Non-Member]]="X"," ",IF(J14=" "," ",IFERROR(VLOOKUP(I14,Points!$A$2:$B$14,2,FALSE)," ")))</f>
        <v xml:space="preserve"> </v>
      </c>
      <c r="L14" s="92">
        <v>22.15</v>
      </c>
      <c r="M14" s="93">
        <f t="shared" si="4"/>
        <v>11</v>
      </c>
      <c r="N14" s="93" t="str">
        <f t="shared" si="5"/>
        <v xml:space="preserve"> </v>
      </c>
      <c r="O14" s="94" t="str">
        <f>IF(Table622027323316[[#This Row],[Non-Member]]="X"," ",IF(N14=" "," ",IFERROR(VLOOKUP(M14,Points!$A$2:$B$14,2,FALSE)," ")))</f>
        <v xml:space="preserve"> </v>
      </c>
      <c r="P14" s="92">
        <v>21.89</v>
      </c>
      <c r="Q14" s="93">
        <f t="shared" si="6"/>
        <v>13</v>
      </c>
      <c r="R14" s="93" t="str">
        <f t="shared" si="7"/>
        <v xml:space="preserve"> </v>
      </c>
      <c r="S14" s="94" t="str">
        <f>IF(Table622027323316[[#This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IF(Table622027323316[[#This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IF(Table622027323316[[#This Row],[Non-Member]]="X"," ",IF(AH14=" "," ",IFERROR(VLOOKUP(AG14,Points!$A$2:$B$14,2,FALSE)," ")))</f>
        <v xml:space="preserve"> </v>
      </c>
      <c r="AJ14" s="93">
        <f>IF(Table622027323316[[#This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266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IF(Table622027323316[[#This Row],[Non-Member]]="X"," ",IF(F15=" "," ",IFERROR(VLOOKUP(E15,Points!$A$2:$B$14,2,FALSE)," ")))</f>
        <v xml:space="preserve"> </v>
      </c>
      <c r="H15" s="92">
        <v>49.01</v>
      </c>
      <c r="I15" s="93">
        <f t="shared" si="2"/>
        <v>15</v>
      </c>
      <c r="J15" s="93" t="str">
        <f t="shared" si="3"/>
        <v xml:space="preserve"> </v>
      </c>
      <c r="K15" s="94" t="str">
        <f>IF(Table622027323316[[#This Row],[Non-Member]]="X"," ",IF(J15=" "," ",IFERROR(VLOOKUP(I15,Points!$A$2:$B$14,2,FALSE)," ")))</f>
        <v xml:space="preserve"> </v>
      </c>
      <c r="L15" s="92">
        <v>23.97</v>
      </c>
      <c r="M15" s="93">
        <f t="shared" si="4"/>
        <v>13</v>
      </c>
      <c r="N15" s="93" t="str">
        <f t="shared" si="5"/>
        <v xml:space="preserve"> </v>
      </c>
      <c r="O15" s="94" t="str">
        <f>IF(Table622027323316[[#This Row],[Non-Member]]="X"," ",IF(N15=" "," ",IFERROR(VLOOKUP(M15,Points!$A$2:$B$14,2,FALSE)," ")))</f>
        <v xml:space="preserve"> </v>
      </c>
      <c r="P15" s="92">
        <v>23.45</v>
      </c>
      <c r="Q15" s="93">
        <f t="shared" si="6"/>
        <v>15</v>
      </c>
      <c r="R15" s="93" t="str">
        <f t="shared" si="7"/>
        <v xml:space="preserve"> </v>
      </c>
      <c r="S15" s="94" t="str">
        <f>IF(Table622027323316[[#This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IF(Table622027323316[[#This Row],[Non-Member]]="X"," ",IF(AH15=" "," ",IFERROR(VLOOKUP(AG15,Points!$A$2:$B$14,2,FALSE)," ")))</f>
        <v xml:space="preserve"> </v>
      </c>
      <c r="AJ15" s="93">
        <f>IF(Table622027323316[[#This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315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IF(Table622027323316[[#This Row],[Non-Member]]="X"," ",IF(J16=" "," ",IFERROR(VLOOKUP(I16,Points!$A$2:$B$14,2,FALSE)," ")))</f>
        <v xml:space="preserve"> </v>
      </c>
      <c r="L16" s="92">
        <v>25.91</v>
      </c>
      <c r="M16" s="93">
        <f t="shared" si="4"/>
        <v>15</v>
      </c>
      <c r="N16" s="93" t="str">
        <f t="shared" si="5"/>
        <v xml:space="preserve"> </v>
      </c>
      <c r="O16" s="94" t="str">
        <f>IF(Table622027323316[[#This Row],[Non-Member]]="X"," ",IF(N16=" "," ",IFERROR(VLOOKUP(M16,Points!$A$2:$B$14,2,FALSE)," ")))</f>
        <v xml:space="preserve"> </v>
      </c>
      <c r="P16" s="92">
        <v>22.19</v>
      </c>
      <c r="Q16" s="93">
        <f t="shared" si="6"/>
        <v>14</v>
      </c>
      <c r="R16" s="93" t="str">
        <f t="shared" si="7"/>
        <v xml:space="preserve"> </v>
      </c>
      <c r="S16" s="94" t="str">
        <f>IF(Table622027323316[[#This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IF(Table622027323316[[#This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IF(Table622027323316[[#This Row],[Non-Member]]="X"," ",IF(AH16=" "," ",IFERROR(VLOOKUP(AG16,Points!$A$2:$B$14,2,FALSE)," ")))</f>
        <v xml:space="preserve"> </v>
      </c>
      <c r="AJ16" s="93">
        <f>IF(Table622027323316[[#This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274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IF(Table622027323316[[#This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IF(Table622027323316[[#This Row],[Non-Member]]="X"," ",IF(J17=" "," ",IFERROR(VLOOKUP(I17,Points!$A$2:$B$14,2,FALSE)," ")))</f>
        <v xml:space="preserve"> </v>
      </c>
      <c r="L17" s="92">
        <v>25.67</v>
      </c>
      <c r="M17" s="93">
        <f t="shared" si="4"/>
        <v>14</v>
      </c>
      <c r="N17" s="93" t="str">
        <f t="shared" si="5"/>
        <v xml:space="preserve"> </v>
      </c>
      <c r="O17" s="94" t="str">
        <f>IF(Table622027323316[[#This Row],[Non-Member]]="X"," ",IF(N17=" "," ",IFERROR(VLOOKUP(M17,Points!$A$2:$B$14,2,FALSE)," ")))</f>
        <v xml:space="preserve"> </v>
      </c>
      <c r="P17" s="92">
        <v>32.65</v>
      </c>
      <c r="Q17" s="93">
        <f t="shared" si="6"/>
        <v>17</v>
      </c>
      <c r="R17" s="93" t="str">
        <f t="shared" si="7"/>
        <v xml:space="preserve"> </v>
      </c>
      <c r="S17" s="94" t="str">
        <f>IF(Table622027323316[[#This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IF(Table622027323316[[#This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IF(Table622027323316[[#This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IF(Table622027323316[[#This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IF(Table622027323316[[#This Row],[Non-Member]]="X"," ",IF(AH17=" "," ",IFERROR(VLOOKUP(AG17,Points!$A$2:$B$14,2,FALSE)," ")))</f>
        <v xml:space="preserve"> </v>
      </c>
      <c r="AJ17" s="93">
        <f>IF(Table622027323316[[#This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247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IF(Table622027323316[[#This Row],[Non-Member]]="X"," ",IF(F18=" "," ",IFERROR(VLOOKUP(E18,Points!$A$2:$B$14,2,FALSE)," ")))</f>
        <v xml:space="preserve"> </v>
      </c>
      <c r="H18" s="92">
        <v>19.84</v>
      </c>
      <c r="I18" s="93">
        <f t="shared" si="2"/>
        <v>10</v>
      </c>
      <c r="J18" s="93" t="str">
        <f t="shared" si="3"/>
        <v xml:space="preserve"> </v>
      </c>
      <c r="K18" s="94" t="str">
        <f>IF(Table622027323316[[#This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IF(Table622027323316[[#This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IF(Table622027323316[[#This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IF(Table622027323316[[#This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IF(Table622027323316[[#This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IF(Table622027323316[[#This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IF(Table622027323316[[#This Row],[Non-Member]]="X"," ",IF(AH18=" "," ",IFERROR(VLOOKUP(AG18,Points!$A$2:$B$14,2,FALSE)," ")))</f>
        <v xml:space="preserve"> </v>
      </c>
      <c r="AJ18" s="93" t="str">
        <f>IF(Table622027323316[[#This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316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IF(Table622027323316[[#This Row],[Non-Member]]="X"," ",IF(F19=" "," ",IFERROR(VLOOKUP(E19,Points!$A$2:$B$14,2,FALSE)," ")))</f>
        <v xml:space="preserve"> </v>
      </c>
      <c r="H19" s="92"/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IF(Table622027323316[[#This Row],[Non-Member]]="X"," ",IF(J19=" "," ",IFERROR(VLOOKUP(I19,Points!$A$2:$B$14,2,FALSE)," ")))</f>
        <v xml:space="preserve"> </v>
      </c>
      <c r="L19" s="92">
        <v>28.92</v>
      </c>
      <c r="M19" s="97">
        <f t="shared" si="4"/>
        <v>16</v>
      </c>
      <c r="N19" s="97" t="str">
        <f t="shared" si="5"/>
        <v xml:space="preserve"> </v>
      </c>
      <c r="O19" s="94" t="str">
        <f>IF(Table622027323316[[#This Row],[Non-Member]]="X"," ",IF(N19=" "," ",IFERROR(VLOOKUP(M19,Points!$A$2:$B$14,2,FALSE)," ")))</f>
        <v xml:space="preserve"> </v>
      </c>
      <c r="P19" s="92">
        <v>19.87</v>
      </c>
      <c r="Q19" s="97">
        <f t="shared" si="6"/>
        <v>11</v>
      </c>
      <c r="R19" s="97" t="str">
        <f t="shared" si="7"/>
        <v xml:space="preserve"> </v>
      </c>
      <c r="S19" s="94" t="str">
        <f>IF(Table622027323316[[#This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IF(Table622027323316[[#This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IF(Table622027323316[[#This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IF(Table622027323316[[#This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IF(Table622027323316[[#This Row],[Non-Member]]="X"," ",IF(AH19=" "," ",IFERROR(VLOOKUP(AG19,Points!$A$2:$B$14,2,FALSE)," ")))</f>
        <v xml:space="preserve"> </v>
      </c>
      <c r="AJ19" s="97">
        <f>IF(Table622027323316[[#This Row],[Non-Member]]="X"," ",((IF(G19=" ",0,G19))+(IF(K19=" ",0,K19))+(IF(O19=" ",0,O19))+(IF(S19=" ",0,S19))+(IF(W19=" ",0,W19))+(IF(AA19=" ",0,AA19))+(IF(AE19=" ",0,AE19))+(IF(AI19=" ",0,AI19))))</f>
        <v>0</v>
      </c>
      <c r="AK19" s="151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71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IF(Table622027323316[[#This Row],[Non-Member]]="X"," ",IF(F20=" "," ",IFERROR(VLOOKUP(E20,Points!$A$2:$B$14,2,FALSE)," ")))</f>
        <v xml:space="preserve"> </v>
      </c>
      <c r="H20" s="92">
        <v>18.350000000000001</v>
      </c>
      <c r="I20" s="93">
        <f t="shared" si="2"/>
        <v>8</v>
      </c>
      <c r="J20" s="93" t="str">
        <f t="shared" si="3"/>
        <v xml:space="preserve"> </v>
      </c>
      <c r="K20" s="94" t="str">
        <f>IF(Table622027323316[[#This Row],[Non-Member]]="X"," ",IF(J20=" "," ",IFERROR(VLOOKUP(I20,Points!$A$2:$B$14,2,FALSE)," ")))</f>
        <v xml:space="preserve"> </v>
      </c>
      <c r="L20" s="92">
        <v>31.18</v>
      </c>
      <c r="M20" s="93">
        <f t="shared" si="4"/>
        <v>18</v>
      </c>
      <c r="N20" s="93" t="str">
        <f t="shared" si="5"/>
        <v xml:space="preserve"> </v>
      </c>
      <c r="O20" s="94" t="str">
        <f>IF(Table622027323316[[#This Row],[Non-Member]]="X"," ",IF(N20=" "," ",IFERROR(VLOOKUP(M20,Points!$A$2:$B$14,2,FALSE)," ")))</f>
        <v xml:space="preserve"> </v>
      </c>
      <c r="P20" s="92">
        <v>19.149999999999999</v>
      </c>
      <c r="Q20" s="93">
        <f t="shared" si="6"/>
        <v>10</v>
      </c>
      <c r="R20" s="93" t="str">
        <f t="shared" si="7"/>
        <v xml:space="preserve"> </v>
      </c>
      <c r="S20" s="94" t="str">
        <f>IF(Table622027323316[[#This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IF(Table622027323316[[#This Row],[Non-Member]]="X"," ",IF(AH20=" "," ",IFERROR(VLOOKUP(AG20,Points!$A$2:$B$14,2,FALSE)," ")))</f>
        <v xml:space="preserve"> </v>
      </c>
      <c r="AJ20" s="93">
        <f>IF(Table622027323316[[#This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72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IF(Table622027323316[[#This Row],[Non-Member]]="X"," ",IF(N21=" "," ",IFERROR(VLOOKUP(M21,Points!$A$2:$B$14,2,FALSE)," ")))</f>
        <v xml:space="preserve"> </v>
      </c>
      <c r="P21" s="92">
        <v>48.55</v>
      </c>
      <c r="Q21" s="93">
        <f t="shared" si="6"/>
        <v>20</v>
      </c>
      <c r="R21" s="93" t="str">
        <f t="shared" si="7"/>
        <v xml:space="preserve"> </v>
      </c>
      <c r="S21" s="94" t="str">
        <f>IF(Table622027323316[[#This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IF(Table622027323316[[#This Row],[Non-Member]]="X"," ",IF(AH21=" "," ",IFERROR(VLOOKUP(AG21,Points!$A$2:$B$14,2,FALSE)," ")))</f>
        <v xml:space="preserve"> </v>
      </c>
      <c r="AJ21" s="93">
        <f>IF(Table622027323316[[#This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69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IF(Table622027323316[[#This Row],[Non-Member]]="X"," ",IF(F22=" "," ",IFERROR(VLOOKUP(E22,Points!$A$2:$B$14,2,FALSE)," ")))</f>
        <v xml:space="preserve"> </v>
      </c>
      <c r="H22" s="92">
        <v>25.77</v>
      </c>
      <c r="I22" s="93">
        <f t="shared" si="2"/>
        <v>11</v>
      </c>
      <c r="J22" s="93" t="str">
        <f t="shared" si="3"/>
        <v xml:space="preserve"> </v>
      </c>
      <c r="K22" s="94" t="str">
        <f>IF(Table622027323316[[#This Row],[Non-Member]]="X"," ",IF(J22=" "," ",IFERROR(VLOOKUP(I22,Points!$A$2:$B$14,2,FALSE)," ")))</f>
        <v xml:space="preserve"> </v>
      </c>
      <c r="L22" s="92">
        <v>22.63</v>
      </c>
      <c r="M22" s="93">
        <f t="shared" si="4"/>
        <v>12</v>
      </c>
      <c r="N22" s="93" t="str">
        <f t="shared" si="5"/>
        <v xml:space="preserve"> </v>
      </c>
      <c r="O22" s="94" t="str">
        <f>IF(Table622027323316[[#This Row],[Non-Member]]="X"," ",IF(N22=" "," ",IFERROR(VLOOKUP(M22,Points!$A$2:$B$14,2,FALSE)," ")))</f>
        <v xml:space="preserve"> </v>
      </c>
      <c r="P22" s="92">
        <v>25.74</v>
      </c>
      <c r="Q22" s="93">
        <f t="shared" si="6"/>
        <v>16</v>
      </c>
      <c r="R22" s="93" t="str">
        <f t="shared" si="7"/>
        <v xml:space="preserve"> </v>
      </c>
      <c r="S22" s="94" t="str">
        <f>IF(Table622027323316[[#This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IF(Table622027323316[[#This Row],[Non-Member]]="X"," ",IF(AH22=" "," ",IFERROR(VLOOKUP(AG22,Points!$A$2:$B$14,2,FALSE)," ")))</f>
        <v xml:space="preserve"> </v>
      </c>
      <c r="AJ22" s="93">
        <f>IF(Table622027323316[[#This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264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IF(Table622027323316[[#This Row],[Non-Member]]="X"," ",IF(F23=" "," ",IFERROR(VLOOKUP(E23,Points!$A$2:$B$14,2,FALSE)," ")))</f>
        <v xml:space="preserve"> </v>
      </c>
      <c r="H23" s="92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IF(Table622027323316[[#This Row],[Non-Member]]="X"," ",IF(AH23=" "," ",IFERROR(VLOOKUP(AG23,Points!$A$2:$B$14,2,FALSE)," ")))</f>
        <v xml:space="preserve"> </v>
      </c>
      <c r="AJ23" s="93">
        <f>IF(Table622027323316[[#This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67</v>
      </c>
      <c r="C24" s="91"/>
      <c r="D24" s="92"/>
      <c r="E24" s="97" t="str">
        <f t="shared" si="0"/>
        <v xml:space="preserve"> </v>
      </c>
      <c r="F24" s="97" t="str">
        <f t="shared" si="1"/>
        <v xml:space="preserve"> </v>
      </c>
      <c r="G24" s="94" t="str">
        <f>IF(Table622027323316[[#This Row],[Non-Member]]="X"," ",IF(F24=" "," ",IFERROR(VLOOKUP(E24,Points!$A$2:$B$14,2,FALSE)," ")))</f>
        <v xml:space="preserve"> </v>
      </c>
      <c r="H24" s="92">
        <v>34.5</v>
      </c>
      <c r="I24" s="97">
        <f t="shared" si="2"/>
        <v>13</v>
      </c>
      <c r="J24" s="97" t="str">
        <f t="shared" si="3"/>
        <v xml:space="preserve"> </v>
      </c>
      <c r="K24" s="94" t="str">
        <f>IF(Table622027323316[[#This Row],[Non-Member]]="X"," ",IF(J24=" "," ",IFERROR(VLOOKUP(I24,Points!$A$2:$B$14,2,FALSE)," ")))</f>
        <v xml:space="preserve"> </v>
      </c>
      <c r="L24" s="92">
        <v>30.26</v>
      </c>
      <c r="M24" s="97">
        <f t="shared" si="4"/>
        <v>17</v>
      </c>
      <c r="N24" s="97" t="str">
        <f t="shared" si="5"/>
        <v xml:space="preserve"> </v>
      </c>
      <c r="O24" s="94" t="str">
        <f>IF(Table622027323316[[#This Row],[Non-Member]]="X"," ",IF(N24=" "," ",IFERROR(VLOOKUP(M24,Points!$A$2:$B$14,2,FALSE)," ")))</f>
        <v xml:space="preserve"> </v>
      </c>
      <c r="P24" s="92">
        <v>39.049999999999997</v>
      </c>
      <c r="Q24" s="97">
        <f t="shared" si="6"/>
        <v>19</v>
      </c>
      <c r="R24" s="97" t="str">
        <f t="shared" si="7"/>
        <v xml:space="preserve"> </v>
      </c>
      <c r="S24" s="94" t="str">
        <f>IF(Table622027323316[[#This Row],[Non-Member]]="X"," ",IF(R24=" "," ",IFERROR(VLOOKUP(Q24,Points!$A$2:$B$14,2,FALSE)," ")))</f>
        <v xml:space="preserve"> </v>
      </c>
      <c r="T24" s="92"/>
      <c r="U24" s="97" t="str">
        <f t="shared" si="8"/>
        <v xml:space="preserve"> </v>
      </c>
      <c r="V24" s="97" t="str">
        <f t="shared" si="9"/>
        <v xml:space="preserve"> </v>
      </c>
      <c r="W24" s="94" t="str">
        <f>IF(Table622027323316[[#This Row],[Non-Member]]="X"," ",IF(V24=" "," ",IFERROR(VLOOKUP(U24,Points!$A$2:$B$14,2,FALSE)," ")))</f>
        <v xml:space="preserve"> </v>
      </c>
      <c r="X24" s="92"/>
      <c r="Y24" s="97" t="str">
        <f t="shared" si="10"/>
        <v xml:space="preserve"> </v>
      </c>
      <c r="Z24" s="97" t="str">
        <f t="shared" si="11"/>
        <v xml:space="preserve"> </v>
      </c>
      <c r="AA24" s="94" t="str">
        <f>IF(Table622027323316[[#This Row],[Non-Member]]="X"," ",IF(Z24=" "," ",IFERROR(VLOOKUP(Y24,Points!$A$2:$B$14,2,FALSE)," ")))</f>
        <v xml:space="preserve"> </v>
      </c>
      <c r="AB24" s="92"/>
      <c r="AC24" s="97" t="str">
        <f t="shared" si="12"/>
        <v xml:space="preserve"> </v>
      </c>
      <c r="AD24" s="97" t="str">
        <f t="shared" si="13"/>
        <v xml:space="preserve"> </v>
      </c>
      <c r="AE24" s="94" t="str">
        <f>IF(Table622027323316[[#This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7" t="str">
        <f t="shared" si="15"/>
        <v xml:space="preserve"> </v>
      </c>
      <c r="AH24" s="97" t="str">
        <f t="shared" si="16"/>
        <v xml:space="preserve"> </v>
      </c>
      <c r="AI24" s="94" t="str">
        <f>IF(Table622027323316[[#This Row],[Non-Member]]="X"," ",IF(AH24=" "," ",IFERROR(VLOOKUP(AG24,Points!$A$2:$B$14,2,FALSE)," ")))</f>
        <v xml:space="preserve"> </v>
      </c>
      <c r="AJ24" s="97">
        <f>IF(Table622027323316[[#This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8" t="str">
        <f t="shared" si="18"/>
        <v xml:space="preserve"> </v>
      </c>
    </row>
    <row r="25" spans="2:38" x14ac:dyDescent="0.3">
      <c r="B25" s="90" t="s">
        <v>73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IF(Table622027323316[[#This Row],[Non-Member]]="X"," ",IF(F25=" "," ",IFERROR(VLOOKUP(E25,Points!$A$2:$B$14,2,FALSE)," ")))</f>
        <v xml:space="preserve"> </v>
      </c>
      <c r="H25" s="92">
        <v>0</v>
      </c>
      <c r="I25" s="93" t="str">
        <f t="shared" si="2"/>
        <v xml:space="preserve"> </v>
      </c>
      <c r="J25" s="93" t="str">
        <f t="shared" si="3"/>
        <v xml:space="preserve"> </v>
      </c>
      <c r="K25" s="94" t="str">
        <f>IF(Table622027323316[[#This Row],[Non-Member]]="X"," ",IF(J25=" "," ",IFERROR(VLOOKUP(I25,Points!$A$2:$B$14,2,FALSE)," ")))</f>
        <v xml:space="preserve"> </v>
      </c>
      <c r="L25" s="92">
        <v>32.409999999999997</v>
      </c>
      <c r="M25" s="93">
        <f t="shared" si="4"/>
        <v>19</v>
      </c>
      <c r="N25" s="93" t="str">
        <f t="shared" si="5"/>
        <v xml:space="preserve"> </v>
      </c>
      <c r="O25" s="94" t="str">
        <f>IF(Table622027323316[[#This Row],[Non-Member]]="X"," ",IF(N25=" "," ",IFERROR(VLOOKUP(M25,Points!$A$2:$B$14,2,FALSE)," ")))</f>
        <v xml:space="preserve"> </v>
      </c>
      <c r="P25" s="92">
        <v>38.14</v>
      </c>
      <c r="Q25" s="93">
        <f t="shared" si="6"/>
        <v>18</v>
      </c>
      <c r="R25" s="93" t="str">
        <f t="shared" si="7"/>
        <v xml:space="preserve"> </v>
      </c>
      <c r="S25" s="94" t="str">
        <f>IF(Table622027323316[[#This Row],[Non-Member]]="X"," ",IF(R25=" "," ",IFERROR(VLOOKUP(Q25,Points!$A$2:$B$14,2,FALSE)," ")))</f>
        <v xml:space="preserve"> </v>
      </c>
      <c r="T25" s="92"/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IF(Table622027323316[[#This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IF(Table622027323316[[#This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IF(Table622027323316[[#This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IF(Table622027323316[[#This Row],[Non-Member]]="X"," ",IF(AH25=" "," ",IFERROR(VLOOKUP(AG25,Points!$A$2:$B$14,2,FALSE)," ")))</f>
        <v xml:space="preserve"> </v>
      </c>
      <c r="AJ25" s="93">
        <f>IF(Table622027323316[[#This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ht="14.5" thickBot="1" x14ac:dyDescent="0.35">
      <c r="B26" s="100" t="s">
        <v>70</v>
      </c>
      <c r="C26" s="101"/>
      <c r="D26" s="102"/>
      <c r="E26" s="103" t="str">
        <f t="shared" si="0"/>
        <v xml:space="preserve"> </v>
      </c>
      <c r="F26" s="103" t="str">
        <f t="shared" si="1"/>
        <v xml:space="preserve"> </v>
      </c>
      <c r="G26" s="104" t="str">
        <f>IF(Table622027323316[[#This Row],[Non-Member]]="X"," ",IF(F26=" "," ",IFERROR(VLOOKUP(E26,Points!$A$2:$B$14,2,FALSE)," ")))</f>
        <v xml:space="preserve"> </v>
      </c>
      <c r="H26" s="102">
        <v>30.32</v>
      </c>
      <c r="I26" s="103">
        <f t="shared" si="2"/>
        <v>12</v>
      </c>
      <c r="J26" s="103" t="str">
        <f t="shared" si="3"/>
        <v xml:space="preserve"> </v>
      </c>
      <c r="K26" s="104" t="str">
        <f>IF(Table622027323316[[#This Row],[Non-Member]]="X"," ",IF(J26=" "," ",IFERROR(VLOOKUP(I26,Points!$A$2:$B$14,2,FALSE)," ")))</f>
        <v xml:space="preserve"> </v>
      </c>
      <c r="L26" s="102">
        <v>20.52</v>
      </c>
      <c r="M26" s="103">
        <f t="shared" si="4"/>
        <v>10</v>
      </c>
      <c r="N26" s="103" t="str">
        <f t="shared" si="5"/>
        <v xml:space="preserve"> </v>
      </c>
      <c r="O26" s="104" t="str">
        <f>IF(Table622027323316[[#This Row],[Non-Member]]="X"," ",IF(N26=" "," ",IFERROR(VLOOKUP(M26,Points!$A$2:$B$14,2,FALSE)," ")))</f>
        <v xml:space="preserve"> </v>
      </c>
      <c r="P26" s="102">
        <v>21.57</v>
      </c>
      <c r="Q26" s="103">
        <f t="shared" si="6"/>
        <v>12</v>
      </c>
      <c r="R26" s="103" t="str">
        <f t="shared" si="7"/>
        <v xml:space="preserve"> </v>
      </c>
      <c r="S26" s="104" t="str">
        <f>IF(Table622027323316[[#This Row],[Non-Member]]="X"," ",IF(R26=" "," ",IFERROR(VLOOKUP(Q26,Points!$A$2:$B$14,2,FALSE)," ")))</f>
        <v xml:space="preserve"> </v>
      </c>
      <c r="T26" s="102"/>
      <c r="U26" s="103" t="str">
        <f t="shared" si="8"/>
        <v xml:space="preserve"> </v>
      </c>
      <c r="V26" s="103" t="str">
        <f t="shared" si="9"/>
        <v xml:space="preserve"> </v>
      </c>
      <c r="W26" s="104" t="str">
        <f>IF(Table622027323316[[#This Row],[Non-Member]]="X"," ",IF(V26=" "," ",IFERROR(VLOOKUP(U26,Points!$A$2:$B$14,2,FALSE)," ")))</f>
        <v xml:space="preserve"> </v>
      </c>
      <c r="X26" s="102"/>
      <c r="Y26" s="103" t="str">
        <f t="shared" si="10"/>
        <v xml:space="preserve"> </v>
      </c>
      <c r="Z26" s="103" t="str">
        <f t="shared" si="11"/>
        <v xml:space="preserve"> </v>
      </c>
      <c r="AA26" s="104" t="str">
        <f>IF(Table622027323316[[#This Row],[Non-Member]]="X"," ",IF(Z26=" "," ",IFERROR(VLOOKUP(Y26,Points!$A$2:$B$14,2,FALSE)," ")))</f>
        <v xml:space="preserve"> </v>
      </c>
      <c r="AB26" s="102"/>
      <c r="AC26" s="103" t="str">
        <f t="shared" si="12"/>
        <v xml:space="preserve"> </v>
      </c>
      <c r="AD26" s="103" t="str">
        <f t="shared" si="13"/>
        <v xml:space="preserve"> </v>
      </c>
      <c r="AE26" s="104" t="str">
        <f>IF(Table622027323316[[#This Row],[Non-Member]]="X"," ",IF(AD26=" "," ",IFERROR(VLOOKUP(AC26,Points!$A$2:$B$14,2,FALSE)," ")))</f>
        <v xml:space="preserve"> </v>
      </c>
      <c r="AF26" s="102" t="str">
        <f t="shared" si="14"/>
        <v xml:space="preserve"> </v>
      </c>
      <c r="AG26" s="103" t="str">
        <f t="shared" si="15"/>
        <v xml:space="preserve"> </v>
      </c>
      <c r="AH26" s="103" t="str">
        <f t="shared" si="16"/>
        <v xml:space="preserve"> </v>
      </c>
      <c r="AI26" s="104" t="str">
        <f>IF(Table622027323316[[#This Row],[Non-Member]]="X"," ",IF(AH26=" "," ",IFERROR(VLOOKUP(AG26,Points!$A$2:$B$14,2,FALSE)," ")))</f>
        <v xml:space="preserve"> </v>
      </c>
      <c r="AJ26" s="93">
        <f>IF(Table622027323316[[#This Row],[Non-Member]]="X"," ",((IF(G26=" ",0,G26))+(IF(K26=" ",0,K26))+(IF(O26=" ",0,O26))+(IF(S26=" ",0,S26))+(IF(W26=" ",0,W26))+(IF(AA26=" ",0,AA26))+(IF(AE26=" ",0,AE26))+(IF(AI26=" ",0,AI26))))</f>
        <v>0</v>
      </c>
      <c r="AK26" s="105" t="str">
        <f t="shared" si="17"/>
        <v xml:space="preserve"> </v>
      </c>
      <c r="AL26" s="96" t="str">
        <f t="shared" si="18"/>
        <v xml:space="preserve"> </v>
      </c>
    </row>
    <row r="27" spans="2:38" ht="14.5" thickBot="1" x14ac:dyDescent="0.35">
      <c r="B27" s="106" t="s">
        <v>190</v>
      </c>
      <c r="AG27" s="107"/>
    </row>
    <row r="29" spans="2:38" x14ac:dyDescent="0.3">
      <c r="F29" s="107"/>
    </row>
    <row r="30" spans="2:38" x14ac:dyDescent="0.3">
      <c r="F30" s="107"/>
    </row>
    <row r="31" spans="2:38" x14ac:dyDescent="0.3">
      <c r="H31" s="108"/>
    </row>
  </sheetData>
  <sheetProtection algorithmName="SHA-512" hashValue="YY9HUHPUg/mUY2jdNP6k7rWLRyP1Z/QTB336QSBClg38WwmlUDcxO7rRhteoYryisXPHsbhZ+sCvpls6OKQ+yQ==" saltValue="I/t7z19wOIWDph7FLoIMP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103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IF(Table62202732333417[[#This Row],[Non-Member]]="X"," ",IF(F5=" "," ",IFERROR(VLOOKUP(E5,Points!$A$2:$B$14,2,FALSE)," ")))</f>
        <v xml:space="preserve"> </v>
      </c>
      <c r="H5" s="85">
        <v>10.38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IF(Table62202732333417[[#This Row],[Non-Member]]="X"," ",IF(J5=" "," ",IFERROR(VLOOKUP(I5,Points!$A$2:$B$14,2,FALSE)," ")))</f>
        <v>15</v>
      </c>
      <c r="L5" s="136">
        <v>12.205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IF(Table62202732333417[[#This Row],[Non-Member]]="X"," ",IF(N5=" "," ",IFERROR(VLOOKUP(M5,Points!$A$2:$B$14,2,FALSE)," ")))</f>
        <v>15</v>
      </c>
      <c r="P5" s="85">
        <v>10.196999999999999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IF(Table62202732333417[[#This Row],[Non-Member]]="X"," ",IF(AD5=" "," ",IFERROR(VLOOKUP(AC5,Points!$A$2:$B$14,2,FALSE)," ")))</f>
        <v xml:space="preserve"> </v>
      </c>
      <c r="AF5" s="85"/>
      <c r="AG5" s="86" t="str">
        <f t="shared" ref="AG5:AG16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IF(Table62202732333417[[#This Row],[Non-Member]]="X"," ",IF(AH5=" "," ",IFERROR(VLOOKUP(AG5,Points!$A$2:$B$14,2,FALSE)," ")))</f>
        <v xml:space="preserve"> </v>
      </c>
      <c r="AJ5" s="86">
        <f>IF(Table62202732333417[[#This Row],[Non-Member]]="X"," ",((IF(G5=" ",0,G5))+(IF(K5=" ",0,K5))+(IF(O5=" ",0,O5))+(IF(S5=" ",0,S5))+(IF(W5=" ",0,W5))+(IF(AA5=" ",0,AA5))+(IF(AE5=" ",0,AE5))+(IF(AI5=" ",0,AI5))))</f>
        <v>48</v>
      </c>
      <c r="AK5" s="88">
        <f t="shared" ref="AK5:AK24" si="16">IF(AJ5=0," ",AJ5)</f>
        <v>48</v>
      </c>
      <c r="AL5" s="89">
        <f t="shared" ref="AL5:AL24" si="17">IF(AK5=" "," ",RANK(AK5,$AK$5:$AK$24))</f>
        <v>1</v>
      </c>
    </row>
    <row r="6" spans="2:38" x14ac:dyDescent="0.3">
      <c r="B6" s="90" t="s">
        <v>135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IF(Table62202732333417[[#This Row],[Non-Member]]="X"," ",IF(F6=" "," ",IFERROR(VLOOKUP(E6,Points!$A$2:$B$14,2,FALSE)," ")))</f>
        <v xml:space="preserve"> </v>
      </c>
      <c r="H6" s="92">
        <v>10.585000000000001</v>
      </c>
      <c r="I6" s="93">
        <f t="shared" si="2"/>
        <v>3</v>
      </c>
      <c r="J6" s="93">
        <f t="shared" si="3"/>
        <v>3</v>
      </c>
      <c r="K6" s="94">
        <f>IF(Table62202732333417[[#This Row],[Non-Member]]="X"," ",IF(J6=" "," ",IFERROR(VLOOKUP(I6,Points!$A$2:$B$14,2,FALSE)," ")))</f>
        <v>12</v>
      </c>
      <c r="L6" s="135">
        <v>21.757000000000001</v>
      </c>
      <c r="M6" s="93">
        <f t="shared" si="4"/>
        <v>11</v>
      </c>
      <c r="N6" s="93" t="str">
        <f t="shared" si="5"/>
        <v xml:space="preserve"> </v>
      </c>
      <c r="O6" s="94" t="str">
        <f>IF(Table62202732333417[[#This Row],[Non-Member]]="X"," ",IF(N6=" "," ",IFERROR(VLOOKUP(M6,Points!$A$2:$B$14,2,FALSE)," ")))</f>
        <v xml:space="preserve"> </v>
      </c>
      <c r="P6" s="92">
        <v>10.432</v>
      </c>
      <c r="Q6" s="93">
        <f t="shared" si="6"/>
        <v>2</v>
      </c>
      <c r="R6" s="93">
        <f t="shared" si="7"/>
        <v>2</v>
      </c>
      <c r="S6" s="94">
        <f>IF(Table62202732333417[[#This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IF(Table62202732333417[[#This Row],[Non-Member]]="X"," ",IF(AH6=" "," ",IFERROR(VLOOKUP(AG6,Points!$A$2:$B$14,2,FALSE)," ")))</f>
        <v xml:space="preserve"> </v>
      </c>
      <c r="AJ6" s="93">
        <f>IF(Table62202732333417[[#This Row],[Non-Member]]="X"," ",((IF(G6=" ",0,G6))+(IF(K6=" ",0,K6))+(IF(O6=" ",0,O6))+(IF(S6=" ",0,S6))+(IF(W6=" ",0,W6))+(IF(AA6=" ",0,AA6))+(IF(AE6=" ",0,AE6))+(IF(AI6=" ",0,AI6))))</f>
        <v>27</v>
      </c>
      <c r="AK6" s="95">
        <f t="shared" si="16"/>
        <v>27</v>
      </c>
      <c r="AL6" s="96">
        <f t="shared" si="17"/>
        <v>2</v>
      </c>
    </row>
    <row r="7" spans="2:38" x14ac:dyDescent="0.3">
      <c r="B7" s="90" t="s">
        <v>68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IF(Table62202732333417[[#This Row],[Non-Member]]="X"," ",IF(F7=" "," ",IFERROR(VLOOKUP(E7,Points!$A$2:$B$14,2,FALSE)," ")))</f>
        <v xml:space="preserve"> </v>
      </c>
      <c r="H7" s="92">
        <v>10.282</v>
      </c>
      <c r="I7" s="93">
        <f t="shared" si="2"/>
        <v>1</v>
      </c>
      <c r="J7" s="93">
        <f t="shared" si="3"/>
        <v>1</v>
      </c>
      <c r="K7" s="94">
        <f>IF(Table62202732333417[[#This Row],[Non-Member]]="X"," ",IF(J7=" "," ",IFERROR(VLOOKUP(I7,Points!$A$2:$B$14,2,FALSE)," ")))</f>
        <v>18</v>
      </c>
      <c r="L7" s="135">
        <v>22.456</v>
      </c>
      <c r="M7" s="93">
        <f t="shared" si="4"/>
        <v>12</v>
      </c>
      <c r="N7" s="93" t="str">
        <f t="shared" si="5"/>
        <v xml:space="preserve"> </v>
      </c>
      <c r="O7" s="94" t="str">
        <f>IF(Table62202732333417[[#This Row],[Non-Member]]="X"," ",IF(N7=" "," ",IFERROR(VLOOKUP(M7,Points!$A$2:$B$14,2,FALSE)," ")))</f>
        <v xml:space="preserve"> </v>
      </c>
      <c r="P7" s="92">
        <v>10.667</v>
      </c>
      <c r="Q7" s="93">
        <f t="shared" si="6"/>
        <v>4</v>
      </c>
      <c r="R7" s="93">
        <f t="shared" si="7"/>
        <v>4</v>
      </c>
      <c r="S7" s="94">
        <f>IF(Table62202732333417[[#This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IF(Table62202732333417[[#This Row],[Non-Member]]="X"," ",IF(AH7=" "," ",IFERROR(VLOOKUP(AG7,Points!$A$2:$B$14,2,FALSE)," ")))</f>
        <v xml:space="preserve"> </v>
      </c>
      <c r="AJ7" s="93">
        <f>IF(Table62202732333417[[#This Row],[Non-Member]]="X"," ",((IF(G7=" ",0,G7))+(IF(K7=" ",0,K7))+(IF(O7=" ",0,O7))+(IF(S7=" ",0,S7))+(IF(W7=" ",0,W7))+(IF(AA7=" ",0,AA7))+(IF(AE7=" ",0,AE7))+(IF(AI7=" ",0,AI7))))</f>
        <v>27</v>
      </c>
      <c r="AK7" s="95">
        <f t="shared" si="16"/>
        <v>27</v>
      </c>
      <c r="AL7" s="96">
        <f t="shared" si="17"/>
        <v>2</v>
      </c>
    </row>
    <row r="8" spans="2:38" x14ac:dyDescent="0.3">
      <c r="B8" s="90" t="s">
        <v>130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IF(Table62202732333417[[#This Row],[Non-Member]]="X"," ",IF(F8=" "," ",IFERROR(VLOOKUP(E8,Points!$A$2:$B$14,2,FALSE)," ")))</f>
        <v xml:space="preserve"> </v>
      </c>
      <c r="H8" s="92">
        <v>11.446</v>
      </c>
      <c r="I8" s="97">
        <f t="shared" si="2"/>
        <v>4</v>
      </c>
      <c r="J8" s="97">
        <f t="shared" si="3"/>
        <v>4</v>
      </c>
      <c r="K8" s="94">
        <f>IF(Table62202732333417[[#This Row],[Non-Member]]="X"," ",IF(J8=" "," ",IFERROR(VLOOKUP(I8,Points!$A$2:$B$14,2,FALSE)," ")))</f>
        <v>9</v>
      </c>
      <c r="L8" s="135">
        <v>13.005000000000001</v>
      </c>
      <c r="M8" s="97">
        <f t="shared" si="4"/>
        <v>5</v>
      </c>
      <c r="N8" s="97">
        <f t="shared" si="5"/>
        <v>5</v>
      </c>
      <c r="O8" s="94">
        <f>IF(Table62202732333417[[#This Row],[Non-Member]]="X"," ",IF(N8=" "," ",IFERROR(VLOOKUP(M8,Points!$A$2:$B$14,2,FALSE)," ")))</f>
        <v>6</v>
      </c>
      <c r="P8" s="92">
        <v>10.55</v>
      </c>
      <c r="Q8" s="97">
        <f t="shared" si="6"/>
        <v>3</v>
      </c>
      <c r="R8" s="97">
        <f t="shared" si="7"/>
        <v>3</v>
      </c>
      <c r="S8" s="94">
        <f>IF(Table62202732333417[[#This Row],[Non-Member]]="X"," ",IF(R8=" "," ",IFERROR(VLOOKUP(Q8,Points!$A$2:$B$14,2,FALSE)," ")))</f>
        <v>12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IF(Table62202732333417[[#This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IF(Table62202732333417[[#This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IF(Table62202732333417[[#This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7" t="str">
        <f t="shared" si="14"/>
        <v xml:space="preserve"> </v>
      </c>
      <c r="AH8" s="97" t="str">
        <f t="shared" si="15"/>
        <v xml:space="preserve"> </v>
      </c>
      <c r="AI8" s="94" t="str">
        <f>IF(Table62202732333417[[#This Row],[Non-Member]]="X"," ",IF(AH8=" "," ",IFERROR(VLOOKUP(AG8,Points!$A$2:$B$14,2,FALSE)," ")))</f>
        <v xml:space="preserve"> </v>
      </c>
      <c r="AJ8" s="97">
        <f>IF(Table62202732333417[[#This Row],[Non-Member]]="X"," ",((IF(G8=" ",0,G8))+(IF(K8=" ",0,K8))+(IF(O8=" ",0,O8))+(IF(S8=" ",0,S8))+(IF(W8=" ",0,W8))+(IF(AA8=" ",0,AA8))+(IF(AE8=" ",0,AE8))+(IF(AI8=" ",0,AI8))))</f>
        <v>27</v>
      </c>
      <c r="AK8" s="95">
        <f t="shared" si="16"/>
        <v>27</v>
      </c>
      <c r="AL8" s="98">
        <f t="shared" si="17"/>
        <v>2</v>
      </c>
    </row>
    <row r="9" spans="2:38" x14ac:dyDescent="0.3">
      <c r="B9" s="90" t="s">
        <v>195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IF(Table62202732333417[[#This Row],[Non-Member]]="X"," ",IF(J9=" "," ",IFERROR(VLOOKUP(I9,Points!$A$2:$B$14,2,FALSE)," ")))</f>
        <v xml:space="preserve"> </v>
      </c>
      <c r="L9" s="135">
        <v>11.874000000000001</v>
      </c>
      <c r="M9" s="93">
        <f t="shared" si="4"/>
        <v>1</v>
      </c>
      <c r="N9" s="93">
        <f t="shared" si="5"/>
        <v>1</v>
      </c>
      <c r="O9" s="94">
        <f>IF(Table62202732333417[[#This Row],[Non-Member]]="X"," ",IF(N9=" "," ",IFERROR(VLOOKUP(M9,Points!$A$2:$B$14,2,FALSE)," ")))</f>
        <v>18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IF(Table62202732333417[[#This Row],[Non-Member]]="X"," ",IF(AD9=" "," ",IFERROR(VLOOKUP(AC9,Points!$A$2:$B$14,2,FALSE)," ")))</f>
        <v xml:space="preserve"> </v>
      </c>
      <c r="AF9" s="92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IF(Table62202732333417[[#This Row],[Non-Member]]="X"," ",IF(AH9=" "," ",IFERROR(VLOOKUP(AG9,Points!$A$2:$B$14,2,FALSE)," ")))</f>
        <v xml:space="preserve"> </v>
      </c>
      <c r="AJ9" s="93">
        <f>IF(Table62202732333417[[#This Row],[Non-Member]]="X"," ",((IF(G9=" ",0,G9))+(IF(K9=" ",0,K9))+(IF(O9=" ",0,O9))+(IF(S9=" ",0,S9))+(IF(W9=" ",0,W9))+(IF(AA9=" ",0,AA9))+(IF(AE9=" ",0,AE9))+(IF(AI9=" ",0,AI9))))</f>
        <v>18</v>
      </c>
      <c r="AK9" s="95">
        <f t="shared" si="16"/>
        <v>18</v>
      </c>
      <c r="AL9" s="96">
        <f t="shared" si="17"/>
        <v>5</v>
      </c>
    </row>
    <row r="10" spans="2:38" x14ac:dyDescent="0.3">
      <c r="B10" s="90" t="s">
        <v>71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IF(Table62202732333417[[#This Row],[Non-Member]]="X"," ",IF(J10=" "," ",IFERROR(VLOOKUP(I10,Points!$A$2:$B$14,2,FALSE)," ")))</f>
        <v xml:space="preserve"> </v>
      </c>
      <c r="L10" s="135">
        <v>12.534000000000001</v>
      </c>
      <c r="M10" s="93">
        <f t="shared" si="4"/>
        <v>3</v>
      </c>
      <c r="N10" s="93">
        <f t="shared" si="5"/>
        <v>3</v>
      </c>
      <c r="O10" s="94">
        <f>IF(Table62202732333417[[#This Row],[Non-Member]]="X"," ",IF(N10=" "," ",IFERROR(VLOOKUP(M10,Points!$A$2:$B$14,2,FALSE)," ")))</f>
        <v>12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IF(Table62202732333417[[#This Row],[Non-Member]]="X"," ",IF(AD10=" "," ",IFERROR(VLOOKUP(AC10,Points!$A$2:$B$14,2,FALSE)," ")))</f>
        <v xml:space="preserve"> </v>
      </c>
      <c r="AF10" s="92"/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IF(Table62202732333417[[#This Row],[Non-Member]]="X"," ",IF(AH10=" "," ",IFERROR(VLOOKUP(AG10,Points!$A$2:$B$14,2,FALSE)," ")))</f>
        <v xml:space="preserve"> </v>
      </c>
      <c r="AJ10" s="93">
        <f>IF(Table62202732333417[[#This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6"/>
        <v>12</v>
      </c>
      <c r="AL10" s="96">
        <f t="shared" si="17"/>
        <v>6</v>
      </c>
    </row>
    <row r="11" spans="2:38" x14ac:dyDescent="0.3">
      <c r="B11" s="90" t="s">
        <v>316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IF(Table62202732333417[[#This Row],[Non-Member]]="X"," ",IF(J11=" "," ",IFERROR(VLOOKUP(I11,Points!$A$2:$B$14,2,FALSE)," ")))</f>
        <v xml:space="preserve"> </v>
      </c>
      <c r="L11" s="92">
        <v>12.975</v>
      </c>
      <c r="M11" s="93">
        <f t="shared" si="4"/>
        <v>4</v>
      </c>
      <c r="N11" s="93">
        <f t="shared" si="5"/>
        <v>4</v>
      </c>
      <c r="O11" s="94">
        <f>IF(Table62202732333417[[#This Row],[Non-Member]]="X"," ",IF(N11=" "," ",IFERROR(VLOOKUP(M11,Points!$A$2:$B$14,2,FALSE)," ")))</f>
        <v>9</v>
      </c>
      <c r="P11" s="92">
        <v>12.045</v>
      </c>
      <c r="Q11" s="93">
        <f t="shared" si="6"/>
        <v>7</v>
      </c>
      <c r="R11" s="93" t="str">
        <f t="shared" si="7"/>
        <v xml:space="preserve"> </v>
      </c>
      <c r="S11" s="94" t="str">
        <f>IF(Table62202732333417[[#This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IF(Table62202732333417[[#This Row],[Non-Member]]="X"," ",IF(AH11=" "," ",IFERROR(VLOOKUP(AG11,Points!$A$2:$B$14,2,FALSE)," ")))</f>
        <v xml:space="preserve"> </v>
      </c>
      <c r="AJ11" s="93">
        <f>IF(Table62202732333417[[#This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6"/>
        <v>9</v>
      </c>
      <c r="AL11" s="96">
        <f t="shared" si="17"/>
        <v>7</v>
      </c>
    </row>
    <row r="12" spans="2:38" x14ac:dyDescent="0.3">
      <c r="B12" s="90" t="s">
        <v>265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IF(Table62202732333417[[#This Row],[Non-Member]]="X"," ",IF(F12=" "," ",IFERROR(VLOOKUP(E12,Points!$A$2:$B$14,2,FALSE)," ")))</f>
        <v xml:space="preserve"> </v>
      </c>
      <c r="H12" s="92">
        <v>14.51</v>
      </c>
      <c r="I12" s="97">
        <f t="shared" si="2"/>
        <v>6</v>
      </c>
      <c r="J12" s="97">
        <f t="shared" si="3"/>
        <v>6</v>
      </c>
      <c r="K12" s="94">
        <f>IF(Table62202732333417[[#This Row],[Non-Member]]="X"," ",IF(J12=" "," ",IFERROR(VLOOKUP(I12,Points!$A$2:$B$14,2,FALSE)," ")))</f>
        <v>3</v>
      </c>
      <c r="L12" s="135">
        <v>14.847</v>
      </c>
      <c r="M12" s="97">
        <f t="shared" si="4"/>
        <v>9</v>
      </c>
      <c r="N12" s="97" t="str">
        <f t="shared" si="5"/>
        <v xml:space="preserve"> </v>
      </c>
      <c r="O12" s="94" t="str">
        <f>IF(Table62202732333417[[#This Row],[Non-Member]]="X"," ",IF(N12=" "," ",IFERROR(VLOOKUP(M12,Points!$A$2:$B$14,2,FALSE)," ")))</f>
        <v xml:space="preserve"> </v>
      </c>
      <c r="P12" s="92">
        <v>11.664999999999999</v>
      </c>
      <c r="Q12" s="97">
        <f t="shared" si="6"/>
        <v>6</v>
      </c>
      <c r="R12" s="97">
        <f t="shared" si="7"/>
        <v>6</v>
      </c>
      <c r="S12" s="94">
        <f>IF(Table62202732333417[[#This Row],[Non-Member]]="X"," ",IF(R12=" "," ",IFERROR(VLOOKUP(Q12,Points!$A$2:$B$14,2,FALSE)," ")))</f>
        <v>3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IF(Table62202732333417[[#This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IF(Table62202732333417[[#This Row],[Non-Member]]="X"," ",IF(AD12=" "," ",IFERROR(VLOOKUP(AC12,Points!$A$2:$B$14,2,FALSE)," ")))</f>
        <v xml:space="preserve"> </v>
      </c>
      <c r="AF12" s="92"/>
      <c r="AG12" s="97" t="str">
        <f t="shared" si="14"/>
        <v xml:space="preserve"> </v>
      </c>
      <c r="AH12" s="97" t="str">
        <f t="shared" si="15"/>
        <v xml:space="preserve"> </v>
      </c>
      <c r="AI12" s="94" t="str">
        <f>IF(Table62202732333417[[#This Row],[Non-Member]]="X"," ",IF(AH12=" "," ",IFERROR(VLOOKUP(AG12,Points!$A$2:$B$14,2,FALSE)," ")))</f>
        <v xml:space="preserve"> </v>
      </c>
      <c r="AJ12" s="97">
        <f>IF(Table62202732333417[[#This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6"/>
        <v>6</v>
      </c>
      <c r="AL12" s="98">
        <f t="shared" si="17"/>
        <v>8</v>
      </c>
    </row>
    <row r="13" spans="2:38" x14ac:dyDescent="0.3">
      <c r="B13" s="90" t="s">
        <v>315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IF(Table62202732333417[[#This Row],[Non-Member]]="X"," ",IF(N13=" "," ",IFERROR(VLOOKUP(M13,Points!$A$2:$B$14,2,FALSE)," ")))</f>
        <v xml:space="preserve"> </v>
      </c>
      <c r="P13" s="92">
        <v>11.475</v>
      </c>
      <c r="Q13" s="93">
        <f t="shared" si="6"/>
        <v>5</v>
      </c>
      <c r="R13" s="93">
        <f t="shared" si="7"/>
        <v>5</v>
      </c>
      <c r="S13" s="94">
        <f>IF(Table62202732333417[[#This Row],[Non-Member]]="X"," ",IF(R13=" "," ",IFERROR(VLOOKUP(Q13,Points!$A$2:$B$14,2,FALSE)," ")))</f>
        <v>6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IF(Table62202732333417[[#This Row],[Non-Member]]="X"," ",IF(AH13=" "," ",IFERROR(VLOOKUP(AG13,Points!$A$2:$B$14,2,FALSE)," ")))</f>
        <v xml:space="preserve"> </v>
      </c>
      <c r="AJ13" s="93">
        <f>IF(Table62202732333417[[#This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6"/>
        <v>6</v>
      </c>
      <c r="AL13" s="96">
        <f t="shared" si="17"/>
        <v>8</v>
      </c>
    </row>
    <row r="14" spans="2:38" x14ac:dyDescent="0.3">
      <c r="B14" s="90" t="s">
        <v>69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IF(Table62202732333417[[#This Row],[Non-Member]]="X"," ",IF(F14=" "," ",IFERROR(VLOOKUP(E14,Points!$A$2:$B$14,2,FALSE)," ")))</f>
        <v xml:space="preserve"> </v>
      </c>
      <c r="H14" s="92">
        <v>14.138</v>
      </c>
      <c r="I14" s="93">
        <f t="shared" si="2"/>
        <v>5</v>
      </c>
      <c r="J14" s="93">
        <f t="shared" si="3"/>
        <v>5</v>
      </c>
      <c r="K14" s="94">
        <f>IF(Table62202732333417[[#This Row],[Non-Member]]="X"," ",IF(J14=" "," ",IFERROR(VLOOKUP(I14,Points!$A$2:$B$14,2,FALSE)," ")))</f>
        <v>6</v>
      </c>
      <c r="L14" s="135">
        <v>22.82</v>
      </c>
      <c r="M14" s="93">
        <f t="shared" si="4"/>
        <v>13</v>
      </c>
      <c r="N14" s="93" t="str">
        <f t="shared" si="5"/>
        <v xml:space="preserve"> </v>
      </c>
      <c r="O14" s="94" t="str">
        <f>IF(Table62202732333417[[#This Row],[Non-Member]]="X"," ",IF(N14=" "," ",IFERROR(VLOOKUP(M14,Points!$A$2:$B$14,2,FALSE)," ")))</f>
        <v xml:space="preserve"> </v>
      </c>
      <c r="P14" s="92">
        <v>12.532</v>
      </c>
      <c r="Q14" s="93">
        <f t="shared" si="6"/>
        <v>8</v>
      </c>
      <c r="R14" s="93" t="str">
        <f t="shared" si="7"/>
        <v xml:space="preserve"> </v>
      </c>
      <c r="S14" s="94" t="str">
        <f>IF(Table62202732333417[[#This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IF(Table62202732333417[[#This Row],[Non-Member]]="X"," ",IF(AD14=" "," ",IFERROR(VLOOKUP(AC14,Points!$A$2:$B$14,2,FALSE)," ")))</f>
        <v xml:space="preserve"> </v>
      </c>
      <c r="AF14" s="92"/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IF(Table62202732333417[[#This Row],[Non-Member]]="X"," ",IF(AH14=" "," ",IFERROR(VLOOKUP(AG14,Points!$A$2:$B$14,2,FALSE)," ")))</f>
        <v xml:space="preserve"> </v>
      </c>
      <c r="AJ14" s="93">
        <f>IF(Table62202732333417[[#This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6"/>
        <v>6</v>
      </c>
      <c r="AL14" s="96">
        <f t="shared" si="17"/>
        <v>8</v>
      </c>
    </row>
    <row r="15" spans="2:38" x14ac:dyDescent="0.3">
      <c r="B15" s="90" t="s">
        <v>175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IF(Table62202732333417[[#This Row],[Non-Member]]="X"," ",IF(J15=" "," ",IFERROR(VLOOKUP(I15,Points!$A$2:$B$14,2,FALSE)," ")))</f>
        <v xml:space="preserve"> </v>
      </c>
      <c r="L15" s="135">
        <v>13.266</v>
      </c>
      <c r="M15" s="93">
        <f t="shared" si="4"/>
        <v>6</v>
      </c>
      <c r="N15" s="93">
        <f t="shared" si="5"/>
        <v>6</v>
      </c>
      <c r="O15" s="94">
        <f>IF(Table62202732333417[[#This Row],[Non-Member]]="X"," ",IF(N15=" "," ",IFERROR(VLOOKUP(M15,Points!$A$2:$B$14,2,FALSE)," ")))</f>
        <v>3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IF(Table62202732333417[[#This Row],[Non-Member]]="X"," ",IF(AD15=" "," ",IFERROR(VLOOKUP(AC15,Points!$A$2:$B$14,2,FALSE)," ")))</f>
        <v xml:space="preserve"> </v>
      </c>
      <c r="AF15" s="92"/>
      <c r="AG15" s="93" t="str">
        <f t="shared" si="14"/>
        <v xml:space="preserve"> </v>
      </c>
      <c r="AH15" s="93" t="str">
        <f t="shared" si="15"/>
        <v xml:space="preserve"> </v>
      </c>
      <c r="AI15" s="94" t="str">
        <f>IF(Table62202732333417[[#This Row],[Non-Member]]="X"," ",IF(AH15=" "," ",IFERROR(VLOOKUP(AG15,Points!$A$2:$B$14,2,FALSE)," ")))</f>
        <v xml:space="preserve"> </v>
      </c>
      <c r="AJ15" s="93">
        <f>IF(Table62202732333417[[#This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6"/>
        <v>3</v>
      </c>
      <c r="AL15" s="96">
        <f t="shared" si="17"/>
        <v>11</v>
      </c>
    </row>
    <row r="16" spans="2:38" x14ac:dyDescent="0.3">
      <c r="B16" s="90" t="s">
        <v>266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IF(Table62202732333417[[#This Row],[Non-Member]]="X"," ",IF(F16=" "," ",IFERROR(VLOOKUP(E16,Points!$A$2:$B$14,2,FALSE)," ")))</f>
        <v xml:space="preserve"> </v>
      </c>
      <c r="H16" s="92">
        <v>22.521000000000001</v>
      </c>
      <c r="I16" s="93">
        <f t="shared" si="2"/>
        <v>8</v>
      </c>
      <c r="J16" s="93" t="str">
        <f t="shared" si="3"/>
        <v xml:space="preserve"> </v>
      </c>
      <c r="K16" s="94" t="str">
        <f>IF(Table62202732333417[[#This Row],[Non-Member]]="X"," ",IF(J16=" "," ",IFERROR(VLOOKUP(I16,Points!$A$2:$B$14,2,FALSE)," ")))</f>
        <v xml:space="preserve"> </v>
      </c>
      <c r="L16" s="135">
        <v>15.522</v>
      </c>
      <c r="M16" s="93">
        <f t="shared" si="4"/>
        <v>10</v>
      </c>
      <c r="N16" s="93" t="str">
        <f t="shared" si="5"/>
        <v xml:space="preserve"> </v>
      </c>
      <c r="O16" s="94" t="str">
        <f>IF(Table62202732333417[[#This Row],[Non-Member]]="X"," ",IF(N16=" "," ",IFERROR(VLOOKUP(M16,Points!$A$2:$B$14,2,FALSE)," ")))</f>
        <v xml:space="preserve"> </v>
      </c>
      <c r="P16" s="92">
        <v>12.766999999999999</v>
      </c>
      <c r="Q16" s="93">
        <f t="shared" si="6"/>
        <v>9</v>
      </c>
      <c r="R16" s="93" t="str">
        <f t="shared" si="7"/>
        <v xml:space="preserve"> </v>
      </c>
      <c r="S16" s="94" t="str">
        <f>IF(Table62202732333417[[#This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IF(Table62202732333417[[#This Row],[Non-Member]]="X"," ",IF(AD16=" "," ",IFERROR(VLOOKUP(AC16,Points!$A$2:$B$14,2,FALSE)," ")))</f>
        <v xml:space="preserve"> </v>
      </c>
      <c r="AF16" s="92"/>
      <c r="AG16" s="93" t="str">
        <f t="shared" si="14"/>
        <v xml:space="preserve"> </v>
      </c>
      <c r="AH16" s="93" t="str">
        <f t="shared" si="15"/>
        <v xml:space="preserve"> </v>
      </c>
      <c r="AI16" s="94" t="str">
        <f>IF(Table62202732333417[[#This Row],[Non-Member]]="X"," ",IF(AH16=" "," ",IFERROR(VLOOKUP(AG16,Points!$A$2:$B$14,2,FALSE)," ")))</f>
        <v xml:space="preserve"> </v>
      </c>
      <c r="AJ16" s="93">
        <f>IF(Table62202732333417[[#This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 t="s">
        <v>262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IF(Table62202732333417[[#This Row],[Non-Member]]="X"," ",IF(J17=" "," ",IFERROR(VLOOKUP(I17,Points!$A$2:$B$14,2,FALSE)," ")))</f>
        <v xml:space="preserve"> </v>
      </c>
      <c r="L17" s="135">
        <v>13.952999999999999</v>
      </c>
      <c r="M17" s="93">
        <f t="shared" si="4"/>
        <v>7</v>
      </c>
      <c r="N17" s="93" t="str">
        <f t="shared" si="5"/>
        <v xml:space="preserve"> </v>
      </c>
      <c r="O17" s="94" t="str">
        <f>IF(Table62202732333417[[#This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IF(Table62202732333417[[#This Row],[Non-Member]]="X"," ",IF(AD17=" "," ",IFERROR(VLOOKUP(AC17,Points!$A$2:$B$14,2,FALSE)," ")))</f>
        <v xml:space="preserve"> </v>
      </c>
      <c r="AF17" s="160"/>
      <c r="AG17" s="93">
        <v>6</v>
      </c>
      <c r="AH17" s="93" t="str">
        <f t="shared" si="15"/>
        <v xml:space="preserve"> </v>
      </c>
      <c r="AI17" s="94" t="str">
        <f>IF(Table62202732333417[[#This Row],[Non-Member]]="X"," ",IF(AH17=" "," ",IFERROR(VLOOKUP(AG17,Points!$A$2:$B$14,2,FALSE)," ")))</f>
        <v xml:space="preserve"> </v>
      </c>
      <c r="AJ17" s="93">
        <f>IF(Table62202732333417[[#This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136</v>
      </c>
      <c r="C18" s="91" t="s">
        <v>214</v>
      </c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IF(Table62202732333417[[#This Row],[Non-Member]]="X"," ",IF(F18=" "," ",IFERROR(VLOOKUP(E18,Points!$A$2:$B$14,2,FALSE)," ")))</f>
        <v xml:space="preserve"> </v>
      </c>
      <c r="H18" s="92">
        <v>15.083</v>
      </c>
      <c r="I18" s="97">
        <f t="shared" si="2"/>
        <v>7</v>
      </c>
      <c r="J18" s="97" t="str">
        <f t="shared" si="3"/>
        <v xml:space="preserve"> </v>
      </c>
      <c r="K18" s="94" t="str">
        <f>IF(Table62202732333417[[#This Row],[Non-Member]]="X"," ",IF(J18=" "," ",IFERROR(VLOOKUP(I18,Points!$A$2:$B$14,2,FALSE)," ")))</f>
        <v xml:space="preserve"> </v>
      </c>
      <c r="L18" s="135">
        <v>14.058999999999999</v>
      </c>
      <c r="M18" s="97">
        <f t="shared" si="4"/>
        <v>8</v>
      </c>
      <c r="N18" s="97" t="str">
        <f t="shared" si="5"/>
        <v xml:space="preserve"> </v>
      </c>
      <c r="O18" s="94" t="str">
        <f>IF(Table62202732333417[[#This Row],[Non-Member]]="X"," ",IF(N18=" "," ",IFERROR(VLOOKUP(M18,Points!$A$2:$B$14,2,FALSE)," ")))</f>
        <v xml:space="preserve"> </v>
      </c>
      <c r="P18" s="92">
        <v>0</v>
      </c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IF(Table62202732333417[[#This Row],[Non-Member]]="X"," ",IF(AD18=" "," ",IFERROR(VLOOKUP(AC18,Points!$A$2:$B$14,2,FALSE)," ")))</f>
        <v xml:space="preserve"> </v>
      </c>
      <c r="AF18" s="92"/>
      <c r="AG18" s="97" t="str">
        <f t="shared" ref="AG18:AG24" si="18">IF(OR(AF18=0,AF18=" ")," ",_xlfn.RANK.AVG(AF18,AF$5:AF$24,1)-COUNTIF(AF$5:AF$24,0))</f>
        <v xml:space="preserve"> </v>
      </c>
      <c r="AH18" s="97" t="str">
        <f t="shared" si="15"/>
        <v xml:space="preserve"> </v>
      </c>
      <c r="AI18" s="94" t="str">
        <f>IF(Table62202732333417[[#This Row],[Non-Member]]="X"," ",IF(AH18=" "," ",IFERROR(VLOOKUP(AG18,Points!$A$2:$B$14,2,FALSE)," ")))</f>
        <v xml:space="preserve"> </v>
      </c>
      <c r="AJ18" s="97">
        <f>IF(Table62202732333417[[#This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8" t="str">
        <f t="shared" si="17"/>
        <v xml:space="preserve"> </v>
      </c>
    </row>
    <row r="19" spans="2:38" x14ac:dyDescent="0.3">
      <c r="B19" s="90" t="s">
        <v>264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IF(Table62202732333417[[#This Row],[Non-Member]]="X"," ",IF(J19=" "," ",IFERROR(VLOOKUP(I19,Points!$A$2:$B$14,2,FALSE)," ")))</f>
        <v xml:space="preserve"> </v>
      </c>
      <c r="L19" s="135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IF(Table62202732333417[[#This Row],[Non-Member]]="X"," ",IF(AD19=" "," ",IFERROR(VLOOKUP(AC19,Points!$A$2:$B$14,2,FALSE)," ")))</f>
        <v xml:space="preserve"> </v>
      </c>
      <c r="AF19" s="92"/>
      <c r="AG19" s="93" t="str">
        <f t="shared" si="18"/>
        <v xml:space="preserve"> </v>
      </c>
      <c r="AH19" s="93" t="str">
        <f t="shared" si="15"/>
        <v xml:space="preserve"> </v>
      </c>
      <c r="AI19" s="94" t="str">
        <f>IF(Table62202732333417[[#This Row],[Non-Member]]="X"," ",IF(AH19=" "," ",IFERROR(VLOOKUP(AG19,Points!$A$2:$B$14,2,FALSE)," ")))</f>
        <v xml:space="preserve"> </v>
      </c>
      <c r="AJ19" s="93">
        <f>IF(Table62202732333417[[#This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 t="s">
        <v>73</v>
      </c>
      <c r="C20" s="91" t="s">
        <v>214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IF(Table62202732333417[[#This Row],[Non-Member]]="X"," ",IF(F20=" "," ",IFERROR(VLOOKUP(E20,Points!$A$2:$B$14,2,FALSE)," ")))</f>
        <v xml:space="preserve"> </v>
      </c>
      <c r="H20" s="92">
        <v>24.7</v>
      </c>
      <c r="I20" s="93">
        <f t="shared" si="2"/>
        <v>9</v>
      </c>
      <c r="J20" s="93" t="str">
        <f t="shared" si="3"/>
        <v xml:space="preserve"> </v>
      </c>
      <c r="K20" s="94" t="str">
        <f>IF(Table62202732333417[[#This Row],[Non-Member]]="X"," ",IF(J20=" "," ",IFERROR(VLOOKUP(I20,Points!$A$2:$B$14,2,FALSE)," ")))</f>
        <v xml:space="preserve"> </v>
      </c>
      <c r="L20" s="135">
        <v>30.177</v>
      </c>
      <c r="M20" s="93">
        <f t="shared" si="4"/>
        <v>14</v>
      </c>
      <c r="N20" s="93" t="str">
        <f t="shared" si="5"/>
        <v xml:space="preserve"> </v>
      </c>
      <c r="O20" s="94" t="str">
        <f>IF(Table62202732333417[[#This Row],[Non-Member]]="X"," ",IF(N20=" "," ",IFERROR(VLOOKUP(M20,Points!$A$2:$B$14,2,FALSE)," ")))</f>
        <v xml:space="preserve"> </v>
      </c>
      <c r="P20" s="92">
        <v>26.491</v>
      </c>
      <c r="Q20" s="93">
        <f t="shared" si="6"/>
        <v>10</v>
      </c>
      <c r="R20" s="93" t="str">
        <f t="shared" si="7"/>
        <v xml:space="preserve"> </v>
      </c>
      <c r="S20" s="94" t="str">
        <f>IF(Table62202732333417[[#This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IF(Table62202732333417[[#This Row],[Non-Member]]="X"," ",IF(AD20=" "," ",IFERROR(VLOOKUP(AC20,Points!$A$2:$B$14,2,FALSE)," ")))</f>
        <v xml:space="preserve"> </v>
      </c>
      <c r="AF20" s="92"/>
      <c r="AG20" s="93" t="str">
        <f t="shared" si="18"/>
        <v xml:space="preserve"> </v>
      </c>
      <c r="AH20" s="93" t="str">
        <f t="shared" si="15"/>
        <v xml:space="preserve"> </v>
      </c>
      <c r="AI20" s="94" t="str">
        <f>IF(Table62202732333417[[#This Row],[Non-Member]]="X"," ",IF(AH20=" "," ",IFERROR(VLOOKUP(AG20,Points!$A$2:$B$14,2,FALSE)," ")))</f>
        <v xml:space="preserve"> </v>
      </c>
      <c r="AJ20" s="93">
        <f>IF(Table62202732333417[[#This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 t="shared" si="18"/>
        <v xml:space="preserve"> </v>
      </c>
      <c r="AH21" s="93" t="str">
        <f t="shared" si="15"/>
        <v xml:space="preserve"> </v>
      </c>
      <c r="AI21" s="94" t="str">
        <f>IF(Table62202732333417[[#This Row],[Non-Member]]="X"," ",IF(AH21=" "," ",IFERROR(VLOOKUP(AG21,Points!$A$2:$B$14,2,FALSE)," ")))</f>
        <v xml:space="preserve"> </v>
      </c>
      <c r="AJ21" s="93">
        <f>IF(Table62202732333417[[#This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IF(Table62202732333417[[#This Row],[Non-Member]]="X"," ",IF(AH22=" "," ",IFERROR(VLOOKUP(AG22,Points!$A$2:$B$14,2,FALSE)," ")))</f>
        <v xml:space="preserve"> </v>
      </c>
      <c r="AJ22" s="93">
        <f>IF(Table62202732333417[[#This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IF(Table62202732333417[[#This Row],[Non-Member]]="X"," ",IF(AH23=" "," ",IFERROR(VLOOKUP(AG23,Points!$A$2:$B$14,2,FALSE)," ")))</f>
        <v xml:space="preserve"> </v>
      </c>
      <c r="AJ23" s="93">
        <f>IF(Table62202732333417[[#This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8"/>
        <v xml:space="preserve"> </v>
      </c>
      <c r="AH24" s="103" t="str">
        <f t="shared" si="15"/>
        <v xml:space="preserve"> </v>
      </c>
      <c r="AI24" s="104" t="str">
        <f>IF(Table62202732333417[[#This Row],[Non-Member]]="X"," ",IF(AH24=" "," ",IFERROR(VLOOKUP(AG24,Points!$A$2:$B$14,2,FALSE)," ")))</f>
        <v xml:space="preserve"> </v>
      </c>
      <c r="AJ24" s="93">
        <f>IF(Table62202732333417[[#This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h3G8+nf4xTASZXA0VZBX6PaEvlXxmgCYdkihQqEjNrznVzn7soAOav/vscJDIu1khbPf23rwmHgOGBzGligLbg==" saltValue="9oFY51Ji5deR9+FHFX89G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9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105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71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IF(Table6220273233341718[[#This Row],[Non-Member]]="X"," ",IF(F5=" "," ",IFERROR(VLOOKUP(E5,Points!$A$2:$B$14,2,FALSE)," ")))</f>
        <v xml:space="preserve"> </v>
      </c>
      <c r="H5" s="85">
        <v>3.93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IF(Table6220273233341718[[#This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IF(Table6220273233341718[[#This Row],[Non-Member]]="X"," ",IF(N5=" "," ",IFERROR(VLOOKUP(M5,Points!$A$2:$B$14,2,FALSE)," ")))</f>
        <v xml:space="preserve"> </v>
      </c>
      <c r="P5" s="85">
        <v>6.02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IF(Table6220273233341718[[#This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IF(Table6220273233341718[[#This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IF(Table6220273233341718[[#This Row],[Non-Member]]="X"," ",IF(AD5=" "," ",IFERROR(VLOOKUP(AC5,Points!$A$2:$B$14,2,FALSE)," ")))</f>
        <v xml:space="preserve"> </v>
      </c>
      <c r="AF5" s="85"/>
      <c r="AG5" s="86" t="str">
        <f t="shared" ref="AG5:AG16" si="14">IF(OR(AF5=0,AF5=" ")," ",_xlfn.RANK.AVG(AF5,AF$5:AF$24,1)-COUNTIF(AF$5:AF$24,0))</f>
        <v xml:space="preserve"> </v>
      </c>
      <c r="AH5" s="86" t="str">
        <f t="shared" ref="AH5:AH16" si="15">IF(OR(AF5=0,AF5=" ")," ",IF((RANK(AF5,AF$5:AF$24,1)-COUNTIF(AF$5:AF$24,0)&gt;6)," ",RANK(AF5,AF$5:AF$24,1)-COUNTIF(AF$5:AF$24,0)))</f>
        <v xml:space="preserve"> </v>
      </c>
      <c r="AI5" s="87" t="str">
        <f>IF(Table6220273233341718[[#This Row],[Non-Member]]="X"," ",IF(AH5=" "," ",IFERROR(VLOOKUP(AG5,Points!$A$2:$B$14,2,FALSE)," ")))</f>
        <v xml:space="preserve"> </v>
      </c>
      <c r="AJ5" s="86">
        <f>IF(Table6220273233341718[[#This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6">IF(AJ5=0," ",AJ5)</f>
        <v>36</v>
      </c>
      <c r="AL5" s="89">
        <f t="shared" ref="AL5:AL24" si="17">IF(AK5=" "," ",RANK(AK5,$AK$5:$AK$24))</f>
        <v>1</v>
      </c>
    </row>
    <row r="6" spans="2:38" x14ac:dyDescent="0.3">
      <c r="B6" s="90" t="s">
        <v>69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IF(Table6220273233341718[[#This Row],[Non-Member]]="X"," ",IF(F6=" "," ",IFERROR(VLOOKUP(E6,Points!$A$2:$B$14,2,FALSE)," ")))</f>
        <v xml:space="preserve"> </v>
      </c>
      <c r="H6" s="92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IF(Table6220273233341718[[#This Row],[Non-Member]]="X"," ",IF(J6=" "," ",IFERROR(VLOOKUP(I6,Points!$A$2:$B$14,2,FALSE)," ")))</f>
        <v xml:space="preserve"> </v>
      </c>
      <c r="L6" s="92">
        <v>6.18</v>
      </c>
      <c r="M6" s="93">
        <f t="shared" si="4"/>
        <v>2</v>
      </c>
      <c r="N6" s="93">
        <f t="shared" si="5"/>
        <v>2</v>
      </c>
      <c r="O6" s="94">
        <f>IF(Table6220273233341718[[#This Row],[Non-Member]]="X"," ",IF(N6=" "," ",IFERROR(VLOOKUP(M6,Points!$A$2:$B$14,2,FALSE)," ")))</f>
        <v>15</v>
      </c>
      <c r="P6" s="92">
        <v>16.34</v>
      </c>
      <c r="Q6" s="93">
        <f t="shared" si="6"/>
        <v>4</v>
      </c>
      <c r="R6" s="93">
        <f t="shared" si="7"/>
        <v>4</v>
      </c>
      <c r="S6" s="94">
        <f>IF(Table6220273233341718[[#This Row],[Non-Member]]="X"," ",IF(R6=" "," ",IFERROR(VLOOKUP(Q6,Points!$A$2:$B$14,2,FALSE)," ")))</f>
        <v>9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IF(Table6220273233341718[[#This Row],[Non-Member]]="X"," ",IF(AH6=" "," ",IFERROR(VLOOKUP(AG6,Points!$A$2:$B$14,2,FALSE)," ")))</f>
        <v xml:space="preserve"> </v>
      </c>
      <c r="AJ6" s="93">
        <f>IF(Table6220273233341718[[#This Row],[Non-Member]]="X"," ",((IF(G6=" ",0,G6))+(IF(K6=" ",0,K6))+(IF(O6=" ",0,O6))+(IF(S6=" ",0,S6))+(IF(W6=" ",0,W6))+(IF(AA6=" ",0,AA6))+(IF(AE6=" ",0,AE6))+(IF(AI6=" ",0,AI6))))</f>
        <v>24</v>
      </c>
      <c r="AK6" s="95">
        <f t="shared" si="16"/>
        <v>24</v>
      </c>
      <c r="AL6" s="96">
        <f t="shared" si="17"/>
        <v>2</v>
      </c>
    </row>
    <row r="7" spans="2:38" x14ac:dyDescent="0.3">
      <c r="B7" s="90" t="s">
        <v>136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IF(Table6220273233341718[[#This Row],[Non-Member]]="X"," ",IF(F7=" "," ",IFERROR(VLOOKUP(E7,Points!$A$2:$B$14,2,FALSE)," ")))</f>
        <v xml:space="preserve"> </v>
      </c>
      <c r="H7" s="92">
        <v>5.32</v>
      </c>
      <c r="I7" s="93">
        <f t="shared" si="2"/>
        <v>3</v>
      </c>
      <c r="J7" s="93">
        <f t="shared" si="3"/>
        <v>3</v>
      </c>
      <c r="K7" s="94">
        <f>IF(Table6220273233341718[[#This Row],[Non-Member]]="X"," ",IF(J7=" "," ",IFERROR(VLOOKUP(I7,Points!$A$2:$B$14,2,FALSE)," ")))</f>
        <v>12</v>
      </c>
      <c r="L7" s="92">
        <v>6.37</v>
      </c>
      <c r="M7" s="93">
        <f t="shared" si="4"/>
        <v>3</v>
      </c>
      <c r="N7" s="93">
        <f t="shared" si="5"/>
        <v>3</v>
      </c>
      <c r="O7" s="94">
        <f>IF(Table6220273233341718[[#This Row],[Non-Member]]="X"," ",IF(N7=" "," ",IFERROR(VLOOKUP(M7,Points!$A$2:$B$14,2,FALSE)," ")))</f>
        <v>12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IF(Table6220273233341718[[#This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IF(Table6220273233341718[[#This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IF(Table6220273233341718[[#This Row],[Non-Member]]="X"," ",IF(AD7=" "," ",IFERROR(VLOOKUP(AC7,Points!$A$2:$B$14,2,FALSE)," ")))</f>
        <v xml:space="preserve"> </v>
      </c>
      <c r="AF7" s="92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IF(Table6220273233341718[[#This Row],[Non-Member]]="X"," ",IF(AH7=" "," ",IFERROR(VLOOKUP(AG7,Points!$A$2:$B$14,2,FALSE)," ")))</f>
        <v xml:space="preserve"> </v>
      </c>
      <c r="AJ7" s="93">
        <f>IF(Table6220273233341718[[#This Row],[Non-Member]]="X"," ",((IF(G7=" ",0,G7))+(IF(K7=" ",0,K7))+(IF(O7=" ",0,O7))+(IF(S7=" ",0,S7))+(IF(W7=" ",0,W7))+(IF(AA7=" ",0,AA7))+(IF(AE7=" ",0,AE7))+(IF(AI7=" ",0,AI7))))</f>
        <v>24</v>
      </c>
      <c r="AK7" s="95">
        <f t="shared" si="16"/>
        <v>24</v>
      </c>
      <c r="AL7" s="96">
        <f t="shared" si="17"/>
        <v>2</v>
      </c>
    </row>
    <row r="8" spans="2:38" x14ac:dyDescent="0.3">
      <c r="B8" s="90" t="s">
        <v>68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IF(Table6220273233341718[[#This Row],[Non-Member]]="X"," ",IF(F8=" "," ",IFERROR(VLOOKUP(E8,Points!$A$2:$B$14,2,FALSE)," ")))</f>
        <v xml:space="preserve"> </v>
      </c>
      <c r="H8" s="92">
        <v>13.82</v>
      </c>
      <c r="I8" s="93">
        <f t="shared" si="2"/>
        <v>6</v>
      </c>
      <c r="J8" s="93">
        <f t="shared" si="3"/>
        <v>6</v>
      </c>
      <c r="K8" s="94">
        <f>IF(Table6220273233341718[[#This Row],[Non-Member]]="X"," ",IF(J8=" "," ",IFERROR(VLOOKUP(I8,Points!$A$2:$B$14,2,FALSE)," ")))</f>
        <v>3</v>
      </c>
      <c r="L8" s="92">
        <v>4.26</v>
      </c>
      <c r="M8" s="93">
        <f t="shared" si="4"/>
        <v>1</v>
      </c>
      <c r="N8" s="93">
        <f t="shared" si="5"/>
        <v>1</v>
      </c>
      <c r="O8" s="94">
        <f>IF(Table6220273233341718[[#This Row],[Non-Member]]="X"," ",IF(N8=" "," ",IFERROR(VLOOKUP(M8,Points!$A$2:$B$14,2,FALSE)," ")))</f>
        <v>18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IF(Table6220273233341718[[#This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IF(Table6220273233341718[[#This Row],[Non-Member]]="X"," ",IF(AH8=" "," ",IFERROR(VLOOKUP(AG8,Points!$A$2:$B$14,2,FALSE)," ")))</f>
        <v xml:space="preserve"> </v>
      </c>
      <c r="AJ8" s="93">
        <f>IF(Table6220273233341718[[#This Row],[Non-Member]]="X"," ",((IF(G8=" ",0,G8))+(IF(K8=" ",0,K8))+(IF(O8=" ",0,O8))+(IF(S8=" ",0,S8))+(IF(W8=" ",0,W8))+(IF(AA8=" ",0,AA8))+(IF(AE8=" ",0,AE8))+(IF(AI8=" ",0,AI8))))</f>
        <v>21</v>
      </c>
      <c r="AK8" s="95">
        <f t="shared" si="16"/>
        <v>21</v>
      </c>
      <c r="AL8" s="96">
        <f t="shared" si="17"/>
        <v>4</v>
      </c>
    </row>
    <row r="9" spans="2:38" x14ac:dyDescent="0.3">
      <c r="B9" s="90" t="s">
        <v>195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IF(Table6220273233341718[[#This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IF(Table6220273233341718[[#This Row],[Non-Member]]="X"," ",IF(J9=" "," ",IFERROR(VLOOKUP(I9,Points!$A$2:$B$14,2,FALSE)," ")))</f>
        <v xml:space="preserve"> </v>
      </c>
      <c r="L9" s="92">
        <v>16.72</v>
      </c>
      <c r="M9" s="93">
        <f t="shared" si="4"/>
        <v>4</v>
      </c>
      <c r="N9" s="93">
        <f t="shared" si="5"/>
        <v>4</v>
      </c>
      <c r="O9" s="94">
        <f>IF(Table6220273233341718[[#This Row],[Non-Member]]="X"," ",IF(N9=" "," ",IFERROR(VLOOKUP(M9,Points!$A$2:$B$14,2,FALSE)," ")))</f>
        <v>9</v>
      </c>
      <c r="P9" s="92">
        <v>6.84</v>
      </c>
      <c r="Q9" s="93">
        <f t="shared" si="6"/>
        <v>3</v>
      </c>
      <c r="R9" s="93">
        <f t="shared" si="7"/>
        <v>3</v>
      </c>
      <c r="S9" s="94">
        <f>IF(Table6220273233341718[[#This Row],[Non-Member]]="X"," ",IF(R9=" "," ",IFERROR(VLOOKUP(Q9,Points!$A$2:$B$14,2,FALSE)," ")))</f>
        <v>12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IF(Table6220273233341718[[#This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IF(Table6220273233341718[[#This Row],[Non-Member]]="X"," ",IF(AH9=" "," ",IFERROR(VLOOKUP(AG9,Points!$A$2:$B$14,2,FALSE)," ")))</f>
        <v xml:space="preserve"> </v>
      </c>
      <c r="AJ9" s="93">
        <f>IF(Table6220273233341718[[#This Row],[Non-Member]]="X"," ",((IF(G9=" ",0,G9))+(IF(K9=" ",0,K9))+(IF(O9=" ",0,O9))+(IF(S9=" ",0,S9))+(IF(W9=" ",0,W9))+(IF(AA9=" ",0,AA9))+(IF(AE9=" ",0,AE9))+(IF(AI9=" ",0,AI9))))</f>
        <v>21</v>
      </c>
      <c r="AK9" s="95">
        <f t="shared" si="16"/>
        <v>21</v>
      </c>
      <c r="AL9" s="96">
        <f t="shared" si="17"/>
        <v>4</v>
      </c>
    </row>
    <row r="10" spans="2:38" x14ac:dyDescent="0.3">
      <c r="B10" s="90" t="s">
        <v>316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IF(Table6220273233341718[[#This Row],[Non-Member]]="X"," ",IF(N10=" "," ",IFERROR(VLOOKUP(M10,Points!$A$2:$B$14,2,FALSE)," ")))</f>
        <v xml:space="preserve"> </v>
      </c>
      <c r="P10" s="92">
        <v>6.19</v>
      </c>
      <c r="Q10" s="93">
        <f t="shared" si="6"/>
        <v>2</v>
      </c>
      <c r="R10" s="93">
        <f t="shared" si="7"/>
        <v>2</v>
      </c>
      <c r="S10" s="94">
        <f>IF(Table6220273233341718[[#This Row],[Non-Member]]="X"," ",IF(R10=" "," ",IFERROR(VLOOKUP(Q10,Points!$A$2:$B$14,2,FALSE)," ")))</f>
        <v>15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IF(Table6220273233341718[[#This Row],[Non-Member]]="X"," ",IF(AH10=" "," ",IFERROR(VLOOKUP(AG10,Points!$A$2:$B$14,2,FALSE)," ")))</f>
        <v xml:space="preserve"> </v>
      </c>
      <c r="AJ10" s="93">
        <f>IF(Table6220273233341718[[#This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6"/>
        <v>15</v>
      </c>
      <c r="AL10" s="96">
        <f t="shared" si="17"/>
        <v>6</v>
      </c>
    </row>
    <row r="11" spans="2:38" x14ac:dyDescent="0.3">
      <c r="B11" s="90" t="s">
        <v>129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IF(Table6220273233341718[[#This Row],[Non-Member]]="X"," ",IF(F11=" "," ",IFERROR(VLOOKUP(E11,Points!$A$2:$B$14,2,FALSE)," ")))</f>
        <v xml:space="preserve"> </v>
      </c>
      <c r="H11" s="92">
        <v>4.2</v>
      </c>
      <c r="I11" s="93">
        <f t="shared" si="2"/>
        <v>2</v>
      </c>
      <c r="J11" s="93">
        <f t="shared" si="3"/>
        <v>2</v>
      </c>
      <c r="K11" s="94">
        <f>IF(Table6220273233341718[[#This Row],[Non-Member]]="X"," ",IF(J11=" "," ",IFERROR(VLOOKUP(I11,Points!$A$2:$B$14,2,FALSE)," ")))</f>
        <v>15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IF(Table6220273233341718[[#This Row],[Non-Member]]="X"," ",IF(AH11=" "," ",IFERROR(VLOOKUP(AG11,Points!$A$2:$B$14,2,FALSE)," ")))</f>
        <v xml:space="preserve"> </v>
      </c>
      <c r="AJ11" s="93">
        <f>IF(Table6220273233341718[[#This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6"/>
        <v>15</v>
      </c>
      <c r="AL11" s="96">
        <f t="shared" si="17"/>
        <v>6</v>
      </c>
    </row>
    <row r="12" spans="2:38" x14ac:dyDescent="0.3">
      <c r="B12" s="90" t="s">
        <v>130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IF(Table6220273233341718[[#This Row],[Non-Member]]="X"," ",IF(F12=" "," ",IFERROR(VLOOKUP(E12,Points!$A$2:$B$14,2,FALSE)," ")))</f>
        <v xml:space="preserve"> </v>
      </c>
      <c r="H12" s="92">
        <v>5.63</v>
      </c>
      <c r="I12" s="97">
        <f t="shared" si="2"/>
        <v>4</v>
      </c>
      <c r="J12" s="97">
        <f t="shared" si="3"/>
        <v>4</v>
      </c>
      <c r="K12" s="94">
        <f>IF(Table6220273233341718[[#This Row],[Non-Member]]="X"," ",IF(J12=" "," ",IFERROR(VLOOKUP(I12,Points!$A$2:$B$14,2,FALSE)," ")))</f>
        <v>9</v>
      </c>
      <c r="L12" s="92">
        <v>0</v>
      </c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IF(Table6220273233341718[[#This Row],[Non-Member]]="X"," ",IF(N12=" "," ",IFERROR(VLOOKUP(M12,Points!$A$2:$B$14,2,FALSE)," ")))</f>
        <v xml:space="preserve"> </v>
      </c>
      <c r="P12" s="92">
        <v>0</v>
      </c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IF(Table6220273233341718[[#This Row],[Non-Member]]="X"," ",IF(R12=" "," ",IFERROR(VLOOKUP(Q12,Points!$A$2:$B$14,2,FALSE)," ")))</f>
        <v xml:space="preserve"> 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IF(Table6220273233341718[[#This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IF(Table6220273233341718[[#This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IF(Table6220273233341718[[#This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7" t="str">
        <f t="shared" si="14"/>
        <v xml:space="preserve"> </v>
      </c>
      <c r="AH12" s="97" t="str">
        <f t="shared" si="15"/>
        <v xml:space="preserve"> </v>
      </c>
      <c r="AI12" s="94" t="str">
        <f>IF(Table6220273233341718[[#This Row],[Non-Member]]="X"," ",IF(AH12=" "," ",IFERROR(VLOOKUP(AG12,Points!$A$2:$B$14,2,FALSE)," ")))</f>
        <v xml:space="preserve"> </v>
      </c>
      <c r="AJ12" s="97">
        <f>IF(Table6220273233341718[[#This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6"/>
        <v>9</v>
      </c>
      <c r="AL12" s="98">
        <f t="shared" si="17"/>
        <v>8</v>
      </c>
    </row>
    <row r="13" spans="2:38" x14ac:dyDescent="0.3">
      <c r="B13" s="90" t="s">
        <v>135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IF(Table6220273233341718[[#This Row],[Non-Member]]="X"," ",IF(F13=" "," ",IFERROR(VLOOKUP(E13,Points!$A$2:$B$14,2,FALSE)," ")))</f>
        <v xml:space="preserve"> </v>
      </c>
      <c r="H13" s="92">
        <v>6.46</v>
      </c>
      <c r="I13" s="93">
        <f t="shared" si="2"/>
        <v>5</v>
      </c>
      <c r="J13" s="93">
        <f t="shared" si="3"/>
        <v>5</v>
      </c>
      <c r="K13" s="94">
        <f>IF(Table6220273233341718[[#This Row],[Non-Member]]="X"," ",IF(J13=" "," ",IFERROR(VLOOKUP(I13,Points!$A$2:$B$14,2,FALSE)," ")))</f>
        <v>6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IF(Table6220273233341718[[#This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IF(Table6220273233341718[[#This Row],[Non-Member]]="X"," ",IF(AD13=" "," ",IFERROR(VLOOKUP(AC13,Points!$A$2:$B$14,2,FALSE)," ")))</f>
        <v xml:space="preserve"> </v>
      </c>
      <c r="AF13" s="92"/>
      <c r="AG13" s="93" t="str">
        <f t="shared" si="14"/>
        <v xml:space="preserve"> </v>
      </c>
      <c r="AH13" s="93" t="str">
        <f t="shared" si="15"/>
        <v xml:space="preserve"> </v>
      </c>
      <c r="AI13" s="94" t="str">
        <f>IF(Table6220273233341718[[#This Row],[Non-Member]]="X"," ",IF(AH13=" "," ",IFERROR(VLOOKUP(AG13,Points!$A$2:$B$14,2,FALSE)," ")))</f>
        <v xml:space="preserve"> </v>
      </c>
      <c r="AJ13" s="93">
        <f>IF(Table6220273233341718[[#This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6"/>
        <v>6</v>
      </c>
      <c r="AL13" s="96">
        <f t="shared" si="17"/>
        <v>9</v>
      </c>
    </row>
    <row r="14" spans="2:38" x14ac:dyDescent="0.3">
      <c r="B14" s="90" t="s">
        <v>315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IF(Table6220273233341718[[#This Row],[Non-Member]]="X"," ",IF(J14=" "," ",IFERROR(VLOOKUP(I14,Points!$A$2:$B$14,2,FALSE)," ")))</f>
        <v xml:space="preserve"> </v>
      </c>
      <c r="L14" s="92">
        <v>18.04</v>
      </c>
      <c r="M14" s="93">
        <f t="shared" si="4"/>
        <v>5</v>
      </c>
      <c r="N14" s="93">
        <f t="shared" si="5"/>
        <v>5</v>
      </c>
      <c r="O14" s="94">
        <f>IF(Table6220273233341718[[#This Row],[Non-Member]]="X"," ",IF(N14=" "," ",IFERROR(VLOOKUP(M14,Points!$A$2:$B$14,2,FALSE)," ")))</f>
        <v>6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IF(Table6220273233341718[[#This Row],[Non-Member]]="X"," ",IF(AH14=" "," ",IFERROR(VLOOKUP(AG14,Points!$A$2:$B$14,2,FALSE)," ")))</f>
        <v xml:space="preserve"> </v>
      </c>
      <c r="AJ14" s="93">
        <f>IF(Table6220273233341718[[#This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6"/>
        <v>6</v>
      </c>
      <c r="AL14" s="96">
        <f t="shared" si="17"/>
        <v>9</v>
      </c>
    </row>
    <row r="15" spans="2:38" x14ac:dyDescent="0.3">
      <c r="B15" s="90" t="s">
        <v>262</v>
      </c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IF(Table6220273233341718[[#This Row],[Non-Member]]="X"," ",IF(F15=" "," ",IFERROR(VLOOKUP(E15,Points!$A$2:$B$14,2,FALSE)," ")))</f>
        <v xml:space="preserve"> </v>
      </c>
      <c r="H15" s="92">
        <v>0</v>
      </c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IF(Table6220273233341718[[#This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IF(Table6220273233341718[[#This Row],[Non-Member]]="X"," ",IF(N15=" "," ",IFERROR(VLOOKUP(M15,Points!$A$2:$B$14,2,FALSE)," ")))</f>
        <v xml:space="preserve"> </v>
      </c>
      <c r="P15" s="92">
        <v>21.74</v>
      </c>
      <c r="Q15" s="97">
        <f t="shared" si="6"/>
        <v>5</v>
      </c>
      <c r="R15" s="97">
        <f t="shared" si="7"/>
        <v>5</v>
      </c>
      <c r="S15" s="94">
        <f>IF(Table6220273233341718[[#This Row],[Non-Member]]="X"," ",IF(R15=" "," ",IFERROR(VLOOKUP(Q15,Points!$A$2:$B$14,2,FALSE)," ")))</f>
        <v>6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IF(Table6220273233341718[[#This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IF(Table6220273233341718[[#This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IF(Table6220273233341718[[#This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7" t="str">
        <f t="shared" si="14"/>
        <v xml:space="preserve"> </v>
      </c>
      <c r="AH15" s="97" t="str">
        <f t="shared" si="15"/>
        <v xml:space="preserve"> </v>
      </c>
      <c r="AI15" s="94" t="str">
        <f>IF(Table6220273233341718[[#This Row],[Non-Member]]="X"," ",IF(AH15=" "," ",IFERROR(VLOOKUP(AG15,Points!$A$2:$B$14,2,FALSE)," ")))</f>
        <v xml:space="preserve"> </v>
      </c>
      <c r="AJ15" s="97">
        <f>IF(Table6220273233341718[[#This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6"/>
        <v>6</v>
      </c>
      <c r="AL15" s="98">
        <f t="shared" si="17"/>
        <v>9</v>
      </c>
    </row>
    <row r="16" spans="2:38" x14ac:dyDescent="0.3">
      <c r="B16" s="90" t="s">
        <v>314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7" t="str">
        <f t="shared" si="14"/>
        <v xml:space="preserve"> </v>
      </c>
      <c r="AH16" s="97" t="str">
        <f t="shared" si="15"/>
        <v xml:space="preserve"> </v>
      </c>
      <c r="AI16" s="94" t="str">
        <f>IF(Table6220273233341718[[#This Row],[Non-Member]]="X"," ",IF(AH16=" "," ",IFERROR(VLOOKUP(AG16,Points!$A$2:$B$14,2,FALSE)," ")))</f>
        <v xml:space="preserve"> </v>
      </c>
      <c r="AJ16" s="97" t="str">
        <f>IF(Table6220273233341718[[#This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6"/>
        <v xml:space="preserve"> </v>
      </c>
      <c r="AL16" s="98" t="str">
        <f t="shared" si="17"/>
        <v xml:space="preserve"> </v>
      </c>
    </row>
    <row r="17" spans="2:38" x14ac:dyDescent="0.3">
      <c r="B17" s="90" t="s">
        <v>175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IF(Table6220273233341718[[#This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IF(Table6220273233341718[[#This Row],[Non-Member]]="X"," ",IF(AD17=" "," ",IFERROR(VLOOKUP(AC17,Points!$A$2:$B$14,2,FALSE)," ")))</f>
        <v xml:space="preserve"> </v>
      </c>
      <c r="AF17" s="92"/>
      <c r="AG17" s="93">
        <v>3</v>
      </c>
      <c r="AH17" s="93"/>
      <c r="AI17" s="94"/>
      <c r="AJ17" s="93">
        <f>IF(Table6220273233341718[[#This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 t="s">
        <v>247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IF(Table6220273233341718[[#This Row],[Non-Member]]="X"," ",IF(AD18=" "," ",IFERROR(VLOOKUP(AC18,Points!$A$2:$B$14,2,FALSE)," ")))</f>
        <v xml:space="preserve"> </v>
      </c>
      <c r="AF18" s="92"/>
      <c r="AG18" s="93">
        <v>2</v>
      </c>
      <c r="AH18" s="93" t="str">
        <f t="shared" ref="AH18:AH24" si="18">IF(OR(AF18=0,AF18=" ")," ",IF((RANK(AF18,AF$5:AF$24,1)-COUNTIF(AF$5:AF$24,0)&gt;6)," ",RANK(AF18,AF$5:AF$24,1)-COUNTIF(AF$5:AF$24,0)))</f>
        <v xml:space="preserve"> </v>
      </c>
      <c r="AI18" s="94" t="str">
        <f>IF(Table6220273233341718[[#This Row],[Non-Member]]="X"," ",IF(AH18=" "," ",IFERROR(VLOOKUP(AG18,Points!$A$2:$B$14,2,FALSE)," ")))</f>
        <v xml:space="preserve"> </v>
      </c>
      <c r="AJ18" s="93" t="str">
        <f>IF(Table6220273233341718[[#This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260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IF(Table6220273233341718[[#This Row],[Non-Member]]="X"," ",IF(AD19=" "," ",IFERROR(VLOOKUP(AC19,Points!$A$2:$B$14,2,FALSE)," ")))</f>
        <v xml:space="preserve"> </v>
      </c>
      <c r="AF19" s="92"/>
      <c r="AG19" s="93">
        <v>1</v>
      </c>
      <c r="AH19" s="93" t="str">
        <f t="shared" si="18"/>
        <v xml:space="preserve"> </v>
      </c>
      <c r="AI19" s="94" t="str">
        <f>IF(Table6220273233341718[[#This Row],[Non-Member]]="X"," ",IF(AH19=" "," ",IFERROR(VLOOKUP(AG19,Points!$A$2:$B$14,2,FALSE)," ")))</f>
        <v xml:space="preserve"> </v>
      </c>
      <c r="AJ19" s="93">
        <f>IF(Table6220273233341718[[#This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 t="s">
        <v>264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IF(Table6220273233341718[[#This Row],[Non-Member]]="X"," ",IF(AD20=" "," ",IFERROR(VLOOKUP(AC20,Points!$A$2:$B$14,2,FALSE)," ")))</f>
        <v xml:space="preserve"> </v>
      </c>
      <c r="AF20" s="92"/>
      <c r="AG20" s="93" t="str">
        <f>IF(OR(AF20=0,AF20=" ")," ",_xlfn.RANK.AVG(AF20,AF$5:AF$24,1)-COUNTIF(AF$5:AF$24,0))</f>
        <v xml:space="preserve"> </v>
      </c>
      <c r="AH20" s="93" t="str">
        <f t="shared" si="18"/>
        <v xml:space="preserve"> </v>
      </c>
      <c r="AI20" s="94" t="str">
        <f>IF(Table6220273233341718[[#This Row],[Non-Member]]="X"," ",IF(AH20=" "," ",IFERROR(VLOOKUP(AG20,Points!$A$2:$B$14,2,FALSE)," ")))</f>
        <v xml:space="preserve"> </v>
      </c>
      <c r="AJ20" s="93">
        <f>IF(Table6220273233341718[[#This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67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IF(Table6220273233341718[[#This Row],[Non-Member]]="X"," ",IF(N21=" "," ",IFERROR(VLOOKUP(M21,Points!$A$2:$B$14,2,FALSE)," ")))</f>
        <v xml:space="preserve"> </v>
      </c>
      <c r="P21" s="92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>IF(OR(AF21=0,AF21=" ")," ",_xlfn.RANK.AVG(AF21,AF$5:AF$24,1)-COUNTIF(AF$5:AF$24,0))</f>
        <v xml:space="preserve"> </v>
      </c>
      <c r="AH21" s="93" t="str">
        <f t="shared" si="18"/>
        <v xml:space="preserve"> </v>
      </c>
      <c r="AI21" s="94" t="str">
        <f>IF(Table6220273233341718[[#This Row],[Non-Member]]="X"," ",IF(AH21=" "," ",IFERROR(VLOOKUP(AG21,Points!$A$2:$B$14,2,FALSE)," ")))</f>
        <v xml:space="preserve"> </v>
      </c>
      <c r="AJ21" s="93">
        <f>IF(Table6220273233341718[[#This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 t="shared" si="18"/>
        <v xml:space="preserve"> </v>
      </c>
      <c r="AI22" s="94" t="str">
        <f>IF(Table6220273233341718[[#This Row],[Non-Member]]="X"," ",IF(AH22=" "," ",IFERROR(VLOOKUP(AG22,Points!$A$2:$B$14,2,FALSE)," ")))</f>
        <v xml:space="preserve"> </v>
      </c>
      <c r="AJ22" s="93">
        <f>IF(Table6220273233341718[[#This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 t="shared" si="18"/>
        <v xml:space="preserve"> </v>
      </c>
      <c r="AI23" s="94" t="str">
        <f>IF(Table6220273233341718[[#This Row],[Non-Member]]="X"," ",IF(AH23=" "," ",IFERROR(VLOOKUP(AG23,Points!$A$2:$B$14,2,FALSE)," ")))</f>
        <v xml:space="preserve"> </v>
      </c>
      <c r="AJ23" s="93">
        <f>IF(Table6220273233341718[[#This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 t="shared" si="18"/>
        <v xml:space="preserve"> </v>
      </c>
      <c r="AI24" s="104" t="str">
        <f>IF(Table6220273233341718[[#This Row],[Non-Member]]="X"," ",IF(AH24=" "," ",IFERROR(VLOOKUP(AG24,Points!$A$2:$B$14,2,FALSE)," ")))</f>
        <v xml:space="preserve"> </v>
      </c>
      <c r="AJ24" s="93">
        <f>IF(Table6220273233341718[[#This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CSAlB+8hjAj0DAyg8X3LKa0EyNzVcoJc5bNNXuEsD/Drwl8ShijVMxUTkPixGMPm6cFsWyicV7BvQXUf7YefyQ==" saltValue="L6OvKmXFK0MyPJ2xfypyb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1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120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164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IF(Table6220273233373839234349[[#This Row],[Non-Member]]="X"," ",IF(F5=" "," ",IFERROR(VLOOKUP(E5,Points!$A$2:$B$14,2,FALSE)," ")))</f>
        <v xml:space="preserve"> </v>
      </c>
      <c r="H5" s="85">
        <v>9.1300000000000008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IF(Table6220273233373839234349[[#This Row],[Non-Member]]="X"," ",IF(J5=" "," ",IFERROR(VLOOKUP(I5,Points!$A$2:$B$14,2,FALSE)," ")))</f>
        <v>18</v>
      </c>
      <c r="L5" s="85">
        <v>8.4600000000000009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IF(Table6220273233373839234349[[#This Row],[Non-Member]]="X"," ",IF(N5=" "," ",IFERROR(VLOOKUP(M5,Points!$A$2:$B$14,2,FALSE)," ")))</f>
        <v>18</v>
      </c>
      <c r="P5" s="85">
        <v>9.81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IF(Table6220273233373839234349[[#This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IF(Table6220273233373839234349[[#This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IF(Table6220273233373839234349[[#This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IF(Table6220273233373839234349[[#This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IF(Table6220273233373839234349[[#This Row],[Non-Member]]="X"," ",IF(AH5=" "," ",IFERROR(VLOOKUP(AG5,Points!$A$2:$B$14,2,FALSE)," ")))</f>
        <v xml:space="preserve"> </v>
      </c>
      <c r="AJ5" s="86">
        <f>IF(Table6220273233373839234349[[#This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7">IF(AJ5=0," ",AJ5)</f>
        <v>54</v>
      </c>
      <c r="AL5" s="89">
        <f t="shared" ref="AL5:AL24" si="18">IF(AK5=" "," ",RANK(AK5,$AK$5:$AK$24))</f>
        <v>1</v>
      </c>
    </row>
    <row r="6" spans="2:38" x14ac:dyDescent="0.3">
      <c r="B6" s="90" t="s">
        <v>167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IF(Table6220273233373839234349[[#This Row],[Non-Member]]="X"," ",IF(F6=" "," ",IFERROR(VLOOKUP(E6,Points!$A$2:$B$14,2,FALSE)," ")))</f>
        <v xml:space="preserve"> </v>
      </c>
      <c r="H6" s="92">
        <v>10.79</v>
      </c>
      <c r="I6" s="93">
        <f t="shared" si="2"/>
        <v>2</v>
      </c>
      <c r="J6" s="93">
        <f t="shared" si="3"/>
        <v>2</v>
      </c>
      <c r="K6" s="94">
        <f>IF(Table6220273233373839234349[[#This Row],[Non-Member]]="X"," ",IF(J6=" "," ",IFERROR(VLOOKUP(I6,Points!$A$2:$B$14,2,FALSE)," ")))</f>
        <v>15</v>
      </c>
      <c r="L6" s="92">
        <v>8.85</v>
      </c>
      <c r="M6" s="93">
        <f t="shared" si="4"/>
        <v>3</v>
      </c>
      <c r="N6" s="93">
        <f t="shared" si="5"/>
        <v>3</v>
      </c>
      <c r="O6" s="94">
        <f>IF(Table6220273233373839234349[[#This Row],[Non-Member]]="X"," ",IF(N6=" "," ",IFERROR(VLOOKUP(M6,Points!$A$2:$B$14,2,FALSE)," ")))</f>
        <v>12</v>
      </c>
      <c r="P6" s="92">
        <v>10.59</v>
      </c>
      <c r="Q6" s="93">
        <f t="shared" si="6"/>
        <v>2</v>
      </c>
      <c r="R6" s="93">
        <f t="shared" si="7"/>
        <v>2</v>
      </c>
      <c r="S6" s="94">
        <f>IF(Table6220273233373839234349[[#This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IF(Table6220273233373839234349[[#This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IF(Table6220273233373839234349[[#This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IF(Table6220273233373839234349[[#This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IF(Table6220273233373839234349[[#This Row],[Non-Member]]="X"," ",IF(AH6=" "," ",IFERROR(VLOOKUP(AG6,Points!$A$2:$B$14,2,FALSE)," ")))</f>
        <v xml:space="preserve"> </v>
      </c>
      <c r="AJ6" s="93">
        <f>IF(Table6220273233373839234349[[#This Row],[Non-Member]]="X"," ",((IF(G6=" ",0,G6))+(IF(K6=" ",0,K6))+(IF(O6=" ",0,O6))+(IF(S6=" ",0,S6))+(IF(W6=" ",0,W6))+(IF(AA6=" ",0,AA6))+(IF(AE6=" ",0,AE6))+(IF(AI6=" ",0,AI6))))</f>
        <v>42</v>
      </c>
      <c r="AK6" s="95">
        <f t="shared" si="17"/>
        <v>42</v>
      </c>
      <c r="AL6" s="96">
        <f t="shared" si="18"/>
        <v>2</v>
      </c>
    </row>
    <row r="7" spans="2:38" x14ac:dyDescent="0.3">
      <c r="B7" s="90" t="s">
        <v>279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IF(Table6220273233373839234349[[#This Row],[Non-Member]]="X"," ",IF(F7=" "," ",IFERROR(VLOOKUP(E7,Points!$A$2:$B$14,2,FALSE)," ")))</f>
        <v xml:space="preserve"> </v>
      </c>
      <c r="H7" s="92"/>
      <c r="I7" s="97" t="str">
        <f t="shared" si="2"/>
        <v xml:space="preserve"> </v>
      </c>
      <c r="J7" s="97" t="str">
        <f t="shared" si="3"/>
        <v xml:space="preserve"> </v>
      </c>
      <c r="K7" s="94" t="str">
        <f>IF(Table6220273233373839234349[[#This Row],[Non-Member]]="X"," ",IF(J7=" "," ",IFERROR(VLOOKUP(I7,Points!$A$2:$B$14,2,FALSE)," ")))</f>
        <v xml:space="preserve"> </v>
      </c>
      <c r="L7" s="92">
        <v>8.4700000000000006</v>
      </c>
      <c r="M7" s="97">
        <f t="shared" si="4"/>
        <v>2</v>
      </c>
      <c r="N7" s="97">
        <f t="shared" si="5"/>
        <v>2</v>
      </c>
      <c r="O7" s="94">
        <f>IF(Table6220273233373839234349[[#This Row],[Non-Member]]="X"," ",IF(N7=" "," ",IFERROR(VLOOKUP(M7,Points!$A$2:$B$14,2,FALSE)," ")))</f>
        <v>15</v>
      </c>
      <c r="P7" s="135">
        <v>11.18</v>
      </c>
      <c r="Q7" s="97">
        <f t="shared" si="6"/>
        <v>3</v>
      </c>
      <c r="R7" s="97">
        <f t="shared" si="7"/>
        <v>3</v>
      </c>
      <c r="S7" s="94">
        <f>IF(Table6220273233373839234349[[#This Row],[Non-Member]]="X"," ",IF(R7=" "," ",IFERROR(VLOOKUP(Q7,Points!$A$2:$B$14,2,FALSE)," ")))</f>
        <v>12</v>
      </c>
      <c r="T7" s="92"/>
      <c r="U7" s="97" t="str">
        <f t="shared" si="8"/>
        <v xml:space="preserve"> </v>
      </c>
      <c r="V7" s="97" t="str">
        <f t="shared" si="9"/>
        <v xml:space="preserve"> </v>
      </c>
      <c r="W7" s="94" t="str">
        <f>IF(Table6220273233373839234349[[#This Row],[Non-Member]]="X"," ",IF(V7=" "," ",IFERROR(VLOOKUP(U7,Points!$A$2:$B$14,2,FALSE)," ")))</f>
        <v xml:space="preserve"> 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IF(Table6220273233373839234349[[#This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IF(Table6220273233373839234349[[#This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7" t="str">
        <f t="shared" si="15"/>
        <v xml:space="preserve"> </v>
      </c>
      <c r="AH7" s="97" t="str">
        <f t="shared" si="16"/>
        <v xml:space="preserve"> </v>
      </c>
      <c r="AI7" s="94" t="str">
        <f>IF(Table6220273233373839234349[[#This Row],[Non-Member]]="X"," ",IF(AH7=" "," ",IFERROR(VLOOKUP(AG7,Points!$A$2:$B$14,2,FALSE)," ")))</f>
        <v xml:space="preserve"> </v>
      </c>
      <c r="AJ7" s="97">
        <f>IF(Table6220273233373839234349[[#This Row],[Non-Member]]="X"," ",((IF(G7=" ",0,G7))+(IF(K7=" ",0,K7))+(IF(O7=" ",0,O7))+(IF(S7=" ",0,S7))+(IF(W7=" ",0,W7))+(IF(AA7=" ",0,AA7))+(IF(AE7=" ",0,AE7))+(IF(AI7=" ",0,AI7))))</f>
        <v>27</v>
      </c>
      <c r="AK7" s="95">
        <f t="shared" si="17"/>
        <v>27</v>
      </c>
      <c r="AL7" s="98">
        <f t="shared" si="18"/>
        <v>3</v>
      </c>
    </row>
    <row r="8" spans="2:38" x14ac:dyDescent="0.3">
      <c r="B8" s="90" t="s">
        <v>152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IF(Table6220273233373839234349[[#This Row],[Non-Member]]="X"," ",IF(F8=" "," ",IFERROR(VLOOKUP(E8,Points!$A$2:$B$14,2,FALSE)," ")))</f>
        <v xml:space="preserve"> </v>
      </c>
      <c r="H8" s="92">
        <v>13.92</v>
      </c>
      <c r="I8" s="97">
        <f t="shared" si="2"/>
        <v>3</v>
      </c>
      <c r="J8" s="97">
        <f t="shared" si="3"/>
        <v>3</v>
      </c>
      <c r="K8" s="94">
        <f>IF(Table6220273233373839234349[[#This Row],[Non-Member]]="X"," ",IF(J8=" "," ",IFERROR(VLOOKUP(I8,Points!$A$2:$B$14,2,FALSE)," ")))</f>
        <v>12</v>
      </c>
      <c r="L8" s="92">
        <v>11.68</v>
      </c>
      <c r="M8" s="97">
        <f t="shared" si="4"/>
        <v>5</v>
      </c>
      <c r="N8" s="97">
        <f t="shared" si="5"/>
        <v>5</v>
      </c>
      <c r="O8" s="94">
        <f>IF(Table6220273233373839234349[[#This Row],[Non-Member]]="X"," ",IF(N8=" "," ",IFERROR(VLOOKUP(M8,Points!$A$2:$B$14,2,FALSE)," ")))</f>
        <v>6</v>
      </c>
      <c r="P8" s="92">
        <v>15.41</v>
      </c>
      <c r="Q8" s="97">
        <f t="shared" si="6"/>
        <v>5</v>
      </c>
      <c r="R8" s="97">
        <f t="shared" si="7"/>
        <v>5</v>
      </c>
      <c r="S8" s="94">
        <f>IF(Table6220273233373839234349[[#This Row],[Non-Member]]="X"," ",IF(R8=" "," ",IFERROR(VLOOKUP(Q8,Points!$A$2:$B$14,2,FALSE)," ")))</f>
        <v>6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IF(Table6220273233373839234349[[#This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IF(Table6220273233373839234349[[#This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IF(Table6220273233373839234349[[#This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IF(Table6220273233373839234349[[#This Row],[Non-Member]]="X"," ",IF(AH8=" "," ",IFERROR(VLOOKUP(AG8,Points!$A$2:$B$14,2,FALSE)," ")))</f>
        <v xml:space="preserve"> </v>
      </c>
      <c r="AJ8" s="97">
        <f>IF(Table6220273233373839234349[[#This Row],[Non-Member]]="X"," ",((IF(G8=" ",0,G8))+(IF(K8=" ",0,K8))+(IF(O8=" ",0,O8))+(IF(S8=" ",0,S8))+(IF(W8=" ",0,W8))+(IF(AA8=" ",0,AA8))+(IF(AE8=" ",0,AE8))+(IF(AI8=" ",0,AI8))))</f>
        <v>24</v>
      </c>
      <c r="AK8" s="95">
        <f t="shared" si="17"/>
        <v>24</v>
      </c>
      <c r="AL8" s="98">
        <f t="shared" si="18"/>
        <v>4</v>
      </c>
    </row>
    <row r="9" spans="2:38" x14ac:dyDescent="0.3">
      <c r="B9" s="90" t="s">
        <v>280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IF(Table6220273233373839234349[[#This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IF(Table6220273233373839234349[[#This Row],[Non-Member]]="X"," ",IF(J9=" "," ",IFERROR(VLOOKUP(I9,Points!$A$2:$B$14,2,FALSE)," ")))</f>
        <v xml:space="preserve"> </v>
      </c>
      <c r="L9" s="92">
        <v>9</v>
      </c>
      <c r="M9" s="93">
        <f t="shared" si="4"/>
        <v>4</v>
      </c>
      <c r="N9" s="93">
        <f t="shared" si="5"/>
        <v>4</v>
      </c>
      <c r="O9" s="94">
        <f>IF(Table6220273233373839234349[[#This Row],[Non-Member]]="X"," ",IF(N9=" "," ",IFERROR(VLOOKUP(M9,Points!$A$2:$B$14,2,FALSE)," ")))</f>
        <v>9</v>
      </c>
      <c r="P9" s="92">
        <v>13.87</v>
      </c>
      <c r="Q9" s="93">
        <f t="shared" si="6"/>
        <v>4</v>
      </c>
      <c r="R9" s="93">
        <f t="shared" si="7"/>
        <v>4</v>
      </c>
      <c r="S9" s="94">
        <f>IF(Table6220273233373839234349[[#This Row],[Non-Member]]="X"," ",IF(R9=" "," ",IFERROR(VLOOKUP(Q9,Points!$A$2:$B$14,2,FALSE)," ")))</f>
        <v>9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IF(Table6220273233373839234349[[#This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IF(Table6220273233373839234349[[#This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IF(Table6220273233373839234349[[#This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IF(Table6220273233373839234349[[#This Row],[Non-Member]]="X"," ",IF(AH9=" "," ",IFERROR(VLOOKUP(AG9,Points!$A$2:$B$14,2,FALSE)," ")))</f>
        <v xml:space="preserve"> </v>
      </c>
      <c r="AJ9" s="93">
        <f>IF(Table6220273233373839234349[[#This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281</v>
      </c>
      <c r="C10" s="91" t="s">
        <v>325</v>
      </c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IF(Table6220273233373839234349[[#This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IF(Table6220273233373839234349[[#This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IF(Table6220273233373839234349[[#This Row],[Non-Member]]="X"," ",IF(N10=" "," ",IFERROR(VLOOKUP(M10,Points!$A$2:$B$14,2,FALSE)," ")))</f>
        <v xml:space="preserve"> </v>
      </c>
      <c r="P10" s="92">
        <v>16.23</v>
      </c>
      <c r="Q10" s="93">
        <f t="shared" si="6"/>
        <v>6</v>
      </c>
      <c r="R10" s="93">
        <f t="shared" si="7"/>
        <v>6</v>
      </c>
      <c r="S10" s="94" t="str">
        <f>IF(Table6220273233373839234349[[#This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IF(Table6220273233373839234349[[#This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IF(Table6220273233373839234349[[#This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IF(Table6220273233373839234349[[#This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IF(Table6220273233373839234349[[#This Row],[Non-Member]]="X"," ",IF(AH10=" "," ",IFERROR(VLOOKUP(AG10,Points!$A$2:$B$14,2,FALSE)," ")))</f>
        <v xml:space="preserve"> </v>
      </c>
      <c r="AJ10" s="93" t="str">
        <f>IF(Table6220273233373839234349[[#This Row],[Non-Member]]="X"," ",((IF(G10=" ",0,G10))+(IF(K10=" ",0,K10))+(IF(O10=" ",0,O10))+(IF(S10=" ",0,S10))+(IF(W10=" ",0,W10))+(IF(AA10=" ",0,AA10))+(IF(AE10=" ",0,AE10))+(IF(AI10=" ",0,AI10))))</f>
        <v xml:space="preserve"> 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3">
      <c r="B11" s="90" t="s">
        <v>209</v>
      </c>
      <c r="C11" s="91" t="s">
        <v>325</v>
      </c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IF(Table6220273233373839234349[[#This Row],[Non-Member]]="X"," ",IF(F11=" "," ",IFERROR(VLOOKUP(E11,Points!$A$2:$B$14,2,FALSE)," ")))</f>
        <v xml:space="preserve"> </v>
      </c>
      <c r="H11" s="92">
        <v>14.22</v>
      </c>
      <c r="I11" s="93">
        <f t="shared" si="2"/>
        <v>4</v>
      </c>
      <c r="J11" s="93">
        <f t="shared" si="3"/>
        <v>4</v>
      </c>
      <c r="K11" s="94" t="str">
        <f>IF(Table6220273233373839234349[[#This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IF(Table6220273233373839234349[[#This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IF(Table6220273233373839234349[[#This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IF(Table6220273233373839234349[[#This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IF(Table6220273233373839234349[[#This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IF(Table6220273233373839234349[[#This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IF(Table6220273233373839234349[[#This Row],[Non-Member]]="X"," ",IF(AH11=" "," ",IFERROR(VLOOKUP(AG11,Points!$A$2:$B$14,2,FALSE)," ")))</f>
        <v xml:space="preserve"> </v>
      </c>
      <c r="AJ11" s="93" t="str">
        <f>IF(Table6220273233373839234349[[#This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3">
      <c r="B12" s="90" t="s">
        <v>207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IF(Table6220273233373839234349[[#This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IF(Table6220273233373839234349[[#This Row],[Non-Member]]="X"," ",IF(J12=" "," ",IFERROR(VLOOKUP(I12,Points!$A$2:$B$14,2,FALSE)," ")))</f>
        <v xml:space="preserve"> </v>
      </c>
      <c r="L12" s="137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IF(Table6220273233373839234349[[#This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IF(Table6220273233373839234349[[#This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IF(Table6220273233373839234349[[#This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IF(Table6220273233373839234349[[#This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IF(Table6220273233373839234349[[#This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IF(Table6220273233373839234349[[#This Row],[Non-Member]]="X"," ",IF(AH12=" "," ",IFERROR(VLOOKUP(AG12,Points!$A$2:$B$14,2,FALSE)," ")))</f>
        <v xml:space="preserve"> </v>
      </c>
      <c r="AJ12" s="93">
        <f>IF(Table6220273233373839234349[[#This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IF(Table6220273233373839234349[[#This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IF(Table6220273233373839234349[[#This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IF(Table6220273233373839234349[[#This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IF(Table6220273233373839234349[[#This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IF(Table6220273233373839234349[[#This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IF(Table6220273233373839234349[[#This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IF(Table6220273233373839234349[[#This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IF(Table6220273233373839234349[[#This Row],[Non-Member]]="X"," ",IF(AH13=" "," ",IFERROR(VLOOKUP(AG13,Points!$A$2:$B$14,2,FALSE)," ")))</f>
        <v xml:space="preserve"> </v>
      </c>
      <c r="AJ13" s="93">
        <f>IF(Table6220273233373839234349[[#This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IF(Table6220273233373839234349[[#This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IF(Table6220273233373839234349[[#This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IF(Table6220273233373839234349[[#This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IF(Table6220273233373839234349[[#This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IF(Table6220273233373839234349[[#This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IF(Table6220273233373839234349[[#This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IF(Table6220273233373839234349[[#This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IF(Table6220273233373839234349[[#This Row],[Non-Member]]="X"," ",IF(AH14=" "," ",IFERROR(VLOOKUP(AG14,Points!$A$2:$B$14,2,FALSE)," ")))</f>
        <v xml:space="preserve"> </v>
      </c>
      <c r="AJ14" s="93">
        <f>IF(Table6220273233373839234349[[#This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IF(Table6220273233373839234349[[#This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IF(Table6220273233373839234349[[#This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IF(Table6220273233373839234349[[#This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IF(Table6220273233373839234349[[#This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IF(Table6220273233373839234349[[#This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IF(Table6220273233373839234349[[#This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IF(Table6220273233373839234349[[#This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IF(Table6220273233373839234349[[#This Row],[Non-Member]]="X"," ",IF(AH15=" "," ",IFERROR(VLOOKUP(AG15,Points!$A$2:$B$14,2,FALSE)," ")))</f>
        <v xml:space="preserve"> </v>
      </c>
      <c r="AJ15" s="97">
        <f>IF(Table6220273233373839234349[[#This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3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IF(Table6220273233373839234349[[#This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IF(Table6220273233373839234349[[#This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IF(Table6220273233373839234349[[#This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IF(Table6220273233373839234349[[#This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IF(Table6220273233373839234349[[#This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IF(Table6220273233373839234349[[#This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IF(Table6220273233373839234349[[#This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IF(Table6220273233373839234349[[#This Row],[Non-Member]]="X"," ",IF(AH16=" "," ",IFERROR(VLOOKUP(AG16,Points!$A$2:$B$14,2,FALSE)," ")))</f>
        <v xml:space="preserve"> </v>
      </c>
      <c r="AJ16" s="93">
        <f>IF(Table6220273233373839234349[[#This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IF(Table6220273233373839234349[[#This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IF(Table6220273233373839234349[[#This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IF(Table6220273233373839234349[[#This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IF(Table6220273233373839234349[[#This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IF(Table6220273233373839234349[[#This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IF(Table6220273233373839234349[[#This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IF(Table6220273233373839234349[[#This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IF(Table6220273233373839234349[[#This Row],[Non-Member]]="X"," ",IF(AH17=" "," ",IFERROR(VLOOKUP(AG17,Points!$A$2:$B$14,2,FALSE)," ")))</f>
        <v xml:space="preserve"> </v>
      </c>
      <c r="AJ17" s="93">
        <f>IF(Table6220273233373839234349[[#This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IF(Table6220273233373839234349[[#This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IF(Table6220273233373839234349[[#This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IF(Table6220273233373839234349[[#This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IF(Table6220273233373839234349[[#This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IF(Table6220273233373839234349[[#This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IF(Table6220273233373839234349[[#This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IF(Table6220273233373839234349[[#This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IF(Table6220273233373839234349[[#This Row],[Non-Member]]="X"," ",IF(AH18=" "," ",IFERROR(VLOOKUP(AG18,Points!$A$2:$B$14,2,FALSE)," ")))</f>
        <v xml:space="preserve"> </v>
      </c>
      <c r="AJ18" s="93">
        <f>IF(Table6220273233373839234349[[#This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IF(Table6220273233373839234349[[#This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IF(Table6220273233373839234349[[#This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IF(Table6220273233373839234349[[#This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IF(Table6220273233373839234349[[#This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IF(Table6220273233373839234349[[#This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IF(Table6220273233373839234349[[#This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IF(Table6220273233373839234349[[#This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IF(Table6220273233373839234349[[#This Row],[Non-Member]]="X"," ",IF(AH19=" "," ",IFERROR(VLOOKUP(AG19,Points!$A$2:$B$14,2,FALSE)," ")))</f>
        <v xml:space="preserve"> </v>
      </c>
      <c r="AJ19" s="93">
        <f>IF(Table6220273233373839234349[[#This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IF(Table6220273233373839234349[[#This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IF(Table6220273233373839234349[[#This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IF(Table6220273233373839234349[[#This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IF(Table6220273233373839234349[[#This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IF(Table6220273233373839234349[[#This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IF(Table6220273233373839234349[[#This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IF(Table6220273233373839234349[[#This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IF(Table6220273233373839234349[[#This Row],[Non-Member]]="X"," ",IF(AH20=" "," ",IFERROR(VLOOKUP(AG20,Points!$A$2:$B$14,2,FALSE)," ")))</f>
        <v xml:space="preserve"> </v>
      </c>
      <c r="AJ20" s="93">
        <f>IF(Table6220273233373839234349[[#This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IF(Table6220273233373839234349[[#This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IF(Table6220273233373839234349[[#This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IF(Table6220273233373839234349[[#This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IF(Table6220273233373839234349[[#This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IF(Table6220273233373839234349[[#This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IF(Table6220273233373839234349[[#This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IF(Table6220273233373839234349[[#This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IF(Table6220273233373839234349[[#This Row],[Non-Member]]="X"," ",IF(AH21=" "," ",IFERROR(VLOOKUP(AG21,Points!$A$2:$B$14,2,FALSE)," ")))</f>
        <v xml:space="preserve"> </v>
      </c>
      <c r="AJ21" s="93">
        <f>IF(Table6220273233373839234349[[#This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IF(Table6220273233373839234349[[#This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IF(Table6220273233373839234349[[#This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IF(Table6220273233373839234349[[#This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IF(Table6220273233373839234349[[#This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IF(Table6220273233373839234349[[#This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IF(Table6220273233373839234349[[#This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IF(Table6220273233373839234349[[#This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IF(Table6220273233373839234349[[#This Row],[Non-Member]]="X"," ",IF(AH22=" "," ",IFERROR(VLOOKUP(AG22,Points!$A$2:$B$14,2,FALSE)," ")))</f>
        <v xml:space="preserve"> </v>
      </c>
      <c r="AJ22" s="93">
        <f>IF(Table6220273233373839234349[[#This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IF(Table6220273233373839234349[[#This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IF(Table6220273233373839234349[[#This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IF(Table6220273233373839234349[[#This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IF(Table6220273233373839234349[[#This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IF(Table6220273233373839234349[[#This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IF(Table6220273233373839234349[[#This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IF(Table6220273233373839234349[[#This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IF(Table6220273233373839234349[[#This Row],[Non-Member]]="X"," ",IF(AH23=" "," ",IFERROR(VLOOKUP(AG23,Points!$A$2:$B$14,2,FALSE)," ")))</f>
        <v xml:space="preserve"> </v>
      </c>
      <c r="AJ23" s="93">
        <f>IF(Table6220273233373839234349[[#This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IF(Table6220273233373839234349[[#This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IF(Table6220273233373839234349[[#This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IF(Table6220273233373839234349[[#This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IF(Table6220273233373839234349[[#This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IF(Table6220273233373839234349[[#This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IF(Table6220273233373839234349[[#This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IF(Table6220273233373839234349[[#This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IF(Table6220273233373839234349[[#This Row],[Non-Member]]="X"," ",IF(AH24=" "," ",IFERROR(VLOOKUP(AG24,Points!$A$2:$B$14,2,FALSE)," ")))</f>
        <v xml:space="preserve"> </v>
      </c>
      <c r="AJ24" s="93">
        <f>IF(Table6220273233373839234349[[#This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p3oy1rJfm34AZm3he88LPtU1MkZyVj2efxToQYlWCbn6ivcHlpaI6MaPyGxuJoh/CpBA9n67jRuB7wggGGgb7Q==" saltValue="CGaoqy2LUWOONJTTXEGzs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0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104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135</v>
      </c>
      <c r="C5" s="84"/>
      <c r="D5" s="85"/>
      <c r="E5" s="109" t="str">
        <f t="shared" ref="E5:E24" si="0">IF(D5=0," ",_xlfn.RANK.AVG(D5,D$5:D$24,1)-COUNTIF(D$5:D$24,0))</f>
        <v xml:space="preserve"> </v>
      </c>
      <c r="F5" s="109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IF(Table622027323334171819[[#This Row],[Non-Member]]="X"," ",IF(F5=" "," ",IFERROR(VLOOKUP(E5,Points!$A$2:$B$14,2,FALSE)," ")))</f>
        <v xml:space="preserve"> </v>
      </c>
      <c r="H5" s="85">
        <v>4.87</v>
      </c>
      <c r="I5" s="109">
        <f t="shared" ref="I5:I24" si="2">IF(H5=0," ",_xlfn.RANK.AVG(H5,H$5:H$24,1)-COUNTIF(H$5:H$24,0))</f>
        <v>5</v>
      </c>
      <c r="J5" s="109">
        <f t="shared" ref="J5:J24" si="3">IF(H5=0," ",IF((RANK(H5,H$5:H$24,1)-COUNTIF(H$5:H$24,0)&gt;6)," ",RANK(H5,H$5:H$24,1)-COUNTIF(H$5:H$24,0)))</f>
        <v>5</v>
      </c>
      <c r="K5" s="87">
        <f>IF(Table622027323334171819[[#This Row],[Non-Member]]="X"," ",IF(J5=" "," ",IFERROR(VLOOKUP(I5,Points!$A$2:$B$14,2,FALSE)," ")))</f>
        <v>6</v>
      </c>
      <c r="L5" s="85">
        <v>2.23</v>
      </c>
      <c r="M5" s="109">
        <f t="shared" ref="M5:M24" si="4">IF(L5=0," ",_xlfn.RANK.AVG(L5,L$5:L$24,1)-COUNTIF(L$5:L$24,0))</f>
        <v>1</v>
      </c>
      <c r="N5" s="109">
        <f t="shared" ref="N5:N24" si="5">IF(L5=0," ",IF((RANK(L5,L$5:L$24,1)-COUNTIF(L$5:L$24,0)&gt;6)," ",RANK(L5,L$5:L$24,1)-COUNTIF(L$5:L$24,0)))</f>
        <v>1</v>
      </c>
      <c r="O5" s="87">
        <f>IF(Table622027323334171819[[#This Row],[Non-Member]]="X"," ",IF(N5=" "," ",IFERROR(VLOOKUP(M5,Points!$A$2:$B$14,2,FALSE)," ")))</f>
        <v>18</v>
      </c>
      <c r="P5" s="85">
        <v>1.66</v>
      </c>
      <c r="Q5" s="109">
        <f t="shared" ref="Q5:Q24" si="6">IF(P5=0," ",_xlfn.RANK.AVG(P5,P$5:P$24,1)-COUNTIF(P$5:P$24,0))</f>
        <v>2</v>
      </c>
      <c r="R5" s="109">
        <f t="shared" ref="R5:R24" si="7">IF(P5=0," ",IF((RANK(P5,P$5:P$24,1)-COUNTIF(P$5:P$24,0)&gt;6)," ",RANK(P5,P$5:P$24,1)-COUNTIF(P$5:P$24,0)))</f>
        <v>2</v>
      </c>
      <c r="S5" s="87">
        <f>IF(Table622027323334171819[[#This Row],[Non-Member]]="X"," ",IF(R5=" "," ",IFERROR(VLOOKUP(Q5,Points!$A$2:$B$14,2,FALSE)," ")))</f>
        <v>15</v>
      </c>
      <c r="T5" s="85"/>
      <c r="U5" s="109" t="str">
        <f t="shared" ref="U5:U24" si="8">IF(T5=0," ",_xlfn.RANK.AVG(T5,T$5:T$24,1)-COUNTIF(T$5:T$24,0))</f>
        <v xml:space="preserve"> </v>
      </c>
      <c r="V5" s="109" t="str">
        <f t="shared" ref="V5:V24" si="9">IF(T5=0," ",IF((RANK(T5,T$5:T$24,1)-COUNTIF(T$5:T$24,0)&gt;6)," ",RANK(T5,T$5:T$24,1)-COUNTIF(T$5:T$24,0)))</f>
        <v xml:space="preserve"> </v>
      </c>
      <c r="W5" s="87" t="str">
        <f>IF(Table622027323334171819[[#This Row],[Non-Member]]="X"," ",IF(V5=" "," ",IFERROR(VLOOKUP(U5,Points!$A$2:$B$14,2,FALSE)," ")))</f>
        <v xml:space="preserve"> </v>
      </c>
      <c r="X5" s="85"/>
      <c r="Y5" s="109" t="str">
        <f t="shared" ref="Y5:Y24" si="10">IF(X5=0," ",_xlfn.RANK.AVG(X5,X$5:X$24,1)-COUNTIF(X$5:X$24,0))</f>
        <v xml:space="preserve"> </v>
      </c>
      <c r="Z5" s="109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IF(Table622027323334171819[[#This Row],[Non-Member]]="X"," ",IF(Z5=" "," ",IFERROR(VLOOKUP(Y5,Points!$A$2:$B$14,2,FALSE)," ")))</f>
        <v xml:space="preserve"> </v>
      </c>
      <c r="AB5" s="85"/>
      <c r="AC5" s="109" t="str">
        <f t="shared" ref="AC5:AC24" si="12">IF(AB5=0," ",_xlfn.RANK.AVG(AB5,AB$5:AB$24,1)-COUNTIF(AB$5:AB$24,0))</f>
        <v xml:space="preserve"> </v>
      </c>
      <c r="AD5" s="109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IF(Table622027323334171819[[#This Row],[Non-Member]]="X"," ",IF(AD5=" "," ",IFERROR(VLOOKUP(AC5,Points!$A$2:$B$14,2,FALSE)," ")))</f>
        <v xml:space="preserve"> </v>
      </c>
      <c r="AF5" s="85" t="str">
        <f>IF(OR(X5=0,AB5=0)," ",X5+AB5)</f>
        <v xml:space="preserve"> </v>
      </c>
      <c r="AG5" s="109" t="str">
        <f t="shared" ref="AG5:AG11" si="14">IF(OR(AF5=0,AF5=" ")," ",_xlfn.RANK.AVG(AF5,AF$5:AF$24,1)-COUNTIF(AF$5:AF$24,0))</f>
        <v xml:space="preserve"> </v>
      </c>
      <c r="AH5" s="109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IF(Table622027323334171819[[#This Row],[Non-Member]]="X"," ",IF(AH5=" "," ",IFERROR(VLOOKUP(AG5,Points!$A$2:$B$14,2,FALSE)," ")))</f>
        <v xml:space="preserve"> </v>
      </c>
      <c r="AJ5" s="109">
        <f>IF(Table622027323334171819[[#This Row],[Non-Member]]="X"," ",((IF(G5=" ",0,G5))+(IF(K5=" ",0,K5))+(IF(O5=" ",0,O5))+(IF(S5=" ",0,S5))+(IF(W5=" ",0,W5))+(IF(AA5=" ",0,AA5))+(IF(AE5=" ",0,AE5))+(IF(AI5=" ",0,AI5))))</f>
        <v>39</v>
      </c>
      <c r="AK5" s="88">
        <f t="shared" ref="AK5:AK24" si="16">IF(AJ5=0," ",AJ5)</f>
        <v>39</v>
      </c>
      <c r="AL5" s="110">
        <f t="shared" ref="AL5:AL24" si="17">IF(AK5=" "," ",RANK(AK5,$AK$5:$AK$24))</f>
        <v>1</v>
      </c>
    </row>
    <row r="6" spans="2:38" x14ac:dyDescent="0.3">
      <c r="B6" s="90" t="s">
        <v>129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IF(Table622027323334171819[[#This Row],[Non-Member]]="X"," ",IF(F6=" "," ",IFERROR(VLOOKUP(E6,Points!$A$2:$B$14,2,FALSE)," ")))</f>
        <v xml:space="preserve"> </v>
      </c>
      <c r="H6" s="92">
        <v>3.38</v>
      </c>
      <c r="I6" s="93">
        <f t="shared" si="2"/>
        <v>2</v>
      </c>
      <c r="J6" s="93">
        <f t="shared" si="3"/>
        <v>2</v>
      </c>
      <c r="K6" s="94">
        <f>IF(Table622027323334171819[[#This Row],[Non-Member]]="X"," ",IF(J6=" "," ",IFERROR(VLOOKUP(I6,Points!$A$2:$B$14,2,FALSE)," ")))</f>
        <v>15</v>
      </c>
      <c r="L6" s="92">
        <v>3.59</v>
      </c>
      <c r="M6" s="93">
        <f t="shared" si="4"/>
        <v>5</v>
      </c>
      <c r="N6" s="93">
        <f t="shared" si="5"/>
        <v>5</v>
      </c>
      <c r="O6" s="94">
        <f>IF(Table622027323334171819[[#This Row],[Non-Member]]="X"," ",IF(N6=" "," ",IFERROR(VLOOKUP(M6,Points!$A$2:$B$14,2,FALSE)," ")))</f>
        <v>6</v>
      </c>
      <c r="P6" s="92">
        <v>1.65</v>
      </c>
      <c r="Q6" s="93">
        <f t="shared" si="6"/>
        <v>1</v>
      </c>
      <c r="R6" s="93">
        <f t="shared" si="7"/>
        <v>1</v>
      </c>
      <c r="S6" s="94">
        <f>IF(Table622027323334171819[[#This Row],[Non-Member]]="X"," ",IF(R6=" "," ",IFERROR(VLOOKUP(Q6,Points!$A$2:$B$14,2,FALSE)," ")))</f>
        <v>18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IF(Table622027323334171819[[#This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IF(Table622027323334171819[[#This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IF(Table622027323334171819[[#This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IF(Table622027323334171819[[#This Row],[Non-Member]]="X"," ",IF(AH6=" "," ",IFERROR(VLOOKUP(AG6,Points!$A$2:$B$14,2,FALSE)," ")))</f>
        <v xml:space="preserve"> </v>
      </c>
      <c r="AJ6" s="93">
        <f>IF(Table622027323334171819[[#This Row],[Non-Member]]="X"," ",((IF(G6=" ",0,G6))+(IF(K6=" ",0,K6))+(IF(O6=" ",0,O6))+(IF(S6=" ",0,S6))+(IF(W6=" ",0,W6))+(IF(AA6=" ",0,AA6))+(IF(AE6=" ",0,AE6))+(IF(AI6=" ",0,AI6))))</f>
        <v>39</v>
      </c>
      <c r="AK6" s="95">
        <f t="shared" si="16"/>
        <v>39</v>
      </c>
      <c r="AL6" s="96">
        <f t="shared" si="17"/>
        <v>1</v>
      </c>
    </row>
    <row r="7" spans="2:38" x14ac:dyDescent="0.3">
      <c r="B7" s="90" t="s">
        <v>316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IF(Table622027323334171819[[#This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IF(Table622027323334171819[[#This Row],[Non-Member]]="X"," ",IF(J7=" "," ",IFERROR(VLOOKUP(I7,Points!$A$2:$B$14,2,FALSE)," ")))</f>
        <v xml:space="preserve"> </v>
      </c>
      <c r="L7" s="92">
        <v>2.79</v>
      </c>
      <c r="M7" s="93">
        <f t="shared" si="4"/>
        <v>3</v>
      </c>
      <c r="N7" s="93">
        <f t="shared" si="5"/>
        <v>3</v>
      </c>
      <c r="O7" s="94">
        <f>IF(Table622027323334171819[[#This Row],[Non-Member]]="X"," ",IF(N7=" "," ",IFERROR(VLOOKUP(M7,Points!$A$2:$B$14,2,FALSE)," ")))</f>
        <v>12</v>
      </c>
      <c r="P7" s="92">
        <v>2.25</v>
      </c>
      <c r="Q7" s="93">
        <f t="shared" si="6"/>
        <v>3</v>
      </c>
      <c r="R7" s="93">
        <f t="shared" si="7"/>
        <v>3</v>
      </c>
      <c r="S7" s="94">
        <f>IF(Table622027323334171819[[#This Row],[Non-Member]]="X"," ",IF(R7=" "," ",IFERROR(VLOOKUP(Q7,Points!$A$2:$B$14,2,FALSE)," ")))</f>
        <v>12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IF(Table622027323334171819[[#This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IF(Table622027323334171819[[#This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IF(Table622027323334171819[[#This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IF(Table622027323334171819[[#This Row],[Non-Member]]="X"," ",IF(AH7=" "," ",IFERROR(VLOOKUP(AG7,Points!$A$2:$B$14,2,FALSE)," ")))</f>
        <v xml:space="preserve"> </v>
      </c>
      <c r="AJ7" s="93">
        <f>IF(Table622027323334171819[[#This Row],[Non-Member]]="X"," ",((IF(G7=" ",0,G7))+(IF(K7=" ",0,K7))+(IF(O7=" ",0,O7))+(IF(S7=" ",0,S7))+(IF(W7=" ",0,W7))+(IF(AA7=" ",0,AA7))+(IF(AE7=" ",0,AE7))+(IF(AI7=" ",0,AI7))))</f>
        <v>24</v>
      </c>
      <c r="AK7" s="95">
        <f t="shared" si="16"/>
        <v>24</v>
      </c>
      <c r="AL7" s="96">
        <f t="shared" si="17"/>
        <v>3</v>
      </c>
    </row>
    <row r="8" spans="2:38" x14ac:dyDescent="0.3">
      <c r="B8" s="90" t="s">
        <v>130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IF(Table622027323334171819[[#This Row],[Non-Member]]="X"," ",IF(F8=" "," ",IFERROR(VLOOKUP(E8,Points!$A$2:$B$14,2,FALSE)," ")))</f>
        <v xml:space="preserve"> </v>
      </c>
      <c r="H8" s="92">
        <v>3.57</v>
      </c>
      <c r="I8" s="93">
        <f t="shared" si="2"/>
        <v>3</v>
      </c>
      <c r="J8" s="93">
        <f t="shared" si="3"/>
        <v>3</v>
      </c>
      <c r="K8" s="94">
        <f>IF(Table622027323334171819[[#This Row],[Non-Member]]="X"," ",IF(J8=" "," ",IFERROR(VLOOKUP(I8,Points!$A$2:$B$14,2,FALSE)," ")))</f>
        <v>12</v>
      </c>
      <c r="L8" s="92">
        <v>6.28</v>
      </c>
      <c r="M8" s="93">
        <f t="shared" si="4"/>
        <v>8</v>
      </c>
      <c r="N8" s="93" t="str">
        <f t="shared" si="5"/>
        <v xml:space="preserve"> </v>
      </c>
      <c r="O8" s="94" t="str">
        <f>IF(Table622027323334171819[[#This Row],[Non-Member]]="X"," ",IF(N8=" "," ",IFERROR(VLOOKUP(M8,Points!$A$2:$B$14,2,FALSE)," ")))</f>
        <v xml:space="preserve"> </v>
      </c>
      <c r="P8" s="92">
        <v>2.29</v>
      </c>
      <c r="Q8" s="93">
        <f t="shared" si="6"/>
        <v>4</v>
      </c>
      <c r="R8" s="93">
        <f t="shared" si="7"/>
        <v>4</v>
      </c>
      <c r="S8" s="94">
        <f>IF(Table622027323334171819[[#This Row],[Non-Member]]="X"," ",IF(R8=" "," ",IFERROR(VLOOKUP(Q8,Points!$A$2:$B$14,2,FALSE)," ")))</f>
        <v>9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IF(Table622027323334171819[[#This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IF(Table622027323334171819[[#This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IF(Table622027323334171819[[#This Row],[Non-Member]]="X"," ",IF(AD8=" "," ",IFERROR(VLOOKUP(AC8,Points!$A$2:$B$14,2,FALSE)," ")))</f>
        <v xml:space="preserve"> </v>
      </c>
      <c r="AF8" s="92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IF(Table622027323334171819[[#This Row],[Non-Member]]="X"," ",IF(AH8=" "," ",IFERROR(VLOOKUP(AG8,Points!$A$2:$B$14,2,FALSE)," ")))</f>
        <v xml:space="preserve"> </v>
      </c>
      <c r="AJ8" s="93">
        <f>IF(Table622027323334171819[[#This Row],[Non-Member]]="X"," ",((IF(G8=" ",0,G8))+(IF(K8=" ",0,K8))+(IF(O8=" ",0,O8))+(IF(S8=" ",0,S8))+(IF(W8=" ",0,W8))+(IF(AA8=" ",0,AA8))+(IF(AE8=" ",0,AE8))+(IF(AI8=" ",0,AI8))))</f>
        <v>21</v>
      </c>
      <c r="AK8" s="95">
        <f t="shared" si="16"/>
        <v>21</v>
      </c>
      <c r="AL8" s="96">
        <f t="shared" si="17"/>
        <v>4</v>
      </c>
    </row>
    <row r="9" spans="2:38" x14ac:dyDescent="0.3">
      <c r="B9" s="90" t="s">
        <v>68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IF(Table622027323334171819[[#This Row],[Non-Member]]="X"," ",IF(F9=" "," ",IFERROR(VLOOKUP(E9,Points!$A$2:$B$14,2,FALSE)," ")))</f>
        <v xml:space="preserve"> </v>
      </c>
      <c r="H9" s="92">
        <v>2.68</v>
      </c>
      <c r="I9" s="93">
        <f t="shared" si="2"/>
        <v>1</v>
      </c>
      <c r="J9" s="93">
        <f t="shared" si="3"/>
        <v>1</v>
      </c>
      <c r="K9" s="94">
        <f>IF(Table622027323334171819[[#This Row],[Non-Member]]="X"," ",IF(J9=" "," ",IFERROR(VLOOKUP(I9,Points!$A$2:$B$14,2,FALSE)," ")))</f>
        <v>18</v>
      </c>
      <c r="L9" s="92">
        <v>12.32</v>
      </c>
      <c r="M9" s="93">
        <f t="shared" si="4"/>
        <v>9</v>
      </c>
      <c r="N9" s="93" t="str">
        <f t="shared" si="5"/>
        <v xml:space="preserve"> </v>
      </c>
      <c r="O9" s="94" t="str">
        <f>IF(Table622027323334171819[[#This Row],[Non-Member]]="X"," ",IF(N9=" "," ",IFERROR(VLOOKUP(M9,Points!$A$2:$B$14,2,FALSE)," ")))</f>
        <v xml:space="preserve"> </v>
      </c>
      <c r="P9" s="92">
        <v>3.89</v>
      </c>
      <c r="Q9" s="93">
        <f t="shared" si="6"/>
        <v>8</v>
      </c>
      <c r="R9" s="93" t="str">
        <f t="shared" si="7"/>
        <v xml:space="preserve"> </v>
      </c>
      <c r="S9" s="94" t="str">
        <f>IF(Table622027323334171819[[#This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IF(Table622027323334171819[[#This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IF(Table622027323334171819[[#This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IF(Table622027323334171819[[#This Row],[Non-Member]]="X"," ",IF(AD9=" "," ",IFERROR(VLOOKUP(AC9,Points!$A$2:$B$14,2,FALSE)," ")))</f>
        <v xml:space="preserve"> </v>
      </c>
      <c r="AF9" s="92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IF(Table622027323334171819[[#This Row],[Non-Member]]="X"," ",IF(AH9=" "," ",IFERROR(VLOOKUP(AG9,Points!$A$2:$B$14,2,FALSE)," ")))</f>
        <v xml:space="preserve"> </v>
      </c>
      <c r="AJ9" s="93">
        <f>IF(Table622027323334171819[[#This Row],[Non-Member]]="X"," ",((IF(G9=" ",0,G9))+(IF(K9=" ",0,K9))+(IF(O9=" ",0,O9))+(IF(S9=" ",0,S9))+(IF(W9=" ",0,W9))+(IF(AA9=" ",0,AA9))+(IF(AE9=" ",0,AE9))+(IF(AI9=" ",0,AI9))))</f>
        <v>18</v>
      </c>
      <c r="AK9" s="95">
        <f t="shared" si="16"/>
        <v>18</v>
      </c>
      <c r="AL9" s="96">
        <f t="shared" si="17"/>
        <v>5</v>
      </c>
    </row>
    <row r="10" spans="2:38" x14ac:dyDescent="0.3">
      <c r="B10" s="90" t="s">
        <v>71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IF(Table622027323334171819[[#This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IF(Table622027323334171819[[#This Row],[Non-Member]]="X"," ",IF(J10=" "," ",IFERROR(VLOOKUP(I10,Points!$A$2:$B$14,2,FALSE)," ")))</f>
        <v xml:space="preserve"> </v>
      </c>
      <c r="L10" s="92">
        <v>2.33</v>
      </c>
      <c r="M10" s="93">
        <f t="shared" si="4"/>
        <v>2</v>
      </c>
      <c r="N10" s="93">
        <f t="shared" si="5"/>
        <v>2</v>
      </c>
      <c r="O10" s="94">
        <f>IF(Table622027323334171819[[#This Row],[Non-Member]]="X"," ",IF(N10=" "," ",IFERROR(VLOOKUP(M10,Points!$A$2:$B$14,2,FALSE)," ")))</f>
        <v>15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IF(Table622027323334171819[[#This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IF(Table622027323334171819[[#This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IF(Table622027323334171819[[#This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IF(Table622027323334171819[[#This Row],[Non-Member]]="X"," ",IF(AD10=" "," ",IFERROR(VLOOKUP(AC10,Points!$A$2:$B$14,2,FALSE)," ")))</f>
        <v xml:space="preserve"> </v>
      </c>
      <c r="AF10" s="92"/>
      <c r="AG10" s="93" t="str">
        <f t="shared" si="14"/>
        <v xml:space="preserve"> </v>
      </c>
      <c r="AH10" s="93" t="str">
        <f t="shared" si="15"/>
        <v xml:space="preserve"> </v>
      </c>
      <c r="AI10" s="94" t="str">
        <f>IF(Table622027323334171819[[#This Row],[Non-Member]]="X"," ",IF(AH10=" "," ",IFERROR(VLOOKUP(AG10,Points!$A$2:$B$14,2,FALSE)," ")))</f>
        <v xml:space="preserve"> </v>
      </c>
      <c r="AJ10" s="93">
        <f>IF(Table622027323334171819[[#This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6"/>
        <v>15</v>
      </c>
      <c r="AL10" s="96">
        <f t="shared" si="17"/>
        <v>6</v>
      </c>
    </row>
    <row r="11" spans="2:38" x14ac:dyDescent="0.3">
      <c r="B11" s="90" t="s">
        <v>175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IF(Table622027323334171819[[#This Row],[Non-Member]]="X"," ",IF(F11=" "," ",IFERROR(VLOOKUP(E11,Points!$A$2:$B$14,2,FALSE)," ")))</f>
        <v xml:space="preserve"> </v>
      </c>
      <c r="H11" s="92">
        <v>4.1900000000000004</v>
      </c>
      <c r="I11" s="93">
        <f t="shared" si="2"/>
        <v>4</v>
      </c>
      <c r="J11" s="93">
        <f t="shared" si="3"/>
        <v>4</v>
      </c>
      <c r="K11" s="94">
        <f>IF(Table622027323334171819[[#This Row],[Non-Member]]="X"," ",IF(J11=" "," ",IFERROR(VLOOKUP(I11,Points!$A$2:$B$14,2,FALSE)," ")))</f>
        <v>9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IF(Table622027323334171819[[#This Row],[Non-Member]]="X"," ",IF(N11=" "," ",IFERROR(VLOOKUP(M11,Points!$A$2:$B$14,2,FALSE)," ")))</f>
        <v xml:space="preserve"> </v>
      </c>
      <c r="P11" s="92">
        <v>3.27</v>
      </c>
      <c r="Q11" s="93">
        <f t="shared" si="6"/>
        <v>6</v>
      </c>
      <c r="R11" s="93">
        <f t="shared" si="7"/>
        <v>6</v>
      </c>
      <c r="S11" s="94">
        <f>IF(Table622027323334171819[[#This Row],[Non-Member]]="X"," ",IF(R11=" "," ",IFERROR(VLOOKUP(Q11,Points!$A$2:$B$14,2,FALSE)," ")))</f>
        <v>3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IF(Table622027323334171819[[#This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IF(Table622027323334171819[[#This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IF(Table622027323334171819[[#This Row],[Non-Member]]="X"," ",IF(AD11=" "," ",IFERROR(VLOOKUP(AC11,Points!$A$2:$B$14,2,FALSE)," ")))</f>
        <v xml:space="preserve"> </v>
      </c>
      <c r="AF11" s="92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IF(Table622027323334171819[[#This Row],[Non-Member]]="X"," ",IF(AH11=" "," ",IFERROR(VLOOKUP(AG11,Points!$A$2:$B$14,2,FALSE)," ")))</f>
        <v xml:space="preserve"> </v>
      </c>
      <c r="AJ11" s="93">
        <f>IF(Table622027323334171819[[#This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6"/>
        <v>12</v>
      </c>
      <c r="AL11" s="96">
        <f t="shared" si="17"/>
        <v>7</v>
      </c>
    </row>
    <row r="12" spans="2:38" x14ac:dyDescent="0.3">
      <c r="B12" s="90" t="s">
        <v>136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IF(Table622027323334171819[[#This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IF(Table622027323334171819[[#This Row],[Non-Member]]="X"," ",IF(J12=" "," ",IFERROR(VLOOKUP(I12,Points!$A$2:$B$14,2,FALSE)," ")))</f>
        <v xml:space="preserve"> </v>
      </c>
      <c r="L12" s="92">
        <v>3.45</v>
      </c>
      <c r="M12" s="93">
        <f t="shared" si="4"/>
        <v>4</v>
      </c>
      <c r="N12" s="93">
        <f t="shared" si="5"/>
        <v>4</v>
      </c>
      <c r="O12" s="94">
        <f>IF(Table622027323334171819[[#This Row],[Non-Member]]="X"," ",IF(N12=" "," ",IFERROR(VLOOKUP(M12,Points!$A$2:$B$14,2,FALSE)," ")))</f>
        <v>9</v>
      </c>
      <c r="P12" s="92">
        <v>3.74</v>
      </c>
      <c r="Q12" s="93">
        <f t="shared" si="6"/>
        <v>7</v>
      </c>
      <c r="R12" s="93" t="str">
        <f t="shared" si="7"/>
        <v xml:space="preserve"> </v>
      </c>
      <c r="S12" s="94" t="str">
        <f>IF(Table622027323334171819[[#This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IF(Table622027323334171819[[#This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IF(Table622027323334171819[[#This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IF(Table622027323334171819[[#This Row],[Non-Member]]="X"," ",IF(AD12=" "," ",IFERROR(VLOOKUP(AC12,Points!$A$2:$B$14,2,FALSE)," ")))</f>
        <v xml:space="preserve"> </v>
      </c>
      <c r="AF12" s="160"/>
      <c r="AG12" s="93">
        <v>6</v>
      </c>
      <c r="AH12" s="93" t="str">
        <f t="shared" si="15"/>
        <v xml:space="preserve"> </v>
      </c>
      <c r="AI12" s="94" t="str">
        <f>IF(Table622027323334171819[[#This Row],[Non-Member]]="X"," ",IF(AH12=" "," ",IFERROR(VLOOKUP(AG12,Points!$A$2:$B$14,2,FALSE)," ")))</f>
        <v xml:space="preserve"> </v>
      </c>
      <c r="AJ12" s="93">
        <f>IF(Table622027323334171819[[#This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6"/>
        <v>9</v>
      </c>
      <c r="AL12" s="96">
        <f t="shared" si="17"/>
        <v>8</v>
      </c>
    </row>
    <row r="13" spans="2:38" x14ac:dyDescent="0.3">
      <c r="B13" s="90" t="s">
        <v>73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IF(Table622027323334171819[[#This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IF(Table622027323334171819[[#This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IF(Table622027323334171819[[#This Row],[Non-Member]]="X"," ",IF(N13=" "," ",IFERROR(VLOOKUP(M13,Points!$A$2:$B$14,2,FALSE)," ")))</f>
        <v xml:space="preserve"> </v>
      </c>
      <c r="P13" s="92">
        <v>2.61</v>
      </c>
      <c r="Q13" s="93">
        <f t="shared" si="6"/>
        <v>5</v>
      </c>
      <c r="R13" s="93">
        <f t="shared" si="7"/>
        <v>5</v>
      </c>
      <c r="S13" s="94">
        <f>IF(Table622027323334171819[[#This Row],[Non-Member]]="X"," ",IF(R13=" "," ",IFERROR(VLOOKUP(Q13,Points!$A$2:$B$14,2,FALSE)," ")))</f>
        <v>6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IF(Table622027323334171819[[#This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IF(Table622027323334171819[[#This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IF(Table622027323334171819[[#This Row],[Non-Member]]="X"," ",IF(AD13=" "," ",IFERROR(VLOOKUP(AC13,Points!$A$2:$B$14,2,FALSE)," ")))</f>
        <v xml:space="preserve"> </v>
      </c>
      <c r="AF13" s="92"/>
      <c r="AG13" s="93" t="str">
        <f t="shared" ref="AG13:AG24" si="18">IF(OR(AF13=0,AF13=" ")," ",_xlfn.RANK.AVG(AF13,AF$5:AF$24,1)-COUNTIF(AF$5:AF$24,0))</f>
        <v xml:space="preserve"> </v>
      </c>
      <c r="AH13" s="93" t="str">
        <f t="shared" si="15"/>
        <v xml:space="preserve"> </v>
      </c>
      <c r="AI13" s="94" t="str">
        <f>IF(Table622027323334171819[[#This Row],[Non-Member]]="X"," ",IF(AH13=" "," ",IFERROR(VLOOKUP(AG13,Points!$A$2:$B$14,2,FALSE)," ")))</f>
        <v xml:space="preserve"> </v>
      </c>
      <c r="AJ13" s="93">
        <f>IF(Table622027323334171819[[#This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6"/>
        <v>6</v>
      </c>
      <c r="AL13" s="96">
        <f t="shared" si="17"/>
        <v>9</v>
      </c>
    </row>
    <row r="14" spans="2:38" x14ac:dyDescent="0.3">
      <c r="B14" s="90" t="s">
        <v>195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IF(Table622027323334171819[[#This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IF(Table622027323334171819[[#This Row],[Non-Member]]="X"," ",IF(J14=" "," ",IFERROR(VLOOKUP(I14,Points!$A$2:$B$14,2,FALSE)," ")))</f>
        <v xml:space="preserve"> </v>
      </c>
      <c r="L14" s="92">
        <v>4.5199999999999996</v>
      </c>
      <c r="M14" s="93">
        <f t="shared" si="4"/>
        <v>6</v>
      </c>
      <c r="N14" s="93">
        <f t="shared" si="5"/>
        <v>6</v>
      </c>
      <c r="O14" s="94">
        <f>IF(Table622027323334171819[[#This Row],[Non-Member]]="X"," ",IF(N14=" "," ",IFERROR(VLOOKUP(M14,Points!$A$2:$B$14,2,FALSE)," ")))</f>
        <v>3</v>
      </c>
      <c r="P14" s="92">
        <v>4.96</v>
      </c>
      <c r="Q14" s="93">
        <f t="shared" si="6"/>
        <v>10</v>
      </c>
      <c r="R14" s="93" t="str">
        <f t="shared" si="7"/>
        <v xml:space="preserve"> </v>
      </c>
      <c r="S14" s="94" t="str">
        <f>IF(Table622027323334171819[[#This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IF(Table622027323334171819[[#This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IF(Table622027323334171819[[#This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IF(Table622027323334171819[[#This Row],[Non-Member]]="X"," ",IF(AD14=" "," ",IFERROR(VLOOKUP(AC14,Points!$A$2:$B$14,2,FALSE)," ")))</f>
        <v xml:space="preserve"> </v>
      </c>
      <c r="AF14" s="92"/>
      <c r="AG14" s="93" t="str">
        <f t="shared" si="18"/>
        <v xml:space="preserve"> </v>
      </c>
      <c r="AH14" s="93" t="str">
        <f t="shared" si="15"/>
        <v xml:space="preserve"> </v>
      </c>
      <c r="AI14" s="94" t="str">
        <f>IF(Table622027323334171819[[#This Row],[Non-Member]]="X"," ",IF(AH14=" "," ",IFERROR(VLOOKUP(AG14,Points!$A$2:$B$14,2,FALSE)," ")))</f>
        <v xml:space="preserve"> </v>
      </c>
      <c r="AJ14" s="93">
        <f>IF(Table622027323334171819[[#This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6"/>
        <v>3</v>
      </c>
      <c r="AL14" s="96">
        <f t="shared" si="17"/>
        <v>10</v>
      </c>
    </row>
    <row r="15" spans="2:38" x14ac:dyDescent="0.3">
      <c r="B15" s="90" t="s">
        <v>315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IF(Table622027323334171819[[#This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IF(Table622027323334171819[[#This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IF(Table622027323334171819[[#This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IF(Table622027323334171819[[#This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IF(Table622027323334171819[[#This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IF(Table622027323334171819[[#This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IF(Table622027323334171819[[#This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 t="shared" si="18"/>
        <v xml:space="preserve"> </v>
      </c>
      <c r="AH15" s="93" t="str">
        <f t="shared" si="15"/>
        <v xml:space="preserve"> </v>
      </c>
      <c r="AI15" s="94" t="str">
        <f>IF(Table622027323334171819[[#This Row],[Non-Member]]="X"," ",IF(AH15=" "," ",IFERROR(VLOOKUP(AG15,Points!$A$2:$B$14,2,FALSE)," ")))</f>
        <v xml:space="preserve"> </v>
      </c>
      <c r="AJ15" s="93">
        <f>IF(Table622027323334171819[[#This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6"/>
        <v xml:space="preserve"> </v>
      </c>
      <c r="AL15" s="96" t="str">
        <f t="shared" si="17"/>
        <v xml:space="preserve"> </v>
      </c>
    </row>
    <row r="16" spans="2:38" x14ac:dyDescent="0.3">
      <c r="B16" s="90" t="s">
        <v>247</v>
      </c>
      <c r="C16" s="91" t="s">
        <v>325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IF(Table622027323334171819[[#This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IF(Table622027323334171819[[#This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IF(Table622027323334171819[[#This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IF(Table622027323334171819[[#This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IF(Table622027323334171819[[#This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IF(Table622027323334171819[[#This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IF(Table622027323334171819[[#This Row],[Non-Member]]="X"," ",IF(AD16=" "," ",IFERROR(VLOOKUP(AC16,Points!$A$2:$B$14,2,FALSE)," ")))</f>
        <v xml:space="preserve"> </v>
      </c>
      <c r="AF16" s="92"/>
      <c r="AG16" s="93" t="str">
        <f t="shared" si="18"/>
        <v xml:space="preserve"> </v>
      </c>
      <c r="AH16" s="93" t="str">
        <f t="shared" si="15"/>
        <v xml:space="preserve"> </v>
      </c>
      <c r="AI16" s="94" t="str">
        <f>IF(Table622027323334171819[[#This Row],[Non-Member]]="X"," ",IF(AH16=" "," ",IFERROR(VLOOKUP(AG16,Points!$A$2:$B$14,2,FALSE)," ")))</f>
        <v xml:space="preserve"> </v>
      </c>
      <c r="AJ16" s="93" t="str">
        <f>IF(Table622027323334171819[[#This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 t="s">
        <v>262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IF(Table622027323334171819[[#This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IF(Table622027323334171819[[#This Row],[Non-Member]]="X"," ",IF(J17=" "," ",IFERROR(VLOOKUP(I17,Points!$A$2:$B$14,2,FALSE)," ")))</f>
        <v xml:space="preserve"> </v>
      </c>
      <c r="L17" s="92">
        <v>14</v>
      </c>
      <c r="M17" s="97">
        <f t="shared" si="4"/>
        <v>10</v>
      </c>
      <c r="N17" s="97" t="str">
        <f t="shared" si="5"/>
        <v xml:space="preserve"> </v>
      </c>
      <c r="O17" s="94" t="str">
        <f>IF(Table622027323334171819[[#This Row],[Non-Member]]="X"," ",IF(N17=" "," ",IFERROR(VLOOKUP(M17,Points!$A$2:$B$14,2,FALSE)," ")))</f>
        <v xml:space="preserve"> </v>
      </c>
      <c r="P17" s="92">
        <v>11.57</v>
      </c>
      <c r="Q17" s="97">
        <f t="shared" si="6"/>
        <v>11</v>
      </c>
      <c r="R17" s="97" t="str">
        <f t="shared" si="7"/>
        <v xml:space="preserve"> </v>
      </c>
      <c r="S17" s="94" t="str">
        <f>IF(Table622027323334171819[[#This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IF(Table622027323334171819[[#This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IF(Table622027323334171819[[#This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IF(Table622027323334171819[[#This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7" t="str">
        <f t="shared" si="18"/>
        <v xml:space="preserve"> </v>
      </c>
      <c r="AH17" s="97" t="str">
        <f t="shared" si="15"/>
        <v xml:space="preserve"> </v>
      </c>
      <c r="AI17" s="94" t="str">
        <f>IF(Table622027323334171819[[#This Row],[Non-Member]]="X"," ",IF(AH17=" "," ",IFERROR(VLOOKUP(AG17,Points!$A$2:$B$14,2,FALSE)," ")))</f>
        <v xml:space="preserve"> </v>
      </c>
      <c r="AJ17" s="97">
        <f>IF(Table622027323334171819[[#This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8" t="str">
        <f t="shared" si="17"/>
        <v xml:space="preserve"> </v>
      </c>
    </row>
    <row r="18" spans="2:38" x14ac:dyDescent="0.3">
      <c r="B18" s="90" t="s">
        <v>69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IF(Table622027323334171819[[#This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IF(Table622027323334171819[[#This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IF(Table622027323334171819[[#This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IF(Table622027323334171819[[#This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IF(Table622027323334171819[[#This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IF(Table622027323334171819[[#This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IF(Table622027323334171819[[#This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 t="shared" si="18"/>
        <v xml:space="preserve"> </v>
      </c>
      <c r="AH18" s="93" t="str">
        <f t="shared" si="15"/>
        <v xml:space="preserve"> </v>
      </c>
      <c r="AI18" s="94" t="str">
        <f>IF(Table622027323334171819[[#This Row],[Non-Member]]="X"," ",IF(AH18=" "," ",IFERROR(VLOOKUP(AG18,Points!$A$2:$B$14,2,FALSE)," ")))</f>
        <v xml:space="preserve"> </v>
      </c>
      <c r="AJ18" s="93">
        <f>IF(Table622027323334171819[[#This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 t="s">
        <v>260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IF(Table622027323334171819[[#This Row],[Non-Member]]="X"," ",IF(F19=" "," ",IFERROR(VLOOKUP(E19,Points!$A$2:$B$14,2,FALSE)," ")))</f>
        <v xml:space="preserve"> </v>
      </c>
      <c r="H19" s="92">
        <v>0</v>
      </c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IF(Table622027323334171819[[#This Row],[Non-Member]]="X"," ",IF(J19=" "," ",IFERROR(VLOOKUP(I19,Points!$A$2:$B$14,2,FALSE)," ")))</f>
        <v xml:space="preserve"> </v>
      </c>
      <c r="L19" s="92">
        <v>5.26</v>
      </c>
      <c r="M19" s="97">
        <f t="shared" si="4"/>
        <v>7</v>
      </c>
      <c r="N19" s="97" t="str">
        <f t="shared" si="5"/>
        <v xml:space="preserve"> </v>
      </c>
      <c r="O19" s="94" t="str">
        <f>IF(Table622027323334171819[[#This Row],[Non-Member]]="X"," ",IF(N19=" "," ",IFERROR(VLOOKUP(M19,Points!$A$2:$B$14,2,FALSE)," ")))</f>
        <v xml:space="preserve"> </v>
      </c>
      <c r="P19" s="92">
        <v>4.03</v>
      </c>
      <c r="Q19" s="97">
        <f t="shared" si="6"/>
        <v>9</v>
      </c>
      <c r="R19" s="97" t="str">
        <f t="shared" si="7"/>
        <v xml:space="preserve"> </v>
      </c>
      <c r="S19" s="94" t="str">
        <f>IF(Table622027323334171819[[#This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IF(Table622027323334171819[[#This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IF(Table622027323334171819[[#This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IF(Table622027323334171819[[#This Row],[Non-Member]]="X"," ",IF(AD19=" "," ",IFERROR(VLOOKUP(AC19,Points!$A$2:$B$14,2,FALSE)," ")))</f>
        <v xml:space="preserve"> </v>
      </c>
      <c r="AF19" s="92" t="str">
        <f>IF(OR(X19=0,AB19=0)," ",X19+AB19)</f>
        <v xml:space="preserve"> </v>
      </c>
      <c r="AG19" s="97" t="str">
        <f t="shared" si="18"/>
        <v xml:space="preserve"> </v>
      </c>
      <c r="AH19" s="97" t="str">
        <f t="shared" si="15"/>
        <v xml:space="preserve"> </v>
      </c>
      <c r="AI19" s="94" t="str">
        <f>IF(Table622027323334171819[[#This Row],[Non-Member]]="X"," ",IF(AH19=" "," ",IFERROR(VLOOKUP(AG19,Points!$A$2:$B$14,2,FALSE)," ")))</f>
        <v xml:space="preserve"> </v>
      </c>
      <c r="AJ19" s="97">
        <f>IF(Table622027323334171819[[#This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8" t="str">
        <f t="shared" si="17"/>
        <v xml:space="preserve"> </v>
      </c>
    </row>
    <row r="20" spans="2:38" x14ac:dyDescent="0.3">
      <c r="B20" s="90" t="s">
        <v>264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IF(Table622027323334171819[[#This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IF(Table622027323334171819[[#This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IF(Table622027323334171819[[#This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IF(Table622027323334171819[[#This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IF(Table622027323334171819[[#This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IF(Table622027323334171819[[#This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IF(Table622027323334171819[[#This Row],[Non-Member]]="X"," ",IF(AD20=" "," ",IFERROR(VLOOKUP(AC20,Points!$A$2:$B$14,2,FALSE)," ")))</f>
        <v xml:space="preserve"> </v>
      </c>
      <c r="AF20" s="92"/>
      <c r="AG20" s="93" t="str">
        <f t="shared" si="18"/>
        <v xml:space="preserve"> </v>
      </c>
      <c r="AH20" s="93" t="str">
        <f t="shared" si="15"/>
        <v xml:space="preserve"> </v>
      </c>
      <c r="AI20" s="94" t="str">
        <f>IF(Table622027323334171819[[#This Row],[Non-Member]]="X"," ",IF(AH20=" "," ",IFERROR(VLOOKUP(AG20,Points!$A$2:$B$14,2,FALSE)," ")))</f>
        <v xml:space="preserve"> </v>
      </c>
      <c r="AJ20" s="93">
        <f>IF(Table622027323334171819[[#This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67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IF(Table622027323334171819[[#This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IF(Table622027323334171819[[#This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IF(Table622027323334171819[[#This Row],[Non-Member]]="X"," ",IF(N21=" "," ",IFERROR(VLOOKUP(M21,Points!$A$2:$B$14,2,FALSE)," ")))</f>
        <v xml:space="preserve"> </v>
      </c>
      <c r="P21" s="92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IF(Table622027323334171819[[#This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IF(Table622027323334171819[[#This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IF(Table622027323334171819[[#This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IF(Table622027323334171819[[#This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 t="shared" si="18"/>
        <v xml:space="preserve"> </v>
      </c>
      <c r="AH21" s="93" t="str">
        <f t="shared" si="15"/>
        <v xml:space="preserve"> </v>
      </c>
      <c r="AI21" s="94" t="str">
        <f>IF(Table622027323334171819[[#This Row],[Non-Member]]="X"," ",IF(AH21=" "," ",IFERROR(VLOOKUP(AG21,Points!$A$2:$B$14,2,FALSE)," ")))</f>
        <v xml:space="preserve"> </v>
      </c>
      <c r="AJ21" s="93">
        <f>IF(Table622027323334171819[[#This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IF(Table622027323334171819[[#This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IF(Table622027323334171819[[#This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IF(Table622027323334171819[[#This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IF(Table622027323334171819[[#This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IF(Table622027323334171819[[#This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IF(Table622027323334171819[[#This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IF(Table622027323334171819[[#This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IF(Table622027323334171819[[#This Row],[Non-Member]]="X"," ",IF(AH22=" "," ",IFERROR(VLOOKUP(AG22,Points!$A$2:$B$14,2,FALSE)," ")))</f>
        <v xml:space="preserve"> </v>
      </c>
      <c r="AJ22" s="93">
        <f>IF(Table622027323334171819[[#This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IF(Table622027323334171819[[#This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IF(Table622027323334171819[[#This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IF(Table622027323334171819[[#This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IF(Table622027323334171819[[#This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IF(Table622027323334171819[[#This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IF(Table622027323334171819[[#This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IF(Table622027323334171819[[#This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IF(Table622027323334171819[[#This Row],[Non-Member]]="X"," ",IF(AH23=" "," ",IFERROR(VLOOKUP(AG23,Points!$A$2:$B$14,2,FALSE)," ")))</f>
        <v xml:space="preserve"> </v>
      </c>
      <c r="AJ23" s="93">
        <f>IF(Table622027323334171819[[#This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IF(Table622027323334171819[[#This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IF(Table622027323334171819[[#This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IF(Table622027323334171819[[#This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IF(Table622027323334171819[[#This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IF(Table622027323334171819[[#This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IF(Table622027323334171819[[#This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IF(Table622027323334171819[[#This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 t="shared" si="18"/>
        <v xml:space="preserve"> </v>
      </c>
      <c r="AH24" s="103" t="str">
        <f t="shared" si="15"/>
        <v xml:space="preserve"> </v>
      </c>
      <c r="AI24" s="104" t="str">
        <f>IF(Table622027323334171819[[#This Row],[Non-Member]]="X"," ",IF(AH24=" "," ",IFERROR(VLOOKUP(AG24,Points!$A$2:$B$14,2,FALSE)," ")))</f>
        <v xml:space="preserve"> </v>
      </c>
      <c r="AJ24" s="93">
        <f>IF(Table622027323334171819[[#This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R73d80/SlBb5qte2Ht/Y0GybFesyvwagiT8Y+ZNvhVfCFgI+jzVu0PFXvuS9uzJs0eXqgIY495n++flQ/pzkIQ==" saltValue="kjuiU1Fbjip93NPldnOmf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1">
    <tabColor theme="5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100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129</v>
      </c>
      <c r="C5" s="118">
        <f>IFERROR(IF(VLOOKUP($B5,'PW B-Calf Riding'!$B$5:$AI$24,6,FALSE)=" ",0,VLOOKUP($B5,'PW B-Calf Riding'!$B$5:$AI$24,6,FALSE)),0)+IFERROR(IF(VLOOKUP($B5,'PW B-Goats'!$B$5:$AI$26,6,FALSE)=" ",0,VLOOKUP($B5,'PW B-Goats'!$B$5:$AI$26,6,FALSE)),0)+IFERROR(IF(VLOOKUP($B5,'PW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IFERROR(IF(VLOOKUP($B5,'PW B-Calf Riding'!$B$5:$AI$24,10,FALSE)=" ",0,VLOOKUP($B5,'PW B-Calf Riding'!$B$5:$AI$24,10,FALSE)),0)+IFERROR(IF(VLOOKUP($B5,'PW B-Goats'!$B$5:$AI$26,10,FALSE)=" ",0,VLOOKUP($B5,'PW B-Goats'!$B$5:$AI$26,10,FALSE)),0)+IFERROR(IF(VLOOKUP($B5,'PW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f>
        <v>63</v>
      </c>
      <c r="G5" s="88">
        <f t="shared" ref="G5:G24" si="2">IF(F5&gt;0,F5," ")</f>
        <v>63</v>
      </c>
      <c r="H5" s="84">
        <f t="shared" ref="H5:H24" si="3">IF(F5=0," ",RANK(F5,F$5:F$24,0))</f>
        <v>1</v>
      </c>
      <c r="I5" s="119">
        <f>IFERROR(IF(VLOOKUP($B5,'PW B-Calf Riding'!$B$5:$AI$24,14,FALSE)=" ",0,VLOOKUP($B5,'PW B-Calf Riding'!$B$5:$AI$24,14,FALSE)),0)+IFERROR(IF(VLOOKUP($B5,'PW B-Goats'!$B$5:$AI$26,14,FALSE)=" ",0,VLOOKUP($B5,'PW B-Goats'!$B$5:$AI$26,14,FALSE)),0)+IFERROR(IF(VLOOKUP($B5,'PW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f>
        <v>30</v>
      </c>
      <c r="J5" s="88">
        <f t="shared" ref="J5:J24" si="4">IF(I5&gt;0,I5," ")</f>
        <v>30</v>
      </c>
      <c r="K5" s="84">
        <f t="shared" ref="K5:K24" si="5">IF(I5=0," ",RANK(I5,I$5:I$24,0))</f>
        <v>4</v>
      </c>
      <c r="L5" s="119">
        <f>IFERROR(IF(VLOOKUP($B5,'PW B-Calf Riding'!$B$5:$AI$24,18,FALSE)=" ",0,VLOOKUP($B5,'PW B-Calf Riding'!$B$5:$AI$24,18,FALSE)),0)+IFERROR(IF(VLOOKUP($B5,'PW B-Goats'!$B$5:$AI$26,18,FALSE)=" ",0,VLOOKUP($B5,'PW B-Goats'!$B$5:$AI$26,18,FALSE)),0)+IFERROR(IF(VLOOKUP($B5,'PW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f>
        <v>72</v>
      </c>
      <c r="M5" s="88">
        <f t="shared" ref="M5:M24" si="6">IF(L5&gt;0,L5," ")</f>
        <v>72</v>
      </c>
      <c r="N5" s="84">
        <f t="shared" ref="N5:N24" si="7">IF(L5=0," ",RANK(L5,L$5:L$24,0))</f>
        <v>1</v>
      </c>
      <c r="O5" s="119">
        <f>IFERROR(IF(VLOOKUP($B5,'PW B-Calf Riding'!$B$5:$AI$24,22,FALSE)=" ",0,VLOOKUP($B5,'PW B-Calf Riding'!$B$5:$AI$24,22,FALSE)),0)+IFERROR(IF(VLOOKUP($B5,'PW B-Goats'!$B$5:$AI$26,22,FALSE)=" ",0,VLOOKUP($B5,'PW B-Goats'!$B$5:$AI$26,22,FALSE)),0)+IFERROR(IF(VLOOKUP($B5,'PW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9">
        <f>IFERROR(IF(VLOOKUP($B5,'PW B-Calf Riding'!$B$5:$AI$24,26,FALSE)=" ",0,VLOOKUP($B5,'PW B-Calf Riding'!$B$5:$AI$24,26,FALSE)),0)+IFERROR(IF(VLOOKUP($B5,'PW B-Goats'!$B$5:$AI$26,26,FALSE)=" ",0,VLOOKUP($B5,'PW B-Goats'!$B$5:$AI$26,26,FALSE)),0)+IFERROR(IF(VLOOKUP($B5,'PW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IFERROR(IF(VLOOKUP($B5,'PW B-Calf Riding'!$B$5:$AI$24,30,FALSE)=" ",0,VLOOKUP($B5,'PW B-Calf Riding'!$B$5:$AI$24,30,FALSE)),0)+IFERROR(IF(VLOOKUP($B5,'PW B-Goats'!$B$5:$AI$26,30,FALSE)=" ",0,VLOOKUP($B5,'PW B-Goats'!$B$5:$AI$26,30,FALSE)),0)+IFERROR(IF(VLOOKUP($B5,'PW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IFERROR(IF(VLOOKUP($B5,'PW B-Calf Riding'!$B$5:$AI$24,34,FALSE)=" ",0,VLOOKUP($B5,'PW B-Calf Riding'!$B$5:$AI$24,34,FALSE)),0)+IFERROR(IF(VLOOKUP($B5,'PW B-Goats'!$B$5:$AI$26,34,FALSE)=" ",0,VLOOKUP($B5,'PW B-Goats'!$B$5:$AI$26,34,FALSE)),0)+IFERROR(IF(VLOOKUP($B5,'PW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165</v>
      </c>
      <c r="AB5" s="88">
        <f t="shared" ref="AB5:AB24" si="16">IF(AA5&gt;0,AA5," ")</f>
        <v>165</v>
      </c>
      <c r="AC5" s="84">
        <f t="shared" ref="AC5:AC24" si="17">IF(AB5=" "," ",RANK(AB5,AB$5:AB$24))</f>
        <v>1</v>
      </c>
    </row>
    <row r="6" spans="2:29" x14ac:dyDescent="0.3">
      <c r="B6" s="152" t="s">
        <v>135</v>
      </c>
      <c r="C6" s="120">
        <f>IFERROR(IF(VLOOKUP($B6,'PW B-Calf Riding'!$B$5:$AI$24,6,FALSE)=" ",0,VLOOKUP($B6,'PW B-Calf Riding'!$B$5:$AI$24,6,FALSE)),0)+IFERROR(IF(VLOOKUP($B6,'PW B-Goats'!$B$5:$AI$26,6,FALSE)=" ",0,VLOOKUP($B6,'PW B-Goats'!$B$5:$AI$26,6,FALSE)),0)+IFERROR(IF(VLOOKUP($B6,'PW B-Flags'!$B$5:$AI$24,6,FALSE)=" ",0,VLOOKUP($B6,'PW B-Flags'!$B$5:$AI$24,6,FALSE)),0)+IFERROR(IF(VLOOKUP($B6,'PW B-Breakaway'!$B$5:$AI$24,6,FALSE)=" ",0,VLOOKUP($B6,'PW B-Breakaway'!$B$5:$AI$24,6,FALSE)),0)+IFERROR(IF(VLOOKUP($B6,'PW B-Steer Daubing'!$B$5:$AI$24,6,FALSE)=" ",0,VLOOKUP($B6,'PW B-Steer Daubing'!$B$5:$AI$24,6,FALSE)),0)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IFERROR(IF(VLOOKUP($B6,'PW B-Calf Riding'!$B$5:$AI$24,10,FALSE)=" ",0,VLOOKUP($B6,'PW B-Calf Riding'!$B$5:$AI$24,10,FALSE)),0)+IFERROR(IF(VLOOKUP($B6,'PW B-Goats'!$B$5:$AI$26,10,FALSE)=" ",0,VLOOKUP($B6,'PW B-Goats'!$B$5:$AI$26,10,FALSE)),0)+IFERROR(IF(VLOOKUP($B6,'PW B-Flags'!$B$5:$AI$24,10,FALSE)=" ",0,VLOOKUP($B6,'PW B-Flags'!$B$5:$AI$24,10,FALSE)),0)+IFERROR(IF(VLOOKUP($B6,'PW B-Breakaway'!$B$5:$AI$24,10,FALSE)=" ",0,VLOOKUP($B6,'PW B-Breakaway'!$B$5:$AI$24,10,FALSE)),0)+IFERROR(IF(VLOOKUP($B6,'PW B-Steer Daubing'!$B$5:$AI$24,10,FALSE)=" ",0,VLOOKUP($B6,'PW B-Steer Daubing'!$B$5:$AI$24,10,FALSE)),0)</f>
        <v>48</v>
      </c>
      <c r="G6" s="95">
        <f t="shared" si="2"/>
        <v>48</v>
      </c>
      <c r="H6" s="91">
        <f t="shared" si="3"/>
        <v>3</v>
      </c>
      <c r="I6" s="121">
        <f>IFERROR(IF(VLOOKUP($B6,'PW B-Calf Riding'!$B$5:$AI$24,14,FALSE)=" ",0,VLOOKUP($B6,'PW B-Calf Riding'!$B$5:$AI$24,14,FALSE)),0)+IFERROR(IF(VLOOKUP($B6,'PW B-Goats'!$B$5:$AI$26,14,FALSE)=" ",0,VLOOKUP($B6,'PW B-Goats'!$B$5:$AI$26,14,FALSE)),0)+IFERROR(IF(VLOOKUP($B6,'PW B-Flags'!$B$5:$AI$24,14,FALSE)=" ",0,VLOOKUP($B6,'PW B-Flags'!$B$5:$AI$24,14,FALSE)),0)+IFERROR(IF(VLOOKUP($B6,'PW B-Breakaway'!$B$5:$AI$24,14,FALSE)=" ",0,VLOOKUP($B6,'PW B-Breakaway'!$B$5:$AI$24,14,FALSE)),0)+IFERROR(IF(VLOOKUP($B6,'PW B-Steer Daubing'!$B$5:$AI$24,14,FALSE)=" ",0,VLOOKUP($B6,'PW B-Steer Daubing'!$B$5:$AI$24,14,FALSE)),0)</f>
        <v>36</v>
      </c>
      <c r="J6" s="95">
        <f t="shared" si="4"/>
        <v>36</v>
      </c>
      <c r="K6" s="91">
        <f t="shared" si="5"/>
        <v>2</v>
      </c>
      <c r="L6" s="121">
        <f>IFERROR(IF(VLOOKUP($B6,'PW B-Calf Riding'!$B$5:$AI$24,18,FALSE)=" ",0,VLOOKUP($B6,'PW B-Calf Riding'!$B$5:$AI$24,18,FALSE)),0)+IFERROR(IF(VLOOKUP($B6,'PW B-Goats'!$B$5:$AI$26,18,FALSE)=" ",0,VLOOKUP($B6,'PW B-Goats'!$B$5:$AI$26,18,FALSE)),0)+IFERROR(IF(VLOOKUP($B6,'PW B-Flags'!$B$5:$AI$24,18,FALSE)=" ",0,VLOOKUP($B6,'PW B-Flags'!$B$5:$AI$24,18,FALSE)),0)+IFERROR(IF(VLOOKUP($B6,'PW B-Breakaway'!$B$5:$AI$24,18,FALSE)=" ",0,VLOOKUP($B6,'PW B-Breakaway'!$B$5:$AI$24,18,FALSE)),0)+IFERROR(IF(VLOOKUP($B6,'PW B-Steer Daubing'!$B$5:$AI$24,18,FALSE)=" ",0,VLOOKUP($B6,'PW B-Steer Daubing'!$B$5:$AI$24,18,FALSE)),0)</f>
        <v>33</v>
      </c>
      <c r="M6" s="95">
        <f t="shared" si="6"/>
        <v>33</v>
      </c>
      <c r="N6" s="91">
        <f t="shared" si="7"/>
        <v>2</v>
      </c>
      <c r="O6" s="121">
        <f>IFERROR(IF(VLOOKUP($B6,'PW B-Calf Riding'!$B$5:$AI$24,22,FALSE)=" ",0,VLOOKUP($B6,'PW B-Calf Riding'!$B$5:$AI$24,22,FALSE)),0)+IFERROR(IF(VLOOKUP($B6,'PW B-Goats'!$B$5:$AI$26,22,FALSE)=" ",0,VLOOKUP($B6,'PW B-Goats'!$B$5:$AI$26,22,FALSE)),0)+IFERROR(IF(VLOOKUP($B6,'PW B-Flags'!$B$5:$AI$24,22,FALSE)=" ",0,VLOOKUP($B6,'PW B-Flags'!$B$5:$AI$24,22,FALSE)),0)+IFERROR(IF(VLOOKUP($B6,'PW B-Breakaway'!$B$5:$AI$24,22,FALSE)=" ",0,VLOOKUP($B6,'PW B-Breakaway'!$B$5:$AI$24,22,FALSE)),0)+IFERROR(IF(VLOOKUP($B6,'PW B-Steer Daubing'!$B$5:$AI$24,22,FALSE)=" ",0,VLOOKUP($B6,'PW B-Steer Daubing'!$B$5:$AI$24,22,FALSE)),0)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IFERROR(IF(VLOOKUP($B6,'PW B-Calf Riding'!$B$5:$AI$24,26,FALSE)=" ",0,VLOOKUP($B6,'PW B-Calf Riding'!$B$5:$AI$24,26,FALSE)),0)+IFERROR(IF(VLOOKUP($B6,'PW B-Goats'!$B$5:$AI$26,26,FALSE)=" ",0,VLOOKUP($B6,'PW B-Goats'!$B$5:$AI$26,26,FALSE)),0)+IFERROR(IF(VLOOKUP($B6,'PW B-Flags'!$B$5:$AI$24,26,FALSE)=" ",0,VLOOKUP($B6,'PW B-Flags'!$B$5:$AI$24,26,FALSE)),0)+IFERROR(IF(VLOOKUP($B6,'PW B-Breakaway'!$B$5:$AI$24,26,FALSE)=" ",0,VLOOKUP($B6,'PW B-Breakaway'!$B$5:$AI$24,26,FALSE)),0)+IFERROR(IF(VLOOKUP($B6,'PW B-Steer Daubing'!$B$5:$AI$24,26,FALSE)=" ",0,VLOOKUP($B6,'PW B-Steer Daubing'!$B$5:$AI$24,26,FALSE)),0)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IFERROR(IF(VLOOKUP($B6,'PW B-Calf Riding'!$B$5:$AI$24,30,FALSE)=" ",0,VLOOKUP($B6,'PW B-Calf Riding'!$B$5:$AI$24,30,FALSE)),0)+IFERROR(IF(VLOOKUP($B6,'PW B-Goats'!$B$5:$AI$26,30,FALSE)=" ",0,VLOOKUP($B6,'PW B-Goats'!$B$5:$AI$26,30,FALSE)),0)+IFERROR(IF(VLOOKUP($B6,'PW B-Flags'!$B$5:$AI$24,30,FALSE)=" ",0,VLOOKUP($B6,'PW B-Flags'!$B$5:$AI$24,30,FALSE)),0)+IFERROR(IF(VLOOKUP($B6,'PW B-Breakaway'!$B$5:$AI$24,30,FALSE)=" ",0,VLOOKUP($B6,'PW B-Breakaway'!$B$5:$AI$24,30,FALSE)),0)+IFERROR(IF(VLOOKUP($B6,'PW B-Steer Daubing'!$B$5:$AI$24,30,FALSE)=" ",0,VLOOKUP($B6,'PW B-Steer Daubing'!$B$5:$AI$24,30,FALSE)),0)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IFERROR(IF(VLOOKUP($B6,'PW B-Calf Riding'!$B$5:$AI$24,34,FALSE)=" ",0,VLOOKUP($B6,'PW B-Calf Riding'!$B$5:$AI$24,34,FALSE)),0)+IFERROR(IF(VLOOKUP($B6,'PW B-Goats'!$B$5:$AI$26,34,FALSE)=" ",0,VLOOKUP($B6,'PW B-Goats'!$B$5:$AI$26,34,FALSE)),0)+IFERROR(IF(VLOOKUP($B6,'PW B-Flags'!$B$5:$AI$24,34,FALSE)=" ",0,VLOOKUP($B6,'PW B-Flags'!$B$5:$AI$24,34,FALSE)),0)+IFERROR(IF(VLOOKUP($B6,'PW B-Breakaway'!$B$5:$AI$24,34,FALSE)=" ",0,VLOOKUP($B6,'PW B-Breakaway'!$B$5:$AI$24,34,FALSE)),0)+IFERROR(IF(VLOOKUP($B6,'PW B-Steer Daubing'!$B$5:$AI$24,34,FALSE)=" ",0,VLOOKUP($B6,'PW B-Steer Daubing'!$B$5:$AI$24,34,FALSE)),0)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117</v>
      </c>
      <c r="AB6" s="95">
        <f t="shared" si="16"/>
        <v>117</v>
      </c>
      <c r="AC6" s="91">
        <f t="shared" si="17"/>
        <v>2</v>
      </c>
    </row>
    <row r="7" spans="2:29" x14ac:dyDescent="0.3">
      <c r="B7" s="140" t="s">
        <v>68</v>
      </c>
      <c r="C7" s="120">
        <f>IFERROR(IF(VLOOKUP($B7,'PW B-Calf Riding'!$B$5:$AI$24,6,FALSE)=" ",0,VLOOKUP($B7,'PW B-Calf Riding'!$B$5:$AI$24,6,FALSE)),0)+IFERROR(IF(VLOOKUP($B7,'PW B-Goats'!$B$5:$AI$26,6,FALSE)=" ",0,VLOOKUP($B7,'PW B-Goats'!$B$5:$AI$26,6,FALSE)),0)+IFERROR(IF(VLOOKUP($B7,'PW B-Flags'!$B$5:$AI$24,6,FALSE)=" ",0,VLOOKUP($B7,'PW B-Flags'!$B$5:$AI$24,6,FALSE)),0)+IFERROR(IF(VLOOKUP($B7,'PW B-Breakaway'!$B$5:$AI$24,6,FALSE)=" ",0,VLOOKUP($B7,'PW B-Breakaway'!$B$5:$AI$24,6,FALSE)),0)+IFERROR(IF(VLOOKUP($B7,'PW B-Steer Daubing'!$B$5:$AI$24,6,FALSE)=" ",0,VLOOKUP($B7,'PW B-Steer Daubing'!$B$5:$AI$24,6,FALSE)),0)</f>
        <v>0</v>
      </c>
      <c r="D7" s="95" t="str">
        <f t="shared" si="0"/>
        <v xml:space="preserve"> </v>
      </c>
      <c r="E7" s="122" t="str">
        <f t="shared" si="1"/>
        <v xml:space="preserve"> </v>
      </c>
      <c r="F7" s="121">
        <f>IFERROR(IF(VLOOKUP($B7,'PW B-Calf Riding'!$B$5:$AI$24,10,FALSE)=" ",0,VLOOKUP($B7,'PW B-Calf Riding'!$B$5:$AI$24,10,FALSE)),0)+IFERROR(IF(VLOOKUP($B7,'PW B-Goats'!$B$5:$AI$26,10,FALSE)=" ",0,VLOOKUP($B7,'PW B-Goats'!$B$5:$AI$26,10,FALSE)),0)+IFERROR(IF(VLOOKUP($B7,'PW B-Flags'!$B$5:$AI$24,10,FALSE)=" ",0,VLOOKUP($B7,'PW B-Flags'!$B$5:$AI$24,10,FALSE)),0)+IFERROR(IF(VLOOKUP($B7,'PW B-Breakaway'!$B$5:$AI$24,10,FALSE)=" ",0,VLOOKUP($B7,'PW B-Breakaway'!$B$5:$AI$24,10,FALSE)),0)+IFERROR(IF(VLOOKUP($B7,'PW B-Steer Daubing'!$B$5:$AI$24,10,FALSE)=" ",0,VLOOKUP($B7,'PW B-Steer Daubing'!$B$5:$AI$24,10,FALSE)),0)</f>
        <v>54</v>
      </c>
      <c r="G7" s="95">
        <f t="shared" si="2"/>
        <v>54</v>
      </c>
      <c r="H7" s="122">
        <f t="shared" si="3"/>
        <v>2</v>
      </c>
      <c r="I7" s="121">
        <f>IFERROR(IF(VLOOKUP($B7,'PW B-Calf Riding'!$B$5:$AI$24,14,FALSE)=" ",0,VLOOKUP($B7,'PW B-Calf Riding'!$B$5:$AI$24,14,FALSE)),0)+IFERROR(IF(VLOOKUP($B7,'PW B-Goats'!$B$5:$AI$26,14,FALSE)=" ",0,VLOOKUP($B7,'PW B-Goats'!$B$5:$AI$26,14,FALSE)),0)+IFERROR(IF(VLOOKUP($B7,'PW B-Flags'!$B$5:$AI$24,14,FALSE)=" ",0,VLOOKUP($B7,'PW B-Flags'!$B$5:$AI$24,14,FALSE)),0)+IFERROR(IF(VLOOKUP($B7,'PW B-Breakaway'!$B$5:$AI$24,14,FALSE)=" ",0,VLOOKUP($B7,'PW B-Breakaway'!$B$5:$AI$24,14,FALSE)),0)+IFERROR(IF(VLOOKUP($B7,'PW B-Steer Daubing'!$B$5:$AI$24,14,FALSE)=" ",0,VLOOKUP($B7,'PW B-Steer Daubing'!$B$5:$AI$24,14,FALSE)),0)</f>
        <v>33</v>
      </c>
      <c r="J7" s="95">
        <f t="shared" si="4"/>
        <v>33</v>
      </c>
      <c r="K7" s="122">
        <f t="shared" si="5"/>
        <v>3</v>
      </c>
      <c r="L7" s="121">
        <f>IFERROR(IF(VLOOKUP($B7,'PW B-Calf Riding'!$B$5:$AI$24,18,FALSE)=" ",0,VLOOKUP($B7,'PW B-Calf Riding'!$B$5:$AI$24,18,FALSE)),0)+IFERROR(IF(VLOOKUP($B7,'PW B-Goats'!$B$5:$AI$26,18,FALSE)=" ",0,VLOOKUP($B7,'PW B-Goats'!$B$5:$AI$26,18,FALSE)),0)+IFERROR(IF(VLOOKUP($B7,'PW B-Flags'!$B$5:$AI$24,18,FALSE)=" ",0,VLOOKUP($B7,'PW B-Flags'!$B$5:$AI$24,18,FALSE)),0)+IFERROR(IF(VLOOKUP($B7,'PW B-Breakaway'!$B$5:$AI$24,18,FALSE)=" ",0,VLOOKUP($B7,'PW B-Breakaway'!$B$5:$AI$24,18,FALSE)),0)+IFERROR(IF(VLOOKUP($B7,'PW B-Steer Daubing'!$B$5:$AI$24,18,FALSE)=" ",0,VLOOKUP($B7,'PW B-Steer Daubing'!$B$5:$AI$24,18,FALSE)),0)</f>
        <v>15</v>
      </c>
      <c r="M7" s="95">
        <f t="shared" si="6"/>
        <v>15</v>
      </c>
      <c r="N7" s="122">
        <f t="shared" si="7"/>
        <v>8</v>
      </c>
      <c r="O7" s="121">
        <f>IFERROR(IF(VLOOKUP($B7,'PW B-Calf Riding'!$B$5:$AI$24,22,FALSE)=" ",0,VLOOKUP($B7,'PW B-Calf Riding'!$B$5:$AI$24,22,FALSE)),0)+IFERROR(IF(VLOOKUP($B7,'PW B-Goats'!$B$5:$AI$26,22,FALSE)=" ",0,VLOOKUP($B7,'PW B-Goats'!$B$5:$AI$26,22,FALSE)),0)+IFERROR(IF(VLOOKUP($B7,'PW B-Flags'!$B$5:$AI$24,22,FALSE)=" ",0,VLOOKUP($B7,'PW B-Flags'!$B$5:$AI$24,22,FALSE)),0)+IFERROR(IF(VLOOKUP($B7,'PW B-Breakaway'!$B$5:$AI$24,22,FALSE)=" ",0,VLOOKUP($B7,'PW B-Breakaway'!$B$5:$AI$24,22,FALSE)),0)+IFERROR(IF(VLOOKUP($B7,'PW B-Steer Daubing'!$B$5:$AI$24,22,FALSE)=" ",0,VLOOKUP($B7,'PW B-Steer Daubing'!$B$5:$AI$24,22,FALSE)),0)</f>
        <v>0</v>
      </c>
      <c r="P7" s="95" t="str">
        <f t="shared" si="8"/>
        <v xml:space="preserve"> </v>
      </c>
      <c r="Q7" s="122" t="str">
        <f t="shared" si="9"/>
        <v xml:space="preserve"> </v>
      </c>
      <c r="R7" s="121">
        <f>IFERROR(IF(VLOOKUP($B7,'PW B-Calf Riding'!$B$5:$AI$24,26,FALSE)=" ",0,VLOOKUP($B7,'PW B-Calf Riding'!$B$5:$AI$24,26,FALSE)),0)+IFERROR(IF(VLOOKUP($B7,'PW B-Goats'!$B$5:$AI$26,26,FALSE)=" ",0,VLOOKUP($B7,'PW B-Goats'!$B$5:$AI$26,26,FALSE)),0)+IFERROR(IF(VLOOKUP($B7,'PW B-Flags'!$B$5:$AI$24,26,FALSE)=" ",0,VLOOKUP($B7,'PW B-Flags'!$B$5:$AI$24,26,FALSE)),0)+IFERROR(IF(VLOOKUP($B7,'PW B-Breakaway'!$B$5:$AI$24,26,FALSE)=" ",0,VLOOKUP($B7,'PW B-Breakaway'!$B$5:$AI$24,26,FALSE)),0)+IFERROR(IF(VLOOKUP($B7,'PW B-Steer Daubing'!$B$5:$AI$24,26,FALSE)=" ",0,VLOOKUP($B7,'PW B-Steer Daubing'!$B$5:$AI$24,26,FALSE)),0)</f>
        <v>0</v>
      </c>
      <c r="S7" s="95" t="str">
        <f t="shared" si="10"/>
        <v xml:space="preserve"> </v>
      </c>
      <c r="T7" s="122" t="str">
        <f t="shared" si="11"/>
        <v xml:space="preserve"> </v>
      </c>
      <c r="U7" s="121">
        <f>IFERROR(IF(VLOOKUP($B7,'PW B-Calf Riding'!$B$5:$AI$24,30,FALSE)=" ",0,VLOOKUP($B7,'PW B-Calf Riding'!$B$5:$AI$24,30,FALSE)),0)+IFERROR(IF(VLOOKUP($B7,'PW B-Goats'!$B$5:$AI$26,30,FALSE)=" ",0,VLOOKUP($B7,'PW B-Goats'!$B$5:$AI$26,30,FALSE)),0)+IFERROR(IF(VLOOKUP($B7,'PW B-Flags'!$B$5:$AI$24,30,FALSE)=" ",0,VLOOKUP($B7,'PW B-Flags'!$B$5:$AI$24,30,FALSE)),0)+IFERROR(IF(VLOOKUP($B7,'PW B-Breakaway'!$B$5:$AI$24,30,FALSE)=" ",0,VLOOKUP($B7,'PW B-Breakaway'!$B$5:$AI$24,30,FALSE)),0)+IFERROR(IF(VLOOKUP($B7,'PW B-Steer Daubing'!$B$5:$AI$24,30,FALSE)=" ",0,VLOOKUP($B7,'PW B-Steer Daubing'!$B$5:$AI$24,30,FALSE)),0)</f>
        <v>0</v>
      </c>
      <c r="V7" s="95" t="str">
        <f t="shared" si="12"/>
        <v xml:space="preserve"> </v>
      </c>
      <c r="W7" s="122" t="str">
        <f t="shared" si="13"/>
        <v xml:space="preserve"> </v>
      </c>
      <c r="X7" s="121">
        <f>IFERROR(IF(VLOOKUP($B7,'PW B-Calf Riding'!$B$5:$AI$24,34,FALSE)=" ",0,VLOOKUP($B7,'PW B-Calf Riding'!$B$5:$AI$24,34,FALSE)),0)+IFERROR(IF(VLOOKUP($B7,'PW B-Goats'!$B$5:$AI$26,34,FALSE)=" ",0,VLOOKUP($B7,'PW B-Goats'!$B$5:$AI$26,34,FALSE)),0)+IFERROR(IF(VLOOKUP($B7,'PW B-Flags'!$B$5:$AI$24,34,FALSE)=" ",0,VLOOKUP($B7,'PW B-Flags'!$B$5:$AI$24,34,FALSE)),0)+IFERROR(IF(VLOOKUP($B7,'PW B-Breakaway'!$B$5:$AI$24,34,FALSE)=" ",0,VLOOKUP($B7,'PW B-Breakaway'!$B$5:$AI$24,34,FALSE)),0)+IFERROR(IF(VLOOKUP($B7,'PW B-Steer Daubing'!$B$5:$AI$24,34,FALSE)=" ",0,VLOOKUP($B7,'PW B-Steer Daubing'!$B$5:$AI$24,34,FALSE)),0)</f>
        <v>0</v>
      </c>
      <c r="Y7" s="95" t="str">
        <f t="shared" si="14"/>
        <v xml:space="preserve"> </v>
      </c>
      <c r="Z7" s="122" t="str">
        <f t="shared" si="15"/>
        <v xml:space="preserve"> </v>
      </c>
      <c r="AA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102</v>
      </c>
      <c r="AB7" s="95">
        <f t="shared" si="16"/>
        <v>102</v>
      </c>
      <c r="AC7" s="122">
        <f t="shared" si="17"/>
        <v>3</v>
      </c>
    </row>
    <row r="8" spans="2:29" x14ac:dyDescent="0.3">
      <c r="B8" s="140" t="s">
        <v>130</v>
      </c>
      <c r="C8" s="120">
        <f>IFERROR(IF(VLOOKUP($B8,'PW B-Calf Riding'!$B$5:$AI$24,6,FALSE)=" ",0,VLOOKUP($B8,'PW B-Calf Riding'!$B$5:$AI$24,6,FALSE)),0)+IFERROR(IF(VLOOKUP($B8,'PW B-Goats'!$B$5:$AI$26,6,FALSE)=" ",0,VLOOKUP($B8,'PW B-Goats'!$B$5:$AI$26,6,FALSE)),0)+IFERROR(IF(VLOOKUP($B8,'PW B-Flags'!$B$5:$AI$24,6,FALSE)=" ",0,VLOOKUP($B8,'PW B-Flags'!$B$5:$AI$24,6,FALSE)),0)+IFERROR(IF(VLOOKUP($B8,'PW B-Breakaway'!$B$5:$AI$24,6,FALSE)=" ",0,VLOOKUP($B8,'PW B-Breakaway'!$B$5:$AI$24,6,FALSE)),0)+IFERROR(IF(VLOOKUP($B8,'PW B-Steer Daubing'!$B$5:$AI$24,6,FALSE)=" ",0,VLOOKUP($B8,'PW B-Steer Daubing'!$B$5:$AI$24,6,FALSE)),0)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IFERROR(IF(VLOOKUP($B8,'PW B-Calf Riding'!$B$5:$AI$24,10,FALSE)=" ",0,VLOOKUP($B8,'PW B-Calf Riding'!$B$5:$AI$24,10,FALSE)),0)+IFERROR(IF(VLOOKUP($B8,'PW B-Goats'!$B$5:$AI$26,10,FALSE)=" ",0,VLOOKUP($B8,'PW B-Goats'!$B$5:$AI$26,10,FALSE)),0)+IFERROR(IF(VLOOKUP($B8,'PW B-Flags'!$B$5:$AI$24,10,FALSE)=" ",0,VLOOKUP($B8,'PW B-Flags'!$B$5:$AI$24,10,FALSE)),0)+IFERROR(IF(VLOOKUP($B8,'PW B-Breakaway'!$B$5:$AI$24,10,FALSE)=" ",0,VLOOKUP($B8,'PW B-Breakaway'!$B$5:$AI$24,10,FALSE)),0)+IFERROR(IF(VLOOKUP($B8,'PW B-Steer Daubing'!$B$5:$AI$24,10,FALSE)=" ",0,VLOOKUP($B8,'PW B-Steer Daubing'!$B$5:$AI$24,10,FALSE)),0)</f>
        <v>42</v>
      </c>
      <c r="G8" s="95">
        <f t="shared" si="2"/>
        <v>42</v>
      </c>
      <c r="H8" s="91">
        <f t="shared" si="3"/>
        <v>4</v>
      </c>
      <c r="I8" s="121">
        <f>IFERROR(IF(VLOOKUP($B8,'PW B-Calf Riding'!$B$5:$AI$24,14,FALSE)=" ",0,VLOOKUP($B8,'PW B-Calf Riding'!$B$5:$AI$24,14,FALSE)),0)+IFERROR(IF(VLOOKUP($B8,'PW B-Goats'!$B$5:$AI$26,14,FALSE)=" ",0,VLOOKUP($B8,'PW B-Goats'!$B$5:$AI$26,14,FALSE)),0)+IFERROR(IF(VLOOKUP($B8,'PW B-Flags'!$B$5:$AI$24,14,FALSE)=" ",0,VLOOKUP($B8,'PW B-Flags'!$B$5:$AI$24,14,FALSE)),0)+IFERROR(IF(VLOOKUP($B8,'PW B-Breakaway'!$B$5:$AI$24,14,FALSE)=" ",0,VLOOKUP($B8,'PW B-Breakaway'!$B$5:$AI$24,14,FALSE)),0)+IFERROR(IF(VLOOKUP($B8,'PW B-Steer Daubing'!$B$5:$AI$24,14,FALSE)=" ",0,VLOOKUP($B8,'PW B-Steer Daubing'!$B$5:$AI$24,14,FALSE)),0)</f>
        <v>18</v>
      </c>
      <c r="J8" s="95">
        <f t="shared" si="4"/>
        <v>18</v>
      </c>
      <c r="K8" s="91">
        <f t="shared" si="5"/>
        <v>9</v>
      </c>
      <c r="L8" s="121">
        <f>IFERROR(IF(VLOOKUP($B8,'PW B-Calf Riding'!$B$5:$AI$24,18,FALSE)=" ",0,VLOOKUP($B8,'PW B-Calf Riding'!$B$5:$AI$24,18,FALSE)),0)+IFERROR(IF(VLOOKUP($B8,'PW B-Goats'!$B$5:$AI$26,18,FALSE)=" ",0,VLOOKUP($B8,'PW B-Goats'!$B$5:$AI$26,18,FALSE)),0)+IFERROR(IF(VLOOKUP($B8,'PW B-Flags'!$B$5:$AI$24,18,FALSE)=" ",0,VLOOKUP($B8,'PW B-Flags'!$B$5:$AI$24,18,FALSE)),0)+IFERROR(IF(VLOOKUP($B8,'PW B-Breakaway'!$B$5:$AI$24,18,FALSE)=" ",0,VLOOKUP($B8,'PW B-Breakaway'!$B$5:$AI$24,18,FALSE)),0)+IFERROR(IF(VLOOKUP($B8,'PW B-Steer Daubing'!$B$5:$AI$24,18,FALSE)=" ",0,VLOOKUP($B8,'PW B-Steer Daubing'!$B$5:$AI$24,18,FALSE)),0)</f>
        <v>30</v>
      </c>
      <c r="M8" s="95">
        <f t="shared" si="6"/>
        <v>30</v>
      </c>
      <c r="N8" s="91">
        <f t="shared" si="7"/>
        <v>3</v>
      </c>
      <c r="O8" s="121">
        <f>IFERROR(IF(VLOOKUP($B8,'PW B-Calf Riding'!$B$5:$AI$24,22,FALSE)=" ",0,VLOOKUP($B8,'PW B-Calf Riding'!$B$5:$AI$24,22,FALSE)),0)+IFERROR(IF(VLOOKUP($B8,'PW B-Goats'!$B$5:$AI$26,22,FALSE)=" ",0,VLOOKUP($B8,'PW B-Goats'!$B$5:$AI$26,22,FALSE)),0)+IFERROR(IF(VLOOKUP($B8,'PW B-Flags'!$B$5:$AI$24,22,FALSE)=" ",0,VLOOKUP($B8,'PW B-Flags'!$B$5:$AI$24,22,FALSE)),0)+IFERROR(IF(VLOOKUP($B8,'PW B-Breakaway'!$B$5:$AI$24,22,FALSE)=" ",0,VLOOKUP($B8,'PW B-Breakaway'!$B$5:$AI$24,22,FALSE)),0)+IFERROR(IF(VLOOKUP($B8,'PW B-Steer Daubing'!$B$5:$AI$24,22,FALSE)=" ",0,VLOOKUP($B8,'PW B-Steer Daubing'!$B$5:$AI$24,22,FALSE)),0)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IFERROR(IF(VLOOKUP($B8,'PW B-Calf Riding'!$B$5:$AI$24,26,FALSE)=" ",0,VLOOKUP($B8,'PW B-Calf Riding'!$B$5:$AI$24,26,FALSE)),0)+IFERROR(IF(VLOOKUP($B8,'PW B-Goats'!$B$5:$AI$26,26,FALSE)=" ",0,VLOOKUP($B8,'PW B-Goats'!$B$5:$AI$26,26,FALSE)),0)+IFERROR(IF(VLOOKUP($B8,'PW B-Flags'!$B$5:$AI$24,26,FALSE)=" ",0,VLOOKUP($B8,'PW B-Flags'!$B$5:$AI$24,26,FALSE)),0)+IFERROR(IF(VLOOKUP($B8,'PW B-Breakaway'!$B$5:$AI$24,26,FALSE)=" ",0,VLOOKUP($B8,'PW B-Breakaway'!$B$5:$AI$24,26,FALSE)),0)+IFERROR(IF(VLOOKUP($B8,'PW B-Steer Daubing'!$B$5:$AI$24,26,FALSE)=" ",0,VLOOKUP($B8,'PW B-Steer Daubing'!$B$5:$AI$24,26,FALSE)),0)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IFERROR(IF(VLOOKUP($B8,'PW B-Calf Riding'!$B$5:$AI$24,30,FALSE)=" ",0,VLOOKUP($B8,'PW B-Calf Riding'!$B$5:$AI$24,30,FALSE)),0)+IFERROR(IF(VLOOKUP($B8,'PW B-Goats'!$B$5:$AI$26,30,FALSE)=" ",0,VLOOKUP($B8,'PW B-Goats'!$B$5:$AI$26,30,FALSE)),0)+IFERROR(IF(VLOOKUP($B8,'PW B-Flags'!$B$5:$AI$24,30,FALSE)=" ",0,VLOOKUP($B8,'PW B-Flags'!$B$5:$AI$24,30,FALSE)),0)+IFERROR(IF(VLOOKUP($B8,'PW B-Breakaway'!$B$5:$AI$24,30,FALSE)=" ",0,VLOOKUP($B8,'PW B-Breakaway'!$B$5:$AI$24,30,FALSE)),0)+IFERROR(IF(VLOOKUP($B8,'PW B-Steer Daubing'!$B$5:$AI$24,30,FALSE)=" ",0,VLOOKUP($B8,'PW B-Steer Daubing'!$B$5:$AI$24,30,FALSE)),0)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IFERROR(IF(VLOOKUP($B8,'PW B-Calf Riding'!$B$5:$AI$24,34,FALSE)=" ",0,VLOOKUP($B8,'PW B-Calf Riding'!$B$5:$AI$24,34,FALSE)),0)+IFERROR(IF(VLOOKUP($B8,'PW B-Goats'!$B$5:$AI$26,34,FALSE)=" ",0,VLOOKUP($B8,'PW B-Goats'!$B$5:$AI$26,34,FALSE)),0)+IFERROR(IF(VLOOKUP($B8,'PW B-Flags'!$B$5:$AI$24,34,FALSE)=" ",0,VLOOKUP($B8,'PW B-Flags'!$B$5:$AI$24,34,FALSE)),0)+IFERROR(IF(VLOOKUP($B8,'PW B-Breakaway'!$B$5:$AI$24,34,FALSE)=" ",0,VLOOKUP($B8,'PW B-Breakaway'!$B$5:$AI$24,34,FALSE)),0)+IFERROR(IF(VLOOKUP($B8,'PW B-Steer Daubing'!$B$5:$AI$24,34,FALSE)=" ",0,VLOOKUP($B8,'PW B-Steer Daubing'!$B$5:$AI$24,34,FALSE)),0)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90</v>
      </c>
      <c r="AB8" s="95">
        <f t="shared" si="16"/>
        <v>90</v>
      </c>
      <c r="AC8" s="91">
        <f t="shared" si="17"/>
        <v>4</v>
      </c>
    </row>
    <row r="9" spans="2:29" x14ac:dyDescent="0.3">
      <c r="B9" s="152" t="s">
        <v>195</v>
      </c>
      <c r="C9" s="120">
        <f>IFERROR(IF(VLOOKUP($B9,'PW B-Calf Riding'!$B$5:$AI$24,6,FALSE)=" ",0,VLOOKUP($B9,'PW B-Calf Riding'!$B$5:$AI$24,6,FALSE)),0)+IFERROR(IF(VLOOKUP($B9,'PW B-Goats'!$B$5:$AI$26,6,FALSE)=" ",0,VLOOKUP($B9,'PW B-Goats'!$B$5:$AI$26,6,FALSE)),0)+IFERROR(IF(VLOOKUP($B9,'PW B-Flags'!$B$5:$AI$24,6,FALSE)=" ",0,VLOOKUP($B9,'PW B-Flags'!$B$5:$AI$24,6,FALSE)),0)+IFERROR(IF(VLOOKUP($B9,'PW B-Breakaway'!$B$5:$AI$24,6,FALSE)=" ",0,VLOOKUP($B9,'PW B-Breakaway'!$B$5:$AI$24,6,FALSE)),0)+IFERROR(IF(VLOOKUP($B9,'PW B-Steer Daubing'!$B$5:$AI$24,6,FALSE)=" ",0,VLOOKUP($B9,'PW B-Steer Daubing'!$B$5:$AI$24,6,FALSE)),0)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IFERROR(IF(VLOOKUP($B9,'PW B-Calf Riding'!$B$5:$AI$24,10,FALSE)=" ",0,VLOOKUP($B9,'PW B-Calf Riding'!$B$5:$AI$24,10,FALSE)),0)+IFERROR(IF(VLOOKUP($B9,'PW B-Goats'!$B$5:$AI$26,10,FALSE)=" ",0,VLOOKUP($B9,'PW B-Goats'!$B$5:$AI$26,10,FALSE)),0)+IFERROR(IF(VLOOKUP($B9,'PW B-Flags'!$B$5:$AI$24,10,FALSE)=" ",0,VLOOKUP($B9,'PW B-Flags'!$B$5:$AI$24,10,FALSE)),0)+IFERROR(IF(VLOOKUP($B9,'PW B-Breakaway'!$B$5:$AI$24,10,FALSE)=" ",0,VLOOKUP($B9,'PW B-Breakaway'!$B$5:$AI$24,10,FALSE)),0)+IFERROR(IF(VLOOKUP($B9,'PW B-Steer Daubing'!$B$5:$AI$24,10,FALSE)=" ",0,VLOOKUP($B9,'PW B-Steer Daubing'!$B$5:$AI$24,10,FALSE)),0)</f>
        <v>3</v>
      </c>
      <c r="G9" s="95">
        <f t="shared" si="2"/>
        <v>3</v>
      </c>
      <c r="H9" s="91">
        <f t="shared" si="3"/>
        <v>10</v>
      </c>
      <c r="I9" s="121">
        <f>IFERROR(IF(VLOOKUP($B9,'PW B-Calf Riding'!$B$5:$AI$24,14,FALSE)=" ",0,VLOOKUP($B9,'PW B-Calf Riding'!$B$5:$AI$24,14,FALSE)),0)+IFERROR(IF(VLOOKUP($B9,'PW B-Goats'!$B$5:$AI$26,14,FALSE)=" ",0,VLOOKUP($B9,'PW B-Goats'!$B$5:$AI$26,14,FALSE)),0)+IFERROR(IF(VLOOKUP($B9,'PW B-Flags'!$B$5:$AI$24,14,FALSE)=" ",0,VLOOKUP($B9,'PW B-Flags'!$B$5:$AI$24,14,FALSE)),0)+IFERROR(IF(VLOOKUP($B9,'PW B-Breakaway'!$B$5:$AI$24,14,FALSE)=" ",0,VLOOKUP($B9,'PW B-Breakaway'!$B$5:$AI$24,14,FALSE)),0)+IFERROR(IF(VLOOKUP($B9,'PW B-Steer Daubing'!$B$5:$AI$24,14,FALSE)=" ",0,VLOOKUP($B9,'PW B-Steer Daubing'!$B$5:$AI$24,14,FALSE)),0)</f>
        <v>48</v>
      </c>
      <c r="J9" s="95">
        <f t="shared" si="4"/>
        <v>48</v>
      </c>
      <c r="K9" s="91">
        <f t="shared" si="5"/>
        <v>1</v>
      </c>
      <c r="L9" s="121">
        <f>IFERROR(IF(VLOOKUP($B9,'PW B-Calf Riding'!$B$5:$AI$24,18,FALSE)=" ",0,VLOOKUP($B9,'PW B-Calf Riding'!$B$5:$AI$24,18,FALSE)),0)+IFERROR(IF(VLOOKUP($B9,'PW B-Goats'!$B$5:$AI$26,18,FALSE)=" ",0,VLOOKUP($B9,'PW B-Goats'!$B$5:$AI$26,18,FALSE)),0)+IFERROR(IF(VLOOKUP($B9,'PW B-Flags'!$B$5:$AI$24,18,FALSE)=" ",0,VLOOKUP($B9,'PW B-Flags'!$B$5:$AI$24,18,FALSE)),0)+IFERROR(IF(VLOOKUP($B9,'PW B-Breakaway'!$B$5:$AI$24,18,FALSE)=" ",0,VLOOKUP($B9,'PW B-Breakaway'!$B$5:$AI$24,18,FALSE)),0)+IFERROR(IF(VLOOKUP($B9,'PW B-Steer Daubing'!$B$5:$AI$24,18,FALSE)=" ",0,VLOOKUP($B9,'PW B-Steer Daubing'!$B$5:$AI$24,18,FALSE)),0)</f>
        <v>24</v>
      </c>
      <c r="M9" s="95">
        <f t="shared" si="6"/>
        <v>24</v>
      </c>
      <c r="N9" s="91">
        <f t="shared" si="7"/>
        <v>5</v>
      </c>
      <c r="O9" s="121">
        <f>IFERROR(IF(VLOOKUP($B9,'PW B-Calf Riding'!$B$5:$AI$24,22,FALSE)=" ",0,VLOOKUP($B9,'PW B-Calf Riding'!$B$5:$AI$24,22,FALSE)),0)+IFERROR(IF(VLOOKUP($B9,'PW B-Goats'!$B$5:$AI$26,22,FALSE)=" ",0,VLOOKUP($B9,'PW B-Goats'!$B$5:$AI$26,22,FALSE)),0)+IFERROR(IF(VLOOKUP($B9,'PW B-Flags'!$B$5:$AI$24,22,FALSE)=" ",0,VLOOKUP($B9,'PW B-Flags'!$B$5:$AI$24,22,FALSE)),0)+IFERROR(IF(VLOOKUP($B9,'PW B-Breakaway'!$B$5:$AI$24,22,FALSE)=" ",0,VLOOKUP($B9,'PW B-Breakaway'!$B$5:$AI$24,22,FALSE)),0)+IFERROR(IF(VLOOKUP($B9,'PW B-Steer Daubing'!$B$5:$AI$24,22,FALSE)=" ",0,VLOOKUP($B9,'PW B-Steer Daubing'!$B$5:$AI$24,22,FALSE)),0)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IFERROR(IF(VLOOKUP($B9,'PW B-Calf Riding'!$B$5:$AI$24,26,FALSE)=" ",0,VLOOKUP($B9,'PW B-Calf Riding'!$B$5:$AI$24,26,FALSE)),0)+IFERROR(IF(VLOOKUP($B9,'PW B-Goats'!$B$5:$AI$26,26,FALSE)=" ",0,VLOOKUP($B9,'PW B-Goats'!$B$5:$AI$26,26,FALSE)),0)+IFERROR(IF(VLOOKUP($B9,'PW B-Flags'!$B$5:$AI$24,26,FALSE)=" ",0,VLOOKUP($B9,'PW B-Flags'!$B$5:$AI$24,26,FALSE)),0)+IFERROR(IF(VLOOKUP($B9,'PW B-Breakaway'!$B$5:$AI$24,26,FALSE)=" ",0,VLOOKUP($B9,'PW B-Breakaway'!$B$5:$AI$24,26,FALSE)),0)+IFERROR(IF(VLOOKUP($B9,'PW B-Steer Daubing'!$B$5:$AI$24,26,FALSE)=" ",0,VLOOKUP($B9,'PW B-Steer Daubing'!$B$5:$AI$24,26,FALSE)),0)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IFERROR(IF(VLOOKUP($B9,'PW B-Calf Riding'!$B$5:$AI$24,30,FALSE)=" ",0,VLOOKUP($B9,'PW B-Calf Riding'!$B$5:$AI$24,30,FALSE)),0)+IFERROR(IF(VLOOKUP($B9,'PW B-Goats'!$B$5:$AI$26,30,FALSE)=" ",0,VLOOKUP($B9,'PW B-Goats'!$B$5:$AI$26,30,FALSE)),0)+IFERROR(IF(VLOOKUP($B9,'PW B-Flags'!$B$5:$AI$24,30,FALSE)=" ",0,VLOOKUP($B9,'PW B-Flags'!$B$5:$AI$24,30,FALSE)),0)+IFERROR(IF(VLOOKUP($B9,'PW B-Breakaway'!$B$5:$AI$24,30,FALSE)=" ",0,VLOOKUP($B9,'PW B-Breakaway'!$B$5:$AI$24,30,FALSE)),0)+IFERROR(IF(VLOOKUP($B9,'PW B-Steer Daubing'!$B$5:$AI$24,30,FALSE)=" ",0,VLOOKUP($B9,'PW B-Steer Daubing'!$B$5:$AI$24,30,FALSE)),0)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IFERROR(IF(VLOOKUP($B9,'PW B-Calf Riding'!$B$5:$AI$24,34,FALSE)=" ",0,VLOOKUP($B9,'PW B-Calf Riding'!$B$5:$AI$24,34,FALSE)),0)+IFERROR(IF(VLOOKUP($B9,'PW B-Goats'!$B$5:$AI$26,34,FALSE)=" ",0,VLOOKUP($B9,'PW B-Goats'!$B$5:$AI$26,34,FALSE)),0)+IFERROR(IF(VLOOKUP($B9,'PW B-Flags'!$B$5:$AI$24,34,FALSE)=" ",0,VLOOKUP($B9,'PW B-Flags'!$B$5:$AI$24,34,FALSE)),0)+IFERROR(IF(VLOOKUP($B9,'PW B-Breakaway'!$B$5:$AI$24,34,FALSE)=" ",0,VLOOKUP($B9,'PW B-Breakaway'!$B$5:$AI$24,34,FALSE)),0)+IFERROR(IF(VLOOKUP($B9,'PW B-Steer Daubing'!$B$5:$AI$24,34,FALSE)=" ",0,VLOOKUP($B9,'PW B-Steer Daubing'!$B$5:$AI$24,34,FALSE)),0)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75</v>
      </c>
      <c r="AB9" s="95">
        <f t="shared" si="16"/>
        <v>75</v>
      </c>
      <c r="AC9" s="91">
        <f t="shared" si="17"/>
        <v>5</v>
      </c>
    </row>
    <row r="10" spans="2:29" x14ac:dyDescent="0.3">
      <c r="B10" s="152" t="s">
        <v>71</v>
      </c>
      <c r="C10" s="120">
        <f>IFERROR(IF(VLOOKUP($B10,'PW B-Calf Riding'!$B$5:$AI$24,6,FALSE)=" ",0,VLOOKUP($B10,'PW B-Calf Riding'!$B$5:$AI$24,6,FALSE)),0)+IFERROR(IF(VLOOKUP($B10,'PW B-Goats'!$B$5:$AI$26,6,FALSE)=" ",0,VLOOKUP($B10,'PW B-Goats'!$B$5:$AI$26,6,FALSE)),0)+IFERROR(IF(VLOOKUP($B10,'PW B-Flags'!$B$5:$AI$24,6,FALSE)=" ",0,VLOOKUP($B10,'PW B-Flags'!$B$5:$AI$24,6,FALSE)),0)+IFERROR(IF(VLOOKUP($B10,'PW B-Breakaway'!$B$5:$AI$24,6,FALSE)=" ",0,VLOOKUP($B10,'PW B-Breakaway'!$B$5:$AI$24,6,FALSE)),0)+IFERROR(IF(VLOOKUP($B10,'PW B-Steer Daubing'!$B$5:$AI$24,6,FALSE)=" ",0,VLOOKUP($B10,'PW B-Steer Daubing'!$B$5:$AI$24,6,FALSE)),0)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IFERROR(IF(VLOOKUP($B10,'PW B-Calf Riding'!$B$5:$AI$24,10,FALSE)=" ",0,VLOOKUP($B10,'PW B-Calf Riding'!$B$5:$AI$24,10,FALSE)),0)+IFERROR(IF(VLOOKUP($B10,'PW B-Goats'!$B$5:$AI$26,10,FALSE)=" ",0,VLOOKUP($B10,'PW B-Goats'!$B$5:$AI$26,10,FALSE)),0)+IFERROR(IF(VLOOKUP($B10,'PW B-Flags'!$B$5:$AI$24,10,FALSE)=" ",0,VLOOKUP($B10,'PW B-Flags'!$B$5:$AI$24,10,FALSE)),0)+IFERROR(IF(VLOOKUP($B10,'PW B-Breakaway'!$B$5:$AI$24,10,FALSE)=" ",0,VLOOKUP($B10,'PW B-Breakaway'!$B$5:$AI$24,10,FALSE)),0)+IFERROR(IF(VLOOKUP($B10,'PW B-Steer Daubing'!$B$5:$AI$24,10,FALSE)=" ",0,VLOOKUP($B10,'PW B-Steer Daubing'!$B$5:$AI$24,10,FALSE)),0)</f>
        <v>18</v>
      </c>
      <c r="G10" s="95">
        <f t="shared" si="2"/>
        <v>18</v>
      </c>
      <c r="H10" s="91">
        <f t="shared" si="3"/>
        <v>5</v>
      </c>
      <c r="I10" s="121">
        <f>IFERROR(IF(VLOOKUP($B10,'PW B-Calf Riding'!$B$5:$AI$24,14,FALSE)=" ",0,VLOOKUP($B10,'PW B-Calf Riding'!$B$5:$AI$24,14,FALSE)),0)+IFERROR(IF(VLOOKUP($B10,'PW B-Goats'!$B$5:$AI$26,14,FALSE)=" ",0,VLOOKUP($B10,'PW B-Goats'!$B$5:$AI$26,14,FALSE)),0)+IFERROR(IF(VLOOKUP($B10,'PW B-Flags'!$B$5:$AI$24,14,FALSE)=" ",0,VLOOKUP($B10,'PW B-Flags'!$B$5:$AI$24,14,FALSE)),0)+IFERROR(IF(VLOOKUP($B10,'PW B-Breakaway'!$B$5:$AI$24,14,FALSE)=" ",0,VLOOKUP($B10,'PW B-Breakaway'!$B$5:$AI$24,14,FALSE)),0)+IFERROR(IF(VLOOKUP($B10,'PW B-Steer Daubing'!$B$5:$AI$24,14,FALSE)=" ",0,VLOOKUP($B10,'PW B-Steer Daubing'!$B$5:$AI$24,14,FALSE)),0)</f>
        <v>27</v>
      </c>
      <c r="J10" s="95">
        <f t="shared" si="4"/>
        <v>27</v>
      </c>
      <c r="K10" s="91">
        <f t="shared" si="5"/>
        <v>5</v>
      </c>
      <c r="L10" s="121">
        <f>IFERROR(IF(VLOOKUP($B10,'PW B-Calf Riding'!$B$5:$AI$24,18,FALSE)=" ",0,VLOOKUP($B10,'PW B-Calf Riding'!$B$5:$AI$24,18,FALSE)),0)+IFERROR(IF(VLOOKUP($B10,'PW B-Goats'!$B$5:$AI$26,18,FALSE)=" ",0,VLOOKUP($B10,'PW B-Goats'!$B$5:$AI$26,18,FALSE)),0)+IFERROR(IF(VLOOKUP($B10,'PW B-Flags'!$B$5:$AI$24,18,FALSE)=" ",0,VLOOKUP($B10,'PW B-Flags'!$B$5:$AI$24,18,FALSE)),0)+IFERROR(IF(VLOOKUP($B10,'PW B-Breakaway'!$B$5:$AI$24,18,FALSE)=" ",0,VLOOKUP($B10,'PW B-Breakaway'!$B$5:$AI$24,18,FALSE)),0)+IFERROR(IF(VLOOKUP($B10,'PW B-Steer Daubing'!$B$5:$AI$24,18,FALSE)=" ",0,VLOOKUP($B10,'PW B-Steer Daubing'!$B$5:$AI$24,18,FALSE)),0)</f>
        <v>18</v>
      </c>
      <c r="M10" s="95">
        <f t="shared" si="6"/>
        <v>18</v>
      </c>
      <c r="N10" s="91">
        <f t="shared" si="7"/>
        <v>7</v>
      </c>
      <c r="O10" s="121">
        <f>IFERROR(IF(VLOOKUP($B10,'PW B-Calf Riding'!$B$5:$AI$24,22,FALSE)=" ",0,VLOOKUP($B10,'PW B-Calf Riding'!$B$5:$AI$24,22,FALSE)),0)+IFERROR(IF(VLOOKUP($B10,'PW B-Goats'!$B$5:$AI$26,22,FALSE)=" ",0,VLOOKUP($B10,'PW B-Goats'!$B$5:$AI$26,22,FALSE)),0)+IFERROR(IF(VLOOKUP($B10,'PW B-Flags'!$B$5:$AI$24,22,FALSE)=" ",0,VLOOKUP($B10,'PW B-Flags'!$B$5:$AI$24,22,FALSE)),0)+IFERROR(IF(VLOOKUP($B10,'PW B-Breakaway'!$B$5:$AI$24,22,FALSE)=" ",0,VLOOKUP($B10,'PW B-Breakaway'!$B$5:$AI$24,22,FALSE)),0)+IFERROR(IF(VLOOKUP($B10,'PW B-Steer Daubing'!$B$5:$AI$24,22,FALSE)=" ",0,VLOOKUP($B10,'PW B-Steer Daubing'!$B$5:$AI$24,22,FALSE)),0)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IFERROR(IF(VLOOKUP($B10,'PW B-Calf Riding'!$B$5:$AI$24,26,FALSE)=" ",0,VLOOKUP($B10,'PW B-Calf Riding'!$B$5:$AI$24,26,FALSE)),0)+IFERROR(IF(VLOOKUP($B10,'PW B-Goats'!$B$5:$AI$26,26,FALSE)=" ",0,VLOOKUP($B10,'PW B-Goats'!$B$5:$AI$26,26,FALSE)),0)+IFERROR(IF(VLOOKUP($B10,'PW B-Flags'!$B$5:$AI$24,26,FALSE)=" ",0,VLOOKUP($B10,'PW B-Flags'!$B$5:$AI$24,26,FALSE)),0)+IFERROR(IF(VLOOKUP($B10,'PW B-Breakaway'!$B$5:$AI$24,26,FALSE)=" ",0,VLOOKUP($B10,'PW B-Breakaway'!$B$5:$AI$24,26,FALSE)),0)+IFERROR(IF(VLOOKUP($B10,'PW B-Steer Daubing'!$B$5:$AI$24,26,FALSE)=" ",0,VLOOKUP($B10,'PW B-Steer Daubing'!$B$5:$AI$24,26,FALSE)),0)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IFERROR(IF(VLOOKUP($B10,'PW B-Calf Riding'!$B$5:$AI$24,30,FALSE)=" ",0,VLOOKUP($B10,'PW B-Calf Riding'!$B$5:$AI$24,30,FALSE)),0)+IFERROR(IF(VLOOKUP($B10,'PW B-Goats'!$B$5:$AI$26,30,FALSE)=" ",0,VLOOKUP($B10,'PW B-Goats'!$B$5:$AI$26,30,FALSE)),0)+IFERROR(IF(VLOOKUP($B10,'PW B-Flags'!$B$5:$AI$24,30,FALSE)=" ",0,VLOOKUP($B10,'PW B-Flags'!$B$5:$AI$24,30,FALSE)),0)+IFERROR(IF(VLOOKUP($B10,'PW B-Breakaway'!$B$5:$AI$24,30,FALSE)=" ",0,VLOOKUP($B10,'PW B-Breakaway'!$B$5:$AI$24,30,FALSE)),0)+IFERROR(IF(VLOOKUP($B10,'PW B-Steer Daubing'!$B$5:$AI$24,30,FALSE)=" ",0,VLOOKUP($B10,'PW B-Steer Daubing'!$B$5:$AI$24,30,FALSE)),0)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IFERROR(IF(VLOOKUP($B10,'PW B-Calf Riding'!$B$5:$AI$24,34,FALSE)=" ",0,VLOOKUP($B10,'PW B-Calf Riding'!$B$5:$AI$24,34,FALSE)),0)+IFERROR(IF(VLOOKUP($B10,'PW B-Goats'!$B$5:$AI$26,34,FALSE)=" ",0,VLOOKUP($B10,'PW B-Goats'!$B$5:$AI$26,34,FALSE)),0)+IFERROR(IF(VLOOKUP($B10,'PW B-Flags'!$B$5:$AI$24,34,FALSE)=" ",0,VLOOKUP($B10,'PW B-Flags'!$B$5:$AI$24,34,FALSE)),0)+IFERROR(IF(VLOOKUP($B10,'PW B-Breakaway'!$B$5:$AI$24,34,FALSE)=" ",0,VLOOKUP($B10,'PW B-Breakaway'!$B$5:$AI$24,34,FALSE)),0)+IFERROR(IF(VLOOKUP($B10,'PW B-Steer Daubing'!$B$5:$AI$24,34,FALSE)=" ",0,VLOOKUP($B10,'PW B-Steer Daubing'!$B$5:$AI$24,34,FALSE)),0)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63</v>
      </c>
      <c r="AB10" s="95">
        <f t="shared" si="16"/>
        <v>63</v>
      </c>
      <c r="AC10" s="91">
        <f t="shared" si="17"/>
        <v>6</v>
      </c>
    </row>
    <row r="11" spans="2:29" x14ac:dyDescent="0.3">
      <c r="B11" s="152" t="s">
        <v>316</v>
      </c>
      <c r="C11" s="120">
        <f>IFERROR(IF(VLOOKUP($B11,'PW B-Calf Riding'!$B$5:$AI$24,6,FALSE)=" ",0,VLOOKUP($B11,'PW B-Calf Riding'!$B$5:$AI$24,6,FALSE)),0)+IFERROR(IF(VLOOKUP($B11,'PW B-Goats'!$B$5:$AI$26,6,FALSE)=" ",0,VLOOKUP($B11,'PW B-Goats'!$B$5:$AI$26,6,FALSE)),0)+IFERROR(IF(VLOOKUP($B11,'PW B-Flags'!$B$5:$AI$24,6,FALSE)=" ",0,VLOOKUP($B11,'PW B-Flags'!$B$5:$AI$24,6,FALSE)),0)+IFERROR(IF(VLOOKUP($B11,'PW B-Breakaway'!$B$5:$AI$24,6,FALSE)=" ",0,VLOOKUP($B11,'PW B-Breakaway'!$B$5:$AI$24,6,FALSE)),0)+IFERROR(IF(VLOOKUP($B11,'PW B-Steer Daubing'!$B$5:$AI$24,6,FALSE)=" ",0,VLOOKUP($B11,'PW B-Steer Daubing'!$B$5:$AI$24,6,FALSE)),0)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IFERROR(IF(VLOOKUP($B11,'PW B-Calf Riding'!$B$5:$AI$24,10,FALSE)=" ",0,VLOOKUP($B11,'PW B-Calf Riding'!$B$5:$AI$24,10,FALSE)),0)+IFERROR(IF(VLOOKUP($B11,'PW B-Goats'!$B$5:$AI$26,10,FALSE)=" ",0,VLOOKUP($B11,'PW B-Goats'!$B$5:$AI$26,10,FALSE)),0)+IFERROR(IF(VLOOKUP($B11,'PW B-Flags'!$B$5:$AI$24,10,FALSE)=" ",0,VLOOKUP($B11,'PW B-Flags'!$B$5:$AI$24,10,FALSE)),0)+IFERROR(IF(VLOOKUP($B11,'PW B-Breakaway'!$B$5:$AI$24,10,FALSE)=" ",0,VLOOKUP($B11,'PW B-Breakaway'!$B$5:$AI$24,10,FALSE)),0)+IFERROR(IF(VLOOKUP($B11,'PW B-Steer Daubing'!$B$5:$AI$24,10,FALSE)=" ",0,VLOOKUP($B11,'PW B-Steer Daubing'!$B$5:$AI$24,10,FALSE)),0)</f>
        <v>0</v>
      </c>
      <c r="G11" s="95" t="str">
        <f t="shared" si="2"/>
        <v xml:space="preserve"> </v>
      </c>
      <c r="H11" s="91" t="str">
        <f t="shared" si="3"/>
        <v xml:space="preserve"> </v>
      </c>
      <c r="I11" s="121">
        <f>IFERROR(IF(VLOOKUP($B11,'PW B-Calf Riding'!$B$5:$AI$24,14,FALSE)=" ",0,VLOOKUP($B11,'PW B-Calf Riding'!$B$5:$AI$24,14,FALSE)),0)+IFERROR(IF(VLOOKUP($B11,'PW B-Goats'!$B$5:$AI$26,14,FALSE)=" ",0,VLOOKUP($B11,'PW B-Goats'!$B$5:$AI$26,14,FALSE)),0)+IFERROR(IF(VLOOKUP($B11,'PW B-Flags'!$B$5:$AI$24,14,FALSE)=" ",0,VLOOKUP($B11,'PW B-Flags'!$B$5:$AI$24,14,FALSE)),0)+IFERROR(IF(VLOOKUP($B11,'PW B-Breakaway'!$B$5:$AI$24,14,FALSE)=" ",0,VLOOKUP($B11,'PW B-Breakaway'!$B$5:$AI$24,14,FALSE)),0)+IFERROR(IF(VLOOKUP($B11,'PW B-Steer Daubing'!$B$5:$AI$24,14,FALSE)=" ",0,VLOOKUP($B11,'PW B-Steer Daubing'!$B$5:$AI$24,14,FALSE)),0)</f>
        <v>21</v>
      </c>
      <c r="J11" s="95">
        <f t="shared" si="4"/>
        <v>21</v>
      </c>
      <c r="K11" s="91">
        <f t="shared" si="5"/>
        <v>7</v>
      </c>
      <c r="L11" s="121">
        <f>IFERROR(IF(VLOOKUP($B11,'PW B-Calf Riding'!$B$5:$AI$24,18,FALSE)=" ",0,VLOOKUP($B11,'PW B-Calf Riding'!$B$5:$AI$24,18,FALSE)),0)+IFERROR(IF(VLOOKUP($B11,'PW B-Goats'!$B$5:$AI$26,18,FALSE)=" ",0,VLOOKUP($B11,'PW B-Goats'!$B$5:$AI$26,18,FALSE)),0)+IFERROR(IF(VLOOKUP($B11,'PW B-Flags'!$B$5:$AI$24,18,FALSE)=" ",0,VLOOKUP($B11,'PW B-Flags'!$B$5:$AI$24,18,FALSE)),0)+IFERROR(IF(VLOOKUP($B11,'PW B-Breakaway'!$B$5:$AI$24,18,FALSE)=" ",0,VLOOKUP($B11,'PW B-Breakaway'!$B$5:$AI$24,18,FALSE)),0)+IFERROR(IF(VLOOKUP($B11,'PW B-Steer Daubing'!$B$5:$AI$24,18,FALSE)=" ",0,VLOOKUP($B11,'PW B-Steer Daubing'!$B$5:$AI$24,18,FALSE)),0)</f>
        <v>27</v>
      </c>
      <c r="M11" s="95">
        <f t="shared" si="6"/>
        <v>27</v>
      </c>
      <c r="N11" s="91">
        <f t="shared" si="7"/>
        <v>4</v>
      </c>
      <c r="O11" s="121">
        <f>IFERROR(IF(VLOOKUP($B11,'PW B-Calf Riding'!$B$5:$AI$24,22,FALSE)=" ",0,VLOOKUP($B11,'PW B-Calf Riding'!$B$5:$AI$24,22,FALSE)),0)+IFERROR(IF(VLOOKUP($B11,'PW B-Goats'!$B$5:$AI$26,22,FALSE)=" ",0,VLOOKUP($B11,'PW B-Goats'!$B$5:$AI$26,22,FALSE)),0)+IFERROR(IF(VLOOKUP($B11,'PW B-Flags'!$B$5:$AI$24,22,FALSE)=" ",0,VLOOKUP($B11,'PW B-Flags'!$B$5:$AI$24,22,FALSE)),0)+IFERROR(IF(VLOOKUP($B11,'PW B-Breakaway'!$B$5:$AI$24,22,FALSE)=" ",0,VLOOKUP($B11,'PW B-Breakaway'!$B$5:$AI$24,22,FALSE)),0)+IFERROR(IF(VLOOKUP($B11,'PW B-Steer Daubing'!$B$5:$AI$24,22,FALSE)=" ",0,VLOOKUP($B11,'PW B-Steer Daubing'!$B$5:$AI$24,22,FALSE)),0)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IFERROR(IF(VLOOKUP($B11,'PW B-Calf Riding'!$B$5:$AI$24,26,FALSE)=" ",0,VLOOKUP($B11,'PW B-Calf Riding'!$B$5:$AI$24,26,FALSE)),0)+IFERROR(IF(VLOOKUP($B11,'PW B-Goats'!$B$5:$AI$26,26,FALSE)=" ",0,VLOOKUP($B11,'PW B-Goats'!$B$5:$AI$26,26,FALSE)),0)+IFERROR(IF(VLOOKUP($B11,'PW B-Flags'!$B$5:$AI$24,26,FALSE)=" ",0,VLOOKUP($B11,'PW B-Flags'!$B$5:$AI$24,26,FALSE)),0)+IFERROR(IF(VLOOKUP($B11,'PW B-Breakaway'!$B$5:$AI$24,26,FALSE)=" ",0,VLOOKUP($B11,'PW B-Breakaway'!$B$5:$AI$24,26,FALSE)),0)+IFERROR(IF(VLOOKUP($B11,'PW B-Steer Daubing'!$B$5:$AI$24,26,FALSE)=" ",0,VLOOKUP($B11,'PW B-Steer Daubing'!$B$5:$AI$24,26,FALSE)),0)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IFERROR(IF(VLOOKUP($B11,'PW B-Calf Riding'!$B$5:$AI$24,30,FALSE)=" ",0,VLOOKUP($B11,'PW B-Calf Riding'!$B$5:$AI$24,30,FALSE)),0)+IFERROR(IF(VLOOKUP($B11,'PW B-Goats'!$B$5:$AI$26,30,FALSE)=" ",0,VLOOKUP($B11,'PW B-Goats'!$B$5:$AI$26,30,FALSE)),0)+IFERROR(IF(VLOOKUP($B11,'PW B-Flags'!$B$5:$AI$24,30,FALSE)=" ",0,VLOOKUP($B11,'PW B-Flags'!$B$5:$AI$24,30,FALSE)),0)+IFERROR(IF(VLOOKUP($B11,'PW B-Breakaway'!$B$5:$AI$24,30,FALSE)=" ",0,VLOOKUP($B11,'PW B-Breakaway'!$B$5:$AI$24,30,FALSE)),0)+IFERROR(IF(VLOOKUP($B11,'PW B-Steer Daubing'!$B$5:$AI$24,30,FALSE)=" ",0,VLOOKUP($B11,'PW B-Steer Daubing'!$B$5:$AI$24,30,FALSE)),0)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IFERROR(IF(VLOOKUP($B11,'PW B-Calf Riding'!$B$5:$AI$24,34,FALSE)=" ",0,VLOOKUP($B11,'PW B-Calf Riding'!$B$5:$AI$24,34,FALSE)),0)+IFERROR(IF(VLOOKUP($B11,'PW B-Goats'!$B$5:$AI$26,34,FALSE)=" ",0,VLOOKUP($B11,'PW B-Goats'!$B$5:$AI$26,34,FALSE)),0)+IFERROR(IF(VLOOKUP($B11,'PW B-Flags'!$B$5:$AI$24,34,FALSE)=" ",0,VLOOKUP($B11,'PW B-Flags'!$B$5:$AI$24,34,FALSE)),0)+IFERROR(IF(VLOOKUP($B11,'PW B-Breakaway'!$B$5:$AI$24,34,FALSE)=" ",0,VLOOKUP($B11,'PW B-Breakaway'!$B$5:$AI$24,34,FALSE)),0)+IFERROR(IF(VLOOKUP($B11,'PW B-Steer Daubing'!$B$5:$AI$24,34,FALSE)=" ",0,VLOOKUP($B11,'PW B-Steer Daubing'!$B$5:$AI$24,34,FALSE)),0)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48</v>
      </c>
      <c r="AB11" s="95">
        <f t="shared" si="16"/>
        <v>48</v>
      </c>
      <c r="AC11" s="91">
        <f t="shared" si="17"/>
        <v>7</v>
      </c>
    </row>
    <row r="12" spans="2:29" x14ac:dyDescent="0.3">
      <c r="B12" s="152" t="s">
        <v>136</v>
      </c>
      <c r="C12" s="120">
        <f>IFERROR(IF(VLOOKUP($B12,'PW B-Calf Riding'!$B$5:$AI$24,6,FALSE)=" ",0,VLOOKUP($B12,'PW B-Calf Riding'!$B$5:$AI$24,6,FALSE)),0)+IFERROR(IF(VLOOKUP($B12,'PW B-Goats'!$B$5:$AI$26,6,FALSE)=" ",0,VLOOKUP($B12,'PW B-Goats'!$B$5:$AI$26,6,FALSE)),0)+IFERROR(IF(VLOOKUP($B12,'PW B-Flags'!$B$5:$AI$24,6,FALSE)=" ",0,VLOOKUP($B12,'PW B-Flags'!$B$5:$AI$24,6,FALSE)),0)+IFERROR(IF(VLOOKUP($B12,'PW B-Breakaway'!$B$5:$AI$24,6,FALSE)=" ",0,VLOOKUP($B12,'PW B-Breakaway'!$B$5:$AI$24,6,FALSE)),0)+IFERROR(IF(VLOOKUP($B12,'PW B-Steer Daubing'!$B$5:$AI$24,6,FALSE)=" ",0,VLOOKUP($B12,'PW B-Steer Daubing'!$B$5:$AI$24,6,FALSE)),0)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IFERROR(IF(VLOOKUP($B12,'PW B-Calf Riding'!$B$5:$AI$24,10,FALSE)=" ",0,VLOOKUP($B12,'PW B-Calf Riding'!$B$5:$AI$24,10,FALSE)),0)+IFERROR(IF(VLOOKUP($B12,'PW B-Goats'!$B$5:$AI$26,10,FALSE)=" ",0,VLOOKUP($B12,'PW B-Goats'!$B$5:$AI$26,10,FALSE)),0)+IFERROR(IF(VLOOKUP($B12,'PW B-Flags'!$B$5:$AI$24,10,FALSE)=" ",0,VLOOKUP($B12,'PW B-Flags'!$B$5:$AI$24,10,FALSE)),0)+IFERROR(IF(VLOOKUP($B12,'PW B-Breakaway'!$B$5:$AI$24,10,FALSE)=" ",0,VLOOKUP($B12,'PW B-Breakaway'!$B$5:$AI$24,10,FALSE)),0)+IFERROR(IF(VLOOKUP($B12,'PW B-Steer Daubing'!$B$5:$AI$24,10,FALSE)=" ",0,VLOOKUP($B12,'PW B-Steer Daubing'!$B$5:$AI$24,10,FALSE)),0)</f>
        <v>18</v>
      </c>
      <c r="G12" s="95">
        <f t="shared" si="2"/>
        <v>18</v>
      </c>
      <c r="H12" s="91">
        <f t="shared" si="3"/>
        <v>5</v>
      </c>
      <c r="I12" s="121">
        <f>IFERROR(IF(VLOOKUP($B12,'PW B-Calf Riding'!$B$5:$AI$24,14,FALSE)=" ",0,VLOOKUP($B12,'PW B-Calf Riding'!$B$5:$AI$24,14,FALSE)),0)+IFERROR(IF(VLOOKUP($B12,'PW B-Goats'!$B$5:$AI$26,14,FALSE)=" ",0,VLOOKUP($B12,'PW B-Goats'!$B$5:$AI$26,14,FALSE)),0)+IFERROR(IF(VLOOKUP($B12,'PW B-Flags'!$B$5:$AI$24,14,FALSE)=" ",0,VLOOKUP($B12,'PW B-Flags'!$B$5:$AI$24,14,FALSE)),0)+IFERROR(IF(VLOOKUP($B12,'PW B-Breakaway'!$B$5:$AI$24,14,FALSE)=" ",0,VLOOKUP($B12,'PW B-Breakaway'!$B$5:$AI$24,14,FALSE)),0)+IFERROR(IF(VLOOKUP($B12,'PW B-Steer Daubing'!$B$5:$AI$24,14,FALSE)=" ",0,VLOOKUP($B12,'PW B-Steer Daubing'!$B$5:$AI$24,14,FALSE)),0)</f>
        <v>27</v>
      </c>
      <c r="J12" s="95">
        <f t="shared" si="4"/>
        <v>27</v>
      </c>
      <c r="K12" s="91">
        <f t="shared" si="5"/>
        <v>5</v>
      </c>
      <c r="L12" s="121">
        <f>IFERROR(IF(VLOOKUP($B12,'PW B-Calf Riding'!$B$5:$AI$24,18,FALSE)=" ",0,VLOOKUP($B12,'PW B-Calf Riding'!$B$5:$AI$24,18,FALSE)),0)+IFERROR(IF(VLOOKUP($B12,'PW B-Goats'!$B$5:$AI$26,18,FALSE)=" ",0,VLOOKUP($B12,'PW B-Goats'!$B$5:$AI$26,18,FALSE)),0)+IFERROR(IF(VLOOKUP($B12,'PW B-Flags'!$B$5:$AI$24,18,FALSE)=" ",0,VLOOKUP($B12,'PW B-Flags'!$B$5:$AI$24,18,FALSE)),0)+IFERROR(IF(VLOOKUP($B12,'PW B-Breakaway'!$B$5:$AI$24,18,FALSE)=" ",0,VLOOKUP($B12,'PW B-Breakaway'!$B$5:$AI$24,18,FALSE)),0)+IFERROR(IF(VLOOKUP($B12,'PW B-Steer Daubing'!$B$5:$AI$24,18,FALSE)=" ",0,VLOOKUP($B12,'PW B-Steer Daubing'!$B$5:$AI$24,18,FALSE)),0)</f>
        <v>0</v>
      </c>
      <c r="M12" s="95" t="str">
        <f t="shared" si="6"/>
        <v xml:space="preserve"> </v>
      </c>
      <c r="N12" s="91" t="str">
        <f t="shared" si="7"/>
        <v xml:space="preserve"> </v>
      </c>
      <c r="O12" s="121">
        <f>IFERROR(IF(VLOOKUP($B12,'PW B-Calf Riding'!$B$5:$AI$24,22,FALSE)=" ",0,VLOOKUP($B12,'PW B-Calf Riding'!$B$5:$AI$24,22,FALSE)),0)+IFERROR(IF(VLOOKUP($B12,'PW B-Goats'!$B$5:$AI$26,22,FALSE)=" ",0,VLOOKUP($B12,'PW B-Goats'!$B$5:$AI$26,22,FALSE)),0)+IFERROR(IF(VLOOKUP($B12,'PW B-Flags'!$B$5:$AI$24,22,FALSE)=" ",0,VLOOKUP($B12,'PW B-Flags'!$B$5:$AI$24,22,FALSE)),0)+IFERROR(IF(VLOOKUP($B12,'PW B-Breakaway'!$B$5:$AI$24,22,FALSE)=" ",0,VLOOKUP($B12,'PW B-Breakaway'!$B$5:$AI$24,22,FALSE)),0)+IFERROR(IF(VLOOKUP($B12,'PW B-Steer Daubing'!$B$5:$AI$24,22,FALSE)=" ",0,VLOOKUP($B12,'PW B-Steer Daubing'!$B$5:$AI$24,22,FALSE)),0)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IFERROR(IF(VLOOKUP($B12,'PW B-Calf Riding'!$B$5:$AI$24,26,FALSE)=" ",0,VLOOKUP($B12,'PW B-Calf Riding'!$B$5:$AI$24,26,FALSE)),0)+IFERROR(IF(VLOOKUP($B12,'PW B-Goats'!$B$5:$AI$26,26,FALSE)=" ",0,VLOOKUP($B12,'PW B-Goats'!$B$5:$AI$26,26,FALSE)),0)+IFERROR(IF(VLOOKUP($B12,'PW B-Flags'!$B$5:$AI$24,26,FALSE)=" ",0,VLOOKUP($B12,'PW B-Flags'!$B$5:$AI$24,26,FALSE)),0)+IFERROR(IF(VLOOKUP($B12,'PW B-Breakaway'!$B$5:$AI$24,26,FALSE)=" ",0,VLOOKUP($B12,'PW B-Breakaway'!$B$5:$AI$24,26,FALSE)),0)+IFERROR(IF(VLOOKUP($B12,'PW B-Steer Daubing'!$B$5:$AI$24,26,FALSE)=" ",0,VLOOKUP($B12,'PW B-Steer Daubing'!$B$5:$AI$24,26,FALSE)),0)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IFERROR(IF(VLOOKUP($B12,'PW B-Calf Riding'!$B$5:$AI$24,30,FALSE)=" ",0,VLOOKUP($B12,'PW B-Calf Riding'!$B$5:$AI$24,30,FALSE)),0)+IFERROR(IF(VLOOKUP($B12,'PW B-Goats'!$B$5:$AI$26,30,FALSE)=" ",0,VLOOKUP($B12,'PW B-Goats'!$B$5:$AI$26,30,FALSE)),0)+IFERROR(IF(VLOOKUP($B12,'PW B-Flags'!$B$5:$AI$24,30,FALSE)=" ",0,VLOOKUP($B12,'PW B-Flags'!$B$5:$AI$24,30,FALSE)),0)+IFERROR(IF(VLOOKUP($B12,'PW B-Breakaway'!$B$5:$AI$24,30,FALSE)=" ",0,VLOOKUP($B12,'PW B-Breakaway'!$B$5:$AI$24,30,FALSE)),0)+IFERROR(IF(VLOOKUP($B12,'PW B-Steer Daubing'!$B$5:$AI$24,30,FALSE)=" ",0,VLOOKUP($B12,'PW B-Steer Daubing'!$B$5:$AI$24,30,FALSE)),0)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IFERROR(IF(VLOOKUP($B12,'PW B-Calf Riding'!$B$5:$AI$24,34,FALSE)=" ",0,VLOOKUP($B12,'PW B-Calf Riding'!$B$5:$AI$24,34,FALSE)),0)+IFERROR(IF(VLOOKUP($B12,'PW B-Goats'!$B$5:$AI$26,34,FALSE)=" ",0,VLOOKUP($B12,'PW B-Goats'!$B$5:$AI$26,34,FALSE)),0)+IFERROR(IF(VLOOKUP($B12,'PW B-Flags'!$B$5:$AI$24,34,FALSE)=" ",0,VLOOKUP($B12,'PW B-Flags'!$B$5:$AI$24,34,FALSE)),0)+IFERROR(IF(VLOOKUP($B12,'PW B-Breakaway'!$B$5:$AI$24,34,FALSE)=" ",0,VLOOKUP($B12,'PW B-Breakaway'!$B$5:$AI$24,34,FALSE)),0)+IFERROR(IF(VLOOKUP($B12,'PW B-Steer Daubing'!$B$5:$AI$24,34,FALSE)=" ",0,VLOOKUP($B12,'PW B-Steer Daubing'!$B$5:$AI$24,34,FALSE)),0)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45</v>
      </c>
      <c r="AB12" s="95">
        <f t="shared" si="16"/>
        <v>45</v>
      </c>
      <c r="AC12" s="91">
        <f t="shared" si="17"/>
        <v>8</v>
      </c>
    </row>
    <row r="13" spans="2:29" x14ac:dyDescent="0.3">
      <c r="B13" s="152" t="s">
        <v>262</v>
      </c>
      <c r="C13" s="120">
        <f>IFERROR(IF(VLOOKUP($B13,'PW B-Calf Riding'!$B$5:$AI$24,6,FALSE)=" ",0,VLOOKUP($B13,'PW B-Calf Riding'!$B$5:$AI$24,6,FALSE)),0)+IFERROR(IF(VLOOKUP($B13,'PW B-Goats'!$B$5:$AI$26,6,FALSE)=" ",0,VLOOKUP($B13,'PW B-Goats'!$B$5:$AI$26,6,FALSE)),0)+IFERROR(IF(VLOOKUP($B13,'PW B-Flags'!$B$5:$AI$24,6,FALSE)=" ",0,VLOOKUP($B13,'PW B-Flags'!$B$5:$AI$24,6,FALSE)),0)+IFERROR(IF(VLOOKUP($B13,'PW B-Breakaway'!$B$5:$AI$24,6,FALSE)=" ",0,VLOOKUP($B13,'PW B-Breakaway'!$B$5:$AI$24,6,FALSE)),0)+IFERROR(IF(VLOOKUP($B13,'PW B-Steer Daubing'!$B$5:$AI$24,6,FALSE)=" ",0,VLOOKUP($B13,'PW B-Steer Daubing'!$B$5:$AI$24,6,FALSE)),0)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IFERROR(IF(VLOOKUP($B13,'PW B-Calf Riding'!$B$5:$AI$24,10,FALSE)=" ",0,VLOOKUP($B13,'PW B-Calf Riding'!$B$5:$AI$24,10,FALSE)),0)+IFERROR(IF(VLOOKUP($B13,'PW B-Goats'!$B$5:$AI$26,10,FALSE)=" ",0,VLOOKUP($B13,'PW B-Goats'!$B$5:$AI$26,10,FALSE)),0)+IFERROR(IF(VLOOKUP($B13,'PW B-Flags'!$B$5:$AI$24,10,FALSE)=" ",0,VLOOKUP($B13,'PW B-Flags'!$B$5:$AI$24,10,FALSE)),0)+IFERROR(IF(VLOOKUP($B13,'PW B-Breakaway'!$B$5:$AI$24,10,FALSE)=" ",0,VLOOKUP($B13,'PW B-Breakaway'!$B$5:$AI$24,10,FALSE)),0)+IFERROR(IF(VLOOKUP($B13,'PW B-Steer Daubing'!$B$5:$AI$24,10,FALSE)=" ",0,VLOOKUP($B13,'PW B-Steer Daubing'!$B$5:$AI$24,10,FALSE)),0)</f>
        <v>18</v>
      </c>
      <c r="G13" s="95">
        <f t="shared" si="2"/>
        <v>18</v>
      </c>
      <c r="H13" s="91">
        <f t="shared" si="3"/>
        <v>5</v>
      </c>
      <c r="I13" s="121">
        <f>IFERROR(IF(VLOOKUP($B13,'PW B-Calf Riding'!$B$5:$AI$24,14,FALSE)=" ",0,VLOOKUP($B13,'PW B-Calf Riding'!$B$5:$AI$24,14,FALSE)),0)+IFERROR(IF(VLOOKUP($B13,'PW B-Goats'!$B$5:$AI$26,14,FALSE)=" ",0,VLOOKUP($B13,'PW B-Goats'!$B$5:$AI$26,14,FALSE)),0)+IFERROR(IF(VLOOKUP($B13,'PW B-Flags'!$B$5:$AI$24,14,FALSE)=" ",0,VLOOKUP($B13,'PW B-Flags'!$B$5:$AI$24,14,FALSE)),0)+IFERROR(IF(VLOOKUP($B13,'PW B-Breakaway'!$B$5:$AI$24,14,FALSE)=" ",0,VLOOKUP($B13,'PW B-Breakaway'!$B$5:$AI$24,14,FALSE)),0)+IFERROR(IF(VLOOKUP($B13,'PW B-Steer Daubing'!$B$5:$AI$24,14,FALSE)=" ",0,VLOOKUP($B13,'PW B-Steer Daubing'!$B$5:$AI$24,14,FALSE)),0)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IFERROR(IF(VLOOKUP($B13,'PW B-Calf Riding'!$B$5:$AI$24,18,FALSE)=" ",0,VLOOKUP($B13,'PW B-Calf Riding'!$B$5:$AI$24,18,FALSE)),0)+IFERROR(IF(VLOOKUP($B13,'PW B-Goats'!$B$5:$AI$26,18,FALSE)=" ",0,VLOOKUP($B13,'PW B-Goats'!$B$5:$AI$26,18,FALSE)),0)+IFERROR(IF(VLOOKUP($B13,'PW B-Flags'!$B$5:$AI$24,18,FALSE)=" ",0,VLOOKUP($B13,'PW B-Flags'!$B$5:$AI$24,18,FALSE)),0)+IFERROR(IF(VLOOKUP($B13,'PW B-Breakaway'!$B$5:$AI$24,18,FALSE)=" ",0,VLOOKUP($B13,'PW B-Breakaway'!$B$5:$AI$24,18,FALSE)),0)+IFERROR(IF(VLOOKUP($B13,'PW B-Steer Daubing'!$B$5:$AI$24,18,FALSE)=" ",0,VLOOKUP($B13,'PW B-Steer Daubing'!$B$5:$AI$24,18,FALSE)),0)</f>
        <v>21</v>
      </c>
      <c r="M13" s="95">
        <f t="shared" si="6"/>
        <v>21</v>
      </c>
      <c r="N13" s="91">
        <f t="shared" si="7"/>
        <v>6</v>
      </c>
      <c r="O13" s="121">
        <f>IFERROR(IF(VLOOKUP($B13,'PW B-Calf Riding'!$B$5:$AI$24,22,FALSE)=" ",0,VLOOKUP($B13,'PW B-Calf Riding'!$B$5:$AI$24,22,FALSE)),0)+IFERROR(IF(VLOOKUP($B13,'PW B-Goats'!$B$5:$AI$26,22,FALSE)=" ",0,VLOOKUP($B13,'PW B-Goats'!$B$5:$AI$26,22,FALSE)),0)+IFERROR(IF(VLOOKUP($B13,'PW B-Flags'!$B$5:$AI$24,22,FALSE)=" ",0,VLOOKUP($B13,'PW B-Flags'!$B$5:$AI$24,22,FALSE)),0)+IFERROR(IF(VLOOKUP($B13,'PW B-Breakaway'!$B$5:$AI$24,22,FALSE)=" ",0,VLOOKUP($B13,'PW B-Breakaway'!$B$5:$AI$24,22,FALSE)),0)+IFERROR(IF(VLOOKUP($B13,'PW B-Steer Daubing'!$B$5:$AI$24,22,FALSE)=" ",0,VLOOKUP($B13,'PW B-Steer Daubing'!$B$5:$AI$24,22,FALSE)),0)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IFERROR(IF(VLOOKUP($B13,'PW B-Calf Riding'!$B$5:$AI$24,26,FALSE)=" ",0,VLOOKUP($B13,'PW B-Calf Riding'!$B$5:$AI$24,26,FALSE)),0)+IFERROR(IF(VLOOKUP($B13,'PW B-Goats'!$B$5:$AI$26,26,FALSE)=" ",0,VLOOKUP($B13,'PW B-Goats'!$B$5:$AI$26,26,FALSE)),0)+IFERROR(IF(VLOOKUP($B13,'PW B-Flags'!$B$5:$AI$24,26,FALSE)=" ",0,VLOOKUP($B13,'PW B-Flags'!$B$5:$AI$24,26,FALSE)),0)+IFERROR(IF(VLOOKUP($B13,'PW B-Breakaway'!$B$5:$AI$24,26,FALSE)=" ",0,VLOOKUP($B13,'PW B-Breakaway'!$B$5:$AI$24,26,FALSE)),0)+IFERROR(IF(VLOOKUP($B13,'PW B-Steer Daubing'!$B$5:$AI$24,26,FALSE)=" ",0,VLOOKUP($B13,'PW B-Steer Daubing'!$B$5:$AI$24,26,FALSE)),0)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IFERROR(IF(VLOOKUP($B13,'PW B-Calf Riding'!$B$5:$AI$24,30,FALSE)=" ",0,VLOOKUP($B13,'PW B-Calf Riding'!$B$5:$AI$24,30,FALSE)),0)+IFERROR(IF(VLOOKUP($B13,'PW B-Goats'!$B$5:$AI$26,30,FALSE)=" ",0,VLOOKUP($B13,'PW B-Goats'!$B$5:$AI$26,30,FALSE)),0)+IFERROR(IF(VLOOKUP($B13,'PW B-Flags'!$B$5:$AI$24,30,FALSE)=" ",0,VLOOKUP($B13,'PW B-Flags'!$B$5:$AI$24,30,FALSE)),0)+IFERROR(IF(VLOOKUP($B13,'PW B-Breakaway'!$B$5:$AI$24,30,FALSE)=" ",0,VLOOKUP($B13,'PW B-Breakaway'!$B$5:$AI$24,30,FALSE)),0)+IFERROR(IF(VLOOKUP($B13,'PW B-Steer Daubing'!$B$5:$AI$24,30,FALSE)=" ",0,VLOOKUP($B13,'PW B-Steer Daubing'!$B$5:$AI$24,30,FALSE)),0)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IFERROR(IF(VLOOKUP($B13,'PW B-Calf Riding'!$B$5:$AI$24,34,FALSE)=" ",0,VLOOKUP($B13,'PW B-Calf Riding'!$B$5:$AI$24,34,FALSE)),0)+IFERROR(IF(VLOOKUP($B13,'PW B-Goats'!$B$5:$AI$26,34,FALSE)=" ",0,VLOOKUP($B13,'PW B-Goats'!$B$5:$AI$26,34,FALSE)),0)+IFERROR(IF(VLOOKUP($B13,'PW B-Flags'!$B$5:$AI$24,34,FALSE)=" ",0,VLOOKUP($B13,'PW B-Flags'!$B$5:$AI$24,34,FALSE)),0)+IFERROR(IF(VLOOKUP($B13,'PW B-Breakaway'!$B$5:$AI$24,34,FALSE)=" ",0,VLOOKUP($B13,'PW B-Breakaway'!$B$5:$AI$24,34,FALSE)),0)+IFERROR(IF(VLOOKUP($B13,'PW B-Steer Daubing'!$B$5:$AI$24,34,FALSE)=" ",0,VLOOKUP($B13,'PW B-Steer Daubing'!$B$5:$AI$24,34,FALSE)),0)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39</v>
      </c>
      <c r="AB13" s="95">
        <f t="shared" si="16"/>
        <v>39</v>
      </c>
      <c r="AC13" s="91">
        <f t="shared" si="17"/>
        <v>9</v>
      </c>
    </row>
    <row r="14" spans="2:29" x14ac:dyDescent="0.3">
      <c r="B14" s="152" t="s">
        <v>175</v>
      </c>
      <c r="C14" s="120">
        <f>IFERROR(IF(VLOOKUP($B14,'PW B-Calf Riding'!$B$5:$AI$24,6,FALSE)=" ",0,VLOOKUP($B14,'PW B-Calf Riding'!$B$5:$AI$24,6,FALSE)),0)+IFERROR(IF(VLOOKUP($B14,'PW B-Goats'!$B$5:$AI$26,6,FALSE)=" ",0,VLOOKUP($B14,'PW B-Goats'!$B$5:$AI$26,6,FALSE)),0)+IFERROR(IF(VLOOKUP($B14,'PW B-Flags'!$B$5:$AI$24,6,FALSE)=" ",0,VLOOKUP($B14,'PW B-Flags'!$B$5:$AI$24,6,FALSE)),0)+IFERROR(IF(VLOOKUP($B14,'PW B-Breakaway'!$B$5:$AI$24,6,FALSE)=" ",0,VLOOKUP($B14,'PW B-Breakaway'!$B$5:$AI$24,6,FALSE)),0)+IFERROR(IF(VLOOKUP($B14,'PW B-Steer Daubing'!$B$5:$AI$24,6,FALSE)=" ",0,VLOOKUP($B14,'PW B-Steer Daubing'!$B$5:$AI$24,6,FALSE)),0)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IFERROR(IF(VLOOKUP($B14,'PW B-Calf Riding'!$B$5:$AI$24,10,FALSE)=" ",0,VLOOKUP($B14,'PW B-Calf Riding'!$B$5:$AI$24,10,FALSE)),0)+IFERROR(IF(VLOOKUP($B14,'PW B-Goats'!$B$5:$AI$26,10,FALSE)=" ",0,VLOOKUP($B14,'PW B-Goats'!$B$5:$AI$26,10,FALSE)),0)+IFERROR(IF(VLOOKUP($B14,'PW B-Flags'!$B$5:$AI$24,10,FALSE)=" ",0,VLOOKUP($B14,'PW B-Flags'!$B$5:$AI$24,10,FALSE)),0)+IFERROR(IF(VLOOKUP($B14,'PW B-Breakaway'!$B$5:$AI$24,10,FALSE)=" ",0,VLOOKUP($B14,'PW B-Breakaway'!$B$5:$AI$24,10,FALSE)),0)+IFERROR(IF(VLOOKUP($B14,'PW B-Steer Daubing'!$B$5:$AI$24,10,FALSE)=" ",0,VLOOKUP($B14,'PW B-Steer Daubing'!$B$5:$AI$24,10,FALSE)),0)</f>
        <v>9</v>
      </c>
      <c r="G14" s="95">
        <f t="shared" si="2"/>
        <v>9</v>
      </c>
      <c r="H14" s="91">
        <f t="shared" si="3"/>
        <v>8</v>
      </c>
      <c r="I14" s="121">
        <f>IFERROR(IF(VLOOKUP($B14,'PW B-Calf Riding'!$B$5:$AI$24,14,FALSE)=" ",0,VLOOKUP($B14,'PW B-Calf Riding'!$B$5:$AI$24,14,FALSE)),0)+IFERROR(IF(VLOOKUP($B14,'PW B-Goats'!$B$5:$AI$26,14,FALSE)=" ",0,VLOOKUP($B14,'PW B-Goats'!$B$5:$AI$26,14,FALSE)),0)+IFERROR(IF(VLOOKUP($B14,'PW B-Flags'!$B$5:$AI$24,14,FALSE)=" ",0,VLOOKUP($B14,'PW B-Flags'!$B$5:$AI$24,14,FALSE)),0)+IFERROR(IF(VLOOKUP($B14,'PW B-Breakaway'!$B$5:$AI$24,14,FALSE)=" ",0,VLOOKUP($B14,'PW B-Breakaway'!$B$5:$AI$24,14,FALSE)),0)+IFERROR(IF(VLOOKUP($B14,'PW B-Steer Daubing'!$B$5:$AI$24,14,FALSE)=" ",0,VLOOKUP($B14,'PW B-Steer Daubing'!$B$5:$AI$24,14,FALSE)),0)</f>
        <v>21</v>
      </c>
      <c r="J14" s="95">
        <f t="shared" si="4"/>
        <v>21</v>
      </c>
      <c r="K14" s="91">
        <f t="shared" si="5"/>
        <v>7</v>
      </c>
      <c r="L14" s="121">
        <f>IFERROR(IF(VLOOKUP($B14,'PW B-Calf Riding'!$B$5:$AI$24,18,FALSE)=" ",0,VLOOKUP($B14,'PW B-Calf Riding'!$B$5:$AI$24,18,FALSE)),0)+IFERROR(IF(VLOOKUP($B14,'PW B-Goats'!$B$5:$AI$26,18,FALSE)=" ",0,VLOOKUP($B14,'PW B-Goats'!$B$5:$AI$26,18,FALSE)),0)+IFERROR(IF(VLOOKUP($B14,'PW B-Flags'!$B$5:$AI$24,18,FALSE)=" ",0,VLOOKUP($B14,'PW B-Flags'!$B$5:$AI$24,18,FALSE)),0)+IFERROR(IF(VLOOKUP($B14,'PW B-Breakaway'!$B$5:$AI$24,18,FALSE)=" ",0,VLOOKUP($B14,'PW B-Breakaway'!$B$5:$AI$24,18,FALSE)),0)+IFERROR(IF(VLOOKUP($B14,'PW B-Steer Daubing'!$B$5:$AI$24,18,FALSE)=" ",0,VLOOKUP($B14,'PW B-Steer Daubing'!$B$5:$AI$24,18,FALSE)),0)</f>
        <v>3</v>
      </c>
      <c r="M14" s="95">
        <f t="shared" si="6"/>
        <v>3</v>
      </c>
      <c r="N14" s="91">
        <f t="shared" si="7"/>
        <v>12</v>
      </c>
      <c r="O14" s="121">
        <f>IFERROR(IF(VLOOKUP($B14,'PW B-Calf Riding'!$B$5:$AI$24,22,FALSE)=" ",0,VLOOKUP($B14,'PW B-Calf Riding'!$B$5:$AI$24,22,FALSE)),0)+IFERROR(IF(VLOOKUP($B14,'PW B-Goats'!$B$5:$AI$26,22,FALSE)=" ",0,VLOOKUP($B14,'PW B-Goats'!$B$5:$AI$26,22,FALSE)),0)+IFERROR(IF(VLOOKUP($B14,'PW B-Flags'!$B$5:$AI$24,22,FALSE)=" ",0,VLOOKUP($B14,'PW B-Flags'!$B$5:$AI$24,22,FALSE)),0)+IFERROR(IF(VLOOKUP($B14,'PW B-Breakaway'!$B$5:$AI$24,22,FALSE)=" ",0,VLOOKUP($B14,'PW B-Breakaway'!$B$5:$AI$24,22,FALSE)),0)+IFERROR(IF(VLOOKUP($B14,'PW B-Steer Daubing'!$B$5:$AI$24,22,FALSE)=" ",0,VLOOKUP($B14,'PW B-Steer Daubing'!$B$5:$AI$24,22,FALSE)),0)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IFERROR(IF(VLOOKUP($B14,'PW B-Calf Riding'!$B$5:$AI$24,26,FALSE)=" ",0,VLOOKUP($B14,'PW B-Calf Riding'!$B$5:$AI$24,26,FALSE)),0)+IFERROR(IF(VLOOKUP($B14,'PW B-Goats'!$B$5:$AI$26,26,FALSE)=" ",0,VLOOKUP($B14,'PW B-Goats'!$B$5:$AI$26,26,FALSE)),0)+IFERROR(IF(VLOOKUP($B14,'PW B-Flags'!$B$5:$AI$24,26,FALSE)=" ",0,VLOOKUP($B14,'PW B-Flags'!$B$5:$AI$24,26,FALSE)),0)+IFERROR(IF(VLOOKUP($B14,'PW B-Breakaway'!$B$5:$AI$24,26,FALSE)=" ",0,VLOOKUP($B14,'PW B-Breakaway'!$B$5:$AI$24,26,FALSE)),0)+IFERROR(IF(VLOOKUP($B14,'PW B-Steer Daubing'!$B$5:$AI$24,26,FALSE)=" ",0,VLOOKUP($B14,'PW B-Steer Daubing'!$B$5:$AI$24,26,FALSE)),0)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IFERROR(IF(VLOOKUP($B14,'PW B-Calf Riding'!$B$5:$AI$24,30,FALSE)=" ",0,VLOOKUP($B14,'PW B-Calf Riding'!$B$5:$AI$24,30,FALSE)),0)+IFERROR(IF(VLOOKUP($B14,'PW B-Goats'!$B$5:$AI$26,30,FALSE)=" ",0,VLOOKUP($B14,'PW B-Goats'!$B$5:$AI$26,30,FALSE)),0)+IFERROR(IF(VLOOKUP($B14,'PW B-Flags'!$B$5:$AI$24,30,FALSE)=" ",0,VLOOKUP($B14,'PW B-Flags'!$B$5:$AI$24,30,FALSE)),0)+IFERROR(IF(VLOOKUP($B14,'PW B-Breakaway'!$B$5:$AI$24,30,FALSE)=" ",0,VLOOKUP($B14,'PW B-Breakaway'!$B$5:$AI$24,30,FALSE)),0)+IFERROR(IF(VLOOKUP($B14,'PW B-Steer Daubing'!$B$5:$AI$24,30,FALSE)=" ",0,VLOOKUP($B14,'PW B-Steer Daubing'!$B$5:$AI$24,30,FALSE)),0)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IFERROR(IF(VLOOKUP($B14,'PW B-Calf Riding'!$B$5:$AI$24,34,FALSE)=" ",0,VLOOKUP($B14,'PW B-Calf Riding'!$B$5:$AI$24,34,FALSE)),0)+IFERROR(IF(VLOOKUP($B14,'PW B-Goats'!$B$5:$AI$26,34,FALSE)=" ",0,VLOOKUP($B14,'PW B-Goats'!$B$5:$AI$26,34,FALSE)),0)+IFERROR(IF(VLOOKUP($B14,'PW B-Flags'!$B$5:$AI$24,34,FALSE)=" ",0,VLOOKUP($B14,'PW B-Flags'!$B$5:$AI$24,34,FALSE)),0)+IFERROR(IF(VLOOKUP($B14,'PW B-Breakaway'!$B$5:$AI$24,34,FALSE)=" ",0,VLOOKUP($B14,'PW B-Breakaway'!$B$5:$AI$24,34,FALSE)),0)+IFERROR(IF(VLOOKUP($B14,'PW B-Steer Daubing'!$B$5:$AI$24,34,FALSE)=" ",0,VLOOKUP($B14,'PW B-Steer Daubing'!$B$5:$AI$24,34,FALSE)),0)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33</v>
      </c>
      <c r="AB14" s="95">
        <f t="shared" si="16"/>
        <v>33</v>
      </c>
      <c r="AC14" s="91">
        <f t="shared" si="17"/>
        <v>10</v>
      </c>
    </row>
    <row r="15" spans="2:29" x14ac:dyDescent="0.3">
      <c r="B15" s="152" t="s">
        <v>69</v>
      </c>
      <c r="C15" s="120">
        <f>IFERROR(IF(VLOOKUP($B15,'PW B-Calf Riding'!$B$5:$AI$24,6,FALSE)=" ",0,VLOOKUP($B15,'PW B-Calf Riding'!$B$5:$AI$24,6,FALSE)),0)+IFERROR(IF(VLOOKUP($B15,'PW B-Goats'!$B$5:$AI$26,6,FALSE)=" ",0,VLOOKUP($B15,'PW B-Goats'!$B$5:$AI$26,6,FALSE)),0)+IFERROR(IF(VLOOKUP($B15,'PW B-Flags'!$B$5:$AI$24,6,FALSE)=" ",0,VLOOKUP($B15,'PW B-Flags'!$B$5:$AI$24,6,FALSE)),0)+IFERROR(IF(VLOOKUP($B15,'PW B-Breakaway'!$B$5:$AI$24,6,FALSE)=" ",0,VLOOKUP($B15,'PW B-Breakaway'!$B$5:$AI$24,6,FALSE)),0)+IFERROR(IF(VLOOKUP($B15,'PW B-Steer Daubing'!$B$5:$AI$24,6,FALSE)=" ",0,VLOOKUP($B15,'PW B-Steer Daubing'!$B$5:$AI$24,6,FALSE)),0)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IFERROR(IF(VLOOKUP($B15,'PW B-Calf Riding'!$B$5:$AI$24,10,FALSE)=" ",0,VLOOKUP($B15,'PW B-Calf Riding'!$B$5:$AI$24,10,FALSE)),0)+IFERROR(IF(VLOOKUP($B15,'PW B-Goats'!$B$5:$AI$26,10,FALSE)=" ",0,VLOOKUP($B15,'PW B-Goats'!$B$5:$AI$26,10,FALSE)),0)+IFERROR(IF(VLOOKUP($B15,'PW B-Flags'!$B$5:$AI$24,10,FALSE)=" ",0,VLOOKUP($B15,'PW B-Flags'!$B$5:$AI$24,10,FALSE)),0)+IFERROR(IF(VLOOKUP($B15,'PW B-Breakaway'!$B$5:$AI$24,10,FALSE)=" ",0,VLOOKUP($B15,'PW B-Breakaway'!$B$5:$AI$24,10,FALSE)),0)+IFERROR(IF(VLOOKUP($B15,'PW B-Steer Daubing'!$B$5:$AI$24,10,FALSE)=" ",0,VLOOKUP($B15,'PW B-Steer Daubing'!$B$5:$AI$24,10,FALSE)),0)</f>
        <v>6</v>
      </c>
      <c r="G15" s="95">
        <f t="shared" si="2"/>
        <v>6</v>
      </c>
      <c r="H15" s="91">
        <f t="shared" si="3"/>
        <v>9</v>
      </c>
      <c r="I15" s="121">
        <f>IFERROR(IF(VLOOKUP($B15,'PW B-Calf Riding'!$B$5:$AI$24,14,FALSE)=" ",0,VLOOKUP($B15,'PW B-Calf Riding'!$B$5:$AI$24,14,FALSE)),0)+IFERROR(IF(VLOOKUP($B15,'PW B-Goats'!$B$5:$AI$26,14,FALSE)=" ",0,VLOOKUP($B15,'PW B-Goats'!$B$5:$AI$26,14,FALSE)),0)+IFERROR(IF(VLOOKUP($B15,'PW B-Flags'!$B$5:$AI$24,14,FALSE)=" ",0,VLOOKUP($B15,'PW B-Flags'!$B$5:$AI$24,14,FALSE)),0)+IFERROR(IF(VLOOKUP($B15,'PW B-Breakaway'!$B$5:$AI$24,14,FALSE)=" ",0,VLOOKUP($B15,'PW B-Breakaway'!$B$5:$AI$24,14,FALSE)),0)+IFERROR(IF(VLOOKUP($B15,'PW B-Steer Daubing'!$B$5:$AI$24,14,FALSE)=" ",0,VLOOKUP($B15,'PW B-Steer Daubing'!$B$5:$AI$24,14,FALSE)),0)</f>
        <v>15</v>
      </c>
      <c r="J15" s="95">
        <f t="shared" si="4"/>
        <v>15</v>
      </c>
      <c r="K15" s="91">
        <f t="shared" si="5"/>
        <v>10</v>
      </c>
      <c r="L15" s="121">
        <f>IFERROR(IF(VLOOKUP($B15,'PW B-Calf Riding'!$B$5:$AI$24,18,FALSE)=" ",0,VLOOKUP($B15,'PW B-Calf Riding'!$B$5:$AI$24,18,FALSE)),0)+IFERROR(IF(VLOOKUP($B15,'PW B-Goats'!$B$5:$AI$26,18,FALSE)=" ",0,VLOOKUP($B15,'PW B-Goats'!$B$5:$AI$26,18,FALSE)),0)+IFERROR(IF(VLOOKUP($B15,'PW B-Flags'!$B$5:$AI$24,18,FALSE)=" ",0,VLOOKUP($B15,'PW B-Flags'!$B$5:$AI$24,18,FALSE)),0)+IFERROR(IF(VLOOKUP($B15,'PW B-Breakaway'!$B$5:$AI$24,18,FALSE)=" ",0,VLOOKUP($B15,'PW B-Breakaway'!$B$5:$AI$24,18,FALSE)),0)+IFERROR(IF(VLOOKUP($B15,'PW B-Steer Daubing'!$B$5:$AI$24,18,FALSE)=" ",0,VLOOKUP($B15,'PW B-Steer Daubing'!$B$5:$AI$24,18,FALSE)),0)</f>
        <v>9</v>
      </c>
      <c r="M15" s="95">
        <f t="shared" si="6"/>
        <v>9</v>
      </c>
      <c r="N15" s="91">
        <f t="shared" si="7"/>
        <v>9</v>
      </c>
      <c r="O15" s="121">
        <f>IFERROR(IF(VLOOKUP($B15,'PW B-Calf Riding'!$B$5:$AI$24,22,FALSE)=" ",0,VLOOKUP($B15,'PW B-Calf Riding'!$B$5:$AI$24,22,FALSE)),0)+IFERROR(IF(VLOOKUP($B15,'PW B-Goats'!$B$5:$AI$26,22,FALSE)=" ",0,VLOOKUP($B15,'PW B-Goats'!$B$5:$AI$26,22,FALSE)),0)+IFERROR(IF(VLOOKUP($B15,'PW B-Flags'!$B$5:$AI$24,22,FALSE)=" ",0,VLOOKUP($B15,'PW B-Flags'!$B$5:$AI$24,22,FALSE)),0)+IFERROR(IF(VLOOKUP($B15,'PW B-Breakaway'!$B$5:$AI$24,22,FALSE)=" ",0,VLOOKUP($B15,'PW B-Breakaway'!$B$5:$AI$24,22,FALSE)),0)+IFERROR(IF(VLOOKUP($B15,'PW B-Steer Daubing'!$B$5:$AI$24,22,FALSE)=" ",0,VLOOKUP($B15,'PW B-Steer Daubing'!$B$5:$AI$24,22,FALSE)),0)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IFERROR(IF(VLOOKUP($B15,'PW B-Calf Riding'!$B$5:$AI$24,26,FALSE)=" ",0,VLOOKUP($B15,'PW B-Calf Riding'!$B$5:$AI$24,26,FALSE)),0)+IFERROR(IF(VLOOKUP($B15,'PW B-Goats'!$B$5:$AI$26,26,FALSE)=" ",0,VLOOKUP($B15,'PW B-Goats'!$B$5:$AI$26,26,FALSE)),0)+IFERROR(IF(VLOOKUP($B15,'PW B-Flags'!$B$5:$AI$24,26,FALSE)=" ",0,VLOOKUP($B15,'PW B-Flags'!$B$5:$AI$24,26,FALSE)),0)+IFERROR(IF(VLOOKUP($B15,'PW B-Breakaway'!$B$5:$AI$24,26,FALSE)=" ",0,VLOOKUP($B15,'PW B-Breakaway'!$B$5:$AI$24,26,FALSE)),0)+IFERROR(IF(VLOOKUP($B15,'PW B-Steer Daubing'!$B$5:$AI$24,26,FALSE)=" ",0,VLOOKUP($B15,'PW B-Steer Daubing'!$B$5:$AI$24,26,FALSE)),0)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B-Calf Riding'!$B$5:$AI$24,30,FALSE)=" ",0,VLOOKUP($B15,'PW B-Calf Riding'!$B$5:$AI$24,30,FALSE)),0)+IFERROR(IF(VLOOKUP($B15,'PW B-Goats'!$B$5:$AI$26,30,FALSE)=" ",0,VLOOKUP($B15,'PW B-Goats'!$B$5:$AI$26,30,FALSE)),0)+IFERROR(IF(VLOOKUP($B15,'PW B-Flags'!$B$5:$AI$24,30,FALSE)=" ",0,VLOOKUP($B15,'PW B-Flags'!$B$5:$AI$24,30,FALSE)),0)+IFERROR(IF(VLOOKUP($B15,'PW B-Breakaway'!$B$5:$AI$24,30,FALSE)=" ",0,VLOOKUP($B15,'PW B-Breakaway'!$B$5:$AI$24,30,FALSE)),0)+IFERROR(IF(VLOOKUP($B15,'PW B-Steer Daubing'!$B$5:$AI$24,30,FALSE)=" ",0,VLOOKUP($B15,'PW B-Steer Daubing'!$B$5:$AI$24,30,FALSE)),0)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IFERROR(IF(VLOOKUP($B15,'PW B-Calf Riding'!$B$5:$AI$24,34,FALSE)=" ",0,VLOOKUP($B15,'PW B-Calf Riding'!$B$5:$AI$24,34,FALSE)),0)+IFERROR(IF(VLOOKUP($B15,'PW B-Goats'!$B$5:$AI$26,34,FALSE)=" ",0,VLOOKUP($B15,'PW B-Goats'!$B$5:$AI$26,34,FALSE)),0)+IFERROR(IF(VLOOKUP($B15,'PW B-Flags'!$B$5:$AI$24,34,FALSE)=" ",0,VLOOKUP($B15,'PW B-Flags'!$B$5:$AI$24,34,FALSE)),0)+IFERROR(IF(VLOOKUP($B15,'PW B-Breakaway'!$B$5:$AI$24,34,FALSE)=" ",0,VLOOKUP($B15,'PW B-Breakaway'!$B$5:$AI$24,34,FALSE)),0)+IFERROR(IF(VLOOKUP($B15,'PW B-Steer Daubing'!$B$5:$AI$24,34,FALSE)=" ",0,VLOOKUP($B15,'PW B-Steer Daubing'!$B$5:$AI$24,34,FALSE)),0)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30</v>
      </c>
      <c r="AB15" s="95">
        <f t="shared" si="16"/>
        <v>30</v>
      </c>
      <c r="AC15" s="91">
        <f t="shared" si="17"/>
        <v>11</v>
      </c>
    </row>
    <row r="16" spans="2:29" x14ac:dyDescent="0.3">
      <c r="B16" s="152" t="s">
        <v>315</v>
      </c>
      <c r="C16" s="120">
        <f>IFERROR(IF(VLOOKUP($B16,'PW B-Calf Riding'!$B$5:$AI$24,6,FALSE)=" ",0,VLOOKUP($B16,'PW B-Calf Riding'!$B$5:$AI$24,6,FALSE)),0)+IFERROR(IF(VLOOKUP($B16,'PW B-Goats'!$B$5:$AI$26,6,FALSE)=" ",0,VLOOKUP($B16,'PW B-Goats'!$B$5:$AI$26,6,FALSE)),0)+IFERROR(IF(VLOOKUP($B16,'PW B-Flags'!$B$5:$AI$24,6,FALSE)=" ",0,VLOOKUP($B16,'PW B-Flags'!$B$5:$AI$24,6,FALSE)),0)+IFERROR(IF(VLOOKUP($B16,'PW B-Breakaway'!$B$5:$AI$24,6,FALSE)=" ",0,VLOOKUP($B16,'PW B-Breakaway'!$B$5:$AI$24,6,FALSE)),0)+IFERROR(IF(VLOOKUP($B16,'PW B-Steer Daubing'!$B$5:$AI$24,6,FALSE)=" ",0,VLOOKUP($B16,'PW B-Steer Daubing'!$B$5:$AI$24,6,FALSE)),0)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IFERROR(IF(VLOOKUP($B16,'PW B-Calf Riding'!$B$5:$AI$24,10,FALSE)=" ",0,VLOOKUP($B16,'PW B-Calf Riding'!$B$5:$AI$24,10,FALSE)),0)+IFERROR(IF(VLOOKUP($B16,'PW B-Goats'!$B$5:$AI$26,10,FALSE)=" ",0,VLOOKUP($B16,'PW B-Goats'!$B$5:$AI$26,10,FALSE)),0)+IFERROR(IF(VLOOKUP($B16,'PW B-Flags'!$B$5:$AI$24,10,FALSE)=" ",0,VLOOKUP($B16,'PW B-Flags'!$B$5:$AI$24,10,FALSE)),0)+IFERROR(IF(VLOOKUP($B16,'PW B-Breakaway'!$B$5:$AI$24,10,FALSE)=" ",0,VLOOKUP($B16,'PW B-Breakaway'!$B$5:$AI$24,10,FALSE)),0)+IFERROR(IF(VLOOKUP($B16,'PW B-Steer Daubing'!$B$5:$AI$24,10,FALSE)=" ",0,VLOOKUP($B16,'PW B-Steer Daubing'!$B$5:$AI$24,10,FALSE)),0)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IFERROR(IF(VLOOKUP($B16,'PW B-Calf Riding'!$B$5:$AI$24,14,FALSE)=" ",0,VLOOKUP($B16,'PW B-Calf Riding'!$B$5:$AI$24,14,FALSE)),0)+IFERROR(IF(VLOOKUP($B16,'PW B-Goats'!$B$5:$AI$26,14,FALSE)=" ",0,VLOOKUP($B16,'PW B-Goats'!$B$5:$AI$26,14,FALSE)),0)+IFERROR(IF(VLOOKUP($B16,'PW B-Flags'!$B$5:$AI$24,14,FALSE)=" ",0,VLOOKUP($B16,'PW B-Flags'!$B$5:$AI$24,14,FALSE)),0)+IFERROR(IF(VLOOKUP($B16,'PW B-Breakaway'!$B$5:$AI$24,14,FALSE)=" ",0,VLOOKUP($B16,'PW B-Breakaway'!$B$5:$AI$24,14,FALSE)),0)+IFERROR(IF(VLOOKUP($B16,'PW B-Steer Daubing'!$B$5:$AI$24,14,FALSE)=" ",0,VLOOKUP($B16,'PW B-Steer Daubing'!$B$5:$AI$24,14,FALSE)),0)</f>
        <v>6</v>
      </c>
      <c r="J16" s="95">
        <f t="shared" si="4"/>
        <v>6</v>
      </c>
      <c r="K16" s="91">
        <f t="shared" si="5"/>
        <v>11</v>
      </c>
      <c r="L16" s="121">
        <f>IFERROR(IF(VLOOKUP($B16,'PW B-Calf Riding'!$B$5:$AI$24,18,FALSE)=" ",0,VLOOKUP($B16,'PW B-Calf Riding'!$B$5:$AI$24,18,FALSE)),0)+IFERROR(IF(VLOOKUP($B16,'PW B-Goats'!$B$5:$AI$26,18,FALSE)=" ",0,VLOOKUP($B16,'PW B-Goats'!$B$5:$AI$26,18,FALSE)),0)+IFERROR(IF(VLOOKUP($B16,'PW B-Flags'!$B$5:$AI$24,18,FALSE)=" ",0,VLOOKUP($B16,'PW B-Flags'!$B$5:$AI$24,18,FALSE)),0)+IFERROR(IF(VLOOKUP($B16,'PW B-Breakaway'!$B$5:$AI$24,18,FALSE)=" ",0,VLOOKUP($B16,'PW B-Breakaway'!$B$5:$AI$24,18,FALSE)),0)+IFERROR(IF(VLOOKUP($B16,'PW B-Steer Daubing'!$B$5:$AI$24,18,FALSE)=" ",0,VLOOKUP($B16,'PW B-Steer Daubing'!$B$5:$AI$24,18,FALSE)),0)</f>
        <v>6</v>
      </c>
      <c r="M16" s="95">
        <f t="shared" si="6"/>
        <v>6</v>
      </c>
      <c r="N16" s="91">
        <f t="shared" si="7"/>
        <v>10</v>
      </c>
      <c r="O16" s="121">
        <f>IFERROR(IF(VLOOKUP($B16,'PW B-Calf Riding'!$B$5:$AI$24,22,FALSE)=" ",0,VLOOKUP($B16,'PW B-Calf Riding'!$B$5:$AI$24,22,FALSE)),0)+IFERROR(IF(VLOOKUP($B16,'PW B-Goats'!$B$5:$AI$26,22,FALSE)=" ",0,VLOOKUP($B16,'PW B-Goats'!$B$5:$AI$26,22,FALSE)),0)+IFERROR(IF(VLOOKUP($B16,'PW B-Flags'!$B$5:$AI$24,22,FALSE)=" ",0,VLOOKUP($B16,'PW B-Flags'!$B$5:$AI$24,22,FALSE)),0)+IFERROR(IF(VLOOKUP($B16,'PW B-Breakaway'!$B$5:$AI$24,22,FALSE)=" ",0,VLOOKUP($B16,'PW B-Breakaway'!$B$5:$AI$24,22,FALSE)),0)+IFERROR(IF(VLOOKUP($B16,'PW B-Steer Daubing'!$B$5:$AI$24,22,FALSE)=" ",0,VLOOKUP($B16,'PW B-Steer Daubing'!$B$5:$AI$24,22,FALSE)),0)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IFERROR(IF(VLOOKUP($B16,'PW B-Calf Riding'!$B$5:$AI$24,26,FALSE)=" ",0,VLOOKUP($B16,'PW B-Calf Riding'!$B$5:$AI$24,26,FALSE)),0)+IFERROR(IF(VLOOKUP($B16,'PW B-Goats'!$B$5:$AI$26,26,FALSE)=" ",0,VLOOKUP($B16,'PW B-Goats'!$B$5:$AI$26,26,FALSE)),0)+IFERROR(IF(VLOOKUP($B16,'PW B-Flags'!$B$5:$AI$24,26,FALSE)=" ",0,VLOOKUP($B16,'PW B-Flags'!$B$5:$AI$24,26,FALSE)),0)+IFERROR(IF(VLOOKUP($B16,'PW B-Breakaway'!$B$5:$AI$24,26,FALSE)=" ",0,VLOOKUP($B16,'PW B-Breakaway'!$B$5:$AI$24,26,FALSE)),0)+IFERROR(IF(VLOOKUP($B16,'PW B-Steer Daubing'!$B$5:$AI$24,26,FALSE)=" ",0,VLOOKUP($B16,'PW B-Steer Daubing'!$B$5:$AI$24,26,FALSE)),0)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B-Calf Riding'!$B$5:$AI$24,30,FALSE)=" ",0,VLOOKUP($B16,'PW B-Calf Riding'!$B$5:$AI$24,30,FALSE)),0)+IFERROR(IF(VLOOKUP($B16,'PW B-Goats'!$B$5:$AI$26,30,FALSE)=" ",0,VLOOKUP($B16,'PW B-Goats'!$B$5:$AI$26,30,FALSE)),0)+IFERROR(IF(VLOOKUP($B16,'PW B-Flags'!$B$5:$AI$24,30,FALSE)=" ",0,VLOOKUP($B16,'PW B-Flags'!$B$5:$AI$24,30,FALSE)),0)+IFERROR(IF(VLOOKUP($B16,'PW B-Breakaway'!$B$5:$AI$24,30,FALSE)=" ",0,VLOOKUP($B16,'PW B-Breakaway'!$B$5:$AI$24,30,FALSE)),0)+IFERROR(IF(VLOOKUP($B16,'PW B-Steer Daubing'!$B$5:$AI$24,30,FALSE)=" ",0,VLOOKUP($B16,'PW B-Steer Daubing'!$B$5:$AI$24,30,FALSE)),0)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IFERROR(IF(VLOOKUP($B16,'PW B-Calf Riding'!$B$5:$AI$24,34,FALSE)=" ",0,VLOOKUP($B16,'PW B-Calf Riding'!$B$5:$AI$24,34,FALSE)),0)+IFERROR(IF(VLOOKUP($B16,'PW B-Goats'!$B$5:$AI$26,34,FALSE)=" ",0,VLOOKUP($B16,'PW B-Goats'!$B$5:$AI$26,34,FALSE)),0)+IFERROR(IF(VLOOKUP($B16,'PW B-Flags'!$B$5:$AI$24,34,FALSE)=" ",0,VLOOKUP($B16,'PW B-Flags'!$B$5:$AI$24,34,FALSE)),0)+IFERROR(IF(VLOOKUP($B16,'PW B-Breakaway'!$B$5:$AI$24,34,FALSE)=" ",0,VLOOKUP($B16,'PW B-Breakaway'!$B$5:$AI$24,34,FALSE)),0)+IFERROR(IF(VLOOKUP($B16,'PW B-Steer Daubing'!$B$5:$AI$24,34,FALSE)=" ",0,VLOOKUP($B16,'PW B-Steer Daubing'!$B$5:$AI$24,34,FALSE)),0)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12</v>
      </c>
      <c r="AB16" s="95">
        <f t="shared" si="16"/>
        <v>12</v>
      </c>
      <c r="AC16" s="91">
        <f t="shared" si="17"/>
        <v>12</v>
      </c>
    </row>
    <row r="17" spans="2:29" x14ac:dyDescent="0.3">
      <c r="B17" s="141" t="s">
        <v>265</v>
      </c>
      <c r="C17" s="120">
        <f>IFERROR(IF(VLOOKUP($B17,'PW B-Calf Riding'!$B$5:$AI$24,6,FALSE)=" ",0,VLOOKUP($B17,'PW B-Calf Riding'!$B$5:$AI$24,6,FALSE)),0)+IFERROR(IF(VLOOKUP($B17,'PW B-Goats'!$B$5:$AI$26,6,FALSE)=" ",0,VLOOKUP($B17,'PW B-Goats'!$B$5:$AI$26,6,FALSE)),0)+IFERROR(IF(VLOOKUP($B17,'PW B-Flags'!$B$5:$AI$24,6,FALSE)=" ",0,VLOOKUP($B17,'PW B-Flags'!$B$5:$AI$24,6,FALSE)),0)+IFERROR(IF(VLOOKUP($B17,'PW B-Breakaway'!$B$5:$AI$24,6,FALSE)=" ",0,VLOOKUP($B17,'PW B-Breakaway'!$B$5:$AI$24,6,FALSE)),0)+IFERROR(IF(VLOOKUP($B17,'PW B-Steer Daubing'!$B$5:$AI$24,6,FALSE)=" ",0,VLOOKUP($B17,'PW B-Steer Daubing'!$B$5:$AI$24,6,FALSE)),0)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IFERROR(IF(VLOOKUP($B17,'PW B-Calf Riding'!$B$5:$AI$24,10,FALSE)=" ",0,VLOOKUP($B17,'PW B-Calf Riding'!$B$5:$AI$24,10,FALSE)),0)+IFERROR(IF(VLOOKUP($B17,'PW B-Goats'!$B$5:$AI$26,10,FALSE)=" ",0,VLOOKUP($B17,'PW B-Goats'!$B$5:$AI$26,10,FALSE)),0)+IFERROR(IF(VLOOKUP($B17,'PW B-Flags'!$B$5:$AI$24,10,FALSE)=" ",0,VLOOKUP($B17,'PW B-Flags'!$B$5:$AI$24,10,FALSE)),0)+IFERROR(IF(VLOOKUP($B17,'PW B-Breakaway'!$B$5:$AI$24,10,FALSE)=" ",0,VLOOKUP($B17,'PW B-Breakaway'!$B$5:$AI$24,10,FALSE)),0)+IFERROR(IF(VLOOKUP($B17,'PW B-Steer Daubing'!$B$5:$AI$24,10,FALSE)=" ",0,VLOOKUP($B17,'PW B-Steer Daubing'!$B$5:$AI$24,10,FALSE)),0)</f>
        <v>3</v>
      </c>
      <c r="G17" s="95">
        <f t="shared" si="2"/>
        <v>3</v>
      </c>
      <c r="H17" s="122">
        <f t="shared" si="3"/>
        <v>10</v>
      </c>
      <c r="I17" s="121">
        <f>IFERROR(IF(VLOOKUP($B17,'PW B-Calf Riding'!$B$5:$AI$24,14,FALSE)=" ",0,VLOOKUP($B17,'PW B-Calf Riding'!$B$5:$AI$24,14,FALSE)),0)+IFERROR(IF(VLOOKUP($B17,'PW B-Goats'!$B$5:$AI$26,14,FALSE)=" ",0,VLOOKUP($B17,'PW B-Goats'!$B$5:$AI$26,14,FALSE)),0)+IFERROR(IF(VLOOKUP($B17,'PW B-Flags'!$B$5:$AI$24,14,FALSE)=" ",0,VLOOKUP($B17,'PW B-Flags'!$B$5:$AI$24,14,FALSE)),0)+IFERROR(IF(VLOOKUP($B17,'PW B-Breakaway'!$B$5:$AI$24,14,FALSE)=" ",0,VLOOKUP($B17,'PW B-Breakaway'!$B$5:$AI$24,14,FALSE)),0)+IFERROR(IF(VLOOKUP($B17,'PW B-Steer Daubing'!$B$5:$AI$24,14,FALSE)=" ",0,VLOOKUP($B17,'PW B-Steer Daubing'!$B$5:$AI$24,14,FALSE)),0)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IFERROR(IF(VLOOKUP($B17,'PW B-Calf Riding'!$B$5:$AI$24,18,FALSE)=" ",0,VLOOKUP($B17,'PW B-Calf Riding'!$B$5:$AI$24,18,FALSE)),0)+IFERROR(IF(VLOOKUP($B17,'PW B-Goats'!$B$5:$AI$26,18,FALSE)=" ",0,VLOOKUP($B17,'PW B-Goats'!$B$5:$AI$26,18,FALSE)),0)+IFERROR(IF(VLOOKUP($B17,'PW B-Flags'!$B$5:$AI$24,18,FALSE)=" ",0,VLOOKUP($B17,'PW B-Flags'!$B$5:$AI$24,18,FALSE)),0)+IFERROR(IF(VLOOKUP($B17,'PW B-Breakaway'!$B$5:$AI$24,18,FALSE)=" ",0,VLOOKUP($B17,'PW B-Breakaway'!$B$5:$AI$24,18,FALSE)),0)+IFERROR(IF(VLOOKUP($B17,'PW B-Steer Daubing'!$B$5:$AI$24,18,FALSE)=" ",0,VLOOKUP($B17,'PW B-Steer Daubing'!$B$5:$AI$24,18,FALSE)),0)</f>
        <v>3</v>
      </c>
      <c r="M17" s="95">
        <f t="shared" si="6"/>
        <v>3</v>
      </c>
      <c r="N17" s="122">
        <f t="shared" si="7"/>
        <v>12</v>
      </c>
      <c r="O17" s="121">
        <f>IFERROR(IF(VLOOKUP($B17,'PW B-Calf Riding'!$B$5:$AI$24,22,FALSE)=" ",0,VLOOKUP($B17,'PW B-Calf Riding'!$B$5:$AI$24,22,FALSE)),0)+IFERROR(IF(VLOOKUP($B17,'PW B-Goats'!$B$5:$AI$26,22,FALSE)=" ",0,VLOOKUP($B17,'PW B-Goats'!$B$5:$AI$26,22,FALSE)),0)+IFERROR(IF(VLOOKUP($B17,'PW B-Flags'!$B$5:$AI$24,22,FALSE)=" ",0,VLOOKUP($B17,'PW B-Flags'!$B$5:$AI$24,22,FALSE)),0)+IFERROR(IF(VLOOKUP($B17,'PW B-Breakaway'!$B$5:$AI$24,22,FALSE)=" ",0,VLOOKUP($B17,'PW B-Breakaway'!$B$5:$AI$24,22,FALSE)),0)+IFERROR(IF(VLOOKUP($B17,'PW B-Steer Daubing'!$B$5:$AI$24,22,FALSE)=" ",0,VLOOKUP($B17,'PW B-Steer Daubing'!$B$5:$AI$24,22,FALSE)),0)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IFERROR(IF(VLOOKUP($B17,'PW B-Calf Riding'!$B$5:$AI$24,26,FALSE)=" ",0,VLOOKUP($B17,'PW B-Calf Riding'!$B$5:$AI$24,26,FALSE)),0)+IFERROR(IF(VLOOKUP($B17,'PW B-Goats'!$B$5:$AI$26,26,FALSE)=" ",0,VLOOKUP($B17,'PW B-Goats'!$B$5:$AI$26,26,FALSE)),0)+IFERROR(IF(VLOOKUP($B17,'PW B-Flags'!$B$5:$AI$24,26,FALSE)=" ",0,VLOOKUP($B17,'PW B-Flags'!$B$5:$AI$24,26,FALSE)),0)+IFERROR(IF(VLOOKUP($B17,'PW B-Breakaway'!$B$5:$AI$24,26,FALSE)=" ",0,VLOOKUP($B17,'PW B-Breakaway'!$B$5:$AI$24,26,FALSE)),0)+IFERROR(IF(VLOOKUP($B17,'PW B-Steer Daubing'!$B$5:$AI$24,26,FALSE)=" ",0,VLOOKUP($B17,'PW B-Steer Daubing'!$B$5:$AI$24,26,FALSE)),0)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IFERROR(IF(VLOOKUP($B17,'PW B-Calf Riding'!$B$5:$AI$24,30,FALSE)=" ",0,VLOOKUP($B17,'PW B-Calf Riding'!$B$5:$AI$24,30,FALSE)),0)+IFERROR(IF(VLOOKUP($B17,'PW B-Goats'!$B$5:$AI$26,30,FALSE)=" ",0,VLOOKUP($B17,'PW B-Goats'!$B$5:$AI$26,30,FALSE)),0)+IFERROR(IF(VLOOKUP($B17,'PW B-Flags'!$B$5:$AI$24,30,FALSE)=" ",0,VLOOKUP($B17,'PW B-Flags'!$B$5:$AI$24,30,FALSE)),0)+IFERROR(IF(VLOOKUP($B17,'PW B-Breakaway'!$B$5:$AI$24,30,FALSE)=" ",0,VLOOKUP($B17,'PW B-Breakaway'!$B$5:$AI$24,30,FALSE)),0)+IFERROR(IF(VLOOKUP($B17,'PW B-Steer Daubing'!$B$5:$AI$24,30,FALSE)=" ",0,VLOOKUP($B17,'PW B-Steer Daubing'!$B$5:$AI$24,30,FALSE)),0)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IFERROR(IF(VLOOKUP($B17,'PW B-Calf Riding'!$B$5:$AI$24,34,FALSE)=" ",0,VLOOKUP($B17,'PW B-Calf Riding'!$B$5:$AI$24,34,FALSE)),0)+IFERROR(IF(VLOOKUP($B17,'PW B-Goats'!$B$5:$AI$26,34,FALSE)=" ",0,VLOOKUP($B17,'PW B-Goats'!$B$5:$AI$26,34,FALSE)),0)+IFERROR(IF(VLOOKUP($B17,'PW B-Flags'!$B$5:$AI$24,34,FALSE)=" ",0,VLOOKUP($B17,'PW B-Flags'!$B$5:$AI$24,34,FALSE)),0)+IFERROR(IF(VLOOKUP($B17,'PW B-Breakaway'!$B$5:$AI$24,34,FALSE)=" ",0,VLOOKUP($B17,'PW B-Breakaway'!$B$5:$AI$24,34,FALSE)),0)+IFERROR(IF(VLOOKUP($B17,'PW B-Steer Daubing'!$B$5:$AI$24,34,FALSE)=" ",0,VLOOKUP($B17,'PW B-Steer Daubing'!$B$5:$AI$24,34,FALSE)),0)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17" s="95">
        <f t="shared" si="16"/>
        <v>6</v>
      </c>
      <c r="AC17" s="122">
        <f t="shared" si="17"/>
        <v>13</v>
      </c>
    </row>
    <row r="18" spans="2:29" x14ac:dyDescent="0.3">
      <c r="B18" s="141" t="s">
        <v>73</v>
      </c>
      <c r="C18" s="120">
        <f>IFERROR(IF(VLOOKUP($B18,'PW B-Calf Riding'!$B$5:$AI$24,6,FALSE)=" ",0,VLOOKUP($B18,'PW B-Calf Riding'!$B$5:$AI$24,6,FALSE)),0)+IFERROR(IF(VLOOKUP($B18,'PW B-Goats'!$B$5:$AI$26,6,FALSE)=" ",0,VLOOKUP($B18,'PW B-Goats'!$B$5:$AI$26,6,FALSE)),0)+IFERROR(IF(VLOOKUP($B18,'PW B-Flags'!$B$5:$AI$24,6,FALSE)=" ",0,VLOOKUP($B18,'PW B-Flags'!$B$5:$AI$24,6,FALSE)),0)+IFERROR(IF(VLOOKUP($B18,'PW B-Breakaway'!$B$5:$AI$24,6,FALSE)=" ",0,VLOOKUP($B18,'PW B-Breakaway'!$B$5:$AI$24,6,FALSE)),0)+IFERROR(IF(VLOOKUP($B18,'PW B-Steer Daubing'!$B$5:$AI$24,6,FALSE)=" ",0,VLOOKUP($B18,'PW B-Steer Daubing'!$B$5:$AI$24,6,FALSE)),0)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B-Calf Riding'!$B$5:$AI$24,10,FALSE)=" ",0,VLOOKUP($B18,'PW B-Calf Riding'!$B$5:$AI$24,10,FALSE)),0)+IFERROR(IF(VLOOKUP($B18,'PW B-Goats'!$B$5:$AI$26,10,FALSE)=" ",0,VLOOKUP($B18,'PW B-Goats'!$B$5:$AI$26,10,FALSE)),0)+IFERROR(IF(VLOOKUP($B18,'PW B-Flags'!$B$5:$AI$24,10,FALSE)=" ",0,VLOOKUP($B18,'PW B-Flags'!$B$5:$AI$24,10,FALSE)),0)+IFERROR(IF(VLOOKUP($B18,'PW B-Breakaway'!$B$5:$AI$24,10,FALSE)=" ",0,VLOOKUP($B18,'PW B-Breakaway'!$B$5:$AI$24,10,FALSE)),0)+IFERROR(IF(VLOOKUP($B18,'PW B-Steer Daubing'!$B$5:$AI$24,10,FALSE)=" ",0,VLOOKUP($B18,'PW B-Steer Daubing'!$B$5:$AI$24,10,FALSE)),0)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B-Calf Riding'!$B$5:$AI$24,14,FALSE)=" ",0,VLOOKUP($B18,'PW B-Calf Riding'!$B$5:$AI$24,14,FALSE)),0)+IFERROR(IF(VLOOKUP($B18,'PW B-Goats'!$B$5:$AI$26,14,FALSE)=" ",0,VLOOKUP($B18,'PW B-Goats'!$B$5:$AI$26,14,FALSE)),0)+IFERROR(IF(VLOOKUP($B18,'PW B-Flags'!$B$5:$AI$24,14,FALSE)=" ",0,VLOOKUP($B18,'PW B-Flags'!$B$5:$AI$24,14,FALSE)),0)+IFERROR(IF(VLOOKUP($B18,'PW B-Breakaway'!$B$5:$AI$24,14,FALSE)=" ",0,VLOOKUP($B18,'PW B-Breakaway'!$B$5:$AI$24,14,FALSE)),0)+IFERROR(IF(VLOOKUP($B18,'PW B-Steer Daubing'!$B$5:$AI$24,14,FALSE)=" ",0,VLOOKUP($B18,'PW B-Steer Daubing'!$B$5:$AI$24,14,FALSE)),0)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IFERROR(IF(VLOOKUP($B18,'PW B-Calf Riding'!$B$5:$AI$24,18,FALSE)=" ",0,VLOOKUP($B18,'PW B-Calf Riding'!$B$5:$AI$24,18,FALSE)),0)+IFERROR(IF(VLOOKUP($B18,'PW B-Goats'!$B$5:$AI$26,18,FALSE)=" ",0,VLOOKUP($B18,'PW B-Goats'!$B$5:$AI$26,18,FALSE)),0)+IFERROR(IF(VLOOKUP($B18,'PW B-Flags'!$B$5:$AI$24,18,FALSE)=" ",0,VLOOKUP($B18,'PW B-Flags'!$B$5:$AI$24,18,FALSE)),0)+IFERROR(IF(VLOOKUP($B18,'PW B-Breakaway'!$B$5:$AI$24,18,FALSE)=" ",0,VLOOKUP($B18,'PW B-Breakaway'!$B$5:$AI$24,18,FALSE)),0)+IFERROR(IF(VLOOKUP($B18,'PW B-Steer Daubing'!$B$5:$AI$24,18,FALSE)=" ",0,VLOOKUP($B18,'PW B-Steer Daubing'!$B$5:$AI$24,18,FALSE)),0)</f>
        <v>6</v>
      </c>
      <c r="M18" s="95">
        <f t="shared" si="6"/>
        <v>6</v>
      </c>
      <c r="N18" s="91">
        <f t="shared" si="7"/>
        <v>10</v>
      </c>
      <c r="O18" s="121">
        <f>IFERROR(IF(VLOOKUP($B18,'PW B-Calf Riding'!$B$5:$AI$24,22,FALSE)=" ",0,VLOOKUP($B18,'PW B-Calf Riding'!$B$5:$AI$24,22,FALSE)),0)+IFERROR(IF(VLOOKUP($B18,'PW B-Goats'!$B$5:$AI$26,22,FALSE)=" ",0,VLOOKUP($B18,'PW B-Goats'!$B$5:$AI$26,22,FALSE)),0)+IFERROR(IF(VLOOKUP($B18,'PW B-Flags'!$B$5:$AI$24,22,FALSE)=" ",0,VLOOKUP($B18,'PW B-Flags'!$B$5:$AI$24,22,FALSE)),0)+IFERROR(IF(VLOOKUP($B18,'PW B-Breakaway'!$B$5:$AI$24,22,FALSE)=" ",0,VLOOKUP($B18,'PW B-Breakaway'!$B$5:$AI$24,22,FALSE)),0)+IFERROR(IF(VLOOKUP($B18,'PW B-Steer Daubing'!$B$5:$AI$24,22,FALSE)=" ",0,VLOOKUP($B18,'PW B-Steer Daubing'!$B$5:$AI$24,22,FALSE)),0)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IFERROR(IF(VLOOKUP($B18,'PW B-Calf Riding'!$B$5:$AI$24,26,FALSE)=" ",0,VLOOKUP($B18,'PW B-Calf Riding'!$B$5:$AI$24,26,FALSE)),0)+IFERROR(IF(VLOOKUP($B18,'PW B-Goats'!$B$5:$AI$26,26,FALSE)=" ",0,VLOOKUP($B18,'PW B-Goats'!$B$5:$AI$26,26,FALSE)),0)+IFERROR(IF(VLOOKUP($B18,'PW B-Flags'!$B$5:$AI$24,26,FALSE)=" ",0,VLOOKUP($B18,'PW B-Flags'!$B$5:$AI$24,26,FALSE)),0)+IFERROR(IF(VLOOKUP($B18,'PW B-Breakaway'!$B$5:$AI$24,26,FALSE)=" ",0,VLOOKUP($B18,'PW B-Breakaway'!$B$5:$AI$24,26,FALSE)),0)+IFERROR(IF(VLOOKUP($B18,'PW B-Steer Daubing'!$B$5:$AI$24,26,FALSE)=" ",0,VLOOKUP($B18,'PW B-Steer Daubing'!$B$5:$AI$24,26,FALSE)),0)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IFERROR(IF(VLOOKUP($B18,'PW B-Calf Riding'!$B$5:$AI$24,30,FALSE)=" ",0,VLOOKUP($B18,'PW B-Calf Riding'!$B$5:$AI$24,30,FALSE)),0)+IFERROR(IF(VLOOKUP($B18,'PW B-Goats'!$B$5:$AI$26,30,FALSE)=" ",0,VLOOKUP($B18,'PW B-Goats'!$B$5:$AI$26,30,FALSE)),0)+IFERROR(IF(VLOOKUP($B18,'PW B-Flags'!$B$5:$AI$24,30,FALSE)=" ",0,VLOOKUP($B18,'PW B-Flags'!$B$5:$AI$24,30,FALSE)),0)+IFERROR(IF(VLOOKUP($B18,'PW B-Breakaway'!$B$5:$AI$24,30,FALSE)=" ",0,VLOOKUP($B18,'PW B-Breakaway'!$B$5:$AI$24,30,FALSE)),0)+IFERROR(IF(VLOOKUP($B18,'PW B-Steer Daubing'!$B$5:$AI$24,30,FALSE)=" ",0,VLOOKUP($B18,'PW B-Steer Daubing'!$B$5:$AI$24,30,FALSE)),0)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B-Calf Riding'!$B$5:$AI$24,34,FALSE)=" ",0,VLOOKUP($B18,'PW B-Calf Riding'!$B$5:$AI$24,34,FALSE)),0)+IFERROR(IF(VLOOKUP($B18,'PW B-Goats'!$B$5:$AI$26,34,FALSE)=" ",0,VLOOKUP($B18,'PW B-Goats'!$B$5:$AI$26,34,FALSE)),0)+IFERROR(IF(VLOOKUP($B18,'PW B-Flags'!$B$5:$AI$24,34,FALSE)=" ",0,VLOOKUP($B18,'PW B-Flags'!$B$5:$AI$24,34,FALSE)),0)+IFERROR(IF(VLOOKUP($B18,'PW B-Breakaway'!$B$5:$AI$24,34,FALSE)=" ",0,VLOOKUP($B18,'PW B-Breakaway'!$B$5:$AI$24,34,FALSE)),0)+IFERROR(IF(VLOOKUP($B18,'PW B-Steer Daubing'!$B$5:$AI$24,34,FALSE)=" ",0,VLOOKUP($B18,'PW B-Steer Daubing'!$B$5:$AI$24,34,FALSE)),0)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18" s="95">
        <f t="shared" si="16"/>
        <v>6</v>
      </c>
      <c r="AC18" s="91">
        <f t="shared" si="17"/>
        <v>13</v>
      </c>
    </row>
    <row r="19" spans="2:29" x14ac:dyDescent="0.3">
      <c r="B19" s="141" t="s">
        <v>266</v>
      </c>
      <c r="C19" s="120">
        <f>IFERROR(IF(VLOOKUP($B19,'PW B-Calf Riding'!$B$5:$AI$24,6,FALSE)=" ",0,VLOOKUP($B19,'PW B-Calf Riding'!$B$5:$AI$24,6,FALSE)),0)+IFERROR(IF(VLOOKUP($B19,'PW B-Goats'!$B$5:$AI$26,6,FALSE)=" ",0,VLOOKUP($B19,'PW B-Goats'!$B$5:$AI$26,6,FALSE)),0)+IFERROR(IF(VLOOKUP($B19,'PW B-Flags'!$B$5:$AI$24,6,FALSE)=" ",0,VLOOKUP($B19,'PW B-Flags'!$B$5:$AI$24,6,FALSE)),0)+IFERROR(IF(VLOOKUP($B19,'PW B-Breakaway'!$B$5:$AI$24,6,FALSE)=" ",0,VLOOKUP($B19,'PW B-Breakaway'!$B$5:$AI$24,6,FALSE)),0)+IFERROR(IF(VLOOKUP($B19,'PW B-Steer Daubing'!$B$5:$AI$24,6,FALSE)=" ",0,VLOOKUP($B19,'PW B-Steer Daubing'!$B$5:$AI$24,6,FALSE)),0)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IFERROR(IF(VLOOKUP($B19,'PW B-Calf Riding'!$B$5:$AI$24,10,FALSE)=" ",0,VLOOKUP($B19,'PW B-Calf Riding'!$B$5:$AI$24,10,FALSE)),0)+IFERROR(IF(VLOOKUP($B19,'PW B-Goats'!$B$5:$AI$26,10,FALSE)=" ",0,VLOOKUP($B19,'PW B-Goats'!$B$5:$AI$26,10,FALSE)),0)+IFERROR(IF(VLOOKUP($B19,'PW B-Flags'!$B$5:$AI$24,10,FALSE)=" ",0,VLOOKUP($B19,'PW B-Flags'!$B$5:$AI$24,10,FALSE)),0)+IFERROR(IF(VLOOKUP($B19,'PW B-Breakaway'!$B$5:$AI$24,10,FALSE)=" ",0,VLOOKUP($B19,'PW B-Breakaway'!$B$5:$AI$24,10,FALSE)),0)+IFERROR(IF(VLOOKUP($B19,'PW B-Steer Daubing'!$B$5:$AI$24,10,FALSE)=" ",0,VLOOKUP($B19,'PW B-Steer Daubing'!$B$5:$AI$24,10,FALSE)),0)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B-Calf Riding'!$B$5:$AI$24,14,FALSE)=" ",0,VLOOKUP($B19,'PW B-Calf Riding'!$B$5:$AI$24,14,FALSE)),0)+IFERROR(IF(VLOOKUP($B19,'PW B-Goats'!$B$5:$AI$26,14,FALSE)=" ",0,VLOOKUP($B19,'PW B-Goats'!$B$5:$AI$26,14,FALSE)),0)+IFERROR(IF(VLOOKUP($B19,'PW B-Flags'!$B$5:$AI$24,14,FALSE)=" ",0,VLOOKUP($B19,'PW B-Flags'!$B$5:$AI$24,14,FALSE)),0)+IFERROR(IF(VLOOKUP($B19,'PW B-Breakaway'!$B$5:$AI$24,14,FALSE)=" ",0,VLOOKUP($B19,'PW B-Breakaway'!$B$5:$AI$24,14,FALSE)),0)+IFERROR(IF(VLOOKUP($B19,'PW B-Steer Daubing'!$B$5:$AI$24,14,FALSE)=" ",0,VLOOKUP($B19,'PW B-Steer Daubing'!$B$5:$AI$24,14,FALSE)),0)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B-Calf Riding'!$B$5:$AI$24,18,FALSE)=" ",0,VLOOKUP($B19,'PW B-Calf Riding'!$B$5:$AI$24,18,FALSE)),0)+IFERROR(IF(VLOOKUP($B19,'PW B-Goats'!$B$5:$AI$26,18,FALSE)=" ",0,VLOOKUP($B19,'PW B-Goats'!$B$5:$AI$26,18,FALSE)),0)+IFERROR(IF(VLOOKUP($B19,'PW B-Flags'!$B$5:$AI$24,18,FALSE)=" ",0,VLOOKUP($B19,'PW B-Flags'!$B$5:$AI$24,18,FALSE)),0)+IFERROR(IF(VLOOKUP($B19,'PW B-Breakaway'!$B$5:$AI$24,18,FALSE)=" ",0,VLOOKUP($B19,'PW B-Breakaway'!$B$5:$AI$24,18,FALSE)),0)+IFERROR(IF(VLOOKUP($B19,'PW B-Steer Daubing'!$B$5:$AI$24,18,FALSE)=" ",0,VLOOKUP($B19,'PW B-Steer Daubing'!$B$5:$AI$24,18,FALSE)),0)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IFERROR(IF(VLOOKUP($B19,'PW B-Calf Riding'!$B$5:$AI$24,22,FALSE)=" ",0,VLOOKUP($B19,'PW B-Calf Riding'!$B$5:$AI$24,22,FALSE)),0)+IFERROR(IF(VLOOKUP($B19,'PW B-Goats'!$B$5:$AI$26,22,FALSE)=" ",0,VLOOKUP($B19,'PW B-Goats'!$B$5:$AI$26,22,FALSE)),0)+IFERROR(IF(VLOOKUP($B19,'PW B-Flags'!$B$5:$AI$24,22,FALSE)=" ",0,VLOOKUP($B19,'PW B-Flags'!$B$5:$AI$24,22,FALSE)),0)+IFERROR(IF(VLOOKUP($B19,'PW B-Breakaway'!$B$5:$AI$24,22,FALSE)=" ",0,VLOOKUP($B19,'PW B-Breakaway'!$B$5:$AI$24,22,FALSE)),0)+IFERROR(IF(VLOOKUP($B19,'PW B-Steer Daubing'!$B$5:$AI$24,22,FALSE)=" ",0,VLOOKUP($B19,'PW B-Steer Daubing'!$B$5:$AI$24,22,FALSE)),0)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B-Calf Riding'!$B$5:$AI$24,26,FALSE)=" ",0,VLOOKUP($B19,'PW B-Calf Riding'!$B$5:$AI$24,26,FALSE)),0)+IFERROR(IF(VLOOKUP($B19,'PW B-Goats'!$B$5:$AI$26,26,FALSE)=" ",0,VLOOKUP($B19,'PW B-Goats'!$B$5:$AI$26,26,FALSE)),0)+IFERROR(IF(VLOOKUP($B19,'PW B-Flags'!$B$5:$AI$24,26,FALSE)=" ",0,VLOOKUP($B19,'PW B-Flags'!$B$5:$AI$24,26,FALSE)),0)+IFERROR(IF(VLOOKUP($B19,'PW B-Breakaway'!$B$5:$AI$24,26,FALSE)=" ",0,VLOOKUP($B19,'PW B-Breakaway'!$B$5:$AI$24,26,FALSE)),0)+IFERROR(IF(VLOOKUP($B19,'PW B-Steer Daubing'!$B$5:$AI$24,26,FALSE)=" ",0,VLOOKUP($B19,'PW B-Steer Daubing'!$B$5:$AI$24,26,FALSE)),0)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B-Calf Riding'!$B$5:$AI$24,30,FALSE)=" ",0,VLOOKUP($B19,'PW B-Calf Riding'!$B$5:$AI$24,30,FALSE)),0)+IFERROR(IF(VLOOKUP($B19,'PW B-Goats'!$B$5:$AI$26,30,FALSE)=" ",0,VLOOKUP($B19,'PW B-Goats'!$B$5:$AI$26,30,FALSE)),0)+IFERROR(IF(VLOOKUP($B19,'PW B-Flags'!$B$5:$AI$24,30,FALSE)=" ",0,VLOOKUP($B19,'PW B-Flags'!$B$5:$AI$24,30,FALSE)),0)+IFERROR(IF(VLOOKUP($B19,'PW B-Breakaway'!$B$5:$AI$24,30,FALSE)=" ",0,VLOOKUP($B19,'PW B-Breakaway'!$B$5:$AI$24,30,FALSE)),0)+IFERROR(IF(VLOOKUP($B19,'PW B-Steer Daubing'!$B$5:$AI$24,30,FALSE)=" ",0,VLOOKUP($B19,'PW B-Steer Daubing'!$B$5:$AI$24,30,FALSE)),0)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IFERROR(IF(VLOOKUP($B19,'PW B-Calf Riding'!$B$5:$AI$24,34,FALSE)=" ",0,VLOOKUP($B19,'PW B-Calf Riding'!$B$5:$AI$24,34,FALSE)),0)+IFERROR(IF(VLOOKUP($B19,'PW B-Goats'!$B$5:$AI$26,34,FALSE)=" ",0,VLOOKUP($B19,'PW B-Goats'!$B$5:$AI$26,34,FALSE)),0)+IFERROR(IF(VLOOKUP($B19,'PW B-Flags'!$B$5:$AI$24,34,FALSE)=" ",0,VLOOKUP($B19,'PW B-Flags'!$B$5:$AI$24,34,FALSE)),0)+IFERROR(IF(VLOOKUP($B19,'PW B-Breakaway'!$B$5:$AI$24,34,FALSE)=" ",0,VLOOKUP($B19,'PW B-Breakaway'!$B$5:$AI$24,34,FALSE)),0)+IFERROR(IF(VLOOKUP($B19,'PW B-Steer Daubing'!$B$5:$AI$24,34,FALSE)=" ",0,VLOOKUP($B19,'PW B-Steer Daubing'!$B$5:$AI$24,34,FALSE)),0)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41" t="s">
        <v>313</v>
      </c>
      <c r="C20" s="120">
        <f>IFERROR(IF(VLOOKUP($B20,'PW B-Calf Riding'!$B$5:$AI$24,6,FALSE)=" ",0,VLOOKUP($B20,'PW B-Calf Riding'!$B$5:$AI$24,6,FALSE)),0)+IFERROR(IF(VLOOKUP($B20,'PW B-Goats'!$B$5:$AI$26,6,FALSE)=" ",0,VLOOKUP($B20,'PW B-Goats'!$B$5:$AI$26,6,FALSE)),0)+IFERROR(IF(VLOOKUP($B20,'PW B-Flags'!$B$5:$AI$24,6,FALSE)=" ",0,VLOOKUP($B20,'PW B-Flags'!$B$5:$AI$24,6,FALSE)),0)+IFERROR(IF(VLOOKUP($B20,'PW B-Breakaway'!$B$5:$AI$24,6,FALSE)=" ",0,VLOOKUP($B20,'PW B-Breakaway'!$B$5:$AI$24,6,FALSE)),0)+IFERROR(IF(VLOOKUP($B20,'PW B-Steer Daubing'!$B$5:$AI$24,6,FALSE)=" ",0,VLOOKUP($B20,'PW B-Steer Daubing'!$B$5:$AI$24,6,FALSE)),0)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B-Calf Riding'!$B$5:$AI$24,10,FALSE)=" ",0,VLOOKUP($B20,'PW B-Calf Riding'!$B$5:$AI$24,10,FALSE)),0)+IFERROR(IF(VLOOKUP($B20,'PW B-Goats'!$B$5:$AI$26,10,FALSE)=" ",0,VLOOKUP($B20,'PW B-Goats'!$B$5:$AI$26,10,FALSE)),0)+IFERROR(IF(VLOOKUP($B20,'PW B-Flags'!$B$5:$AI$24,10,FALSE)=" ",0,VLOOKUP($B20,'PW B-Flags'!$B$5:$AI$24,10,FALSE)),0)+IFERROR(IF(VLOOKUP($B20,'PW B-Breakaway'!$B$5:$AI$24,10,FALSE)=" ",0,VLOOKUP($B20,'PW B-Breakaway'!$B$5:$AI$24,10,FALSE)),0)+IFERROR(IF(VLOOKUP($B20,'PW B-Steer Daubing'!$B$5:$AI$24,10,FALSE)=" ",0,VLOOKUP($B20,'PW B-Steer Daubing'!$B$5:$AI$24,10,FALSE)),0)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B-Calf Riding'!$B$5:$AI$24,14,FALSE)=" ",0,VLOOKUP($B20,'PW B-Calf Riding'!$B$5:$AI$24,14,FALSE)),0)+IFERROR(IF(VLOOKUP($B20,'PW B-Goats'!$B$5:$AI$26,14,FALSE)=" ",0,VLOOKUP($B20,'PW B-Goats'!$B$5:$AI$26,14,FALSE)),0)+IFERROR(IF(VLOOKUP($B20,'PW B-Flags'!$B$5:$AI$24,14,FALSE)=" ",0,VLOOKUP($B20,'PW B-Flags'!$B$5:$AI$24,14,FALSE)),0)+IFERROR(IF(VLOOKUP($B20,'PW B-Breakaway'!$B$5:$AI$24,14,FALSE)=" ",0,VLOOKUP($B20,'PW B-Breakaway'!$B$5:$AI$24,14,FALSE)),0)+IFERROR(IF(VLOOKUP($B20,'PW B-Steer Daubing'!$B$5:$AI$24,14,FALSE)=" ",0,VLOOKUP($B20,'PW B-Steer Daubing'!$B$5:$AI$24,14,FALSE)),0)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B-Calf Riding'!$B$5:$AI$24,18,FALSE)=" ",0,VLOOKUP($B20,'PW B-Calf Riding'!$B$5:$AI$24,18,FALSE)),0)+IFERROR(IF(VLOOKUP($B20,'PW B-Goats'!$B$5:$AI$26,18,FALSE)=" ",0,VLOOKUP($B20,'PW B-Goats'!$B$5:$AI$26,18,FALSE)),0)+IFERROR(IF(VLOOKUP($B20,'PW B-Flags'!$B$5:$AI$24,18,FALSE)=" ",0,VLOOKUP($B20,'PW B-Flags'!$B$5:$AI$24,18,FALSE)),0)+IFERROR(IF(VLOOKUP($B20,'PW B-Breakaway'!$B$5:$AI$24,18,FALSE)=" ",0,VLOOKUP($B20,'PW B-Breakaway'!$B$5:$AI$24,18,FALSE)),0)+IFERROR(IF(VLOOKUP($B20,'PW B-Steer Daubing'!$B$5:$AI$24,18,FALSE)=" ",0,VLOOKUP($B20,'PW B-Steer Daubing'!$B$5:$AI$24,18,FALSE)),0)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B-Calf Riding'!$B$5:$AI$24,22,FALSE)=" ",0,VLOOKUP($B20,'PW B-Calf Riding'!$B$5:$AI$24,22,FALSE)),0)+IFERROR(IF(VLOOKUP($B20,'PW B-Goats'!$B$5:$AI$26,22,FALSE)=" ",0,VLOOKUP($B20,'PW B-Goats'!$B$5:$AI$26,22,FALSE)),0)+IFERROR(IF(VLOOKUP($B20,'PW B-Flags'!$B$5:$AI$24,22,FALSE)=" ",0,VLOOKUP($B20,'PW B-Flags'!$B$5:$AI$24,22,FALSE)),0)+IFERROR(IF(VLOOKUP($B20,'PW B-Breakaway'!$B$5:$AI$24,22,FALSE)=" ",0,VLOOKUP($B20,'PW B-Breakaway'!$B$5:$AI$24,22,FALSE)),0)+IFERROR(IF(VLOOKUP($B20,'PW B-Steer Daubing'!$B$5:$AI$24,22,FALSE)=" ",0,VLOOKUP($B20,'PW B-Steer Daubing'!$B$5:$AI$24,22,FALSE)),0)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B-Calf Riding'!$B$5:$AI$24,26,FALSE)=" ",0,VLOOKUP($B20,'PW B-Calf Riding'!$B$5:$AI$24,26,FALSE)),0)+IFERROR(IF(VLOOKUP($B20,'PW B-Goats'!$B$5:$AI$26,26,FALSE)=" ",0,VLOOKUP($B20,'PW B-Goats'!$B$5:$AI$26,26,FALSE)),0)+IFERROR(IF(VLOOKUP($B20,'PW B-Flags'!$B$5:$AI$24,26,FALSE)=" ",0,VLOOKUP($B20,'PW B-Flags'!$B$5:$AI$24,26,FALSE)),0)+IFERROR(IF(VLOOKUP($B20,'PW B-Breakaway'!$B$5:$AI$24,26,FALSE)=" ",0,VLOOKUP($B20,'PW B-Breakaway'!$B$5:$AI$24,26,FALSE)),0)+IFERROR(IF(VLOOKUP($B20,'PW B-Steer Daubing'!$B$5:$AI$24,26,FALSE)=" ",0,VLOOKUP($B20,'PW B-Steer Daubing'!$B$5:$AI$24,26,FALSE)),0)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B-Calf Riding'!$B$5:$AI$24,30,FALSE)=" ",0,VLOOKUP($B20,'PW B-Calf Riding'!$B$5:$AI$24,30,FALSE)),0)+IFERROR(IF(VLOOKUP($B20,'PW B-Goats'!$B$5:$AI$26,30,FALSE)=" ",0,VLOOKUP($B20,'PW B-Goats'!$B$5:$AI$26,30,FALSE)),0)+IFERROR(IF(VLOOKUP($B20,'PW B-Flags'!$B$5:$AI$24,30,FALSE)=" ",0,VLOOKUP($B20,'PW B-Flags'!$B$5:$AI$24,30,FALSE)),0)+IFERROR(IF(VLOOKUP($B20,'PW B-Breakaway'!$B$5:$AI$24,30,FALSE)=" ",0,VLOOKUP($B20,'PW B-Breakaway'!$B$5:$AI$24,30,FALSE)),0)+IFERROR(IF(VLOOKUP($B20,'PW B-Steer Daubing'!$B$5:$AI$24,30,FALSE)=" ",0,VLOOKUP($B20,'PW B-Steer Daubing'!$B$5:$AI$24,30,FALSE)),0)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B-Calf Riding'!$B$5:$AI$24,34,FALSE)=" ",0,VLOOKUP($B20,'PW B-Calf Riding'!$B$5:$AI$24,34,FALSE)),0)+IFERROR(IF(VLOOKUP($B20,'PW B-Goats'!$B$5:$AI$26,34,FALSE)=" ",0,VLOOKUP($B20,'PW B-Goats'!$B$5:$AI$26,34,FALSE)),0)+IFERROR(IF(VLOOKUP($B20,'PW B-Flags'!$B$5:$AI$24,34,FALSE)=" ",0,VLOOKUP($B20,'PW B-Flags'!$B$5:$AI$24,34,FALSE)),0)+IFERROR(IF(VLOOKUP($B20,'PW B-Breakaway'!$B$5:$AI$24,34,FALSE)=" ",0,VLOOKUP($B20,'PW B-Breakaway'!$B$5:$AI$24,34,FALSE)),0)+IFERROR(IF(VLOOKUP($B20,'PW B-Steer Daubing'!$B$5:$AI$24,34,FALSE)=" ",0,VLOOKUP($B20,'PW B-Steer Daubing'!$B$5:$AI$24,34,FALSE)),0)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1" t="s">
        <v>264</v>
      </c>
      <c r="C21" s="120">
        <f>IFERROR(IF(VLOOKUP($B21,'PW B-Calf Riding'!$B$5:$AI$24,6,FALSE)=" ",0,VLOOKUP($B21,'PW B-Calf Riding'!$B$5:$AI$24,6,FALSE)),0)+IFERROR(IF(VLOOKUP($B21,'PW B-Goats'!$B$5:$AI$26,6,FALSE)=" ",0,VLOOKUP($B21,'PW B-Goats'!$B$5:$AI$26,6,FALSE)),0)+IFERROR(IF(VLOOKUP($B21,'PW B-Flags'!$B$5:$AI$24,6,FALSE)=" ",0,VLOOKUP($B21,'PW B-Flags'!$B$5:$AI$24,6,FALSE)),0)+IFERROR(IF(VLOOKUP($B21,'PW B-Breakaway'!$B$5:$AI$24,6,FALSE)=" ",0,VLOOKUP($B21,'PW B-Breakaway'!$B$5:$AI$24,6,FALSE)),0)+IFERROR(IF(VLOOKUP($B21,'PW B-Steer Daubing'!$B$5:$AI$24,6,FALSE)=" ",0,VLOOKUP($B21,'PW B-Steer Daubing'!$B$5:$AI$24,6,FALSE)),0)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IFERROR(IF(VLOOKUP($B21,'PW B-Calf Riding'!$B$5:$AI$24,10,FALSE)=" ",0,VLOOKUP($B21,'PW B-Calf Riding'!$B$5:$AI$24,10,FALSE)),0)+IFERROR(IF(VLOOKUP($B21,'PW B-Goats'!$B$5:$AI$26,10,FALSE)=" ",0,VLOOKUP($B21,'PW B-Goats'!$B$5:$AI$26,10,FALSE)),0)+IFERROR(IF(VLOOKUP($B21,'PW B-Flags'!$B$5:$AI$24,10,FALSE)=" ",0,VLOOKUP($B21,'PW B-Flags'!$B$5:$AI$24,10,FALSE)),0)+IFERROR(IF(VLOOKUP($B21,'PW B-Breakaway'!$B$5:$AI$24,10,FALSE)=" ",0,VLOOKUP($B21,'PW B-Breakaway'!$B$5:$AI$24,10,FALSE)),0)+IFERROR(IF(VLOOKUP($B21,'PW B-Steer Daubing'!$B$5:$AI$24,10,FALSE)=" ",0,VLOOKUP($B21,'PW B-Steer Daubing'!$B$5:$AI$24,10,FALSE)),0)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IFERROR(IF(VLOOKUP($B21,'PW B-Calf Riding'!$B$5:$AI$24,14,FALSE)=" ",0,VLOOKUP($B21,'PW B-Calf Riding'!$B$5:$AI$24,14,FALSE)),0)+IFERROR(IF(VLOOKUP($B21,'PW B-Goats'!$B$5:$AI$26,14,FALSE)=" ",0,VLOOKUP($B21,'PW B-Goats'!$B$5:$AI$26,14,FALSE)),0)+IFERROR(IF(VLOOKUP($B21,'PW B-Flags'!$B$5:$AI$24,14,FALSE)=" ",0,VLOOKUP($B21,'PW B-Flags'!$B$5:$AI$24,14,FALSE)),0)+IFERROR(IF(VLOOKUP($B21,'PW B-Breakaway'!$B$5:$AI$24,14,FALSE)=" ",0,VLOOKUP($B21,'PW B-Breakaway'!$B$5:$AI$24,14,FALSE)),0)+IFERROR(IF(VLOOKUP($B21,'PW B-Steer Daubing'!$B$5:$AI$24,14,FALSE)=" ",0,VLOOKUP($B21,'PW B-Steer Daubing'!$B$5:$AI$24,14,FALSE)),0)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IFERROR(IF(VLOOKUP($B21,'PW B-Calf Riding'!$B$5:$AI$24,18,FALSE)=" ",0,VLOOKUP($B21,'PW B-Calf Riding'!$B$5:$AI$24,18,FALSE)),0)+IFERROR(IF(VLOOKUP($B21,'PW B-Goats'!$B$5:$AI$26,18,FALSE)=" ",0,VLOOKUP($B21,'PW B-Goats'!$B$5:$AI$26,18,FALSE)),0)+IFERROR(IF(VLOOKUP($B21,'PW B-Flags'!$B$5:$AI$24,18,FALSE)=" ",0,VLOOKUP($B21,'PW B-Flags'!$B$5:$AI$24,18,FALSE)),0)+IFERROR(IF(VLOOKUP($B21,'PW B-Breakaway'!$B$5:$AI$24,18,FALSE)=" ",0,VLOOKUP($B21,'PW B-Breakaway'!$B$5:$AI$24,18,FALSE)),0)+IFERROR(IF(VLOOKUP($B21,'PW B-Steer Daubing'!$B$5:$AI$24,18,FALSE)=" ",0,VLOOKUP($B21,'PW B-Steer Daubing'!$B$5:$AI$24,18,FALSE)),0)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IFERROR(IF(VLOOKUP($B21,'PW B-Calf Riding'!$B$5:$AI$24,22,FALSE)=" ",0,VLOOKUP($B21,'PW B-Calf Riding'!$B$5:$AI$24,22,FALSE)),0)+IFERROR(IF(VLOOKUP($B21,'PW B-Goats'!$B$5:$AI$26,22,FALSE)=" ",0,VLOOKUP($B21,'PW B-Goats'!$B$5:$AI$26,22,FALSE)),0)+IFERROR(IF(VLOOKUP($B21,'PW B-Flags'!$B$5:$AI$24,22,FALSE)=" ",0,VLOOKUP($B21,'PW B-Flags'!$B$5:$AI$24,22,FALSE)),0)+IFERROR(IF(VLOOKUP($B21,'PW B-Breakaway'!$B$5:$AI$24,22,FALSE)=" ",0,VLOOKUP($B21,'PW B-Breakaway'!$B$5:$AI$24,22,FALSE)),0)+IFERROR(IF(VLOOKUP($B21,'PW B-Steer Daubing'!$B$5:$AI$24,22,FALSE)=" ",0,VLOOKUP($B21,'PW B-Steer Daubing'!$B$5:$AI$24,22,FALSE)),0)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IFERROR(IF(VLOOKUP($B21,'PW B-Calf Riding'!$B$5:$AI$24,26,FALSE)=" ",0,VLOOKUP($B21,'PW B-Calf Riding'!$B$5:$AI$24,26,FALSE)),0)+IFERROR(IF(VLOOKUP($B21,'PW B-Goats'!$B$5:$AI$26,26,FALSE)=" ",0,VLOOKUP($B21,'PW B-Goats'!$B$5:$AI$26,26,FALSE)),0)+IFERROR(IF(VLOOKUP($B21,'PW B-Flags'!$B$5:$AI$24,26,FALSE)=" ",0,VLOOKUP($B21,'PW B-Flags'!$B$5:$AI$24,26,FALSE)),0)+IFERROR(IF(VLOOKUP($B21,'PW B-Breakaway'!$B$5:$AI$24,26,FALSE)=" ",0,VLOOKUP($B21,'PW B-Breakaway'!$B$5:$AI$24,26,FALSE)),0)+IFERROR(IF(VLOOKUP($B21,'PW B-Steer Daubing'!$B$5:$AI$24,26,FALSE)=" ",0,VLOOKUP($B21,'PW B-Steer Daubing'!$B$5:$AI$24,26,FALSE)),0)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IFERROR(IF(VLOOKUP($B21,'PW B-Calf Riding'!$B$5:$AI$24,30,FALSE)=" ",0,VLOOKUP($B21,'PW B-Calf Riding'!$B$5:$AI$24,30,FALSE)),0)+IFERROR(IF(VLOOKUP($B21,'PW B-Goats'!$B$5:$AI$26,30,FALSE)=" ",0,VLOOKUP($B21,'PW B-Goats'!$B$5:$AI$26,30,FALSE)),0)+IFERROR(IF(VLOOKUP($B21,'PW B-Flags'!$B$5:$AI$24,30,FALSE)=" ",0,VLOOKUP($B21,'PW B-Flags'!$B$5:$AI$24,30,FALSE)),0)+IFERROR(IF(VLOOKUP($B21,'PW B-Breakaway'!$B$5:$AI$24,30,FALSE)=" ",0,VLOOKUP($B21,'PW B-Breakaway'!$B$5:$AI$24,30,FALSE)),0)+IFERROR(IF(VLOOKUP($B21,'PW B-Steer Daubing'!$B$5:$AI$24,30,FALSE)=" ",0,VLOOKUP($B21,'PW B-Steer Daubing'!$B$5:$AI$24,30,FALSE)),0)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IFERROR(IF(VLOOKUP($B21,'PW B-Calf Riding'!$B$5:$AI$24,34,FALSE)=" ",0,VLOOKUP($B21,'PW B-Calf Riding'!$B$5:$AI$24,34,FALSE)),0)+IFERROR(IF(VLOOKUP($B21,'PW B-Goats'!$B$5:$AI$26,34,FALSE)=" ",0,VLOOKUP($B21,'PW B-Goats'!$B$5:$AI$26,34,FALSE)),0)+IFERROR(IF(VLOOKUP($B21,'PW B-Flags'!$B$5:$AI$24,34,FALSE)=" ",0,VLOOKUP($B21,'PW B-Flags'!$B$5:$AI$24,34,FALSE)),0)+IFERROR(IF(VLOOKUP($B21,'PW B-Breakaway'!$B$5:$AI$24,34,FALSE)=" ",0,VLOOKUP($B21,'PW B-Breakaway'!$B$5:$AI$24,34,FALSE)),0)+IFERROR(IF(VLOOKUP($B21,'PW B-Steer Daubing'!$B$5:$AI$24,34,FALSE)=" ",0,VLOOKUP($B21,'PW B-Steer Daubing'!$B$5:$AI$24,34,FALSE)),0)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52"/>
      <c r="C22" s="120">
        <f>IFERROR(IF(VLOOKUP($B22,'PW B-Calf Riding'!$B$5:$AI$24,6,FALSE)=" ",0,VLOOKUP($B22,'PW B-Calf Riding'!$B$5:$AI$24,6,FALSE)),0)+IFERROR(IF(VLOOKUP($B22,'PW B-Goats'!$B$5:$AI$26,6,FALSE)=" ",0,VLOOKUP($B22,'PW B-Goats'!$B$5:$AI$26,6,FALSE)),0)+IFERROR(IF(VLOOKUP($B22,'PW B-Flags'!$B$5:$AI$24,6,FALSE)=" ",0,VLOOKUP($B22,'PW B-Flags'!$B$5:$AI$24,6,FALSE)),0)+IFERROR(IF(VLOOKUP($B22,'PW B-Breakaway'!$B$5:$AI$24,6,FALSE)=" ",0,VLOOKUP($B22,'PW B-Breakaway'!$B$5:$AI$24,6,FALSE)),0)+IFERROR(IF(VLOOKUP($B22,'PW B-Steer Daubing'!$B$5:$AI$24,6,FALSE)=" ",0,VLOOKUP($B22,'PW B-Steer Daubing'!$B$5:$AI$24,6,FALSE)),0)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IFERROR(IF(VLOOKUP($B22,'PW B-Calf Riding'!$B$5:$AI$24,10,FALSE)=" ",0,VLOOKUP($B22,'PW B-Calf Riding'!$B$5:$AI$24,10,FALSE)),0)+IFERROR(IF(VLOOKUP($B22,'PW B-Goats'!$B$5:$AI$26,10,FALSE)=" ",0,VLOOKUP($B22,'PW B-Goats'!$B$5:$AI$26,10,FALSE)),0)+IFERROR(IF(VLOOKUP($B22,'PW B-Flags'!$B$5:$AI$24,10,FALSE)=" ",0,VLOOKUP($B22,'PW B-Flags'!$B$5:$AI$24,10,FALSE)),0)+IFERROR(IF(VLOOKUP($B22,'PW B-Breakaway'!$B$5:$AI$24,10,FALSE)=" ",0,VLOOKUP($B22,'PW B-Breakaway'!$B$5:$AI$24,10,FALSE)),0)+IFERROR(IF(VLOOKUP($B22,'PW B-Steer Daubing'!$B$5:$AI$24,10,FALSE)=" ",0,VLOOKUP($B22,'PW B-Steer Daubing'!$B$5:$AI$24,10,FALSE)),0)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B-Calf Riding'!$B$5:$AI$24,14,FALSE)=" ",0,VLOOKUP($B22,'PW B-Calf Riding'!$B$5:$AI$24,14,FALSE)),0)+IFERROR(IF(VLOOKUP($B22,'PW B-Goats'!$B$5:$AI$26,14,FALSE)=" ",0,VLOOKUP($B22,'PW B-Goats'!$B$5:$AI$26,14,FALSE)),0)+IFERROR(IF(VLOOKUP($B22,'PW B-Flags'!$B$5:$AI$24,14,FALSE)=" ",0,VLOOKUP($B22,'PW B-Flags'!$B$5:$AI$24,14,FALSE)),0)+IFERROR(IF(VLOOKUP($B22,'PW B-Breakaway'!$B$5:$AI$24,14,FALSE)=" ",0,VLOOKUP($B22,'PW B-Breakaway'!$B$5:$AI$24,14,FALSE)),0)+IFERROR(IF(VLOOKUP($B22,'PW B-Steer Daubing'!$B$5:$AI$24,14,FALSE)=" ",0,VLOOKUP($B22,'PW B-Steer Daubing'!$B$5:$AI$24,14,FALSE)),0)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B-Calf Riding'!$B$5:$AI$24,18,FALSE)=" ",0,VLOOKUP($B22,'PW B-Calf Riding'!$B$5:$AI$24,18,FALSE)),0)+IFERROR(IF(VLOOKUP($B22,'PW B-Goats'!$B$5:$AI$26,18,FALSE)=" ",0,VLOOKUP($B22,'PW B-Goats'!$B$5:$AI$26,18,FALSE)),0)+IFERROR(IF(VLOOKUP($B22,'PW B-Flags'!$B$5:$AI$24,18,FALSE)=" ",0,VLOOKUP($B22,'PW B-Flags'!$B$5:$AI$24,18,FALSE)),0)+IFERROR(IF(VLOOKUP($B22,'PW B-Breakaway'!$B$5:$AI$24,18,FALSE)=" ",0,VLOOKUP($B22,'PW B-Breakaway'!$B$5:$AI$24,18,FALSE)),0)+IFERROR(IF(VLOOKUP($B22,'PW B-Steer Daubing'!$B$5:$AI$24,18,FALSE)=" ",0,VLOOKUP($B22,'PW B-Steer Daubing'!$B$5:$AI$24,18,FALSE)),0)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B-Calf Riding'!$B$5:$AI$24,22,FALSE)=" ",0,VLOOKUP($B22,'PW B-Calf Riding'!$B$5:$AI$24,22,FALSE)),0)+IFERROR(IF(VLOOKUP($B22,'PW B-Goats'!$B$5:$AI$26,22,FALSE)=" ",0,VLOOKUP($B22,'PW B-Goats'!$B$5:$AI$26,22,FALSE)),0)+IFERROR(IF(VLOOKUP($B22,'PW B-Flags'!$B$5:$AI$24,22,FALSE)=" ",0,VLOOKUP($B22,'PW B-Flags'!$B$5:$AI$24,22,FALSE)),0)+IFERROR(IF(VLOOKUP($B22,'PW B-Breakaway'!$B$5:$AI$24,22,FALSE)=" ",0,VLOOKUP($B22,'PW B-Breakaway'!$B$5:$AI$24,22,FALSE)),0)+IFERROR(IF(VLOOKUP($B22,'PW B-Steer Daubing'!$B$5:$AI$24,22,FALSE)=" ",0,VLOOKUP($B22,'PW B-Steer Daubing'!$B$5:$AI$24,22,FALSE)),0)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B-Calf Riding'!$B$5:$AI$24,26,FALSE)=" ",0,VLOOKUP($B22,'PW B-Calf Riding'!$B$5:$AI$24,26,FALSE)),0)+IFERROR(IF(VLOOKUP($B22,'PW B-Goats'!$B$5:$AI$26,26,FALSE)=" ",0,VLOOKUP($B22,'PW B-Goats'!$B$5:$AI$26,26,FALSE)),0)+IFERROR(IF(VLOOKUP($B22,'PW B-Flags'!$B$5:$AI$24,26,FALSE)=" ",0,VLOOKUP($B22,'PW B-Flags'!$B$5:$AI$24,26,FALSE)),0)+IFERROR(IF(VLOOKUP($B22,'PW B-Breakaway'!$B$5:$AI$24,26,FALSE)=" ",0,VLOOKUP($B22,'PW B-Breakaway'!$B$5:$AI$24,26,FALSE)),0)+IFERROR(IF(VLOOKUP($B22,'PW B-Steer Daubing'!$B$5:$AI$24,26,FALSE)=" ",0,VLOOKUP($B22,'PW B-Steer Daubing'!$B$5:$AI$24,26,FALSE)),0)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B-Calf Riding'!$B$5:$AI$24,30,FALSE)=" ",0,VLOOKUP($B22,'PW B-Calf Riding'!$B$5:$AI$24,30,FALSE)),0)+IFERROR(IF(VLOOKUP($B22,'PW B-Goats'!$B$5:$AI$26,30,FALSE)=" ",0,VLOOKUP($B22,'PW B-Goats'!$B$5:$AI$26,30,FALSE)),0)+IFERROR(IF(VLOOKUP($B22,'PW B-Flags'!$B$5:$AI$24,30,FALSE)=" ",0,VLOOKUP($B22,'PW B-Flags'!$B$5:$AI$24,30,FALSE)),0)+IFERROR(IF(VLOOKUP($B22,'PW B-Breakaway'!$B$5:$AI$24,30,FALSE)=" ",0,VLOOKUP($B22,'PW B-Breakaway'!$B$5:$AI$24,30,FALSE)),0)+IFERROR(IF(VLOOKUP($B22,'PW B-Steer Daubing'!$B$5:$AI$24,30,FALSE)=" ",0,VLOOKUP($B22,'PW B-Steer Daubing'!$B$5:$AI$24,30,FALSE)),0)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B-Calf Riding'!$B$5:$AI$24,34,FALSE)=" ",0,VLOOKUP($B22,'PW B-Calf Riding'!$B$5:$AI$24,34,FALSE)),0)+IFERROR(IF(VLOOKUP($B22,'PW B-Goats'!$B$5:$AI$26,34,FALSE)=" ",0,VLOOKUP($B22,'PW B-Goats'!$B$5:$AI$26,34,FALSE)),0)+IFERROR(IF(VLOOKUP($B22,'PW B-Flags'!$B$5:$AI$24,34,FALSE)=" ",0,VLOOKUP($B22,'PW B-Flags'!$B$5:$AI$24,34,FALSE)),0)+IFERROR(IF(VLOOKUP($B22,'PW B-Breakaway'!$B$5:$AI$24,34,FALSE)=" ",0,VLOOKUP($B22,'PW B-Breakaway'!$B$5:$AI$24,34,FALSE)),0)+IFERROR(IF(VLOOKUP($B22,'PW B-Steer Daubing'!$B$5:$AI$24,34,FALSE)=" ",0,VLOOKUP($B22,'PW B-Steer Daubing'!$B$5:$AI$24,34,FALSE)),0)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52"/>
      <c r="C23" s="120">
        <f>IFERROR(IF(VLOOKUP($B23,'PW B-Calf Riding'!$B$5:$AI$24,6,FALSE)=" ",0,VLOOKUP($B23,'PW B-Calf Riding'!$B$5:$AI$24,6,FALSE)),0)+IFERROR(IF(VLOOKUP($B23,'PW B-Goats'!$B$5:$AI$26,6,FALSE)=" ",0,VLOOKUP($B23,'PW B-Goats'!$B$5:$AI$26,6,FALSE)),0)+IFERROR(IF(VLOOKUP($B23,'PW B-Flags'!$B$5:$AI$24,6,FALSE)=" ",0,VLOOKUP($B23,'PW B-Flags'!$B$5:$AI$24,6,FALSE)),0)+IFERROR(IF(VLOOKUP($B23,'PW B-Breakaway'!$B$5:$AI$24,6,FALSE)=" ",0,VLOOKUP($B23,'PW B-Breakaway'!$B$5:$AI$24,6,FALSE)),0)+IFERROR(IF(VLOOKUP($B23,'PW B-Steer Daubing'!$B$5:$AI$24,6,FALSE)=" ",0,VLOOKUP($B23,'PW B-Steer Daubing'!$B$5:$AI$24,6,FALSE)),0)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IFERROR(IF(VLOOKUP($B23,'PW B-Calf Riding'!$B$5:$AI$24,10,FALSE)=" ",0,VLOOKUP($B23,'PW B-Calf Riding'!$B$5:$AI$24,10,FALSE)),0)+IFERROR(IF(VLOOKUP($B23,'PW B-Goats'!$B$5:$AI$26,10,FALSE)=" ",0,VLOOKUP($B23,'PW B-Goats'!$B$5:$AI$26,10,FALSE)),0)+IFERROR(IF(VLOOKUP($B23,'PW B-Flags'!$B$5:$AI$24,10,FALSE)=" ",0,VLOOKUP($B23,'PW B-Flags'!$B$5:$AI$24,10,FALSE)),0)+IFERROR(IF(VLOOKUP($B23,'PW B-Breakaway'!$B$5:$AI$24,10,FALSE)=" ",0,VLOOKUP($B23,'PW B-Breakaway'!$B$5:$AI$24,10,FALSE)),0)+IFERROR(IF(VLOOKUP($B23,'PW B-Steer Daubing'!$B$5:$AI$24,10,FALSE)=" ",0,VLOOKUP($B23,'PW B-Steer Daubing'!$B$5:$AI$24,10,FALSE)),0)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IFERROR(IF(VLOOKUP($B23,'PW B-Calf Riding'!$B$5:$AI$24,14,FALSE)=" ",0,VLOOKUP($B23,'PW B-Calf Riding'!$B$5:$AI$24,14,FALSE)),0)+IFERROR(IF(VLOOKUP($B23,'PW B-Goats'!$B$5:$AI$26,14,FALSE)=" ",0,VLOOKUP($B23,'PW B-Goats'!$B$5:$AI$26,14,FALSE)),0)+IFERROR(IF(VLOOKUP($B23,'PW B-Flags'!$B$5:$AI$24,14,FALSE)=" ",0,VLOOKUP($B23,'PW B-Flags'!$B$5:$AI$24,14,FALSE)),0)+IFERROR(IF(VLOOKUP($B23,'PW B-Breakaway'!$B$5:$AI$24,14,FALSE)=" ",0,VLOOKUP($B23,'PW B-Breakaway'!$B$5:$AI$24,14,FALSE)),0)+IFERROR(IF(VLOOKUP($B23,'PW B-Steer Daubing'!$B$5:$AI$24,14,FALSE)=" ",0,VLOOKUP($B23,'PW B-Steer Daubing'!$B$5:$AI$24,14,FALSE)),0)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IFERROR(IF(VLOOKUP($B23,'PW B-Calf Riding'!$B$5:$AI$24,18,FALSE)=" ",0,VLOOKUP($B23,'PW B-Calf Riding'!$B$5:$AI$24,18,FALSE)),0)+IFERROR(IF(VLOOKUP($B23,'PW B-Goats'!$B$5:$AI$26,18,FALSE)=" ",0,VLOOKUP($B23,'PW B-Goats'!$B$5:$AI$26,18,FALSE)),0)+IFERROR(IF(VLOOKUP($B23,'PW B-Flags'!$B$5:$AI$24,18,FALSE)=" ",0,VLOOKUP($B23,'PW B-Flags'!$B$5:$AI$24,18,FALSE)),0)+IFERROR(IF(VLOOKUP($B23,'PW B-Breakaway'!$B$5:$AI$24,18,FALSE)=" ",0,VLOOKUP($B23,'PW B-Breakaway'!$B$5:$AI$24,18,FALSE)),0)+IFERROR(IF(VLOOKUP($B23,'PW B-Steer Daubing'!$B$5:$AI$24,18,FALSE)=" ",0,VLOOKUP($B23,'PW B-Steer Daubing'!$B$5:$AI$24,18,FALSE)),0)</f>
        <v>0</v>
      </c>
      <c r="M23" s="95" t="str">
        <f t="shared" si="6"/>
        <v xml:space="preserve"> </v>
      </c>
      <c r="N23" s="122" t="str">
        <f t="shared" si="7"/>
        <v xml:space="preserve"> </v>
      </c>
      <c r="O23" s="121">
        <f>IFERROR(IF(VLOOKUP($B23,'PW B-Calf Riding'!$B$5:$AI$24,22,FALSE)=" ",0,VLOOKUP($B23,'PW B-Calf Riding'!$B$5:$AI$24,22,FALSE)),0)+IFERROR(IF(VLOOKUP($B23,'PW B-Goats'!$B$5:$AI$26,22,FALSE)=" ",0,VLOOKUP($B23,'PW B-Goats'!$B$5:$AI$26,22,FALSE)),0)+IFERROR(IF(VLOOKUP($B23,'PW B-Flags'!$B$5:$AI$24,22,FALSE)=" ",0,VLOOKUP($B23,'PW B-Flags'!$B$5:$AI$24,22,FALSE)),0)+IFERROR(IF(VLOOKUP($B23,'PW B-Breakaway'!$B$5:$AI$24,22,FALSE)=" ",0,VLOOKUP($B23,'PW B-Breakaway'!$B$5:$AI$24,22,FALSE)),0)+IFERROR(IF(VLOOKUP($B23,'PW B-Steer Daubing'!$B$5:$AI$24,22,FALSE)=" ",0,VLOOKUP($B23,'PW B-Steer Daubing'!$B$5:$AI$24,22,FALSE)),0)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IFERROR(IF(VLOOKUP($B23,'PW B-Calf Riding'!$B$5:$AI$24,26,FALSE)=" ",0,VLOOKUP($B23,'PW B-Calf Riding'!$B$5:$AI$24,26,FALSE)),0)+IFERROR(IF(VLOOKUP($B23,'PW B-Goats'!$B$5:$AI$26,26,FALSE)=" ",0,VLOOKUP($B23,'PW B-Goats'!$B$5:$AI$26,26,FALSE)),0)+IFERROR(IF(VLOOKUP($B23,'PW B-Flags'!$B$5:$AI$24,26,FALSE)=" ",0,VLOOKUP($B23,'PW B-Flags'!$B$5:$AI$24,26,FALSE)),0)+IFERROR(IF(VLOOKUP($B23,'PW B-Breakaway'!$B$5:$AI$24,26,FALSE)=" ",0,VLOOKUP($B23,'PW B-Breakaway'!$B$5:$AI$24,26,FALSE)),0)+IFERROR(IF(VLOOKUP($B23,'PW B-Steer Daubing'!$B$5:$AI$24,26,FALSE)=" ",0,VLOOKUP($B23,'PW B-Steer Daubing'!$B$5:$AI$24,26,FALSE)),0)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IFERROR(IF(VLOOKUP($B23,'PW B-Calf Riding'!$B$5:$AI$24,30,FALSE)=" ",0,VLOOKUP($B23,'PW B-Calf Riding'!$B$5:$AI$24,30,FALSE)),0)+IFERROR(IF(VLOOKUP($B23,'PW B-Goats'!$B$5:$AI$26,30,FALSE)=" ",0,VLOOKUP($B23,'PW B-Goats'!$B$5:$AI$26,30,FALSE)),0)+IFERROR(IF(VLOOKUP($B23,'PW B-Flags'!$B$5:$AI$24,30,FALSE)=" ",0,VLOOKUP($B23,'PW B-Flags'!$B$5:$AI$24,30,FALSE)),0)+IFERROR(IF(VLOOKUP($B23,'PW B-Breakaway'!$B$5:$AI$24,30,FALSE)=" ",0,VLOOKUP($B23,'PW B-Breakaway'!$B$5:$AI$24,30,FALSE)),0)+IFERROR(IF(VLOOKUP($B23,'PW B-Steer Daubing'!$B$5:$AI$24,30,FALSE)=" ",0,VLOOKUP($B23,'PW B-Steer Daubing'!$B$5:$AI$24,30,FALSE)),0)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IFERROR(IF(VLOOKUP($B23,'PW B-Calf Riding'!$B$5:$AI$24,34,FALSE)=" ",0,VLOOKUP($B23,'PW B-Calf Riding'!$B$5:$AI$24,34,FALSE)),0)+IFERROR(IF(VLOOKUP($B23,'PW B-Goats'!$B$5:$AI$26,34,FALSE)=" ",0,VLOOKUP($B23,'PW B-Goats'!$B$5:$AI$26,34,FALSE)),0)+IFERROR(IF(VLOOKUP($B23,'PW B-Flags'!$B$5:$AI$24,34,FALSE)=" ",0,VLOOKUP($B23,'PW B-Flags'!$B$5:$AI$24,34,FALSE)),0)+IFERROR(IF(VLOOKUP($B23,'PW B-Breakaway'!$B$5:$AI$24,34,FALSE)=" ",0,VLOOKUP($B23,'PW B-Breakaway'!$B$5:$AI$24,34,FALSE)),0)+IFERROR(IF(VLOOKUP($B23,'PW B-Steer Daubing'!$B$5:$AI$24,34,FALSE)=" ",0,VLOOKUP($B23,'PW B-Steer Daubing'!$B$5:$AI$24,34,FALSE)),0)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3" s="95" t="str">
        <f t="shared" si="16"/>
        <v xml:space="preserve"> </v>
      </c>
      <c r="AC23" s="122" t="str">
        <f t="shared" si="17"/>
        <v xml:space="preserve"> </v>
      </c>
    </row>
    <row r="24" spans="2:29" ht="14.5" thickBot="1" x14ac:dyDescent="0.35">
      <c r="B24" s="142"/>
      <c r="C24" s="123">
        <f>IFERROR(IF(VLOOKUP($B24,'PW B-Calf Riding'!$B$5:$AI$24,6,FALSE)=" ",0,VLOOKUP($B24,'PW B-Calf Riding'!$B$5:$AI$24,6,FALSE)),0)+IFERROR(IF(VLOOKUP($B24,'PW B-Goats'!$B$5:$AI$26,6,FALSE)=" ",0,VLOOKUP($B24,'PW B-Goats'!$B$5:$AI$26,6,FALSE)),0)+IFERROR(IF(VLOOKUP($B24,'PW B-Flags'!$B$5:$AI$24,6,FALSE)=" ",0,VLOOKUP($B24,'PW B-Flags'!$B$5:$AI$24,6,FALSE)),0)+IFERROR(IF(VLOOKUP($B24,'PW B-Breakaway'!$B$5:$AI$24,6,FALSE)=" ",0,VLOOKUP($B24,'PW B-Breakaway'!$B$5:$AI$24,6,FALSE)),0)+IFERROR(IF(VLOOKUP($B24,'PW B-Steer Daubing'!$B$5:$AI$24,6,FALSE)=" ",0,VLOOKUP($B24,'PW B-Steer Daubing'!$B$5:$AI$24,6,FALSE)),0)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IFERROR(IF(VLOOKUP($B24,'PW B-Calf Riding'!$B$5:$AI$24,10,FALSE)=" ",0,VLOOKUP($B24,'PW B-Calf Riding'!$B$5:$AI$24,10,FALSE)),0)+IFERROR(IF(VLOOKUP($B24,'PW B-Goats'!$B$5:$AI$26,10,FALSE)=" ",0,VLOOKUP($B24,'PW B-Goats'!$B$5:$AI$26,10,FALSE)),0)+IFERROR(IF(VLOOKUP($B24,'PW B-Flags'!$B$5:$AI$24,10,FALSE)=" ",0,VLOOKUP($B24,'PW B-Flags'!$B$5:$AI$24,10,FALSE)),0)+IFERROR(IF(VLOOKUP($B24,'PW B-Breakaway'!$B$5:$AI$24,10,FALSE)=" ",0,VLOOKUP($B24,'PW B-Breakaway'!$B$5:$AI$24,10,FALSE)),0)+IFERROR(IF(VLOOKUP($B24,'PW B-Steer Daubing'!$B$5:$AI$24,10,FALSE)=" ",0,VLOOKUP($B24,'PW B-Steer Daubing'!$B$5:$AI$24,10,FALSE)),0)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IFERROR(IF(VLOOKUP($B24,'PW B-Calf Riding'!$B$5:$AI$24,14,FALSE)=" ",0,VLOOKUP($B24,'PW B-Calf Riding'!$B$5:$AI$24,14,FALSE)),0)+IFERROR(IF(VLOOKUP($B24,'PW B-Goats'!$B$5:$AI$26,14,FALSE)=" ",0,VLOOKUP($B24,'PW B-Goats'!$B$5:$AI$26,14,FALSE)),0)+IFERROR(IF(VLOOKUP($B24,'PW B-Flags'!$B$5:$AI$24,14,FALSE)=" ",0,VLOOKUP($B24,'PW B-Flags'!$B$5:$AI$24,14,FALSE)),0)+IFERROR(IF(VLOOKUP($B24,'PW B-Breakaway'!$B$5:$AI$24,14,FALSE)=" ",0,VLOOKUP($B24,'PW B-Breakaway'!$B$5:$AI$24,14,FALSE)),0)+IFERROR(IF(VLOOKUP($B24,'PW B-Steer Daubing'!$B$5:$AI$24,14,FALSE)=" ",0,VLOOKUP($B24,'PW B-Steer Daubing'!$B$5:$AI$24,14,FALSE)),0)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IFERROR(IF(VLOOKUP($B24,'PW B-Calf Riding'!$B$5:$AI$24,18,FALSE)=" ",0,VLOOKUP($B24,'PW B-Calf Riding'!$B$5:$AI$24,18,FALSE)),0)+IFERROR(IF(VLOOKUP($B24,'PW B-Goats'!$B$5:$AI$26,18,FALSE)=" ",0,VLOOKUP($B24,'PW B-Goats'!$B$5:$AI$26,18,FALSE)),0)+IFERROR(IF(VLOOKUP($B24,'PW B-Flags'!$B$5:$AI$24,18,FALSE)=" ",0,VLOOKUP($B24,'PW B-Flags'!$B$5:$AI$24,18,FALSE)),0)+IFERROR(IF(VLOOKUP($B24,'PW B-Breakaway'!$B$5:$AI$24,18,FALSE)=" ",0,VLOOKUP($B24,'PW B-Breakaway'!$B$5:$AI$24,18,FALSE)),0)+IFERROR(IF(VLOOKUP($B24,'PW B-Steer Daubing'!$B$5:$AI$24,18,FALSE)=" ",0,VLOOKUP($B24,'PW B-Steer Daubing'!$B$5:$AI$24,18,FALSE)),0)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IFERROR(IF(VLOOKUP($B24,'PW B-Calf Riding'!$B$5:$AI$24,22,FALSE)=" ",0,VLOOKUP($B24,'PW B-Calf Riding'!$B$5:$AI$24,22,FALSE)),0)+IFERROR(IF(VLOOKUP($B24,'PW B-Goats'!$B$5:$AI$26,22,FALSE)=" ",0,VLOOKUP($B24,'PW B-Goats'!$B$5:$AI$26,22,FALSE)),0)+IFERROR(IF(VLOOKUP($B24,'PW B-Flags'!$B$5:$AI$24,22,FALSE)=" ",0,VLOOKUP($B24,'PW B-Flags'!$B$5:$AI$24,22,FALSE)),0)+IFERROR(IF(VLOOKUP($B24,'PW B-Breakaway'!$B$5:$AI$24,22,FALSE)=" ",0,VLOOKUP($B24,'PW B-Breakaway'!$B$5:$AI$24,22,FALSE)),0)+IFERROR(IF(VLOOKUP($B24,'PW B-Steer Daubing'!$B$5:$AI$24,22,FALSE)=" ",0,VLOOKUP($B24,'PW B-Steer Daubing'!$B$5:$AI$24,22,FALSE)),0)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IFERROR(IF(VLOOKUP($B24,'PW B-Calf Riding'!$B$5:$AI$24,26,FALSE)=" ",0,VLOOKUP($B24,'PW B-Calf Riding'!$B$5:$AI$24,26,FALSE)),0)+IFERROR(IF(VLOOKUP($B24,'PW B-Goats'!$B$5:$AI$26,26,FALSE)=" ",0,VLOOKUP($B24,'PW B-Goats'!$B$5:$AI$26,26,FALSE)),0)+IFERROR(IF(VLOOKUP($B24,'PW B-Flags'!$B$5:$AI$24,26,FALSE)=" ",0,VLOOKUP($B24,'PW B-Flags'!$B$5:$AI$24,26,FALSE)),0)+IFERROR(IF(VLOOKUP($B24,'PW B-Breakaway'!$B$5:$AI$24,26,FALSE)=" ",0,VLOOKUP($B24,'PW B-Breakaway'!$B$5:$AI$24,26,FALSE)),0)+IFERROR(IF(VLOOKUP($B24,'PW B-Steer Daubing'!$B$5:$AI$24,26,FALSE)=" ",0,VLOOKUP($B24,'PW B-Steer Daubing'!$B$5:$AI$24,26,FALSE)),0)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IFERROR(IF(VLOOKUP($B24,'PW B-Calf Riding'!$B$5:$AI$24,30,FALSE)=" ",0,VLOOKUP($B24,'PW B-Calf Riding'!$B$5:$AI$24,30,FALSE)),0)+IFERROR(IF(VLOOKUP($B24,'PW B-Goats'!$B$5:$AI$26,30,FALSE)=" ",0,VLOOKUP($B24,'PW B-Goats'!$B$5:$AI$26,30,FALSE)),0)+IFERROR(IF(VLOOKUP($B24,'PW B-Flags'!$B$5:$AI$24,30,FALSE)=" ",0,VLOOKUP($B24,'PW B-Flags'!$B$5:$AI$24,30,FALSE)),0)+IFERROR(IF(VLOOKUP($B24,'PW B-Breakaway'!$B$5:$AI$24,30,FALSE)=" ",0,VLOOKUP($B24,'PW B-Breakaway'!$B$5:$AI$24,30,FALSE)),0)+IFERROR(IF(VLOOKUP($B24,'PW B-Steer Daubing'!$B$5:$AI$24,30,FALSE)=" ",0,VLOOKUP($B24,'PW B-Steer Daubing'!$B$5:$AI$24,30,FALSE)),0)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IFERROR(IF(VLOOKUP($B24,'PW B-Calf Riding'!$B$5:$AI$24,34,FALSE)=" ",0,VLOOKUP($B24,'PW B-Calf Riding'!$B$5:$AI$24,34,FALSE)),0)+IFERROR(IF(VLOOKUP($B24,'PW B-Goats'!$B$5:$AI$26,34,FALSE)=" ",0,VLOOKUP($B24,'PW B-Goats'!$B$5:$AI$26,34,FALSE)),0)+IFERROR(IF(VLOOKUP($B24,'PW B-Flags'!$B$5:$AI$24,34,FALSE)=" ",0,VLOOKUP($B24,'PW B-Flags'!$B$5:$AI$24,34,FALSE)),0)+IFERROR(IF(VLOOKUP($B24,'PW B-Breakaway'!$B$5:$AI$24,34,FALSE)=" ",0,VLOOKUP($B24,'PW B-Breakaway'!$B$5:$AI$24,34,FALSE)),0)+IFERROR(IF(VLOOKUP($B24,'PW B-Steer Daubing'!$B$5:$AI$24,34,FALSE)=" ",0,VLOOKUP($B24,'PW B-Steer Daubing'!$B$5:$AI$24,34,FALSE)),0)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F3+cnEy90Wy1bf8lh6BDRbjw6irfiJsorR02KQSmgG2yR3wmrVxBlsSykv47d5OwC9Me5f8z7/B+VuC+fC0ATw==" saltValue="1VwS5fKTVBlNdZLu4TNnW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2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7" customWidth="1"/>
    <col min="5" max="5" width="11.7265625" style="57" hidden="1" customWidth="1"/>
    <col min="6" max="6" width="11.7265625" style="57" customWidth="1"/>
    <col min="7" max="7" width="11.7265625" style="60" customWidth="1"/>
    <col min="8" max="8" width="11.7265625" style="57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7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58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85</v>
      </c>
      <c r="C5" s="84"/>
      <c r="D5" s="145"/>
      <c r="E5" s="86" t="str">
        <f t="shared" ref="E5:E24" si="0">IF(D5=0," ",_xlfn.RANK.AVG(D5,D$5:D$24,0))</f>
        <v xml:space="preserve"> </v>
      </c>
      <c r="F5" s="86" t="str">
        <f t="shared" ref="F5:F24" si="1">IF(D5=0," ",IF((RANK(D5,D$5:D$24,0)&gt;6)," ",RANK(D5,D$5:D$24,0)))</f>
        <v xml:space="preserve"> </v>
      </c>
      <c r="G5" s="87" t="str">
        <f>IF(Table6220273236[[#This Row],[Non-Member]]="X"," ",IF(F5=" "," ",IFERROR(VLOOKUP(E5,Points!$A$2:$B$14,2,FALSE)," ")))</f>
        <v xml:space="preserve"> </v>
      </c>
      <c r="H5" s="145">
        <v>9</v>
      </c>
      <c r="I5" s="86">
        <f t="shared" ref="I5:I24" si="2">IF(H5=0," ",_xlfn.RANK.AVG(H5,H$5:H$24,0))</f>
        <v>1.5</v>
      </c>
      <c r="J5" s="86">
        <f t="shared" ref="J5:J24" si="3">IF(H5=0," ",IF((RANK(H5,H$5:H$24,0)&gt;6)," ",RANK(H5,H$5:H$24,0)))</f>
        <v>1</v>
      </c>
      <c r="K5" s="87">
        <f>IF(Table6220273236[[#This Row],[Non-Member]]="X"," ",IF(J5=" "," ",IFERROR(VLOOKUP(I5,Points!$A$2:$B$14,2,FALSE)," ")))</f>
        <v>16.5</v>
      </c>
      <c r="L5" s="145">
        <v>8</v>
      </c>
      <c r="M5" s="86">
        <f t="shared" ref="M5:M24" si="4">IF(L5=0," ",_xlfn.RANK.AVG(L5,L$5:L$24,0))</f>
        <v>3</v>
      </c>
      <c r="N5" s="86">
        <f t="shared" ref="N5:N24" si="5">IF(L5=0," ",IF((RANK(L5,L$5:L$24,0)&gt;6)," ",RANK(L5,L$5:L$24,0)))</f>
        <v>3</v>
      </c>
      <c r="O5" s="87">
        <f>IF(Table6220273236[[#This Row],[Non-Member]]="X"," ",IF(N5=" "," ",IFERROR(VLOOKUP(M5,Points!$A$2:$B$14,2,FALSE)," ")))</f>
        <v>12</v>
      </c>
      <c r="P5" s="145">
        <v>9</v>
      </c>
      <c r="Q5" s="86">
        <f t="shared" ref="Q5:Q24" si="6">IF(P5=0," ",_xlfn.RANK.AVG(P5,P$5:P$24,0))</f>
        <v>1.5</v>
      </c>
      <c r="R5" s="86">
        <f t="shared" ref="R5:R24" si="7">IF(P5=0," ",IF((RANK(P5,P$5:P$24,0)&gt;6)," ",RANK(P5,P$5:P$24,0)))</f>
        <v>1</v>
      </c>
      <c r="S5" s="87">
        <f>IF(Table6220273236[[#This Row],[Non-Member]]="X"," ",IF(R5=" "," ",IFERROR(VLOOKUP(Q5,Points!$A$2:$B$14,2,FALSE)," ")))</f>
        <v>16.5</v>
      </c>
      <c r="T5" s="145"/>
      <c r="U5" s="86" t="str">
        <f t="shared" ref="U5:U24" si="8">IF(T5=0," ",_xlfn.RANK.AVG(T5,T$5:T$24,0))</f>
        <v xml:space="preserve"> </v>
      </c>
      <c r="V5" s="86" t="str">
        <f t="shared" ref="V5:V24" si="9">IF(T5=0," ",IF((RANK(T5,T$5:T$24,0)&gt;6)," ",RANK(T5,T$5:T$24,0)))</f>
        <v xml:space="preserve"> </v>
      </c>
      <c r="W5" s="87" t="str">
        <f>IF(Table6220273236[[#This Row],[Non-Member]]="X"," ",IF(V5=" "," ",IFERROR(VLOOKUP(U5,Points!$A$2:$B$14,2,FALSE)," ")))</f>
        <v xml:space="preserve"> </v>
      </c>
      <c r="X5" s="145"/>
      <c r="Y5" s="86" t="str">
        <f t="shared" ref="Y5:Y24" si="10">IF(X5=0," ",_xlfn.RANK.AVG(X5,X$5:X$24,0))</f>
        <v xml:space="preserve"> </v>
      </c>
      <c r="Z5" s="86" t="str">
        <f t="shared" ref="Z5:Z24" si="11">IF(X5=0," ",IF((RANK(X5,X$5:X$24,0)&gt;6)," ",RANK(X5,X$5:X$24,0)))</f>
        <v xml:space="preserve"> </v>
      </c>
      <c r="AA5" s="87" t="str">
        <f>IF(Table6220273236[[#This Row],[Non-Member]]="X"," ",IF(Z5=" "," ",IFERROR(VLOOKUP(Y5,Points!$A$2:$B$14,2,FALSE)," ")))</f>
        <v xml:space="preserve"> </v>
      </c>
      <c r="AB5" s="145"/>
      <c r="AC5" s="86" t="str">
        <f t="shared" ref="AC5:AC24" si="12">IF(AB5=0," ",_xlfn.RANK.AVG(AB5,IF(AB$5:AB$24&gt;0,AB$5:AB$24,0),0))</f>
        <v xml:space="preserve"> </v>
      </c>
      <c r="AD5" s="86" t="str">
        <f t="shared" ref="AD5:AD24" si="13">IFERROR(IF(RANK(AB5,AB$5:AB$24,0)&gt;6," ",(IF(AB5,RANK(AB5,AB$5:AB$24,0)," ")))," ")</f>
        <v xml:space="preserve"> </v>
      </c>
      <c r="AE5" s="87" t="str">
        <f>IF(Table6220273236[[#This Row],[Non-Member]]="X"," ",IF(AD5=" "," ",IFERROR(VLOOKUP(AC5,Points!$A$2:$B$14,2,FALSE)," ")))</f>
        <v xml:space="preserve"> </v>
      </c>
      <c r="AF5" s="145" t="str">
        <f t="shared" ref="AF5:AF24" si="14">IF(X5+AB5=0," ",X5+AB5)</f>
        <v xml:space="preserve"> </v>
      </c>
      <c r="AG5" s="89" t="e">
        <f t="shared" ref="AG5:AG24" si="15">IF(AF5=0," ",_xlfn.RANK.AVG(AF5,IF(AF$5:AF$24&gt;0,AF$5:AF$24,0),0))</f>
        <v>#VALUE!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IF(Table6220273236[[#This Row],[Non-Member]]="X"," ",IF(AH5=" "," ",IFERROR(VLOOKUP(AG5,Points!$A$2:$B$14,2,FALSE)," ")))</f>
        <v xml:space="preserve"> </v>
      </c>
      <c r="AJ5" s="86">
        <f>IF(Table6220273236[[#This Row],[Non-Member]]="X"," ",((IF(G5=" ",0,G5))+(IF(K5=" ",0,K5))+(IF(O5=" ",0,O5))+(IF(S5=" ",0,S5))+(IF(W5=" ",0,W5))+(IF(AA5=" ",0,AA5))+(IF(AE5=" ",0,AE5))+(IF(AI5=" ",0,AI5))))</f>
        <v>45</v>
      </c>
      <c r="AK5" s="88">
        <f t="shared" ref="AK5:AK24" si="17">IF(AJ5=0," ",AJ5)</f>
        <v>45</v>
      </c>
      <c r="AL5" s="89">
        <f t="shared" ref="AL5:AL24" si="18">IF(AK5=" "," ",RANK(AK5,$AK$5:$AK$24))</f>
        <v>1</v>
      </c>
    </row>
    <row r="6" spans="2:38" x14ac:dyDescent="0.3">
      <c r="B6" s="90" t="s">
        <v>192</v>
      </c>
      <c r="C6" s="91"/>
      <c r="D6" s="146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IF(Table6220273236[[#This Row],[Non-Member]]="X"," ",IF(F6=" "," ",IFERROR(VLOOKUP(E6,Points!$A$2:$B$14,2,FALSE)," ")))</f>
        <v xml:space="preserve"> </v>
      </c>
      <c r="H6" s="146">
        <v>9</v>
      </c>
      <c r="I6" s="93">
        <f t="shared" si="2"/>
        <v>1.5</v>
      </c>
      <c r="J6" s="93">
        <f t="shared" si="3"/>
        <v>1</v>
      </c>
      <c r="K6" s="94">
        <f>IF(Table6220273236[[#This Row],[Non-Member]]="X"," ",IF(J6=" "," ",IFERROR(VLOOKUP(I6,Points!$A$2:$B$14,2,FALSE)," ")))</f>
        <v>16.5</v>
      </c>
      <c r="L6" s="146">
        <v>9</v>
      </c>
      <c r="M6" s="93">
        <f t="shared" si="4"/>
        <v>1.5</v>
      </c>
      <c r="N6" s="93">
        <f t="shared" si="5"/>
        <v>1</v>
      </c>
      <c r="O6" s="94">
        <f>IF(Table6220273236[[#This Row],[Non-Member]]="X"," ",IF(N6=" "," ",IFERROR(VLOOKUP(M6,Points!$A$2:$B$14,2,FALSE)," ")))</f>
        <v>16.5</v>
      </c>
      <c r="P6" s="146">
        <v>3</v>
      </c>
      <c r="Q6" s="93">
        <f t="shared" si="6"/>
        <v>13.5</v>
      </c>
      <c r="R6" s="93" t="str">
        <f t="shared" si="7"/>
        <v xml:space="preserve"> </v>
      </c>
      <c r="S6" s="94" t="str">
        <f>IF(Table6220273236[[#This Row],[Non-Member]]="X"," ",IF(R6=" "," ",IFERROR(VLOOKUP(Q6,Points!$A$2:$B$14,2,FALSE)," ")))</f>
        <v xml:space="preserve"> </v>
      </c>
      <c r="T6" s="146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IF(Table6220273236[[#This Row],[Non-Member]]="X"," ",IF(V6=" "," ",IFERROR(VLOOKUP(U6,Points!$A$2:$B$14,2,FALSE)," ")))</f>
        <v xml:space="preserve"> </v>
      </c>
      <c r="X6" s="146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IF(Table6220273236[[#This Row],[Non-Member]]="X"," ",IF(Z6=" "," ",IFERROR(VLOOKUP(Y6,Points!$A$2:$B$14,2,FALSE)," ")))</f>
        <v xml:space="preserve"> </v>
      </c>
      <c r="AB6" s="146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IF(Table6220273236[[#This Row],[Non-Member]]="X"," ",IF(AD6=" "," ",IFERROR(VLOOKUP(AC6,Points!$A$2:$B$14,2,FALSE)," ")))</f>
        <v xml:space="preserve"> </v>
      </c>
      <c r="AF6" s="146" t="str">
        <f t="shared" si="14"/>
        <v xml:space="preserve"> </v>
      </c>
      <c r="AG6" s="96" t="e">
        <f t="shared" si="15"/>
        <v>#VALUE!</v>
      </c>
      <c r="AH6" s="93" t="str">
        <f t="shared" si="16"/>
        <v xml:space="preserve"> </v>
      </c>
      <c r="AI6" s="94" t="str">
        <f>IF(Table6220273236[[#This Row],[Non-Member]]="X"," ",IF(AH6=" "," ",IFERROR(VLOOKUP(AG6,Points!$A$2:$B$14,2,FALSE)," ")))</f>
        <v xml:space="preserve"> </v>
      </c>
      <c r="AJ6" s="93">
        <f>IF(Table6220273236[[#This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6">
        <f t="shared" si="18"/>
        <v>2</v>
      </c>
    </row>
    <row r="7" spans="2:38" x14ac:dyDescent="0.3">
      <c r="B7" s="90" t="s">
        <v>181</v>
      </c>
      <c r="C7" s="91"/>
      <c r="D7" s="146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IF(Table6220273236[[#This Row],[Non-Member]]="X"," ",IF(F7=" "," ",IFERROR(VLOOKUP(E7,Points!$A$2:$B$14,2,FALSE)," ")))</f>
        <v xml:space="preserve"> </v>
      </c>
      <c r="H7" s="146">
        <v>6</v>
      </c>
      <c r="I7" s="93">
        <f t="shared" si="2"/>
        <v>5.5</v>
      </c>
      <c r="J7" s="93">
        <f t="shared" si="3"/>
        <v>3</v>
      </c>
      <c r="K7" s="94">
        <v>5</v>
      </c>
      <c r="L7" s="146">
        <v>9</v>
      </c>
      <c r="M7" s="93">
        <f t="shared" si="4"/>
        <v>1.5</v>
      </c>
      <c r="N7" s="93">
        <f t="shared" si="5"/>
        <v>1</v>
      </c>
      <c r="O7" s="94">
        <f>IF(Table6220273236[[#This Row],[Non-Member]]="X"," ",IF(N7=" "," ",IFERROR(VLOOKUP(M7,Points!$A$2:$B$14,2,FALSE)," ")))</f>
        <v>16.5</v>
      </c>
      <c r="P7" s="146">
        <v>8</v>
      </c>
      <c r="Q7" s="93">
        <f t="shared" si="6"/>
        <v>3.5</v>
      </c>
      <c r="R7" s="93">
        <f t="shared" si="7"/>
        <v>3</v>
      </c>
      <c r="S7" s="94">
        <f>IF(Table6220273236[[#This Row],[Non-Member]]="X"," ",IF(R7=" "," ",IFERROR(VLOOKUP(Q7,Points!$A$2:$B$14,2,FALSE)," ")))</f>
        <v>10.5</v>
      </c>
      <c r="T7" s="146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IF(Table6220273236[[#This Row],[Non-Member]]="X"," ",IF(V7=" "," ",IFERROR(VLOOKUP(U7,Points!$A$2:$B$14,2,FALSE)," ")))</f>
        <v xml:space="preserve"> </v>
      </c>
      <c r="X7" s="146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IF(Table6220273236[[#This Row],[Non-Member]]="X"," ",IF(Z7=" "," ",IFERROR(VLOOKUP(Y7,Points!$A$2:$B$14,2,FALSE)," ")))</f>
        <v xml:space="preserve"> </v>
      </c>
      <c r="AB7" s="146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IF(Table6220273236[[#This Row],[Non-Member]]="X"," ",IF(AD7=" "," ",IFERROR(VLOOKUP(AC7,Points!$A$2:$B$14,2,FALSE)," ")))</f>
        <v xml:space="preserve"> </v>
      </c>
      <c r="AF7" s="146" t="str">
        <f t="shared" si="14"/>
        <v xml:space="preserve"> </v>
      </c>
      <c r="AG7" s="96" t="e">
        <f t="shared" si="15"/>
        <v>#VALUE!</v>
      </c>
      <c r="AH7" s="93" t="str">
        <f t="shared" si="16"/>
        <v xml:space="preserve"> </v>
      </c>
      <c r="AI7" s="94" t="str">
        <f>IF(Table6220273236[[#This Row],[Non-Member]]="X"," ",IF(AH7=" "," ",IFERROR(VLOOKUP(AG7,Points!$A$2:$B$14,2,FALSE)," ")))</f>
        <v xml:space="preserve"> </v>
      </c>
      <c r="AJ7" s="93">
        <f>IF(Table6220273236[[#This Row],[Non-Member]]="X"," ",((IF(G7=" ",0,G7))+(IF(K7=" ",0,K7))+(IF(O7=" ",0,O7))+(IF(S7=" ",0,S7))+(IF(W7=" ",0,W7))+(IF(AA7=" ",0,AA7))+(IF(AE7=" ",0,AE7))+(IF(AI7=" ",0,AI7))))</f>
        <v>32</v>
      </c>
      <c r="AK7" s="95">
        <f t="shared" si="17"/>
        <v>32</v>
      </c>
      <c r="AL7" s="96">
        <f t="shared" si="18"/>
        <v>3</v>
      </c>
    </row>
    <row r="8" spans="2:38" x14ac:dyDescent="0.3">
      <c r="B8" s="90" t="s">
        <v>179</v>
      </c>
      <c r="C8" s="91"/>
      <c r="D8" s="146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IF(Table6220273236[[#This Row],[Non-Member]]="X"," ",IF(F8=" "," ",IFERROR(VLOOKUP(E8,Points!$A$2:$B$14,2,FALSE)," ")))</f>
        <v xml:space="preserve"> </v>
      </c>
      <c r="H8" s="146">
        <v>6</v>
      </c>
      <c r="I8" s="93">
        <f t="shared" si="2"/>
        <v>5.5</v>
      </c>
      <c r="J8" s="93">
        <f t="shared" si="3"/>
        <v>3</v>
      </c>
      <c r="K8" s="94">
        <v>5</v>
      </c>
      <c r="L8" s="146">
        <v>6</v>
      </c>
      <c r="M8" s="93">
        <f t="shared" si="4"/>
        <v>6</v>
      </c>
      <c r="N8" s="93">
        <f t="shared" si="5"/>
        <v>5</v>
      </c>
      <c r="O8" s="94">
        <f>IF(Table6220273236[[#This Row],[Non-Member]]="X"," ",IF(N8=" "," ",IFERROR(VLOOKUP(M8,Points!$A$2:$B$14,2,FALSE)," ")))</f>
        <v>3</v>
      </c>
      <c r="P8" s="146">
        <v>8</v>
      </c>
      <c r="Q8" s="93">
        <f t="shared" si="6"/>
        <v>3.5</v>
      </c>
      <c r="R8" s="93">
        <f t="shared" si="7"/>
        <v>3</v>
      </c>
      <c r="S8" s="94">
        <f>IF(Table6220273236[[#This Row],[Non-Member]]="X"," ",IF(R8=" "," ",IFERROR(VLOOKUP(Q8,Points!$A$2:$B$14,2,FALSE)," ")))</f>
        <v>10.5</v>
      </c>
      <c r="T8" s="146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IF(Table6220273236[[#This Row],[Non-Member]]="X"," ",IF(V8=" "," ",IFERROR(VLOOKUP(U8,Points!$A$2:$B$14,2,FALSE)," ")))</f>
        <v xml:space="preserve"> </v>
      </c>
      <c r="X8" s="146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IF(Table6220273236[[#This Row],[Non-Member]]="X"," ",IF(Z8=" "," ",IFERROR(VLOOKUP(Y8,Points!$A$2:$B$14,2,FALSE)," ")))</f>
        <v xml:space="preserve"> </v>
      </c>
      <c r="AB8" s="146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IF(Table6220273236[[#This Row],[Non-Member]]="X"," ",IF(AD8=" "," ",IFERROR(VLOOKUP(AC8,Points!$A$2:$B$14,2,FALSE)," ")))</f>
        <v xml:space="preserve"> </v>
      </c>
      <c r="AF8" s="146" t="str">
        <f t="shared" si="14"/>
        <v xml:space="preserve"> </v>
      </c>
      <c r="AG8" s="96" t="e">
        <f t="shared" si="15"/>
        <v>#VALUE!</v>
      </c>
      <c r="AH8" s="93" t="str">
        <f t="shared" si="16"/>
        <v xml:space="preserve"> </v>
      </c>
      <c r="AI8" s="94" t="str">
        <f>IF(Table6220273236[[#This Row],[Non-Member]]="X"," ",IF(AH8=" "," ",IFERROR(VLOOKUP(AG8,Points!$A$2:$B$14,2,FALSE)," ")))</f>
        <v xml:space="preserve"> </v>
      </c>
      <c r="AJ8" s="93">
        <f>IF(Table6220273236[[#This Row],[Non-Member]]="X"," ",((IF(G8=" ",0,G8))+(IF(K8=" ",0,K8))+(IF(O8=" ",0,O8))+(IF(S8=" ",0,S8))+(IF(W8=" ",0,W8))+(IF(AA8=" ",0,AA8))+(IF(AE8=" ",0,AE8))+(IF(AI8=" ",0,AI8))))</f>
        <v>18.5</v>
      </c>
      <c r="AK8" s="95">
        <f t="shared" si="17"/>
        <v>18.5</v>
      </c>
      <c r="AL8" s="96">
        <f t="shared" si="18"/>
        <v>4</v>
      </c>
    </row>
    <row r="9" spans="2:38" x14ac:dyDescent="0.3">
      <c r="B9" s="90" t="s">
        <v>318</v>
      </c>
      <c r="C9" s="91"/>
      <c r="D9" s="146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IF(Table6220273236[[#This Row],[Non-Member]]="X"," ",IF(F9=" "," ",IFERROR(VLOOKUP(E9,Points!$A$2:$B$14,2,FALSE)," ")))</f>
        <v xml:space="preserve"> </v>
      </c>
      <c r="H9" s="146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IF(Table6220273236[[#This Row],[Non-Member]]="X"," ",IF(J9=" "," ",IFERROR(VLOOKUP(I9,Points!$A$2:$B$14,2,FALSE)," ")))</f>
        <v xml:space="preserve"> </v>
      </c>
      <c r="L9" s="146">
        <v>4</v>
      </c>
      <c r="M9" s="93">
        <f t="shared" si="4"/>
        <v>9</v>
      </c>
      <c r="N9" s="93" t="str">
        <f t="shared" si="5"/>
        <v xml:space="preserve"> </v>
      </c>
      <c r="O9" s="94" t="str">
        <f>IF(Table6220273236[[#This Row],[Non-Member]]="X"," ",IF(N9=" "," ",IFERROR(VLOOKUP(M9,Points!$A$2:$B$14,2,FALSE)," ")))</f>
        <v xml:space="preserve"> </v>
      </c>
      <c r="P9" s="146">
        <v>9</v>
      </c>
      <c r="Q9" s="93">
        <f t="shared" si="6"/>
        <v>1.5</v>
      </c>
      <c r="R9" s="93">
        <f t="shared" si="7"/>
        <v>1</v>
      </c>
      <c r="S9" s="94">
        <f>IF(Table6220273236[[#This Row],[Non-Member]]="X"," ",IF(R9=" "," ",IFERROR(VLOOKUP(Q9,Points!$A$2:$B$14,2,FALSE)," ")))</f>
        <v>16.5</v>
      </c>
      <c r="T9" s="146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IF(Table6220273236[[#This Row],[Non-Member]]="X"," ",IF(V9=" "," ",IFERROR(VLOOKUP(U9,Points!$A$2:$B$14,2,FALSE)," ")))</f>
        <v xml:space="preserve"> </v>
      </c>
      <c r="X9" s="146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IF(Table6220273236[[#This Row],[Non-Member]]="X"," ",IF(Z9=" "," ",IFERROR(VLOOKUP(Y9,Points!$A$2:$B$14,2,FALSE)," ")))</f>
        <v xml:space="preserve"> </v>
      </c>
      <c r="AB9" s="146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IF(Table6220273236[[#This Row],[Non-Member]]="X"," ",IF(AD9=" "," ",IFERROR(VLOOKUP(AC9,Points!$A$2:$B$14,2,FALSE)," ")))</f>
        <v xml:space="preserve"> </v>
      </c>
      <c r="AF9" s="146" t="str">
        <f t="shared" si="14"/>
        <v xml:space="preserve"> </v>
      </c>
      <c r="AG9" s="96" t="e">
        <f t="shared" si="15"/>
        <v>#VALUE!</v>
      </c>
      <c r="AH9" s="93" t="str">
        <f t="shared" si="16"/>
        <v xml:space="preserve"> </v>
      </c>
      <c r="AI9" s="94" t="str">
        <f>IF(Table6220273236[[#This Row],[Non-Member]]="X"," ",IF(AH9=" "," ",IFERROR(VLOOKUP(AG9,Points!$A$2:$B$14,2,FALSE)," ")))</f>
        <v xml:space="preserve"> </v>
      </c>
      <c r="AJ9" s="93">
        <f>IF(Table6220273236[[#This Row],[Non-Member]]="X"," ",((IF(G9=" ",0,G9))+(IF(K9=" ",0,K9))+(IF(O9=" ",0,O9))+(IF(S9=" ",0,S9))+(IF(W9=" ",0,W9))+(IF(AA9=" ",0,AA9))+(IF(AE9=" ",0,AE9))+(IF(AI9=" ",0,AI9))))</f>
        <v>16.5</v>
      </c>
      <c r="AK9" s="95">
        <f t="shared" si="17"/>
        <v>16.5</v>
      </c>
      <c r="AL9" s="96">
        <f t="shared" si="18"/>
        <v>5</v>
      </c>
    </row>
    <row r="10" spans="2:38" x14ac:dyDescent="0.3">
      <c r="B10" s="90" t="s">
        <v>193</v>
      </c>
      <c r="C10" s="91"/>
      <c r="D10" s="146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IF(Table6220273236[[#This Row],[Non-Member]]="X"," ",IF(F10=" "," ",IFERROR(VLOOKUP(E10,Points!$A$2:$B$14,2,FALSE)," ")))</f>
        <v xml:space="preserve"> </v>
      </c>
      <c r="H10" s="146">
        <v>6</v>
      </c>
      <c r="I10" s="93">
        <f t="shared" si="2"/>
        <v>5.5</v>
      </c>
      <c r="J10" s="93">
        <f t="shared" si="3"/>
        <v>3</v>
      </c>
      <c r="K10" s="94">
        <v>5</v>
      </c>
      <c r="L10" s="146">
        <v>7</v>
      </c>
      <c r="M10" s="93">
        <f t="shared" si="4"/>
        <v>4</v>
      </c>
      <c r="N10" s="93">
        <f t="shared" si="5"/>
        <v>4</v>
      </c>
      <c r="O10" s="94">
        <f>IF(Table6220273236[[#This Row],[Non-Member]]="X"," ",IF(N10=" "," ",IFERROR(VLOOKUP(M10,Points!$A$2:$B$14,2,FALSE)," ")))</f>
        <v>9</v>
      </c>
      <c r="P10" s="146">
        <v>5</v>
      </c>
      <c r="Q10" s="93">
        <f t="shared" si="6"/>
        <v>8.5</v>
      </c>
      <c r="R10" s="93" t="str">
        <f t="shared" si="7"/>
        <v xml:space="preserve"> </v>
      </c>
      <c r="S10" s="94" t="str">
        <f>IF(Table6220273236[[#This Row],[Non-Member]]="X"," ",IF(R10=" "," ",IFERROR(VLOOKUP(Q10,Points!$A$2:$B$14,2,FALSE)," ")))</f>
        <v xml:space="preserve"> </v>
      </c>
      <c r="T10" s="146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IF(Table6220273236[[#This Row],[Non-Member]]="X"," ",IF(V10=" "," ",IFERROR(VLOOKUP(U10,Points!$A$2:$B$14,2,FALSE)," ")))</f>
        <v xml:space="preserve"> </v>
      </c>
      <c r="X10" s="146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IF(Table6220273236[[#This Row],[Non-Member]]="X"," ",IF(Z10=" "," ",IFERROR(VLOOKUP(Y10,Points!$A$2:$B$14,2,FALSE)," ")))</f>
        <v xml:space="preserve"> </v>
      </c>
      <c r="AB10" s="146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IF(Table6220273236[[#This Row],[Non-Member]]="X"," ",IF(AD10=" "," ",IFERROR(VLOOKUP(AC10,Points!$A$2:$B$14,2,FALSE)," ")))</f>
        <v xml:space="preserve"> </v>
      </c>
      <c r="AF10" s="146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IF(Table6220273236[[#This Row],[Non-Member]]="X"," ",IF(AH10=" "," ",IFERROR(VLOOKUP(AG10,Points!$A$2:$B$14,2,FALSE)," ")))</f>
        <v xml:space="preserve"> </v>
      </c>
      <c r="AJ10" s="93">
        <f>IF(Table6220273236[[#This Row],[Non-Member]]="X"," ",((IF(G10=" ",0,G10))+(IF(K10=" ",0,K10))+(IF(O10=" ",0,O10))+(IF(S10=" ",0,S10))+(IF(W10=" ",0,W10))+(IF(AA10=" ",0,AA10))+(IF(AE10=" ",0,AE10))+(IF(AI10=" ",0,AI10))))</f>
        <v>14</v>
      </c>
      <c r="AK10" s="95">
        <f t="shared" si="17"/>
        <v>14</v>
      </c>
      <c r="AL10" s="96">
        <f t="shared" si="18"/>
        <v>6</v>
      </c>
    </row>
    <row r="11" spans="2:38" x14ac:dyDescent="0.3">
      <c r="B11" s="90" t="s">
        <v>91</v>
      </c>
      <c r="C11" s="91"/>
      <c r="D11" s="146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IF(Table6220273236[[#This Row],[Non-Member]]="X"," ",IF(F11=" "," ",IFERROR(VLOOKUP(E11,Points!$A$2:$B$14,2,FALSE)," ")))</f>
        <v xml:space="preserve"> </v>
      </c>
      <c r="H11" s="146">
        <v>6</v>
      </c>
      <c r="I11" s="93">
        <f t="shared" si="2"/>
        <v>5.5</v>
      </c>
      <c r="J11" s="93">
        <f t="shared" si="3"/>
        <v>3</v>
      </c>
      <c r="K11" s="94">
        <v>5</v>
      </c>
      <c r="L11" s="146">
        <v>4</v>
      </c>
      <c r="M11" s="93">
        <f t="shared" si="4"/>
        <v>9</v>
      </c>
      <c r="N11" s="93" t="str">
        <f t="shared" si="5"/>
        <v xml:space="preserve"> </v>
      </c>
      <c r="O11" s="94" t="str">
        <f>IF(Table6220273236[[#This Row],[Non-Member]]="X"," ",IF(N11=" "," ",IFERROR(VLOOKUP(M11,Points!$A$2:$B$14,2,FALSE)," ")))</f>
        <v xml:space="preserve"> </v>
      </c>
      <c r="P11" s="146">
        <v>7</v>
      </c>
      <c r="Q11" s="93">
        <f t="shared" si="6"/>
        <v>5.5</v>
      </c>
      <c r="R11" s="93">
        <f t="shared" si="7"/>
        <v>5</v>
      </c>
      <c r="S11" s="94">
        <f>IF(Table6220273236[[#This Row],[Non-Member]]="X"," ",IF(R11=" "," ",IFERROR(VLOOKUP(Q11,Points!$A$2:$B$14,2,FALSE)," ")))</f>
        <v>4.5</v>
      </c>
      <c r="T11" s="146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IF(Table6220273236[[#This Row],[Non-Member]]="X"," ",IF(V11=" "," ",IFERROR(VLOOKUP(U11,Points!$A$2:$B$14,2,FALSE)," ")))</f>
        <v xml:space="preserve"> </v>
      </c>
      <c r="X11" s="146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IF(Table6220273236[[#This Row],[Non-Member]]="X"," ",IF(Z11=" "," ",IFERROR(VLOOKUP(Y11,Points!$A$2:$B$14,2,FALSE)," ")))</f>
        <v xml:space="preserve"> </v>
      </c>
      <c r="AB11" s="146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IF(Table6220273236[[#This Row],[Non-Member]]="X"," ",IF(AD11=" "," ",IFERROR(VLOOKUP(AC11,Points!$A$2:$B$14,2,FALSE)," ")))</f>
        <v xml:space="preserve"> </v>
      </c>
      <c r="AF11" s="146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IF(Table6220273236[[#This Row],[Non-Member]]="X"," ",IF(AH11=" "," ",IFERROR(VLOOKUP(AG11,Points!$A$2:$B$14,2,FALSE)," ")))</f>
        <v xml:space="preserve"> </v>
      </c>
      <c r="AJ11" s="93">
        <f>IF(Table6220273236[[#This Row],[Non-Member]]="X"," ",((IF(G11=" ",0,G11))+(IF(K11=" ",0,K11))+(IF(O11=" ",0,O11))+(IF(S11=" ",0,S11))+(IF(W11=" ",0,W11))+(IF(AA11=" ",0,AA11))+(IF(AE11=" ",0,AE11))+(IF(AI11=" ",0,AI11))))</f>
        <v>9.5</v>
      </c>
      <c r="AK11" s="95">
        <f t="shared" si="17"/>
        <v>9.5</v>
      </c>
      <c r="AL11" s="96">
        <f t="shared" si="18"/>
        <v>7</v>
      </c>
    </row>
    <row r="12" spans="2:38" x14ac:dyDescent="0.3">
      <c r="B12" s="90" t="s">
        <v>183</v>
      </c>
      <c r="C12" s="91"/>
      <c r="D12" s="165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IF(Table6220273236[[#This Row],[Non-Member]]="X"," ",IF(F12=" "," ",IFERROR(VLOOKUP(E12,Points!$A$2:$B$14,2,FALSE)," ")))</f>
        <v xml:space="preserve"> </v>
      </c>
      <c r="H12" s="146">
        <v>6</v>
      </c>
      <c r="I12" s="93">
        <f t="shared" si="2"/>
        <v>5.5</v>
      </c>
      <c r="J12" s="93">
        <f t="shared" si="3"/>
        <v>3</v>
      </c>
      <c r="K12" s="94">
        <v>5</v>
      </c>
      <c r="L12" s="146">
        <v>6</v>
      </c>
      <c r="M12" s="93">
        <f t="shared" si="4"/>
        <v>6</v>
      </c>
      <c r="N12" s="93">
        <f t="shared" si="5"/>
        <v>5</v>
      </c>
      <c r="O12" s="94">
        <f>IF(Table6220273236[[#This Row],[Non-Member]]="X"," ",IF(N12=" "," ",IFERROR(VLOOKUP(M12,Points!$A$2:$B$14,2,FALSE)," ")))</f>
        <v>3</v>
      </c>
      <c r="P12" s="146">
        <v>5</v>
      </c>
      <c r="Q12" s="93">
        <f t="shared" si="6"/>
        <v>8.5</v>
      </c>
      <c r="R12" s="93" t="str">
        <f t="shared" si="7"/>
        <v xml:space="preserve"> </v>
      </c>
      <c r="S12" s="94" t="str">
        <f>IF(Table6220273236[[#This Row],[Non-Member]]="X"," ",IF(R12=" "," ",IFERROR(VLOOKUP(Q12,Points!$A$2:$B$14,2,FALSE)," ")))</f>
        <v xml:space="preserve"> </v>
      </c>
      <c r="T12" s="146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IF(Table6220273236[[#This Row],[Non-Member]]="X"," ",IF(V12=" "," ",IFERROR(VLOOKUP(U12,Points!$A$2:$B$14,2,FALSE)," ")))</f>
        <v xml:space="preserve"> </v>
      </c>
      <c r="X12" s="146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IF(Table6220273236[[#This Row],[Non-Member]]="X"," ",IF(Z12=" "," ",IFERROR(VLOOKUP(Y12,Points!$A$2:$B$14,2,FALSE)," ")))</f>
        <v xml:space="preserve"> </v>
      </c>
      <c r="AB12" s="146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IF(Table6220273236[[#This Row],[Non-Member]]="X"," ",IF(AD12=" "," ",IFERROR(VLOOKUP(AC12,Points!$A$2:$B$14,2,FALSE)," ")))</f>
        <v xml:space="preserve"> </v>
      </c>
      <c r="AF12" s="146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IF(Table6220273236[[#This Row],[Non-Member]]="X"," ",IF(AH12=" "," ",IFERROR(VLOOKUP(AG12,Points!$A$2:$B$14,2,FALSE)," ")))</f>
        <v xml:space="preserve"> </v>
      </c>
      <c r="AJ12" s="93">
        <f>IF(Table6220273236[[#This Row],[Non-Member]]="X"," ",((IF(G12=" ",0,G12))+(IF(K12=" ",0,K12))+(IF(O12=" ",0,O12))+(IF(S12=" ",0,S12))+(IF(W12=" ",0,W12))+(IF(AA12=" ",0,AA12))+(IF(AE12=" ",0,AE12))+(IF(AI12=" ",0,AI12))))</f>
        <v>8</v>
      </c>
      <c r="AK12" s="95">
        <f t="shared" si="17"/>
        <v>8</v>
      </c>
      <c r="AL12" s="96">
        <f t="shared" si="18"/>
        <v>8</v>
      </c>
    </row>
    <row r="13" spans="2:38" x14ac:dyDescent="0.3">
      <c r="B13" s="90" t="s">
        <v>184</v>
      </c>
      <c r="C13" s="91"/>
      <c r="D13" s="146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IF(Table6220273236[[#This Row],[Non-Member]]="X"," ",IF(F13=" "," ",IFERROR(VLOOKUP(E13,Points!$A$2:$B$14,2,FALSE)," ")))</f>
        <v xml:space="preserve"> </v>
      </c>
      <c r="H13" s="146">
        <v>5</v>
      </c>
      <c r="I13" s="93">
        <f t="shared" si="2"/>
        <v>10.5</v>
      </c>
      <c r="J13" s="93" t="str">
        <f t="shared" si="3"/>
        <v xml:space="preserve"> </v>
      </c>
      <c r="K13" s="94" t="str">
        <f>IF(Table6220273236[[#This Row],[Non-Member]]="X"," ",IF(J13=" "," ",IFERROR(VLOOKUP(I13,Points!$A$2:$B$14,2,FALSE)," ")))</f>
        <v xml:space="preserve"> </v>
      </c>
      <c r="L13" s="146">
        <v>6</v>
      </c>
      <c r="M13" s="93">
        <f t="shared" si="4"/>
        <v>6</v>
      </c>
      <c r="N13" s="93">
        <f t="shared" si="5"/>
        <v>5</v>
      </c>
      <c r="O13" s="94">
        <f>IF(Table6220273236[[#This Row],[Non-Member]]="X"," ",IF(N13=" "," ",IFERROR(VLOOKUP(M13,Points!$A$2:$B$14,2,FALSE)," ")))</f>
        <v>3</v>
      </c>
      <c r="P13" s="146">
        <v>7</v>
      </c>
      <c r="Q13" s="93">
        <f t="shared" si="6"/>
        <v>5.5</v>
      </c>
      <c r="R13" s="93">
        <f t="shared" si="7"/>
        <v>5</v>
      </c>
      <c r="S13" s="94">
        <f>IF(Table6220273236[[#This Row],[Non-Member]]="X"," ",IF(R13=" "," ",IFERROR(VLOOKUP(Q13,Points!$A$2:$B$14,2,FALSE)," ")))</f>
        <v>4.5</v>
      </c>
      <c r="T13" s="146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IF(Table6220273236[[#This Row],[Non-Member]]="X"," ",IF(V13=" "," ",IFERROR(VLOOKUP(U13,Points!$A$2:$B$14,2,FALSE)," ")))</f>
        <v xml:space="preserve"> </v>
      </c>
      <c r="X13" s="146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IF(Table6220273236[[#This Row],[Non-Member]]="X"," ",IF(Z13=" "," ",IFERROR(VLOOKUP(Y13,Points!$A$2:$B$14,2,FALSE)," ")))</f>
        <v xml:space="preserve"> </v>
      </c>
      <c r="AB13" s="146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IF(Table6220273236[[#This Row],[Non-Member]]="X"," ",IF(AD13=" "," ",IFERROR(VLOOKUP(AC13,Points!$A$2:$B$14,2,FALSE)," ")))</f>
        <v xml:space="preserve"> </v>
      </c>
      <c r="AF13" s="146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IF(Table6220273236[[#This Row],[Non-Member]]="X"," ",IF(AH13=" "," ",IFERROR(VLOOKUP(AG13,Points!$A$2:$B$14,2,FALSE)," ")))</f>
        <v xml:space="preserve"> </v>
      </c>
      <c r="AJ13" s="93">
        <f>IF(Table6220273236[[#This Row],[Non-Member]]="X"," ",((IF(G13=" ",0,G13))+(IF(K13=" ",0,K13))+(IF(O13=" ",0,O13))+(IF(S13=" ",0,S13))+(IF(W13=" ",0,W13))+(IF(AA13=" ",0,AA13))+(IF(AE13=" ",0,AE13))+(IF(AI13=" ",0,AI13))))</f>
        <v>7.5</v>
      </c>
      <c r="AK13" s="95">
        <f t="shared" si="17"/>
        <v>7.5</v>
      </c>
      <c r="AL13" s="96">
        <f t="shared" si="18"/>
        <v>9</v>
      </c>
    </row>
    <row r="14" spans="2:38" x14ac:dyDescent="0.3">
      <c r="B14" s="90" t="s">
        <v>259</v>
      </c>
      <c r="C14" s="91"/>
      <c r="D14" s="146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IF(Table6220273236[[#This Row],[Non-Member]]="X"," ",IF(F14=" "," ",IFERROR(VLOOKUP(E14,Points!$A$2:$B$14,2,FALSE)," ")))</f>
        <v xml:space="preserve"> </v>
      </c>
      <c r="H14" s="146">
        <v>6</v>
      </c>
      <c r="I14" s="97">
        <f t="shared" si="2"/>
        <v>5.5</v>
      </c>
      <c r="J14" s="93">
        <f t="shared" si="3"/>
        <v>3</v>
      </c>
      <c r="K14" s="94">
        <v>5</v>
      </c>
      <c r="L14" s="146">
        <v>3</v>
      </c>
      <c r="M14" s="97">
        <f t="shared" si="4"/>
        <v>12.5</v>
      </c>
      <c r="N14" s="93" t="str">
        <f t="shared" si="5"/>
        <v xml:space="preserve"> </v>
      </c>
      <c r="O14" s="94" t="str">
        <f>IF(Table6220273236[[#This Row],[Non-Member]]="X"," ",IF(N14=" "," ",IFERROR(VLOOKUP(M14,Points!$A$2:$B$14,2,FALSE)," ")))</f>
        <v xml:space="preserve"> </v>
      </c>
      <c r="P14" s="146">
        <v>0</v>
      </c>
      <c r="Q14" s="97" t="str">
        <f t="shared" si="6"/>
        <v xml:space="preserve"> </v>
      </c>
      <c r="R14" s="93" t="str">
        <f t="shared" si="7"/>
        <v xml:space="preserve"> </v>
      </c>
      <c r="S14" s="94" t="str">
        <f>IF(Table6220273236[[#This Row],[Non-Member]]="X"," ",IF(R14=" "," ",IFERROR(VLOOKUP(Q14,Points!$A$2:$B$14,2,FALSE)," ")))</f>
        <v xml:space="preserve"> </v>
      </c>
      <c r="T14" s="146"/>
      <c r="U14" s="97" t="str">
        <f t="shared" si="8"/>
        <v xml:space="preserve"> </v>
      </c>
      <c r="V14" s="93" t="str">
        <f t="shared" si="9"/>
        <v xml:space="preserve"> </v>
      </c>
      <c r="W14" s="94" t="str">
        <f>IF(Table6220273236[[#This Row],[Non-Member]]="X"," ",IF(V14=" "," ",IFERROR(VLOOKUP(U14,Points!$A$2:$B$14,2,FALSE)," ")))</f>
        <v xml:space="preserve"> </v>
      </c>
      <c r="X14" s="146"/>
      <c r="Y14" s="97" t="str">
        <f t="shared" si="10"/>
        <v xml:space="preserve"> </v>
      </c>
      <c r="Z14" s="93" t="str">
        <f t="shared" si="11"/>
        <v xml:space="preserve"> </v>
      </c>
      <c r="AA14" s="94" t="str">
        <f>IF(Table6220273236[[#This Row],[Non-Member]]="X"," ",IF(Z14=" "," ",IFERROR(VLOOKUP(Y14,Points!$A$2:$B$14,2,FALSE)," ")))</f>
        <v xml:space="preserve"> </v>
      </c>
      <c r="AB14" s="146"/>
      <c r="AC14" s="97" t="str">
        <f t="shared" si="12"/>
        <v xml:space="preserve"> </v>
      </c>
      <c r="AD14" s="93" t="str">
        <f t="shared" si="13"/>
        <v xml:space="preserve"> </v>
      </c>
      <c r="AE14" s="94" t="str">
        <f>IF(Table6220273236[[#This Row],[Non-Member]]="X"," ",IF(AD14=" "," ",IFERROR(VLOOKUP(AC14,Points!$A$2:$B$14,2,FALSE)," ")))</f>
        <v xml:space="preserve"> </v>
      </c>
      <c r="AF14" s="146" t="str">
        <f t="shared" si="14"/>
        <v xml:space="preserve"> </v>
      </c>
      <c r="AG14" s="98" t="e">
        <f t="shared" si="15"/>
        <v>#VALUE!</v>
      </c>
      <c r="AH14" s="93" t="str">
        <f t="shared" si="16"/>
        <v xml:space="preserve"> </v>
      </c>
      <c r="AI14" s="94" t="str">
        <f>IF(Table6220273236[[#This Row],[Non-Member]]="X"," ",IF(AH14=" "," ",IFERROR(VLOOKUP(AG14,Points!$A$2:$B$14,2,FALSE)," ")))</f>
        <v xml:space="preserve"> </v>
      </c>
      <c r="AJ14" s="97">
        <f>IF(Table6220273236[[#This Row],[Non-Member]]="X"," ",((IF(G14=" ",0,G14))+(IF(K14=" ",0,K14))+(IF(O14=" ",0,O14))+(IF(S14=" ",0,S14))+(IF(W14=" ",0,W14))+(IF(AA14=" ",0,AA14))+(IF(AE14=" ",0,AE14))+(IF(AI14=" ",0,AI14))))</f>
        <v>5</v>
      </c>
      <c r="AK14" s="95">
        <f t="shared" si="17"/>
        <v>5</v>
      </c>
      <c r="AL14" s="98">
        <f t="shared" si="18"/>
        <v>10</v>
      </c>
    </row>
    <row r="15" spans="2:38" x14ac:dyDescent="0.3">
      <c r="B15" s="90" t="s">
        <v>317</v>
      </c>
      <c r="C15" s="91" t="s">
        <v>325</v>
      </c>
      <c r="D15" s="146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IF(Table6220273236[[#This Row],[Non-Member]]="X"," ",IF(F15=" "," ",IFERROR(VLOOKUP(E15,Points!$A$2:$B$14,2,FALSE)," ")))</f>
        <v xml:space="preserve"> </v>
      </c>
      <c r="H15" s="146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IF(Table6220273236[[#This Row],[Non-Member]]="X"," ",IF(J15=" "," ",IFERROR(VLOOKUP(I15,Points!$A$2:$B$14,2,FALSE)," ")))</f>
        <v xml:space="preserve"> </v>
      </c>
      <c r="L15" s="146">
        <v>1</v>
      </c>
      <c r="M15" s="93">
        <f t="shared" si="4"/>
        <v>15.5</v>
      </c>
      <c r="N15" s="93" t="str">
        <f t="shared" si="5"/>
        <v xml:space="preserve"> </v>
      </c>
      <c r="O15" s="94" t="str">
        <f>IF(Table6220273236[[#This Row],[Non-Member]]="X"," ",IF(N15=" "," ",IFERROR(VLOOKUP(M15,Points!$A$2:$B$14,2,FALSE)," ")))</f>
        <v xml:space="preserve"> </v>
      </c>
      <c r="P15" s="146">
        <v>2</v>
      </c>
      <c r="Q15" s="93">
        <f t="shared" si="6"/>
        <v>16.5</v>
      </c>
      <c r="R15" s="93" t="str">
        <f t="shared" si="7"/>
        <v xml:space="preserve"> </v>
      </c>
      <c r="S15" s="94" t="str">
        <f>IF(Table6220273236[[#This Row],[Non-Member]]="X"," ",IF(R15=" "," ",IFERROR(VLOOKUP(Q15,Points!$A$2:$B$14,2,FALSE)," ")))</f>
        <v xml:space="preserve"> </v>
      </c>
      <c r="T15" s="146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IF(Table6220273236[[#This Row],[Non-Member]]="X"," ",IF(V15=" "," ",IFERROR(VLOOKUP(U15,Points!$A$2:$B$14,2,FALSE)," ")))</f>
        <v xml:space="preserve"> </v>
      </c>
      <c r="X15" s="146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IF(Table6220273236[[#This Row],[Non-Member]]="X"," ",IF(Z15=" "," ",IFERROR(VLOOKUP(Y15,Points!$A$2:$B$14,2,FALSE)," ")))</f>
        <v xml:space="preserve"> </v>
      </c>
      <c r="AB15" s="146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IF(Table6220273236[[#This Row],[Non-Member]]="X"," ",IF(AD15=" "," ",IFERROR(VLOOKUP(AC15,Points!$A$2:$B$14,2,FALSE)," ")))</f>
        <v xml:space="preserve"> </v>
      </c>
      <c r="AF15" s="146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IF(Table6220273236[[#This Row],[Non-Member]]="X"," ",IF(AH15=" "," ",IFERROR(VLOOKUP(AG15,Points!$A$2:$B$14,2,FALSE)," ")))</f>
        <v xml:space="preserve"> </v>
      </c>
      <c r="AJ15" s="93" t="str">
        <f>IF(Table6220273236[[#This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182</v>
      </c>
      <c r="C16" s="91"/>
      <c r="D16" s="146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IF(Table6220273236[[#This Row],[Non-Member]]="X"," ",IF(F16=" "," ",IFERROR(VLOOKUP(E16,Points!$A$2:$B$14,2,FALSE)," ")))</f>
        <v xml:space="preserve"> </v>
      </c>
      <c r="H16" s="146"/>
      <c r="I16" s="97" t="str">
        <f t="shared" si="2"/>
        <v xml:space="preserve"> </v>
      </c>
      <c r="J16" s="93" t="str">
        <f t="shared" si="3"/>
        <v xml:space="preserve"> </v>
      </c>
      <c r="K16" s="94" t="str">
        <f>IF(Table6220273236[[#This Row],[Non-Member]]="X"," ",IF(J16=" "," ",IFERROR(VLOOKUP(I16,Points!$A$2:$B$14,2,FALSE)," ")))</f>
        <v xml:space="preserve"> </v>
      </c>
      <c r="L16" s="146">
        <v>0</v>
      </c>
      <c r="M16" s="97" t="str">
        <f t="shared" si="4"/>
        <v xml:space="preserve"> </v>
      </c>
      <c r="N16" s="93" t="str">
        <f t="shared" si="5"/>
        <v xml:space="preserve"> </v>
      </c>
      <c r="O16" s="94" t="str">
        <f>IF(Table6220273236[[#This Row],[Non-Member]]="X"," ",IF(N16=" "," ",IFERROR(VLOOKUP(M16,Points!$A$2:$B$14,2,FALSE)," ")))</f>
        <v xml:space="preserve"> </v>
      </c>
      <c r="P16" s="146">
        <v>2</v>
      </c>
      <c r="Q16" s="97">
        <f t="shared" si="6"/>
        <v>16.5</v>
      </c>
      <c r="R16" s="93" t="str">
        <f t="shared" si="7"/>
        <v xml:space="preserve"> </v>
      </c>
      <c r="S16" s="94" t="str">
        <f>IF(Table6220273236[[#This Row],[Non-Member]]="X"," ",IF(R16=" "," ",IFERROR(VLOOKUP(Q16,Points!$A$2:$B$14,2,FALSE)," ")))</f>
        <v xml:space="preserve"> </v>
      </c>
      <c r="T16" s="146"/>
      <c r="U16" s="97" t="str">
        <f t="shared" si="8"/>
        <v xml:space="preserve"> </v>
      </c>
      <c r="V16" s="93" t="str">
        <f t="shared" si="9"/>
        <v xml:space="preserve"> </v>
      </c>
      <c r="W16" s="94" t="str">
        <f>IF(Table6220273236[[#This Row],[Non-Member]]="X"," ",IF(V16=" "," ",IFERROR(VLOOKUP(U16,Points!$A$2:$B$14,2,FALSE)," ")))</f>
        <v xml:space="preserve"> </v>
      </c>
      <c r="X16" s="146"/>
      <c r="Y16" s="97" t="str">
        <f t="shared" si="10"/>
        <v xml:space="preserve"> </v>
      </c>
      <c r="Z16" s="93" t="str">
        <f t="shared" si="11"/>
        <v xml:space="preserve"> </v>
      </c>
      <c r="AA16" s="94" t="str">
        <f>IF(Table6220273236[[#This Row],[Non-Member]]="X"," ",IF(Z16=" "," ",IFERROR(VLOOKUP(Y16,Points!$A$2:$B$14,2,FALSE)," ")))</f>
        <v xml:space="preserve"> </v>
      </c>
      <c r="AB16" s="146"/>
      <c r="AC16" s="97" t="str">
        <f t="shared" si="12"/>
        <v xml:space="preserve"> </v>
      </c>
      <c r="AD16" s="93" t="str">
        <f t="shared" si="13"/>
        <v xml:space="preserve"> </v>
      </c>
      <c r="AE16" s="94" t="str">
        <f>IF(Table6220273236[[#This Row],[Non-Member]]="X"," ",IF(AD16=" "," ",IFERROR(VLOOKUP(AC16,Points!$A$2:$B$14,2,FALSE)," ")))</f>
        <v xml:space="preserve"> </v>
      </c>
      <c r="AF16" s="146" t="str">
        <f t="shared" si="14"/>
        <v xml:space="preserve"> </v>
      </c>
      <c r="AG16" s="98" t="e">
        <f t="shared" si="15"/>
        <v>#VALUE!</v>
      </c>
      <c r="AH16" s="93" t="str">
        <f t="shared" si="16"/>
        <v xml:space="preserve"> </v>
      </c>
      <c r="AI16" s="94" t="str">
        <f>IF(Table6220273236[[#This Row],[Non-Member]]="X"," ",IF(AH16=" "," ",IFERROR(VLOOKUP(AG16,Points!$A$2:$B$14,2,FALSE)," ")))</f>
        <v xml:space="preserve"> </v>
      </c>
      <c r="AJ16" s="97">
        <f>IF(Table6220273236[[#This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268</v>
      </c>
      <c r="C17" s="91"/>
      <c r="D17" s="146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IF(Table6220273236[[#This Row],[Non-Member]]="X"," ",IF(F17=" "," ",IFERROR(VLOOKUP(E17,Points!$A$2:$B$14,2,FALSE)," ")))</f>
        <v xml:space="preserve"> </v>
      </c>
      <c r="H17" s="146">
        <v>1</v>
      </c>
      <c r="I17" s="97">
        <f t="shared" si="2"/>
        <v>15</v>
      </c>
      <c r="J17" s="93" t="str">
        <f t="shared" si="3"/>
        <v xml:space="preserve"> </v>
      </c>
      <c r="K17" s="94" t="str">
        <f>IF(Table6220273236[[#This Row],[Non-Member]]="X"," ",IF(J17=" "," ",IFERROR(VLOOKUP(I17,Points!$A$2:$B$14,2,FALSE)," ")))</f>
        <v xml:space="preserve"> </v>
      </c>
      <c r="L17" s="146">
        <v>4</v>
      </c>
      <c r="M17" s="97">
        <f t="shared" si="4"/>
        <v>9</v>
      </c>
      <c r="N17" s="93" t="str">
        <f t="shared" si="5"/>
        <v xml:space="preserve"> </v>
      </c>
      <c r="O17" s="94" t="str">
        <f>IF(Table6220273236[[#This Row],[Non-Member]]="X"," ",IF(N17=" "," ",IFERROR(VLOOKUP(M17,Points!$A$2:$B$14,2,FALSE)," ")))</f>
        <v xml:space="preserve"> </v>
      </c>
      <c r="P17" s="146">
        <v>3</v>
      </c>
      <c r="Q17" s="97">
        <f t="shared" si="6"/>
        <v>13.5</v>
      </c>
      <c r="R17" s="93" t="str">
        <f t="shared" si="7"/>
        <v xml:space="preserve"> </v>
      </c>
      <c r="S17" s="94" t="str">
        <f>IF(Table6220273236[[#This Row],[Non-Member]]="X"," ",IF(R17=" "," ",IFERROR(VLOOKUP(Q17,Points!$A$2:$B$14,2,FALSE)," ")))</f>
        <v xml:space="preserve"> </v>
      </c>
      <c r="T17" s="146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IF(Table6220273236[[#This Row],[Non-Member]]="X"," ",IF(V17=" "," ",IFERROR(VLOOKUP(U17,Points!$A$2:$B$14,2,FALSE)," ")))</f>
        <v xml:space="preserve"> </v>
      </c>
      <c r="X17" s="146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IF(Table6220273236[[#This Row],[Non-Member]]="X"," ",IF(Z17=" "," ",IFERROR(VLOOKUP(Y17,Points!$A$2:$B$14,2,FALSE)," ")))</f>
        <v xml:space="preserve"> </v>
      </c>
      <c r="AB17" s="146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IF(Table6220273236[[#This Row],[Non-Member]]="X"," ",IF(AD17=" "," ",IFERROR(VLOOKUP(AC17,Points!$A$2:$B$14,2,FALSE)," ")))</f>
        <v xml:space="preserve"> </v>
      </c>
      <c r="AF17" s="146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IF(Table6220273236[[#This Row],[Non-Member]]="X"," ",IF(AH17=" "," ",IFERROR(VLOOKUP(AG17,Points!$A$2:$B$14,2,FALSE)," ")))</f>
        <v xml:space="preserve"> </v>
      </c>
      <c r="AJ17" s="97">
        <f>IF(Table6220273236[[#This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267</v>
      </c>
      <c r="C18" s="91" t="s">
        <v>325</v>
      </c>
      <c r="D18" s="146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IF(Table6220273236[[#This Row],[Non-Member]]="X"," ",IF(F18=" "," ",IFERROR(VLOOKUP(E18,Points!$A$2:$B$14,2,FALSE)," ")))</f>
        <v xml:space="preserve"> </v>
      </c>
      <c r="H18" s="146">
        <v>4</v>
      </c>
      <c r="I18" s="93">
        <f t="shared" si="2"/>
        <v>13</v>
      </c>
      <c r="J18" s="93" t="str">
        <f t="shared" si="3"/>
        <v xml:space="preserve"> </v>
      </c>
      <c r="K18" s="94" t="str">
        <f>IF(Table6220273236[[#This Row],[Non-Member]]="X"," ",IF(J18=" "," ",IFERROR(VLOOKUP(I18,Points!$A$2:$B$14,2,FALSE)," ")))</f>
        <v xml:space="preserve"> </v>
      </c>
      <c r="L18" s="146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IF(Table6220273236[[#This Row],[Non-Member]]="X"," ",IF(N18=" "," ",IFERROR(VLOOKUP(M18,Points!$A$2:$B$14,2,FALSE)," ")))</f>
        <v xml:space="preserve"> </v>
      </c>
      <c r="P18" s="146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IF(Table6220273236[[#This Row],[Non-Member]]="X"," ",IF(R18=" "," ",IFERROR(VLOOKUP(Q18,Points!$A$2:$B$14,2,FALSE)," ")))</f>
        <v xml:space="preserve"> </v>
      </c>
      <c r="T18" s="146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IF(Table6220273236[[#This Row],[Non-Member]]="X"," ",IF(V18=" "," ",IFERROR(VLOOKUP(U18,Points!$A$2:$B$14,2,FALSE)," ")))</f>
        <v xml:space="preserve"> </v>
      </c>
      <c r="X18" s="146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IF(Table6220273236[[#This Row],[Non-Member]]="X"," ",IF(Z18=" "," ",IFERROR(VLOOKUP(Y18,Points!$A$2:$B$14,2,FALSE)," ")))</f>
        <v xml:space="preserve"> </v>
      </c>
      <c r="AB18" s="146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IF(Table6220273236[[#This Row],[Non-Member]]="X"," ",IF(AD18=" "," ",IFERROR(VLOOKUP(AC18,Points!$A$2:$B$14,2,FALSE)," ")))</f>
        <v xml:space="preserve"> </v>
      </c>
      <c r="AF18" s="146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IF(Table6220273236[[#This Row],[Non-Member]]="X"," ",IF(AH18=" "," ",IFERROR(VLOOKUP(AG18,Points!$A$2:$B$14,2,FALSE)," ")))</f>
        <v xml:space="preserve"> </v>
      </c>
      <c r="AJ18" s="93" t="str">
        <f>IF(Table6220273236[[#This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270</v>
      </c>
      <c r="C19" s="91"/>
      <c r="D19" s="146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IF(Table6220273236[[#This Row],[Non-Member]]="X"," ",IF(F19=" "," ",IFERROR(VLOOKUP(E19,Points!$A$2:$B$14,2,FALSE)," ")))</f>
        <v xml:space="preserve"> </v>
      </c>
      <c r="H19" s="146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IF(Table6220273236[[#This Row],[Non-Member]]="X"," ",IF(J19=" "," ",IFERROR(VLOOKUP(I19,Points!$A$2:$B$14,2,FALSE)," ")))</f>
        <v xml:space="preserve"> </v>
      </c>
      <c r="L19" s="146">
        <v>3</v>
      </c>
      <c r="M19" s="93">
        <f t="shared" si="4"/>
        <v>12.5</v>
      </c>
      <c r="N19" s="93" t="str">
        <f t="shared" si="5"/>
        <v xml:space="preserve"> </v>
      </c>
      <c r="O19" s="94" t="str">
        <f>IF(Table6220273236[[#This Row],[Non-Member]]="X"," ",IF(N19=" "," ",IFERROR(VLOOKUP(M19,Points!$A$2:$B$14,2,FALSE)," ")))</f>
        <v xml:space="preserve"> </v>
      </c>
      <c r="P19" s="146">
        <v>3</v>
      </c>
      <c r="Q19" s="93">
        <f t="shared" si="6"/>
        <v>13.5</v>
      </c>
      <c r="R19" s="93" t="str">
        <f t="shared" si="7"/>
        <v xml:space="preserve"> </v>
      </c>
      <c r="S19" s="94" t="str">
        <f>IF(Table6220273236[[#This Row],[Non-Member]]="X"," ",IF(R19=" "," ",IFERROR(VLOOKUP(Q19,Points!$A$2:$B$14,2,FALSE)," ")))</f>
        <v xml:space="preserve"> </v>
      </c>
      <c r="T19" s="146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IF(Table6220273236[[#This Row],[Non-Member]]="X"," ",IF(V19=" "," ",IFERROR(VLOOKUP(U19,Points!$A$2:$B$14,2,FALSE)," ")))</f>
        <v xml:space="preserve"> </v>
      </c>
      <c r="X19" s="146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IF(Table6220273236[[#This Row],[Non-Member]]="X"," ",IF(Z19=" "," ",IFERROR(VLOOKUP(Y19,Points!$A$2:$B$14,2,FALSE)," ")))</f>
        <v xml:space="preserve"> </v>
      </c>
      <c r="AB19" s="146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IF(Table6220273236[[#This Row],[Non-Member]]="X"," ",IF(AD19=" "," ",IFERROR(VLOOKUP(AC19,Points!$A$2:$B$14,2,FALSE)," ")))</f>
        <v xml:space="preserve"> </v>
      </c>
      <c r="AF19" s="146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IF(Table6220273236[[#This Row],[Non-Member]]="X"," ",IF(AH19=" "," ",IFERROR(VLOOKUP(AG19,Points!$A$2:$B$14,2,FALSE)," ")))</f>
        <v xml:space="preserve"> </v>
      </c>
      <c r="AJ19" s="93">
        <f>IF(Table6220273236[[#This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269</v>
      </c>
      <c r="C20" s="91"/>
      <c r="D20" s="146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IF(Table6220273236[[#This Row],[Non-Member]]="X"," ",IF(F20=" "," ",IFERROR(VLOOKUP(E20,Points!$A$2:$B$14,2,FALSE)," ")))</f>
        <v xml:space="preserve"> </v>
      </c>
      <c r="H20" s="146">
        <v>5</v>
      </c>
      <c r="I20" s="93">
        <f t="shared" si="2"/>
        <v>10.5</v>
      </c>
      <c r="J20" s="93" t="str">
        <f t="shared" si="3"/>
        <v xml:space="preserve"> </v>
      </c>
      <c r="K20" s="94" t="str">
        <f>IF(Table6220273236[[#This Row],[Non-Member]]="X"," ",IF(J20=" "," ",IFERROR(VLOOKUP(I20,Points!$A$2:$B$14,2,FALSE)," ")))</f>
        <v xml:space="preserve"> </v>
      </c>
      <c r="L20" s="146">
        <v>3</v>
      </c>
      <c r="M20" s="93">
        <f t="shared" si="4"/>
        <v>12.5</v>
      </c>
      <c r="N20" s="93" t="str">
        <f t="shared" si="5"/>
        <v xml:space="preserve"> </v>
      </c>
      <c r="O20" s="94" t="str">
        <f>IF(Table6220273236[[#This Row],[Non-Member]]="X"," ",IF(N20=" "," ",IFERROR(VLOOKUP(M20,Points!$A$2:$B$14,2,FALSE)," ")))</f>
        <v xml:space="preserve"> </v>
      </c>
      <c r="P20" s="146">
        <v>4</v>
      </c>
      <c r="Q20" s="93">
        <f t="shared" si="6"/>
        <v>10.5</v>
      </c>
      <c r="R20" s="93" t="str">
        <f t="shared" si="7"/>
        <v xml:space="preserve"> </v>
      </c>
      <c r="S20" s="94" t="str">
        <f>IF(Table6220273236[[#This Row],[Non-Member]]="X"," ",IF(R20=" "," ",IFERROR(VLOOKUP(Q20,Points!$A$2:$B$14,2,FALSE)," ")))</f>
        <v xml:space="preserve"> </v>
      </c>
      <c r="T20" s="146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IF(Table6220273236[[#This Row],[Non-Member]]="X"," ",IF(V20=" "," ",IFERROR(VLOOKUP(U20,Points!$A$2:$B$14,2,FALSE)," ")))</f>
        <v xml:space="preserve"> </v>
      </c>
      <c r="X20" s="146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IF(Table6220273236[[#This Row],[Non-Member]]="X"," ",IF(Z20=" "," ",IFERROR(VLOOKUP(Y20,Points!$A$2:$B$14,2,FALSE)," ")))</f>
        <v xml:space="preserve"> </v>
      </c>
      <c r="AB20" s="146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IF(Table6220273236[[#This Row],[Non-Member]]="X"," ",IF(AD20=" "," ",IFERROR(VLOOKUP(AC20,Points!$A$2:$B$14,2,FALSE)," ")))</f>
        <v xml:space="preserve"> </v>
      </c>
      <c r="AF20" s="146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IF(Table6220273236[[#This Row],[Non-Member]]="X"," ",IF(AH20=" "," ",IFERROR(VLOOKUP(AG20,Points!$A$2:$B$14,2,FALSE)," ")))</f>
        <v xml:space="preserve"> </v>
      </c>
      <c r="AJ20" s="93">
        <f>IF(Table6220273236[[#This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84</v>
      </c>
      <c r="C21" s="91"/>
      <c r="D21" s="146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IF(Table6220273236[[#This Row],[Non-Member]]="X"," ",IF(F21=" "," ",IFERROR(VLOOKUP(E21,Points!$A$2:$B$14,2,FALSE)," ")))</f>
        <v xml:space="preserve"> </v>
      </c>
      <c r="H21" s="146">
        <v>5</v>
      </c>
      <c r="I21" s="93">
        <f t="shared" si="2"/>
        <v>10.5</v>
      </c>
      <c r="J21" s="93" t="str">
        <f t="shared" si="3"/>
        <v xml:space="preserve"> </v>
      </c>
      <c r="K21" s="94" t="str">
        <f>IF(Table6220273236[[#This Row],[Non-Member]]="X"," ",IF(J21=" "," ",IFERROR(VLOOKUP(I21,Points!$A$2:$B$14,2,FALSE)," ")))</f>
        <v xml:space="preserve"> </v>
      </c>
      <c r="L21" s="146">
        <v>1</v>
      </c>
      <c r="M21" s="93">
        <f t="shared" si="4"/>
        <v>15.5</v>
      </c>
      <c r="N21" s="93" t="str">
        <f t="shared" si="5"/>
        <v xml:space="preserve"> </v>
      </c>
      <c r="O21" s="94" t="str">
        <f>IF(Table6220273236[[#This Row],[Non-Member]]="X"," ",IF(N21=" "," ",IFERROR(VLOOKUP(M21,Points!$A$2:$B$14,2,FALSE)," ")))</f>
        <v xml:space="preserve"> </v>
      </c>
      <c r="P21" s="146">
        <v>4</v>
      </c>
      <c r="Q21" s="93">
        <f t="shared" si="6"/>
        <v>10.5</v>
      </c>
      <c r="R21" s="93" t="str">
        <f t="shared" si="7"/>
        <v xml:space="preserve"> </v>
      </c>
      <c r="S21" s="94" t="str">
        <f>IF(Table6220273236[[#This Row],[Non-Member]]="X"," ",IF(R21=" "," ",IFERROR(VLOOKUP(Q21,Points!$A$2:$B$14,2,FALSE)," ")))</f>
        <v xml:space="preserve"> </v>
      </c>
      <c r="T21" s="146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IF(Table6220273236[[#This Row],[Non-Member]]="X"," ",IF(V21=" "," ",IFERROR(VLOOKUP(U21,Points!$A$2:$B$14,2,FALSE)," ")))</f>
        <v xml:space="preserve"> </v>
      </c>
      <c r="X21" s="146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IF(Table6220273236[[#This Row],[Non-Member]]="X"," ",IF(Z21=" "," ",IFERROR(VLOOKUP(Y21,Points!$A$2:$B$14,2,FALSE)," ")))</f>
        <v xml:space="preserve"> </v>
      </c>
      <c r="AB21" s="146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IF(Table6220273236[[#This Row],[Non-Member]]="X"," ",IF(AD21=" "," ",IFERROR(VLOOKUP(AC21,Points!$A$2:$B$14,2,FALSE)," ")))</f>
        <v xml:space="preserve"> </v>
      </c>
      <c r="AF21" s="146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IF(Table6220273236[[#This Row],[Non-Member]]="X"," ",IF(AH21=" "," ",IFERROR(VLOOKUP(AG21,Points!$A$2:$B$14,2,FALSE)," ")))</f>
        <v xml:space="preserve"> </v>
      </c>
      <c r="AJ21" s="93">
        <f>IF(Table6220273236[[#This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180</v>
      </c>
      <c r="C22" s="91"/>
      <c r="D22" s="146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IF(Table6220273236[[#This Row],[Non-Member]]="X"," ",IF(F22=" "," ",IFERROR(VLOOKUP(E22,Points!$A$2:$B$14,2,FALSE)," ")))</f>
        <v xml:space="preserve"> </v>
      </c>
      <c r="H22" s="146">
        <v>5</v>
      </c>
      <c r="I22" s="93">
        <f t="shared" si="2"/>
        <v>10.5</v>
      </c>
      <c r="J22" s="93" t="str">
        <f t="shared" si="3"/>
        <v xml:space="preserve"> </v>
      </c>
      <c r="K22" s="94" t="str">
        <f>IF(Table6220273236[[#This Row],[Non-Member]]="X"," ",IF(J22=" "," ",IFERROR(VLOOKUP(I22,Points!$A$2:$B$14,2,FALSE)," ")))</f>
        <v xml:space="preserve"> </v>
      </c>
      <c r="L22" s="146">
        <v>0</v>
      </c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IF(Table6220273236[[#This Row],[Non-Member]]="X"," ",IF(N22=" "," ",IFERROR(VLOOKUP(M22,Points!$A$2:$B$14,2,FALSE)," ")))</f>
        <v xml:space="preserve"> </v>
      </c>
      <c r="P22" s="146">
        <v>6</v>
      </c>
      <c r="Q22" s="93">
        <f t="shared" si="6"/>
        <v>7</v>
      </c>
      <c r="R22" s="93" t="str">
        <f t="shared" si="7"/>
        <v xml:space="preserve"> </v>
      </c>
      <c r="S22" s="94" t="str">
        <f>IF(Table6220273236[[#This Row],[Non-Member]]="X"," ",IF(R22=" "," ",IFERROR(VLOOKUP(Q22,Points!$A$2:$B$14,2,FALSE)," ")))</f>
        <v xml:space="preserve"> </v>
      </c>
      <c r="T22" s="146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IF(Table6220273236[[#This Row],[Non-Member]]="X"," ",IF(V22=" "," ",IFERROR(VLOOKUP(U22,Points!$A$2:$B$14,2,FALSE)," ")))</f>
        <v xml:space="preserve"> </v>
      </c>
      <c r="X22" s="146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IF(Table6220273236[[#This Row],[Non-Member]]="X"," ",IF(Z22=" "," ",IFERROR(VLOOKUP(Y22,Points!$A$2:$B$14,2,FALSE)," ")))</f>
        <v xml:space="preserve"> </v>
      </c>
      <c r="AB22" s="146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IF(Table6220273236[[#This Row],[Non-Member]]="X"," ",IF(AD22=" "," ",IFERROR(VLOOKUP(AC22,Points!$A$2:$B$14,2,FALSE)," ")))</f>
        <v xml:space="preserve"> </v>
      </c>
      <c r="AF22" s="146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IF(Table6220273236[[#This Row],[Non-Member]]="X"," ",IF(AH22=" "," ",IFERROR(VLOOKUP(AG22,Points!$A$2:$B$14,2,FALSE)," ")))</f>
        <v xml:space="preserve"> </v>
      </c>
      <c r="AJ22" s="93">
        <f>IF(Table6220273236[[#This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178</v>
      </c>
      <c r="C23" s="91"/>
      <c r="D23" s="146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IF(Table6220273236[[#This Row],[Non-Member]]="X"," ",IF(F23=" "," ",IFERROR(VLOOKUP(E23,Points!$A$2:$B$14,2,FALSE)," ")))</f>
        <v xml:space="preserve"> </v>
      </c>
      <c r="H23" s="146">
        <v>3</v>
      </c>
      <c r="I23" s="93">
        <f t="shared" si="2"/>
        <v>14</v>
      </c>
      <c r="J23" s="93" t="str">
        <f t="shared" si="3"/>
        <v xml:space="preserve"> </v>
      </c>
      <c r="K23" s="94" t="str">
        <f>IF(Table6220273236[[#This Row],[Non-Member]]="X"," ",IF(J23=" "," ",IFERROR(VLOOKUP(I23,Points!$A$2:$B$14,2,FALSE)," ")))</f>
        <v xml:space="preserve"> </v>
      </c>
      <c r="L23" s="146">
        <v>3</v>
      </c>
      <c r="M23" s="93">
        <f t="shared" si="4"/>
        <v>12.5</v>
      </c>
      <c r="N23" s="93" t="str">
        <f t="shared" si="5"/>
        <v xml:space="preserve"> </v>
      </c>
      <c r="O23" s="94" t="str">
        <f>IF(Table6220273236[[#This Row],[Non-Member]]="X"," ",IF(N23=" "," ",IFERROR(VLOOKUP(M23,Points!$A$2:$B$14,2,FALSE)," ")))</f>
        <v xml:space="preserve"> </v>
      </c>
      <c r="P23" s="146">
        <v>3</v>
      </c>
      <c r="Q23" s="93">
        <f t="shared" si="6"/>
        <v>13.5</v>
      </c>
      <c r="R23" s="93" t="str">
        <f t="shared" si="7"/>
        <v xml:space="preserve"> </v>
      </c>
      <c r="S23" s="94" t="str">
        <f>IF(Table6220273236[[#This Row],[Non-Member]]="X"," ",IF(R23=" "," ",IFERROR(VLOOKUP(Q23,Points!$A$2:$B$14,2,FALSE)," ")))</f>
        <v xml:space="preserve"> </v>
      </c>
      <c r="T23" s="146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IF(Table6220273236[[#This Row],[Non-Member]]="X"," ",IF(V23=" "," ",IFERROR(VLOOKUP(U23,Points!$A$2:$B$14,2,FALSE)," ")))</f>
        <v xml:space="preserve"> </v>
      </c>
      <c r="X23" s="146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IF(Table6220273236[[#This Row],[Non-Member]]="X"," ",IF(Z23=" "," ",IFERROR(VLOOKUP(Y23,Points!$A$2:$B$14,2,FALSE)," ")))</f>
        <v xml:space="preserve"> </v>
      </c>
      <c r="AB23" s="146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IF(Table6220273236[[#This Row],[Non-Member]]="X"," ",IF(AD23=" "," ",IFERROR(VLOOKUP(AC23,Points!$A$2:$B$14,2,FALSE)," ")))</f>
        <v xml:space="preserve"> </v>
      </c>
      <c r="AF23" s="146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IF(Table6220273236[[#This Row],[Non-Member]]="X"," ",IF(AH23=" "," ",IFERROR(VLOOKUP(AG23,Points!$A$2:$B$14,2,FALSE)," ")))</f>
        <v xml:space="preserve"> </v>
      </c>
      <c r="AJ23" s="93">
        <f>IF(Table6220273236[[#This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7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IF(Table6220273236[[#This Row],[Non-Member]]="X"," ",IF(F24=" "," ",IFERROR(VLOOKUP(E24,Points!$A$2:$B$14,2,FALSE)," ")))</f>
        <v xml:space="preserve"> </v>
      </c>
      <c r="H24" s="146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IF(Table6220273236[[#This Row],[Non-Member]]="X"," ",IF(J24=" "," ",IFERROR(VLOOKUP(I24,Points!$A$2:$B$14,2,FALSE)," ")))</f>
        <v xml:space="preserve"> </v>
      </c>
      <c r="L24" s="146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IF(Table6220273236[[#This Row],[Non-Member]]="X"," ",IF(N24=" "," ",IFERROR(VLOOKUP(M24,Points!$A$2:$B$14,2,FALSE)," ")))</f>
        <v xml:space="preserve"> </v>
      </c>
      <c r="P24" s="146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IF(Table6220273236[[#This Row],[Non-Member]]="X"," ",IF(R24=" "," ",IFERROR(VLOOKUP(Q24,Points!$A$2:$B$14,2,FALSE)," ")))</f>
        <v xml:space="preserve"> </v>
      </c>
      <c r="T24" s="146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IF(Table6220273236[[#This Row],[Non-Member]]="X"," ",IF(V24=" "," ",IFERROR(VLOOKUP(U24,Points!$A$2:$B$14,2,FALSE)," ")))</f>
        <v xml:space="preserve"> </v>
      </c>
      <c r="X24" s="146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IF(Table6220273236[[#This Row],[Non-Member]]="X"," ",IF(Z24=" "," ",IFERROR(VLOOKUP(Y24,Points!$A$2:$B$14,2,FALSE)," ")))</f>
        <v xml:space="preserve"> </v>
      </c>
      <c r="AB24" s="146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IF(Table6220273236[[#This Row],[Non-Member]]="X"," ",IF(AD24=" "," ",IFERROR(VLOOKUP(AC24,Points!$A$2:$B$14,2,FALSE)," ")))</f>
        <v xml:space="preserve"> </v>
      </c>
      <c r="AF24" s="146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IF(Table6220273236[[#This Row],[Non-Member]]="X"," ",IF(AH24=" "," ",IFERROR(VLOOKUP(AG24,Points!$A$2:$B$14,2,FALSE)," ")))</f>
        <v xml:space="preserve"> </v>
      </c>
      <c r="AJ24" s="93">
        <f>IF(Table6220273236[[#This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WE7VNPgeCoZ9tCdyc7CWWx6ltmmVhSt88ZjWY2d+2RgNjCnF15F+jGLVm0/PXXTrMTKSMjKITpHIBceLCWAJaA==" saltValue="kCYLUIlhxY2n8p9AHObj2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41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259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IF(Table622027323337[[#This Row],[Non-Member]]="X"," ",IF(F5=" "," ",IFERROR(VLOOKUP(E5,Points!$A$2:$B$14,2,FALSE)," ")))</f>
        <v xml:space="preserve"> </v>
      </c>
      <c r="H5" s="85">
        <v>20.795000000000002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IF(Table622027323337[[#This Row],[Non-Member]]="X"," ",IF(J5=" "," ",IFERROR(VLOOKUP(I5,Points!$A$2:$B$14,2,FALSE)," ")))</f>
        <v>15</v>
      </c>
      <c r="L5" s="85">
        <v>19.492000000000001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IF(Table622027323337[[#This Row],[Non-Member]]="X"," ",IF(N5=" "," ",IFERROR(VLOOKUP(M5,Points!$A$2:$B$14,2,FALSE)," ")))</f>
        <v>15</v>
      </c>
      <c r="P5" s="85">
        <v>19.428000000000001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IF(Table622027323337[[#This Row],[Non-Member]]="X"," ",IF(R5=" "," ",IFERROR(VLOOKUP(Q5,Points!$A$2:$B$14,2,FALSE)," ")))</f>
        <v>15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IF(Table622027323337[[#This Row],[Non-Member]]="X"," ",IF(AH5=" "," ",IFERROR(VLOOKUP(AG5,Points!$A$2:$B$14,2,FALSE)," ")))</f>
        <v xml:space="preserve"> </v>
      </c>
      <c r="AJ5" s="86">
        <f>IF(Table622027323337[[#This Row],[Non-Member]]="X"," ",((IF(G5=" ",0,G5))+(IF(K5=" ",0,K5))+(IF(O5=" ",0,O5))+(IF(S5=" ",0,S5))+(IF(W5=" ",0,W5))+(IF(AA5=" ",0,AA5))+(IF(AE5=" ",0,AE5))+(IF(AI5=" ",0,AI5))))</f>
        <v>45</v>
      </c>
      <c r="AK5" s="88">
        <f t="shared" ref="AK5:AK24" si="17">IF(AJ5=0," ",AJ5)</f>
        <v>45</v>
      </c>
      <c r="AL5" s="89">
        <f t="shared" ref="AL5:AL24" si="18">IF(AK5=" "," ",RANK(AK5,$AK$5:$AK$24))</f>
        <v>1</v>
      </c>
    </row>
    <row r="6" spans="2:38" x14ac:dyDescent="0.3">
      <c r="B6" s="90" t="s">
        <v>91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IF(Table622027323337[[#This Row],[Non-Member]]="X"," ",IF(F6=" "," ",IFERROR(VLOOKUP(E6,Points!$A$2:$B$14,2,FALSE)," ")))</f>
        <v xml:space="preserve"> </v>
      </c>
      <c r="H6" s="92">
        <v>21.363</v>
      </c>
      <c r="I6" s="97">
        <f t="shared" si="2"/>
        <v>4</v>
      </c>
      <c r="J6" s="97">
        <f t="shared" si="3"/>
        <v>4</v>
      </c>
      <c r="K6" s="94">
        <f>IF(Table622027323337[[#This Row],[Non-Member]]="X"," ",IF(J6=" "," ",IFERROR(VLOOKUP(I6,Points!$A$2:$B$14,2,FALSE)," ")))</f>
        <v>9</v>
      </c>
      <c r="L6" s="92">
        <v>18.844000000000001</v>
      </c>
      <c r="M6" s="97">
        <f t="shared" si="4"/>
        <v>1</v>
      </c>
      <c r="N6" s="97">
        <f t="shared" si="5"/>
        <v>1</v>
      </c>
      <c r="O6" s="94">
        <f>IF(Table622027323337[[#This Row],[Non-Member]]="X"," ",IF(N6=" "," ",IFERROR(VLOOKUP(M6,Points!$A$2:$B$14,2,FALSE)," ")))</f>
        <v>18</v>
      </c>
      <c r="P6" s="92">
        <v>18.667999999999999</v>
      </c>
      <c r="Q6" s="97">
        <f t="shared" si="6"/>
        <v>1</v>
      </c>
      <c r="R6" s="97">
        <f t="shared" si="7"/>
        <v>1</v>
      </c>
      <c r="S6" s="94">
        <f>IF(Table622027323337[[#This Row],[Non-Member]]="X"," ",IF(R6=" "," ",IFERROR(VLOOKUP(Q6,Points!$A$2:$B$14,2,FALSE)," ")))</f>
        <v>18</v>
      </c>
      <c r="T6" s="92"/>
      <c r="U6" s="97" t="str">
        <f t="shared" si="8"/>
        <v xml:space="preserve"> </v>
      </c>
      <c r="V6" s="97" t="str">
        <f t="shared" si="9"/>
        <v xml:space="preserve"> </v>
      </c>
      <c r="W6" s="94" t="str">
        <f>IF(Table622027323337[[#This Row],[Non-Member]]="X"," ",IF(V6=" "," ",IFERROR(VLOOKUP(U6,Points!$A$2:$B$14,2,FALSE)," ")))</f>
        <v xml:space="preserve"> </v>
      </c>
      <c r="X6" s="92"/>
      <c r="Y6" s="97" t="str">
        <f t="shared" si="10"/>
        <v xml:space="preserve"> </v>
      </c>
      <c r="Z6" s="97" t="str">
        <f t="shared" si="11"/>
        <v xml:space="preserve"> </v>
      </c>
      <c r="AA6" s="94" t="str">
        <f>IF(Table622027323337[[#This Row],[Non-Member]]="X"," ",IF(Z6=" "," ",IFERROR(VLOOKUP(Y6,Points!$A$2:$B$14,2,FALSE)," ")))</f>
        <v xml:space="preserve"> </v>
      </c>
      <c r="AB6" s="92"/>
      <c r="AC6" s="97" t="str">
        <f t="shared" si="12"/>
        <v xml:space="preserve"> </v>
      </c>
      <c r="AD6" s="97" t="str">
        <f t="shared" si="13"/>
        <v xml:space="preserve"> </v>
      </c>
      <c r="AE6" s="94" t="str">
        <f>IF(Table622027323337[[#This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8" t="str">
        <f t="shared" si="15"/>
        <v xml:space="preserve"> </v>
      </c>
      <c r="AH6" s="97" t="str">
        <f t="shared" si="16"/>
        <v xml:space="preserve"> </v>
      </c>
      <c r="AI6" s="94" t="str">
        <f>IF(Table622027323337[[#This Row],[Non-Member]]="X"," ",IF(AH6=" "," ",IFERROR(VLOOKUP(AG6,Points!$A$2:$B$14,2,FALSE)," ")))</f>
        <v xml:space="preserve"> </v>
      </c>
      <c r="AJ6" s="97">
        <f>IF(Table622027323337[[#This Row],[Non-Member]]="X"," ",((IF(G6=" ",0,G6))+(IF(K6=" ",0,K6))+(IF(O6=" ",0,O6))+(IF(S6=" ",0,S6))+(IF(W6=" ",0,W6))+(IF(AA6=" ",0,AA6))+(IF(AE6=" ",0,AE6))+(IF(AI6=" ",0,AI6))))</f>
        <v>45</v>
      </c>
      <c r="AK6" s="151">
        <f t="shared" si="17"/>
        <v>45</v>
      </c>
      <c r="AL6" s="98">
        <f t="shared" si="18"/>
        <v>1</v>
      </c>
    </row>
    <row r="7" spans="2:38" x14ac:dyDescent="0.3">
      <c r="B7" s="90" t="s">
        <v>85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IF(Table622027323337[[#This Row],[Non-Member]]="X"," ",IF(F7=" "," ",IFERROR(VLOOKUP(E7,Points!$A$2:$B$14,2,FALSE)," ")))</f>
        <v xml:space="preserve"> </v>
      </c>
      <c r="H7" s="92">
        <v>20.373000000000001</v>
      </c>
      <c r="I7" s="93">
        <f t="shared" si="2"/>
        <v>1</v>
      </c>
      <c r="J7" s="93">
        <f t="shared" si="3"/>
        <v>1</v>
      </c>
      <c r="K7" s="94">
        <f>IF(Table622027323337[[#This Row],[Non-Member]]="X"," ",IF(J7=" "," ",IFERROR(VLOOKUP(I7,Points!$A$2:$B$14,2,FALSE)," ")))</f>
        <v>18</v>
      </c>
      <c r="L7" s="92">
        <v>20.960999999999999</v>
      </c>
      <c r="M7" s="93">
        <f t="shared" si="4"/>
        <v>5</v>
      </c>
      <c r="N7" s="93">
        <f t="shared" si="5"/>
        <v>5</v>
      </c>
      <c r="O7" s="94">
        <f>IF(Table622027323337[[#This Row],[Non-Member]]="X"," ",IF(N7=" "," ",IFERROR(VLOOKUP(M7,Points!$A$2:$B$14,2,FALSE)," ")))</f>
        <v>6</v>
      </c>
      <c r="P7" s="92">
        <v>20.155999999999999</v>
      </c>
      <c r="Q7" s="93">
        <f t="shared" si="6"/>
        <v>4</v>
      </c>
      <c r="R7" s="93">
        <f t="shared" si="7"/>
        <v>4</v>
      </c>
      <c r="S7" s="94">
        <f>IF(Table622027323337[[#This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IF(Table622027323337[[#This Row],[Non-Member]]="X"," ",IF(AH7=" "," ",IFERROR(VLOOKUP(AG7,Points!$A$2:$B$14,2,FALSE)," ")))</f>
        <v xml:space="preserve"> </v>
      </c>
      <c r="AJ7" s="93">
        <f>IF(Table622027323337[[#This Row],[Non-Member]]="X"," ",((IF(G7=" ",0,G7))+(IF(K7=" ",0,K7))+(IF(O7=" ",0,O7))+(IF(S7=" ",0,S7))+(IF(W7=" ",0,W7))+(IF(AA7=" ",0,AA7))+(IF(AE7=" ",0,AE7))+(IF(AI7=" ",0,AI7))))</f>
        <v>33</v>
      </c>
      <c r="AK7" s="95">
        <f t="shared" si="17"/>
        <v>33</v>
      </c>
      <c r="AL7" s="96">
        <f t="shared" si="18"/>
        <v>3</v>
      </c>
    </row>
    <row r="8" spans="2:38" x14ac:dyDescent="0.3">
      <c r="B8" s="90" t="s">
        <v>192</v>
      </c>
      <c r="C8" s="91"/>
      <c r="D8" s="135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IF(Table622027323337[[#This Row],[Non-Member]]="X"," ",IF(F8=" "," ",IFERROR(VLOOKUP(E8,Points!$A$2:$B$14,2,FALSE)," ")))</f>
        <v xml:space="preserve"> </v>
      </c>
      <c r="H8" s="92">
        <v>20.821999999999999</v>
      </c>
      <c r="I8" s="97">
        <f t="shared" si="2"/>
        <v>3</v>
      </c>
      <c r="J8" s="97">
        <f t="shared" si="3"/>
        <v>3</v>
      </c>
      <c r="K8" s="94">
        <f>IF(Table622027323337[[#This Row],[Non-Member]]="X"," ",IF(J8=" "," ",IFERROR(VLOOKUP(I8,Points!$A$2:$B$14,2,FALSE)," ")))</f>
        <v>12</v>
      </c>
      <c r="L8" s="92">
        <v>19.834</v>
      </c>
      <c r="M8" s="97">
        <f t="shared" si="4"/>
        <v>3</v>
      </c>
      <c r="N8" s="97">
        <f t="shared" si="5"/>
        <v>3</v>
      </c>
      <c r="O8" s="94">
        <f>IF(Table622027323337[[#This Row],[Non-Member]]="X"," ",IF(N8=" "," ",IFERROR(VLOOKUP(M8,Points!$A$2:$B$14,2,FALSE)," ")))</f>
        <v>12</v>
      </c>
      <c r="P8" s="92">
        <v>20.210999999999999</v>
      </c>
      <c r="Q8" s="97">
        <f t="shared" si="6"/>
        <v>5</v>
      </c>
      <c r="R8" s="97">
        <f t="shared" si="7"/>
        <v>5</v>
      </c>
      <c r="S8" s="94">
        <f>IF(Table622027323337[[#This Row],[Non-Member]]="X"," ",IF(R8=" "," ",IFERROR(VLOOKUP(Q8,Points!$A$2:$B$14,2,FALSE)," ")))</f>
        <v>6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IF(Table622027323337[[#This Row],[Non-Member]]="X"," ",IF(AH8=" "," ",IFERROR(VLOOKUP(AG8,Points!$A$2:$B$14,2,FALSE)," ")))</f>
        <v xml:space="preserve"> </v>
      </c>
      <c r="AJ8" s="97">
        <f>IF(Table622027323337[[#This Row],[Non-Member]]="X"," ",((IF(G8=" ",0,G8))+(IF(K8=" ",0,K8))+(IF(O8=" ",0,O8))+(IF(S8=" ",0,S8))+(IF(W8=" ",0,W8))+(IF(AA8=" ",0,AA8))+(IF(AE8=" ",0,AE8))+(IF(AI8=" ",0,AI8))))</f>
        <v>30</v>
      </c>
      <c r="AK8" s="95">
        <f t="shared" si="17"/>
        <v>30</v>
      </c>
      <c r="AL8" s="98">
        <f t="shared" si="18"/>
        <v>4</v>
      </c>
    </row>
    <row r="9" spans="2:38" x14ac:dyDescent="0.3">
      <c r="B9" s="90" t="s">
        <v>193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IF(Table622027323337[[#This Row],[Non-Member]]="X"," ",IF(F9=" "," ",IFERROR(VLOOKUP(E9,Points!$A$2:$B$14,2,FALSE)," ")))</f>
        <v xml:space="preserve"> </v>
      </c>
      <c r="H9" s="92">
        <v>24.651</v>
      </c>
      <c r="I9" s="93">
        <f t="shared" si="2"/>
        <v>9</v>
      </c>
      <c r="J9" s="93" t="str">
        <f t="shared" si="3"/>
        <v xml:space="preserve"> </v>
      </c>
      <c r="K9" s="94" t="str">
        <f>IF(Table622027323337[[#This Row],[Non-Member]]="X"," ",IF(J9=" "," ",IFERROR(VLOOKUP(I9,Points!$A$2:$B$14,2,FALSE)," ")))</f>
        <v xml:space="preserve"> </v>
      </c>
      <c r="L9" s="92">
        <v>19.89</v>
      </c>
      <c r="M9" s="93">
        <f t="shared" si="4"/>
        <v>4</v>
      </c>
      <c r="N9" s="93">
        <f t="shared" si="5"/>
        <v>4</v>
      </c>
      <c r="O9" s="94">
        <f>IF(Table622027323337[[#This Row],[Non-Member]]="X"," ",IF(N9=" "," ",IFERROR(VLOOKUP(M9,Points!$A$2:$B$14,2,FALSE)," ")))</f>
        <v>9</v>
      </c>
      <c r="P9" s="92">
        <v>19.696000000000002</v>
      </c>
      <c r="Q9" s="93">
        <f t="shared" si="6"/>
        <v>3</v>
      </c>
      <c r="R9" s="93">
        <f t="shared" si="7"/>
        <v>3</v>
      </c>
      <c r="S9" s="94">
        <f>IF(Table622027323337[[#This Row],[Non-Member]]="X"," ",IF(R9=" "," ",IFERROR(VLOOKUP(Q9,Points!$A$2:$B$14,2,FALSE)," ")))</f>
        <v>12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IF(Table622027323337[[#This Row],[Non-Member]]="X"," ",IF(AH9=" "," ",IFERROR(VLOOKUP(AG9,Points!$A$2:$B$14,2,FALSE)," ")))</f>
        <v xml:space="preserve"> </v>
      </c>
      <c r="AJ9" s="93">
        <f>IF(Table622027323337[[#This Row],[Non-Member]]="X"," ",((IF(G9=" ",0,G9))+(IF(K9=" ",0,K9))+(IF(O9=" ",0,O9))+(IF(S9=" ",0,S9))+(IF(W9=" ",0,W9))+(IF(AA9=" ",0,AA9))+(IF(AE9=" ",0,AE9))+(IF(AI9=" ",0,AI9))))</f>
        <v>21</v>
      </c>
      <c r="AK9" s="95">
        <f t="shared" si="17"/>
        <v>21</v>
      </c>
      <c r="AL9" s="96">
        <f t="shared" si="18"/>
        <v>5</v>
      </c>
    </row>
    <row r="10" spans="2:38" x14ac:dyDescent="0.3">
      <c r="B10" s="90" t="s">
        <v>271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IF(Table622027323337[[#This Row],[Non-Member]]="X"," ",IF(F10=" "," ",IFERROR(VLOOKUP(E10,Points!$A$2:$B$14,2,FALSE)," ")))</f>
        <v xml:space="preserve"> </v>
      </c>
      <c r="H10" s="92">
        <v>27.177</v>
      </c>
      <c r="I10" s="93">
        <f t="shared" si="2"/>
        <v>11</v>
      </c>
      <c r="J10" s="93" t="str">
        <f t="shared" si="3"/>
        <v xml:space="preserve"> </v>
      </c>
      <c r="K10" s="94" t="str">
        <f>IF(Table622027323337[[#This Row],[Non-Member]]="X"," ",IF(J10=" "," ",IFERROR(VLOOKUP(I10,Points!$A$2:$B$14,2,FALSE)," ")))</f>
        <v xml:space="preserve"> </v>
      </c>
      <c r="L10" s="92">
        <v>22.076000000000001</v>
      </c>
      <c r="M10" s="93">
        <f t="shared" si="4"/>
        <v>6</v>
      </c>
      <c r="N10" s="93">
        <f t="shared" si="5"/>
        <v>6</v>
      </c>
      <c r="O10" s="94">
        <f>IF(Table622027323337[[#This Row],[Non-Member]]="X"," ",IF(N10=" "," ",IFERROR(VLOOKUP(M10,Points!$A$2:$B$14,2,FALSE)," ")))</f>
        <v>3</v>
      </c>
      <c r="P10" s="92">
        <v>21.17</v>
      </c>
      <c r="Q10" s="93">
        <f t="shared" si="6"/>
        <v>6</v>
      </c>
      <c r="R10" s="93">
        <f t="shared" si="7"/>
        <v>6</v>
      </c>
      <c r="S10" s="94">
        <f>IF(Table622027323337[[#This Row],[Non-Member]]="X"," ",IF(R10=" "," ",IFERROR(VLOOKUP(Q10,Points!$A$2:$B$14,2,FALSE)," ")))</f>
        <v>3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IF(Table622027323337[[#This Row],[Non-Member]]="X"," ",IF(AH10=" "," ",IFERROR(VLOOKUP(AG10,Points!$A$2:$B$14,2,FALSE)," ")))</f>
        <v xml:space="preserve"> </v>
      </c>
      <c r="AJ10" s="93">
        <f>IF(Table622027323337[[#This Row],[Non-Member]]="X"," ",((IF(G10=" ",0,G10))+(IF(K10=" ",0,K10))+(IF(O10=" ",0,O10))+(IF(S10=" ",0,S10))+(IF(W10=" ",0,W10))+(IF(AA10=" ",0,AA10))+(IF(AE10=" ",0,AE10))+(IF(AI10=" ",0,AI10))))</f>
        <v>6</v>
      </c>
      <c r="AK10" s="95">
        <f t="shared" si="17"/>
        <v>6</v>
      </c>
      <c r="AL10" s="96">
        <f t="shared" si="18"/>
        <v>6</v>
      </c>
    </row>
    <row r="11" spans="2:38" x14ac:dyDescent="0.3">
      <c r="B11" s="90" t="s">
        <v>84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IF(Table622027323337[[#This Row],[Non-Member]]="X"," ",IF(F11=" "," ",IFERROR(VLOOKUP(E11,Points!$A$2:$B$14,2,FALSE)," ")))</f>
        <v xml:space="preserve"> </v>
      </c>
      <c r="H11" s="92">
        <v>21.463999999999999</v>
      </c>
      <c r="I11" s="93">
        <f t="shared" si="2"/>
        <v>5</v>
      </c>
      <c r="J11" s="93">
        <f t="shared" si="3"/>
        <v>5</v>
      </c>
      <c r="K11" s="94">
        <f>IF(Table622027323337[[#This Row],[Non-Member]]="X"," ",IF(J11=" "," ",IFERROR(VLOOKUP(I11,Points!$A$2:$B$14,2,FALSE)," ")))</f>
        <v>6</v>
      </c>
      <c r="L11" s="92">
        <v>27.504000000000001</v>
      </c>
      <c r="M11" s="93">
        <f t="shared" si="4"/>
        <v>13</v>
      </c>
      <c r="N11" s="93" t="str">
        <f t="shared" si="5"/>
        <v xml:space="preserve"> </v>
      </c>
      <c r="O11" s="94" t="str">
        <f>IF(Table622027323337[[#This Row],[Non-Member]]="X"," ",IF(N11=" "," ",IFERROR(VLOOKUP(M11,Points!$A$2:$B$14,2,FALSE)," ")))</f>
        <v xml:space="preserve"> </v>
      </c>
      <c r="P11" s="92">
        <v>27.724</v>
      </c>
      <c r="Q11" s="93">
        <f t="shared" si="6"/>
        <v>12</v>
      </c>
      <c r="R11" s="93" t="str">
        <f t="shared" si="7"/>
        <v xml:space="preserve"> </v>
      </c>
      <c r="S11" s="94" t="str">
        <f>IF(Table622027323337[[#This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IF(Table622027323337[[#This Row],[Non-Member]]="X"," ",IF(AH11=" "," ",IFERROR(VLOOKUP(AG11,Points!$A$2:$B$14,2,FALSE)," ")))</f>
        <v xml:space="preserve"> </v>
      </c>
      <c r="AJ11" s="93">
        <f>IF(Table622027323337[[#This Row],[Non-Member]]="X"," ",((IF(G11=" ",0,G11))+(IF(K11=" ",0,K11))+(IF(O11=" ",0,O11))+(IF(S11=" ",0,S11))+(IF(W11=" ",0,W11))+(IF(AA11=" ",0,AA11))+(IF(AE11=" ",0,AE11))+(IF(AI11=" ",0,AI11))))</f>
        <v>6</v>
      </c>
      <c r="AK11" s="95">
        <f t="shared" si="17"/>
        <v>6</v>
      </c>
      <c r="AL11" s="96">
        <f t="shared" si="18"/>
        <v>6</v>
      </c>
    </row>
    <row r="12" spans="2:38" x14ac:dyDescent="0.3">
      <c r="B12" s="90" t="s">
        <v>180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IF(Table622027323337[[#This Row],[Non-Member]]="X"," ",IF(F12=" "," ",IFERROR(VLOOKUP(E12,Points!$A$2:$B$14,2,FALSE)," ")))</f>
        <v xml:space="preserve"> </v>
      </c>
      <c r="H12" s="92">
        <v>21.856000000000002</v>
      </c>
      <c r="I12" s="93">
        <f t="shared" si="2"/>
        <v>6</v>
      </c>
      <c r="J12" s="93">
        <f t="shared" si="3"/>
        <v>6</v>
      </c>
      <c r="K12" s="94">
        <f>IF(Table622027323337[[#This Row],[Non-Member]]="X"," ",IF(J12=" "," ",IFERROR(VLOOKUP(I12,Points!$A$2:$B$14,2,FALSE)," ")))</f>
        <v>3</v>
      </c>
      <c r="L12" s="92">
        <v>22.297000000000001</v>
      </c>
      <c r="M12" s="93">
        <f t="shared" si="4"/>
        <v>7</v>
      </c>
      <c r="N12" s="93" t="str">
        <f t="shared" si="5"/>
        <v xml:space="preserve"> </v>
      </c>
      <c r="O12" s="94" t="str">
        <f>IF(Table622027323337[[#This Row],[Non-Member]]="X"," ",IF(N12=" "," ",IFERROR(VLOOKUP(M12,Points!$A$2:$B$14,2,FALSE)," ")))</f>
        <v xml:space="preserve"> </v>
      </c>
      <c r="P12" s="92">
        <v>22.221</v>
      </c>
      <c r="Q12" s="93">
        <f t="shared" si="6"/>
        <v>7</v>
      </c>
      <c r="R12" s="93" t="str">
        <f t="shared" si="7"/>
        <v xml:space="preserve"> </v>
      </c>
      <c r="S12" s="94" t="str">
        <f>IF(Table622027323337[[#This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IF(Table622027323337[[#This Row],[Non-Member]]="X"," ",IF(AH12=" "," ",IFERROR(VLOOKUP(AG12,Points!$A$2:$B$14,2,FALSE)," ")))</f>
        <v xml:space="preserve"> </v>
      </c>
      <c r="AJ12" s="93">
        <f>IF(Table622027323337[[#This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318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IF(Table622027323337[[#This Row],[Non-Member]]="X"," ",IF(J13=" "," ",IFERROR(VLOOKUP(I13,Points!$A$2:$B$14,2,FALSE)," ")))</f>
        <v xml:space="preserve"> </v>
      </c>
      <c r="L13" s="92">
        <v>41.188000000000002</v>
      </c>
      <c r="M13" s="93">
        <f t="shared" si="4"/>
        <v>17</v>
      </c>
      <c r="N13" s="93" t="str">
        <f t="shared" si="5"/>
        <v xml:space="preserve"> </v>
      </c>
      <c r="O13" s="94" t="str">
        <f>IF(Table622027323337[[#This Row],[Non-Member]]="X"," ",IF(N13=" "," ",IFERROR(VLOOKUP(M13,Points!$A$2:$B$14,2,FALSE)," ")))</f>
        <v xml:space="preserve"> </v>
      </c>
      <c r="P13" s="92">
        <v>39.162999999999997</v>
      </c>
      <c r="Q13" s="93">
        <f t="shared" si="6"/>
        <v>16</v>
      </c>
      <c r="R13" s="93" t="str">
        <f t="shared" si="7"/>
        <v xml:space="preserve"> </v>
      </c>
      <c r="S13" s="94"/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IF(Table622027323337[[#This Row],[Non-Member]]="X"," ",IF(AH13=" "," ",IFERROR(VLOOKUP(AG13,Points!$A$2:$B$14,2,FALSE)," ")))</f>
        <v xml:space="preserve"> </v>
      </c>
      <c r="AJ13" s="93">
        <f>IF(Table622027323337[[#This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3">
      <c r="B14" s="90" t="s">
        <v>182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IF(Table622027323337[[#This Row],[Non-Member]]="X"," ",IF(F14=" "," ",IFERROR(VLOOKUP(E14,Points!$A$2:$B$14,2,FALSE)," ")))</f>
        <v xml:space="preserve"> </v>
      </c>
      <c r="H14" s="92">
        <v>30.934000000000001</v>
      </c>
      <c r="I14" s="93">
        <f t="shared" si="2"/>
        <v>15</v>
      </c>
      <c r="J14" s="93" t="str">
        <f t="shared" si="3"/>
        <v xml:space="preserve"> </v>
      </c>
      <c r="K14" s="94" t="str">
        <f>IF(Table622027323337[[#This Row],[Non-Member]]="X"," ",IF(J14=" "," ",IFERROR(VLOOKUP(I14,Points!$A$2:$B$14,2,FALSE)," ")))</f>
        <v xml:space="preserve"> </v>
      </c>
      <c r="L14" s="92">
        <v>27.065000000000001</v>
      </c>
      <c r="M14" s="93">
        <f t="shared" si="4"/>
        <v>11</v>
      </c>
      <c r="N14" s="93" t="str">
        <f t="shared" si="5"/>
        <v xml:space="preserve"> </v>
      </c>
      <c r="O14" s="94" t="str">
        <f>IF(Table622027323337[[#This Row],[Non-Member]]="X"," ",IF(N14=" "," ",IFERROR(VLOOKUP(M14,Points!$A$2:$B$14,2,FALSE)," ")))</f>
        <v xml:space="preserve"> </v>
      </c>
      <c r="P14" s="92">
        <v>27.515999999999998</v>
      </c>
      <c r="Q14" s="93">
        <f t="shared" si="6"/>
        <v>11</v>
      </c>
      <c r="R14" s="93" t="str">
        <f t="shared" si="7"/>
        <v xml:space="preserve"> </v>
      </c>
      <c r="S14" s="94" t="str">
        <f>IF(Table622027323337[[#This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IF(Table622027323337[[#This Row],[Non-Member]]="X"," ",IF(AH14=" "," ",IFERROR(VLOOKUP(AG14,Points!$A$2:$B$14,2,FALSE)," ")))</f>
        <v xml:space="preserve"> </v>
      </c>
      <c r="AJ14" s="93">
        <f>IF(Table622027323337[[#This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268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IF(Table622027323337[[#This Row],[Non-Member]]="X"," ",IF(F15=" "," ",IFERROR(VLOOKUP(E15,Points!$A$2:$B$14,2,FALSE)," ")))</f>
        <v xml:space="preserve"> </v>
      </c>
      <c r="H15" s="92">
        <v>29.664000000000001</v>
      </c>
      <c r="I15" s="93">
        <f t="shared" si="2"/>
        <v>13</v>
      </c>
      <c r="J15" s="93" t="str">
        <f t="shared" si="3"/>
        <v xml:space="preserve"> </v>
      </c>
      <c r="K15" s="94" t="str">
        <f>IF(Table622027323337[[#This Row],[Non-Member]]="X"," ",IF(J15=" "," ",IFERROR(VLOOKUP(I15,Points!$A$2:$B$14,2,FALSE)," ")))</f>
        <v xml:space="preserve"> </v>
      </c>
      <c r="L15" s="92">
        <v>31.471</v>
      </c>
      <c r="M15" s="93">
        <f t="shared" si="4"/>
        <v>15</v>
      </c>
      <c r="N15" s="93" t="str">
        <f t="shared" si="5"/>
        <v xml:space="preserve"> </v>
      </c>
      <c r="O15" s="94" t="str">
        <f>IF(Table622027323337[[#This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IF(Table622027323337[[#This Row],[Non-Member]]="X"," ",IF(AH15=" "," ",IFERROR(VLOOKUP(AG15,Points!$A$2:$B$14,2,FALSE)," ")))</f>
        <v xml:space="preserve"> </v>
      </c>
      <c r="AJ15" s="93">
        <f>IF(Table622027323337[[#This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267</v>
      </c>
      <c r="C16" s="91" t="s">
        <v>325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IF(Table622027323337[[#This Row],[Non-Member]]="X"," ",IF(F16=" "," ",IFERROR(VLOOKUP(E16,Points!$A$2:$B$14,2,FALSE)," ")))</f>
        <v xml:space="preserve"> </v>
      </c>
      <c r="H16" s="92">
        <v>28.494</v>
      </c>
      <c r="I16" s="97">
        <f t="shared" si="2"/>
        <v>12</v>
      </c>
      <c r="J16" s="97" t="str">
        <f t="shared" si="3"/>
        <v xml:space="preserve"> </v>
      </c>
      <c r="K16" s="94" t="str">
        <f>IF(Table622027323337[[#This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8" t="str">
        <f t="shared" si="15"/>
        <v xml:space="preserve"> </v>
      </c>
      <c r="AH16" s="97" t="str">
        <f t="shared" si="16"/>
        <v xml:space="preserve"> </v>
      </c>
      <c r="AI16" s="94" t="str">
        <f>IF(Table622027323337[[#This Row],[Non-Member]]="X"," ",IF(AH16=" "," ",IFERROR(VLOOKUP(AG16,Points!$A$2:$B$14,2,FALSE)," ")))</f>
        <v xml:space="preserve"> </v>
      </c>
      <c r="AJ16" s="97" t="str">
        <f>IF(Table622027323337[[#This Row],[Non-Member]]="X"," ",((IF(G16=" ",0,G16))+(IF(K16=" ",0,K16))+(IF(O16=" ",0,O16))+(IF(S16=" ",0,S16))+(IF(W16=" ",0,W16))+(IF(AA16=" ",0,AA16))+(IF(AE16=" ",0,AE16))+(IF(AI16=" ",0,AI16))))</f>
        <v xml:space="preserve"> </v>
      </c>
      <c r="AK16" s="151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179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IF(Table622027323337[[#This Row],[Non-Member]]="X"," ",IF(F17=" "," ",IFERROR(VLOOKUP(E17,Points!$A$2:$B$14,2,FALSE)," ")))</f>
        <v xml:space="preserve"> </v>
      </c>
      <c r="H17" s="92">
        <v>24.498000000000001</v>
      </c>
      <c r="I17" s="93">
        <f t="shared" si="2"/>
        <v>7</v>
      </c>
      <c r="J17" s="93" t="str">
        <f t="shared" si="3"/>
        <v xml:space="preserve"> </v>
      </c>
      <c r="K17" s="94" t="str">
        <f>IF(Table622027323337[[#This Row],[Non-Member]]="X"," ",IF(J17=" "," ",IFERROR(VLOOKUP(I17,Points!$A$2:$B$14,2,FALSE)," ")))</f>
        <v xml:space="preserve"> </v>
      </c>
      <c r="L17" s="92">
        <v>24.26</v>
      </c>
      <c r="M17" s="93">
        <f t="shared" si="4"/>
        <v>10</v>
      </c>
      <c r="N17" s="93" t="str">
        <f t="shared" si="5"/>
        <v xml:space="preserve"> </v>
      </c>
      <c r="O17" s="94" t="str">
        <f>IF(Table622027323337[[#This Row],[Non-Member]]="X"," ",IF(N17=" "," ",IFERROR(VLOOKUP(M17,Points!$A$2:$B$14,2,FALSE)," ")))</f>
        <v xml:space="preserve"> </v>
      </c>
      <c r="P17" s="92">
        <v>24.478999999999999</v>
      </c>
      <c r="Q17" s="93">
        <f t="shared" si="6"/>
        <v>9</v>
      </c>
      <c r="R17" s="93" t="str">
        <f t="shared" si="7"/>
        <v xml:space="preserve"> </v>
      </c>
      <c r="S17" s="94" t="str">
        <f>IF(Table622027323337[[#This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IF(Table622027323337[[#This Row],[Non-Member]]="X"," ",IF(AH17=" "," ",IFERROR(VLOOKUP(AG17,Points!$A$2:$B$14,2,FALSE)," ")))</f>
        <v xml:space="preserve"> </v>
      </c>
      <c r="AJ17" s="93">
        <f>IF(Table622027323337[[#This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269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IF(Table622027323337[[#This Row],[Non-Member]]="X"," ",IF(F18=" "," ",IFERROR(VLOOKUP(E18,Points!$A$2:$B$14,2,FALSE)," ")))</f>
        <v xml:space="preserve"> </v>
      </c>
      <c r="H18" s="92">
        <v>48.607999999999997</v>
      </c>
      <c r="I18" s="93">
        <f t="shared" si="2"/>
        <v>17</v>
      </c>
      <c r="J18" s="93" t="str">
        <f t="shared" si="3"/>
        <v xml:space="preserve"> </v>
      </c>
      <c r="K18" s="94" t="str">
        <f>IF(Table622027323337[[#This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IF(Table622027323337[[#This Row],[Non-Member]]="X"," ",IF(N18=" "," ",IFERROR(VLOOKUP(M18,Points!$A$2:$B$14,2,FALSE)," ")))</f>
        <v xml:space="preserve"> </v>
      </c>
      <c r="P18" s="92">
        <v>35.97</v>
      </c>
      <c r="Q18" s="93">
        <f t="shared" si="6"/>
        <v>15</v>
      </c>
      <c r="R18" s="93" t="str">
        <f t="shared" si="7"/>
        <v xml:space="preserve"> </v>
      </c>
      <c r="S18" s="94" t="str">
        <f>IF(Table622027323337[[#This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IF(Table622027323337[[#This Row],[Non-Member]]="X"," ",IF(AH18=" "," ",IFERROR(VLOOKUP(AG18,Points!$A$2:$B$14,2,FALSE)," ")))</f>
        <v xml:space="preserve"> </v>
      </c>
      <c r="AJ18" s="93">
        <f>IF(Table622027323337[[#This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184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IF(Table622027323337[[#This Row],[Non-Member]]="X"," ",IF(F19=" "," ",IFERROR(VLOOKUP(E19,Points!$A$2:$B$14,2,FALSE)," ")))</f>
        <v xml:space="preserve"> </v>
      </c>
      <c r="H19" s="92">
        <v>39.607999999999997</v>
      </c>
      <c r="I19" s="97">
        <f t="shared" si="2"/>
        <v>16</v>
      </c>
      <c r="J19" s="97" t="str">
        <f t="shared" si="3"/>
        <v xml:space="preserve"> </v>
      </c>
      <c r="K19" s="94" t="str">
        <f>IF(Table622027323337[[#This Row],[Non-Member]]="X"," ",IF(J19=" "," ",IFERROR(VLOOKUP(I19,Points!$A$2:$B$14,2,FALSE)," ")))</f>
        <v xml:space="preserve"> </v>
      </c>
      <c r="L19" s="92">
        <v>34.658000000000001</v>
      </c>
      <c r="M19" s="97">
        <f t="shared" si="4"/>
        <v>16</v>
      </c>
      <c r="N19" s="97" t="str">
        <f t="shared" si="5"/>
        <v xml:space="preserve"> </v>
      </c>
      <c r="O19" s="94" t="str">
        <f>IF(Table622027323337[[#This Row],[Non-Member]]="X"," ",IF(N19=" "," ",IFERROR(VLOOKUP(M19,Points!$A$2:$B$14,2,FALSE)," ")))</f>
        <v xml:space="preserve"> </v>
      </c>
      <c r="P19" s="92">
        <v>40.225999999999999</v>
      </c>
      <c r="Q19" s="97">
        <f t="shared" si="6"/>
        <v>17</v>
      </c>
      <c r="R19" s="97" t="str">
        <f t="shared" si="7"/>
        <v xml:space="preserve"> </v>
      </c>
      <c r="S19" s="94" t="str">
        <f>IF(Table622027323337[[#This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IF(Table622027323337[[#This Row],[Non-Member]]="X"," ",IF(AH19=" "," ",IFERROR(VLOOKUP(AG19,Points!$A$2:$B$14,2,FALSE)," ")))</f>
        <v xml:space="preserve"> </v>
      </c>
      <c r="AJ19" s="97">
        <f>IF(Table622027323337[[#This Row],[Non-Member]]="X"," ",((IF(G19=" ",0,G19))+(IF(K19=" ",0,K19))+(IF(O19=" ",0,O19))+(IF(S19=" ",0,S19))+(IF(W19=" ",0,W19))+(IF(AA19=" ",0,AA19))+(IF(AE19=" ",0,AE19))+(IF(AI19=" ",0,AI19))))</f>
        <v>0</v>
      </c>
      <c r="AK19" s="151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183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IF(Table622027323337[[#This Row],[Non-Member]]="X"," ",IF(F20=" "," ",IFERROR(VLOOKUP(E20,Points!$A$2:$B$14,2,FALSE)," ")))</f>
        <v xml:space="preserve"> </v>
      </c>
      <c r="H20" s="92">
        <v>30.443000000000001</v>
      </c>
      <c r="I20" s="97">
        <f t="shared" si="2"/>
        <v>14</v>
      </c>
      <c r="J20" s="97" t="str">
        <f t="shared" si="3"/>
        <v xml:space="preserve"> </v>
      </c>
      <c r="K20" s="94" t="str">
        <f>IF(Table622027323337[[#This Row],[Non-Member]]="X"," ",IF(J20=" "," ",IFERROR(VLOOKUP(I20,Points!$A$2:$B$14,2,FALSE)," ")))</f>
        <v xml:space="preserve"> </v>
      </c>
      <c r="L20" s="92">
        <v>28.007999999999999</v>
      </c>
      <c r="M20" s="97">
        <f t="shared" si="4"/>
        <v>14</v>
      </c>
      <c r="N20" s="97" t="str">
        <f t="shared" si="5"/>
        <v xml:space="preserve"> </v>
      </c>
      <c r="O20" s="94" t="str">
        <f>IF(Table622027323337[[#This Row],[Non-Member]]="X"," ",IF(N20=" "," ",IFERROR(VLOOKUP(M20,Points!$A$2:$B$14,2,FALSE)," ")))</f>
        <v xml:space="preserve"> </v>
      </c>
      <c r="P20" s="92">
        <v>30.111999999999998</v>
      </c>
      <c r="Q20" s="97">
        <f t="shared" si="6"/>
        <v>14</v>
      </c>
      <c r="R20" s="97" t="str">
        <f t="shared" si="7"/>
        <v xml:space="preserve"> </v>
      </c>
      <c r="S20" s="94" t="str">
        <f>IF(Table622027323337[[#This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IF(Table622027323337[[#This Row],[Non-Member]]="X"," ",IF(AH20=" "," ",IFERROR(VLOOKUP(AG20,Points!$A$2:$B$14,2,FALSE)," ")))</f>
        <v xml:space="preserve"> </v>
      </c>
      <c r="AJ20" s="97">
        <f>IF(Table622027323337[[#This Row],[Non-Member]]="X"," ",((IF(G20=" ",0,G20))+(IF(K20=" ",0,K20))+(IF(O20=" ",0,O20))+(IF(S20=" ",0,S20))+(IF(W20=" ",0,W20))+(IF(AA20=" ",0,AA20))+(IF(AE20=" ",0,AE20))+(IF(AI20=" ",0,AI20))))</f>
        <v>0</v>
      </c>
      <c r="AK20" s="151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181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IF(Table622027323337[[#This Row],[Non-Member]]="X"," ",IF(J21=" "," ",IFERROR(VLOOKUP(I21,Points!$A$2:$B$14,2,FALSE)," ")))</f>
        <v xml:space="preserve"> </v>
      </c>
      <c r="L21" s="92">
        <v>27.471</v>
      </c>
      <c r="M21" s="93">
        <f t="shared" si="4"/>
        <v>12</v>
      </c>
      <c r="N21" s="93" t="str">
        <f t="shared" si="5"/>
        <v xml:space="preserve"> </v>
      </c>
      <c r="O21" s="94" t="str">
        <f>IF(Table622027323337[[#This Row],[Non-Member]]="X"," ",IF(N21=" "," ",IFERROR(VLOOKUP(M21,Points!$A$2:$B$14,2,FALSE)," ")))</f>
        <v xml:space="preserve"> </v>
      </c>
      <c r="P21" s="92">
        <v>28.218</v>
      </c>
      <c r="Q21" s="93">
        <f t="shared" si="6"/>
        <v>13</v>
      </c>
      <c r="R21" s="93" t="str">
        <f t="shared" si="7"/>
        <v xml:space="preserve"> </v>
      </c>
      <c r="S21" s="94" t="str">
        <f>IF(Table622027323337[[#This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IF(Table622027323337[[#This Row],[Non-Member]]="X"," ",IF(AH21=" "," ",IFERROR(VLOOKUP(AG21,Points!$A$2:$B$14,2,FALSE)," ")))</f>
        <v xml:space="preserve"> </v>
      </c>
      <c r="AJ21" s="93">
        <f>IF(Table622027323337[[#This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185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IF(Table622027323337[[#This Row],[Non-Member]]="X"," ",IF(F22=" "," ",IFERROR(VLOOKUP(E22,Points!$A$2:$B$14,2,FALSE)," ")))</f>
        <v xml:space="preserve"> </v>
      </c>
      <c r="H22" s="92">
        <v>25.562999999999999</v>
      </c>
      <c r="I22" s="97">
        <f t="shared" si="2"/>
        <v>10</v>
      </c>
      <c r="J22" s="97" t="str">
        <f t="shared" si="3"/>
        <v xml:space="preserve"> </v>
      </c>
      <c r="K22" s="94" t="str">
        <f>IF(Table622027323337[[#This Row],[Non-Member]]="X"," ",IF(J22=" "," ",IFERROR(VLOOKUP(I22,Points!$A$2:$B$14,2,FALSE)," ")))</f>
        <v xml:space="preserve"> </v>
      </c>
      <c r="L22" s="92">
        <v>24.036999999999999</v>
      </c>
      <c r="M22" s="97">
        <f t="shared" si="4"/>
        <v>9</v>
      </c>
      <c r="N22" s="97" t="str">
        <f t="shared" si="5"/>
        <v xml:space="preserve"> </v>
      </c>
      <c r="O22" s="94" t="str">
        <f>IF(Table622027323337[[#This Row],[Non-Member]]="X"," ",IF(N22=" "," ",IFERROR(VLOOKUP(M22,Points!$A$2:$B$14,2,FALSE)," ")))</f>
        <v xml:space="preserve"> </v>
      </c>
      <c r="P22" s="92">
        <v>22.945</v>
      </c>
      <c r="Q22" s="97">
        <f t="shared" si="6"/>
        <v>8</v>
      </c>
      <c r="R22" s="97" t="str">
        <f t="shared" si="7"/>
        <v xml:space="preserve"> </v>
      </c>
      <c r="S22" s="94" t="str">
        <f>IF(Table622027323337[[#This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7" t="str">
        <f t="shared" si="15"/>
        <v xml:space="preserve"> </v>
      </c>
      <c r="AH22" s="97" t="str">
        <f t="shared" si="16"/>
        <v xml:space="preserve"> </v>
      </c>
      <c r="AI22" s="94" t="str">
        <f>IF(Table622027323337[[#This Row],[Non-Member]]="X"," ",IF(AH22=" "," ",IFERROR(VLOOKUP(AG22,Points!$A$2:$B$14,2,FALSE)," ")))</f>
        <v xml:space="preserve"> </v>
      </c>
      <c r="AJ22" s="97">
        <f>IF(Table622027323337[[#This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178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IF(Table622027323337[[#This Row],[Non-Member]]="X"," ",IF(F23=" "," ",IFERROR(VLOOKUP(E23,Points!$A$2:$B$14,2,FALSE)," ")))</f>
        <v xml:space="preserve"> </v>
      </c>
      <c r="H23" s="92">
        <v>24.562000000000001</v>
      </c>
      <c r="I23" s="93">
        <f t="shared" si="2"/>
        <v>8</v>
      </c>
      <c r="J23" s="93" t="str">
        <f t="shared" si="3"/>
        <v xml:space="preserve"> </v>
      </c>
      <c r="K23" s="94" t="str">
        <f>IF(Table622027323337[[#This Row],[Non-Member]]="X"," ",IF(J23=" "," ",IFERROR(VLOOKUP(I23,Points!$A$2:$B$14,2,FALSE)," ")))</f>
        <v xml:space="preserve"> </v>
      </c>
      <c r="L23" s="92">
        <v>22.457999999999998</v>
      </c>
      <c r="M23" s="93">
        <f t="shared" si="4"/>
        <v>8</v>
      </c>
      <c r="N23" s="93" t="str">
        <f t="shared" si="5"/>
        <v xml:space="preserve"> </v>
      </c>
      <c r="O23" s="94" t="str">
        <f>IF(Table622027323337[[#This Row],[Non-Member]]="X"," ",IF(N23=" "," ",IFERROR(VLOOKUP(M23,Points!$A$2:$B$14,2,FALSE)," ")))</f>
        <v xml:space="preserve"> </v>
      </c>
      <c r="P23" s="92">
        <v>25.69</v>
      </c>
      <c r="Q23" s="93">
        <f t="shared" si="6"/>
        <v>10</v>
      </c>
      <c r="R23" s="93" t="str">
        <f t="shared" si="7"/>
        <v xml:space="preserve"> </v>
      </c>
      <c r="S23" s="94" t="str">
        <f>IF(Table622027323337[[#This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IF(Table622027323337[[#This Row],[Non-Member]]="X"," ",IF(AH23=" "," ",IFERROR(VLOOKUP(AG23,Points!$A$2:$B$14,2,FALSE)," ")))</f>
        <v xml:space="preserve"> </v>
      </c>
      <c r="AJ23" s="93">
        <f>IF(Table622027323337[[#This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53" t="str">
        <f t="shared" si="0"/>
        <v xml:space="preserve"> </v>
      </c>
      <c r="F24" s="153" t="str">
        <f t="shared" si="1"/>
        <v xml:space="preserve"> </v>
      </c>
      <c r="G24" s="104" t="str">
        <f>IF(Table622027323337[[#This Row],[Non-Member]]="X"," ",IF(F24=" "," ",IFERROR(VLOOKUP(E24,Points!$A$2:$B$14,2,FALSE)," ")))</f>
        <v xml:space="preserve"> </v>
      </c>
      <c r="H24" s="102"/>
      <c r="I24" s="153" t="str">
        <f t="shared" si="2"/>
        <v xml:space="preserve"> </v>
      </c>
      <c r="J24" s="153" t="str">
        <f t="shared" si="3"/>
        <v xml:space="preserve"> </v>
      </c>
      <c r="K24" s="104" t="str">
        <f>IF(Table622027323337[[#This Row],[Non-Member]]="X"," ",IF(J24=" "," ",IFERROR(VLOOKUP(I24,Points!$A$2:$B$14,2,FALSE)," ")))</f>
        <v xml:space="preserve"> </v>
      </c>
      <c r="L24" s="102"/>
      <c r="M24" s="153" t="str">
        <f t="shared" si="4"/>
        <v xml:space="preserve"> </v>
      </c>
      <c r="N24" s="153" t="str">
        <f t="shared" si="5"/>
        <v xml:space="preserve"> </v>
      </c>
      <c r="O24" s="104" t="str">
        <f>IF(Table622027323337[[#This Row],[Non-Member]]="X"," ",IF(N24=" "," ",IFERROR(VLOOKUP(M24,Points!$A$2:$B$14,2,FALSE)," ")))</f>
        <v xml:space="preserve"> </v>
      </c>
      <c r="P24" s="102"/>
      <c r="Q24" s="153" t="str">
        <f t="shared" si="6"/>
        <v xml:space="preserve"> </v>
      </c>
      <c r="R24" s="153" t="str">
        <f t="shared" si="7"/>
        <v xml:space="preserve"> </v>
      </c>
      <c r="S24" s="104" t="str">
        <f>IF(Table622027323337[[#This Row],[Non-Member]]="X"," ",IF(R24=" "," ",IFERROR(VLOOKUP(Q24,Points!$A$2:$B$14,2,FALSE)," ")))</f>
        <v xml:space="preserve"> </v>
      </c>
      <c r="T24" s="102"/>
      <c r="U24" s="153" t="str">
        <f t="shared" si="8"/>
        <v xml:space="preserve"> </v>
      </c>
      <c r="V24" s="153" t="str">
        <f t="shared" si="9"/>
        <v xml:space="preserve"> </v>
      </c>
      <c r="W24" s="104" t="str">
        <f>IF(Table622027323337[[#This Row],[Non-Member]]="X"," ",IF(V24=" "," ",IFERROR(VLOOKUP(U24,Points!$A$2:$B$14,2,FALSE)," ")))</f>
        <v xml:space="preserve"> </v>
      </c>
      <c r="X24" s="102"/>
      <c r="Y24" s="153" t="str">
        <f t="shared" si="10"/>
        <v xml:space="preserve"> </v>
      </c>
      <c r="Z24" s="153" t="str">
        <f t="shared" si="11"/>
        <v xml:space="preserve"> </v>
      </c>
      <c r="AA24" s="104" t="str">
        <f>IF(Table622027323337[[#This Row],[Non-Member]]="X"," ",IF(Z24=" "," ",IFERROR(VLOOKUP(Y24,Points!$A$2:$B$14,2,FALSE)," ")))</f>
        <v xml:space="preserve"> </v>
      </c>
      <c r="AB24" s="102"/>
      <c r="AC24" s="153" t="str">
        <f t="shared" si="12"/>
        <v xml:space="preserve"> </v>
      </c>
      <c r="AD24" s="153" t="str">
        <f t="shared" si="13"/>
        <v xml:space="preserve"> </v>
      </c>
      <c r="AE24" s="104" t="str">
        <f>IF(Table622027323337[[#This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54" t="str">
        <f t="shared" si="15"/>
        <v xml:space="preserve"> </v>
      </c>
      <c r="AH24" s="153" t="str">
        <f t="shared" si="16"/>
        <v xml:space="preserve"> </v>
      </c>
      <c r="AI24" s="104" t="str">
        <f>IF(Table622027323337[[#This Row],[Non-Member]]="X"," ",IF(AH24=" "," ",IFERROR(VLOOKUP(AG24,Points!$A$2:$B$14,2,FALSE)," ")))</f>
        <v xml:space="preserve"> </v>
      </c>
      <c r="AJ24" s="97">
        <f>IF(Table622027323337[[#This Row],[Non-Member]]="X"," ",((IF(G24=" ",0,G24))+(IF(K24=" ",0,K24))+(IF(O24=" ",0,O24))+(IF(S24=" ",0,S24))+(IF(W24=" ",0,W24))+(IF(AA24=" ",0,AA24))+(IF(AE24=" ",0,AE24))+(IF(AI24=" ",0,AI24))))</f>
        <v>0</v>
      </c>
      <c r="AK24" s="15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Z4QB7LZf9b4RTEw4aM+EXVXqQcQhujWZDxVmy1L+2dB32nGz8CLsrn/KEu3oq5U8Z8IvKWXCSh1PxtiMOHUAtw==" saltValue="fzPyNvPLOdo3MRkFnDCZz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59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193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IF(Table62202732333738[[#This Row],[Non-Member]]="X"," ",IF(F5=" "," ",IFERROR(VLOOKUP(E5,Points!$A$2:$B$14,2,FALSE)," ")))</f>
        <v xml:space="preserve"> </v>
      </c>
      <c r="H5" s="85">
        <v>14.044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IF(Table62202732333738[[#This Row],[Non-Member]]="X"," ",IF(N5=" "," ",IFERROR(VLOOKUP(M5,Points!$A$2:$B$14,2,FALSE)," ")))</f>
        <v xml:space="preserve"> </v>
      </c>
      <c r="P5" s="85">
        <v>14.02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IF(Table62202732333738[[#This Row],[Non-Member]]="X"," ",IF(AH5=" "," ",IFERROR(VLOOKUP(AG5,Points!$A$2:$B$14,2,FALSE)," ")))</f>
        <v xml:space="preserve"> </v>
      </c>
      <c r="AJ5" s="86">
        <f>IF(Table62202732333738[[#This Row],[Non-Member]]="X"," ",((IF(G5=" ",0,G5))+(IF(K5=" ",0,K5))+(IF(O5=" ",0,O5))+(IF(S5=" ",0,S5))+(IF(W5=" ",0,W5))+(IF(AA5=" ",0,AA5))+(IF(AE5=" ",0,AE5))+(IF(AI5=" ",0,AI5))))</f>
        <v>36</v>
      </c>
      <c r="AK5" s="88">
        <f t="shared" ref="AK5:AK24" si="17">IF(AJ5=0," ",AJ5)</f>
        <v>36</v>
      </c>
      <c r="AL5" s="89">
        <f t="shared" ref="AL5:AL24" si="18">IF(AK5=" "," ",RANK(AK5,$AK$5:$AK$24))</f>
        <v>1</v>
      </c>
    </row>
    <row r="6" spans="2:38" x14ac:dyDescent="0.3">
      <c r="B6" s="90" t="s">
        <v>85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IF(Table62202732333738[[#This Row],[Non-Member]]="X"," ",IF(F6=" "," ",IFERROR(VLOOKUP(E6,Points!$A$2:$B$14,2,FALSE)," ")))</f>
        <v xml:space="preserve"> </v>
      </c>
      <c r="H6" s="92">
        <v>18.035</v>
      </c>
      <c r="I6" s="93">
        <f t="shared" si="2"/>
        <v>9</v>
      </c>
      <c r="J6" s="93" t="str">
        <f t="shared" si="3"/>
        <v xml:space="preserve"> </v>
      </c>
      <c r="K6" s="94" t="str">
        <f>IF(Table62202732333738[[#This Row],[Non-Member]]="X"," ",IF(J6=" "," ",IFERROR(VLOOKUP(I6,Points!$A$2:$B$14,2,FALSE)," ")))</f>
        <v xml:space="preserve"> </v>
      </c>
      <c r="L6" s="92">
        <v>13.95</v>
      </c>
      <c r="M6" s="93">
        <f t="shared" si="4"/>
        <v>1</v>
      </c>
      <c r="N6" s="93">
        <f t="shared" si="5"/>
        <v>1</v>
      </c>
      <c r="O6" s="94">
        <f>IF(Table62202732333738[[#This Row],[Non-Member]]="X"," ",IF(N6=" "," ",IFERROR(VLOOKUP(M6,Points!$A$2:$B$14,2,FALSE)," ")))</f>
        <v>18</v>
      </c>
      <c r="P6" s="92">
        <v>14.13</v>
      </c>
      <c r="Q6" s="93">
        <f t="shared" si="6"/>
        <v>2</v>
      </c>
      <c r="R6" s="93">
        <f t="shared" si="7"/>
        <v>2</v>
      </c>
      <c r="S6" s="94">
        <f>IF(Table62202732333738[[#This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IF(Table62202732333738[[#This Row],[Non-Member]]="X"," ",IF(AH6=" "," ",IFERROR(VLOOKUP(AG6,Points!$A$2:$B$14,2,FALSE)," ")))</f>
        <v xml:space="preserve"> </v>
      </c>
      <c r="AJ6" s="93">
        <f>IF(Table62202732333738[[#This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6">
        <f t="shared" si="18"/>
        <v>2</v>
      </c>
    </row>
    <row r="7" spans="2:38" x14ac:dyDescent="0.3">
      <c r="B7" s="90" t="s">
        <v>84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IF(Table62202732333738[[#This Row],[Non-Member]]="X"," ",IF(F7=" "," ",IFERROR(VLOOKUP(E7,Points!$A$2:$B$14,2,FALSE)," ")))</f>
        <v xml:space="preserve"> </v>
      </c>
      <c r="H7" s="92">
        <v>15.226000000000001</v>
      </c>
      <c r="I7" s="97">
        <f t="shared" si="2"/>
        <v>3</v>
      </c>
      <c r="J7" s="97">
        <f t="shared" si="3"/>
        <v>3</v>
      </c>
      <c r="K7" s="94">
        <f>IF(Table62202732333738[[#This Row],[Non-Member]]="X"," ",IF(J7=" "," ",IFERROR(VLOOKUP(I7,Points!$A$2:$B$14,2,FALSE)," ")))</f>
        <v>12</v>
      </c>
      <c r="L7" s="92">
        <v>15.12</v>
      </c>
      <c r="M7" s="97">
        <f t="shared" si="4"/>
        <v>3</v>
      </c>
      <c r="N7" s="97">
        <f t="shared" si="5"/>
        <v>3</v>
      </c>
      <c r="O7" s="94">
        <f>IF(Table62202732333738[[#This Row],[Non-Member]]="X"," ",IF(N7=" "," ",IFERROR(VLOOKUP(M7,Points!$A$2:$B$14,2,FALSE)," ")))</f>
        <v>12</v>
      </c>
      <c r="P7" s="92">
        <v>15.06</v>
      </c>
      <c r="Q7" s="97">
        <f t="shared" si="6"/>
        <v>6</v>
      </c>
      <c r="R7" s="97">
        <f t="shared" si="7"/>
        <v>6</v>
      </c>
      <c r="S7" s="94">
        <f>IF(Table62202732333738[[#This Row],[Non-Member]]="X"," ",IF(R7=" "," ",IFERROR(VLOOKUP(Q7,Points!$A$2:$B$14,2,FALSE)," ")))</f>
        <v>3</v>
      </c>
      <c r="T7" s="92"/>
      <c r="U7" s="97" t="str">
        <f t="shared" si="8"/>
        <v xml:space="preserve"> </v>
      </c>
      <c r="V7" s="97" t="str">
        <f t="shared" si="9"/>
        <v xml:space="preserve"> </v>
      </c>
      <c r="W7" s="94" t="str">
        <f>IF(Table62202732333738[[#This Row],[Non-Member]]="X"," ",IF(V7=" "," ",IFERROR(VLOOKUP(U7,Points!$A$2:$B$14,2,FALSE)," ")))</f>
        <v xml:space="preserve"> </v>
      </c>
      <c r="X7" s="92"/>
      <c r="Y7" s="97" t="str">
        <f t="shared" si="10"/>
        <v xml:space="preserve"> </v>
      </c>
      <c r="Z7" s="97" t="str">
        <f t="shared" si="11"/>
        <v xml:space="preserve"> </v>
      </c>
      <c r="AA7" s="94" t="str">
        <f>IF(Table62202732333738[[#This Row],[Non-Member]]="X"," ",IF(Z7=" "," ",IFERROR(VLOOKUP(Y7,Points!$A$2:$B$14,2,FALSE)," ")))</f>
        <v xml:space="preserve"> </v>
      </c>
      <c r="AB7" s="92"/>
      <c r="AC7" s="97" t="str">
        <f t="shared" si="12"/>
        <v xml:space="preserve"> </v>
      </c>
      <c r="AD7" s="97" t="str">
        <f t="shared" si="13"/>
        <v xml:space="preserve"> </v>
      </c>
      <c r="AE7" s="94" t="str">
        <f>IF(Table62202732333738[[#This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8" t="str">
        <f t="shared" si="15"/>
        <v xml:space="preserve"> </v>
      </c>
      <c r="AH7" s="97" t="str">
        <f t="shared" si="16"/>
        <v xml:space="preserve"> </v>
      </c>
      <c r="AI7" s="94" t="str">
        <f>IF(Table62202732333738[[#This Row],[Non-Member]]="X"," ",IF(AH7=" "," ",IFERROR(VLOOKUP(AG7,Points!$A$2:$B$14,2,FALSE)," ")))</f>
        <v xml:space="preserve"> </v>
      </c>
      <c r="AJ7" s="97">
        <f>IF(Table62202732333738[[#This Row],[Non-Member]]="X"," ",((IF(G7=" ",0,G7))+(IF(K7=" ",0,K7))+(IF(O7=" ",0,O7))+(IF(S7=" ",0,S7))+(IF(W7=" ",0,W7))+(IF(AA7=" ",0,AA7))+(IF(AE7=" ",0,AE7))+(IF(AI7=" ",0,AI7))))</f>
        <v>27</v>
      </c>
      <c r="AK7" s="151">
        <f t="shared" si="17"/>
        <v>27</v>
      </c>
      <c r="AL7" s="98">
        <f t="shared" si="18"/>
        <v>3</v>
      </c>
    </row>
    <row r="8" spans="2:38" x14ac:dyDescent="0.3">
      <c r="B8" s="90" t="s">
        <v>178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IF(Table62202732333738[[#This Row],[Non-Member]]="X"," ",IF(F8=" "," ",IFERROR(VLOOKUP(E8,Points!$A$2:$B$14,2,FALSE)," ")))</f>
        <v xml:space="preserve"> </v>
      </c>
      <c r="H8" s="92">
        <v>0</v>
      </c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IF(Table62202732333738[[#This Row],[Non-Member]]="X"," ",IF(J8=" "," ",IFERROR(VLOOKUP(I8,Points!$A$2:$B$14,2,FALSE)," ")))</f>
        <v xml:space="preserve"> </v>
      </c>
      <c r="L8" s="92">
        <v>14.49</v>
      </c>
      <c r="M8" s="97">
        <f t="shared" si="4"/>
        <v>2</v>
      </c>
      <c r="N8" s="97">
        <f t="shared" si="5"/>
        <v>2</v>
      </c>
      <c r="O8" s="94">
        <f>IF(Table62202732333738[[#This Row],[Non-Member]]="X"," ",IF(N8=" "," ",IFERROR(VLOOKUP(M8,Points!$A$2:$B$14,2,FALSE)," ")))</f>
        <v>15</v>
      </c>
      <c r="P8" s="92">
        <v>14.79</v>
      </c>
      <c r="Q8" s="97">
        <f t="shared" si="6"/>
        <v>3</v>
      </c>
      <c r="R8" s="97">
        <f t="shared" si="7"/>
        <v>3</v>
      </c>
      <c r="S8" s="94">
        <f>IF(Table62202732333738[[#This Row],[Non-Member]]="X"," ",IF(R8=" "," ",IFERROR(VLOOKUP(Q8,Points!$A$2:$B$14,2,FALSE)," ")))</f>
        <v>12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IF(Table62202732333738[[#This Row],[Non-Member]]="X"," ",IF(AH8=" "," ",IFERROR(VLOOKUP(AG8,Points!$A$2:$B$14,2,FALSE)," ")))</f>
        <v xml:space="preserve"> </v>
      </c>
      <c r="AJ8" s="97">
        <f>IF(Table62202732333738[[#This Row],[Non-Member]]="X"," ",((IF(G8=" ",0,G8))+(IF(K8=" ",0,K8))+(IF(O8=" ",0,O8))+(IF(S8=" ",0,S8))+(IF(W8=" ",0,W8))+(IF(AA8=" ",0,AA8))+(IF(AE8=" ",0,AE8))+(IF(AI8=" ",0,AI8))))</f>
        <v>27</v>
      </c>
      <c r="AK8" s="95">
        <f t="shared" si="17"/>
        <v>27</v>
      </c>
      <c r="AL8" s="98">
        <f t="shared" si="18"/>
        <v>3</v>
      </c>
    </row>
    <row r="9" spans="2:38" x14ac:dyDescent="0.3">
      <c r="B9" s="90" t="s">
        <v>179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IF(Table62202732333738[[#This Row],[Non-Member]]="X"," ",IF(J9=" "," ",IFERROR(VLOOKUP(I9,Points!$A$2:$B$14,2,FALSE)," ")))</f>
        <v xml:space="preserve"> </v>
      </c>
      <c r="L9" s="92">
        <v>15.49</v>
      </c>
      <c r="M9" s="93">
        <f t="shared" si="4"/>
        <v>4</v>
      </c>
      <c r="N9" s="93">
        <f t="shared" si="5"/>
        <v>4</v>
      </c>
      <c r="O9" s="94">
        <f>IF(Table62202732333738[[#This Row],[Non-Member]]="X"," ",IF(N9=" "," ",IFERROR(VLOOKUP(M9,Points!$A$2:$B$14,2,FALSE)," ")))</f>
        <v>9</v>
      </c>
      <c r="P9" s="92">
        <v>15.02</v>
      </c>
      <c r="Q9" s="93">
        <f t="shared" si="6"/>
        <v>4</v>
      </c>
      <c r="R9" s="93">
        <f t="shared" si="7"/>
        <v>4</v>
      </c>
      <c r="S9" s="94">
        <f>IF(Table62202732333738[[#This Row],[Non-Member]]="X"," ",IF(R9=" "," ",IFERROR(VLOOKUP(Q9,Points!$A$2:$B$14,2,FALSE)," ")))</f>
        <v>9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IF(Table62202732333738[[#This Row],[Non-Member]]="X"," ",IF(AH9=" "," ",IFERROR(VLOOKUP(AG9,Points!$A$2:$B$14,2,FALSE)," ")))</f>
        <v xml:space="preserve"> </v>
      </c>
      <c r="AJ9" s="93">
        <f>IF(Table62202732333738[[#This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6">
        <f t="shared" si="18"/>
        <v>5</v>
      </c>
    </row>
    <row r="10" spans="2:38" x14ac:dyDescent="0.3">
      <c r="B10" s="90" t="s">
        <v>181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IF(Table62202732333738[[#This Row],[Non-Member]]="X"," ",IF(F10=" "," ",IFERROR(VLOOKUP(E10,Points!$A$2:$B$14,2,FALSE)," ")))</f>
        <v xml:space="preserve"> </v>
      </c>
      <c r="H10" s="92">
        <v>14.554</v>
      </c>
      <c r="I10" s="93">
        <f t="shared" si="2"/>
        <v>2</v>
      </c>
      <c r="J10" s="93">
        <f t="shared" si="3"/>
        <v>2</v>
      </c>
      <c r="K10" s="94">
        <f>IF(Table62202732333738[[#This Row],[Non-Member]]="X"," ",IF(J10=" "," ",IFERROR(VLOOKUP(I10,Points!$A$2:$B$14,2,FALSE)," ")))</f>
        <v>15</v>
      </c>
      <c r="L10" s="92">
        <v>23.33</v>
      </c>
      <c r="M10" s="93">
        <f t="shared" si="4"/>
        <v>12</v>
      </c>
      <c r="N10" s="93" t="str">
        <f t="shared" si="5"/>
        <v xml:space="preserve"> </v>
      </c>
      <c r="O10" s="94" t="str">
        <f>IF(Table62202732333738[[#This Row],[Non-Member]]="X"," ",IF(N10=" "," ",IFERROR(VLOOKUP(M10,Points!$A$2:$B$14,2,FALSE)," ")))</f>
        <v xml:space="preserve"> </v>
      </c>
      <c r="P10" s="92">
        <v>18.010000000000002</v>
      </c>
      <c r="Q10" s="93">
        <f t="shared" si="6"/>
        <v>9</v>
      </c>
      <c r="R10" s="93" t="str">
        <f t="shared" si="7"/>
        <v xml:space="preserve"> </v>
      </c>
      <c r="S10" s="94" t="str">
        <f>IF(Table62202732333738[[#This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IF(Table62202732333738[[#This Row],[Non-Member]]="X"," ",IF(AH10=" "," ",IFERROR(VLOOKUP(AG10,Points!$A$2:$B$14,2,FALSE)," ")))</f>
        <v xml:space="preserve"> </v>
      </c>
      <c r="AJ10" s="93">
        <f>IF(Table62202732333738[[#This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3">
      <c r="B11" s="90" t="s">
        <v>182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IF(Table62202732333738[[#This Row],[Non-Member]]="X"," ",IF(F11=" "," ",IFERROR(VLOOKUP(E11,Points!$A$2:$B$14,2,FALSE)," ")))</f>
        <v xml:space="preserve"> </v>
      </c>
      <c r="H11" s="92">
        <v>17.173999999999999</v>
      </c>
      <c r="I11" s="93">
        <f t="shared" si="2"/>
        <v>6</v>
      </c>
      <c r="J11" s="93">
        <f t="shared" si="3"/>
        <v>6</v>
      </c>
      <c r="K11" s="94">
        <f>IF(Table62202732333738[[#This Row],[Non-Member]]="X"," ",IF(J11=" "," ",IFERROR(VLOOKUP(I11,Points!$A$2:$B$14,2,FALSE)," ")))</f>
        <v>3</v>
      </c>
      <c r="L11" s="92">
        <v>17.52</v>
      </c>
      <c r="M11" s="93">
        <f t="shared" si="4"/>
        <v>5</v>
      </c>
      <c r="N11" s="93">
        <f t="shared" si="5"/>
        <v>5</v>
      </c>
      <c r="O11" s="94">
        <f>IF(Table62202732333738[[#This Row],[Non-Member]]="X"," ",IF(N11=" "," ",IFERROR(VLOOKUP(M11,Points!$A$2:$B$14,2,FALSE)," ")))</f>
        <v>6</v>
      </c>
      <c r="P11" s="92">
        <v>18.55</v>
      </c>
      <c r="Q11" s="93">
        <f t="shared" si="6"/>
        <v>10</v>
      </c>
      <c r="R11" s="93" t="str">
        <f t="shared" si="7"/>
        <v xml:space="preserve"> </v>
      </c>
      <c r="S11" s="94" t="str">
        <f>IF(Table62202732333738[[#This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IF(Table62202732333738[[#This Row],[Non-Member]]="X"," ",IF(AH11=" "," ",IFERROR(VLOOKUP(AG11,Points!$A$2:$B$14,2,FALSE)," ")))</f>
        <v xml:space="preserve"> </v>
      </c>
      <c r="AJ11" s="93">
        <f>IF(Table62202732333738[[#This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7"/>
        <v>9</v>
      </c>
      <c r="AL11" s="96">
        <f t="shared" si="18"/>
        <v>7</v>
      </c>
    </row>
    <row r="12" spans="2:38" x14ac:dyDescent="0.3">
      <c r="B12" s="90" t="s">
        <v>91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IF(Table62202732333738[[#This Row],[Non-Member]]="X"," ",IF(F12=" "," ",IFERROR(VLOOKUP(E12,Points!$A$2:$B$14,2,FALSE)," ")))</f>
        <v xml:space="preserve"> </v>
      </c>
      <c r="H12" s="92">
        <v>16.082000000000001</v>
      </c>
      <c r="I12" s="93">
        <f t="shared" si="2"/>
        <v>4</v>
      </c>
      <c r="J12" s="93">
        <f t="shared" si="3"/>
        <v>4</v>
      </c>
      <c r="K12" s="94">
        <f>IF(Table62202732333738[[#This Row],[Non-Member]]="X"," ",IF(J12=" "," ",IFERROR(VLOOKUP(I12,Points!$A$2:$B$14,2,FALSE)," ")))</f>
        <v>9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IF(Table62202732333738[[#This Row],[Non-Member]]="X"," ",IF(AH12=" "," ",IFERROR(VLOOKUP(AG12,Points!$A$2:$B$14,2,FALSE)," ")))</f>
        <v xml:space="preserve"> </v>
      </c>
      <c r="AJ12" s="93">
        <f>IF(Table62202732333738[[#This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7</v>
      </c>
    </row>
    <row r="13" spans="2:38" x14ac:dyDescent="0.3">
      <c r="B13" s="90" t="s">
        <v>185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IF(Table62202732333738[[#This Row],[Non-Member]]="X"," ",IF(F13=" "," ",IFERROR(VLOOKUP(E13,Points!$A$2:$B$14,2,FALSE)," ")))</f>
        <v xml:space="preserve"> </v>
      </c>
      <c r="H13" s="92">
        <v>16.885000000000002</v>
      </c>
      <c r="I13" s="97">
        <f t="shared" si="2"/>
        <v>5</v>
      </c>
      <c r="J13" s="97">
        <f t="shared" si="3"/>
        <v>5</v>
      </c>
      <c r="K13" s="94">
        <f>IF(Table62202732333738[[#This Row],[Non-Member]]="X"," ",IF(J13=" "," ",IFERROR(VLOOKUP(I13,Points!$A$2:$B$14,2,FALSE)," ")))</f>
        <v>6</v>
      </c>
      <c r="L13" s="92">
        <v>18.09</v>
      </c>
      <c r="M13" s="97">
        <f t="shared" si="4"/>
        <v>6</v>
      </c>
      <c r="N13" s="97">
        <f t="shared" si="5"/>
        <v>6</v>
      </c>
      <c r="O13" s="94">
        <f>IF(Table62202732333738[[#This Row],[Non-Member]]="X"," ",IF(N13=" "," ",IFERROR(VLOOKUP(M13,Points!$A$2:$B$14,2,FALSE)," ")))</f>
        <v>3</v>
      </c>
      <c r="P13" s="92">
        <v>15.98</v>
      </c>
      <c r="Q13" s="97">
        <f t="shared" si="6"/>
        <v>7</v>
      </c>
      <c r="R13" s="97" t="str">
        <f t="shared" si="7"/>
        <v xml:space="preserve"> </v>
      </c>
      <c r="S13" s="94" t="str">
        <f>IF(Table62202732333738[[#This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8" t="str">
        <f t="shared" si="15"/>
        <v xml:space="preserve"> </v>
      </c>
      <c r="AH13" s="97" t="str">
        <f t="shared" si="16"/>
        <v xml:space="preserve"> </v>
      </c>
      <c r="AI13" s="94" t="str">
        <f>IF(Table62202732333738[[#This Row],[Non-Member]]="X"," ",IF(AH13=" "," ",IFERROR(VLOOKUP(AG13,Points!$A$2:$B$14,2,FALSE)," ")))</f>
        <v xml:space="preserve"> </v>
      </c>
      <c r="AJ13" s="97">
        <f>IF(Table62202732333738[[#This Row],[Non-Member]]="X"," ",((IF(G13=" ",0,G13))+(IF(K13=" ",0,K13))+(IF(O13=" ",0,O13))+(IF(S13=" ",0,S13))+(IF(W13=" ",0,W13))+(IF(AA13=" ",0,AA13))+(IF(AE13=" ",0,AE13))+(IF(AI13=" ",0,AI13))))</f>
        <v>9</v>
      </c>
      <c r="AK13" s="151">
        <f t="shared" si="17"/>
        <v>9</v>
      </c>
      <c r="AL13" s="98">
        <f t="shared" si="18"/>
        <v>7</v>
      </c>
    </row>
    <row r="14" spans="2:38" x14ac:dyDescent="0.3">
      <c r="B14" s="90" t="s">
        <v>192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IF(Table62202732333738[[#This Row],[Non-Member]]="X"," ",IF(N14=" "," ",IFERROR(VLOOKUP(M14,Points!$A$2:$B$14,2,FALSE)," ")))</f>
        <v xml:space="preserve"> </v>
      </c>
      <c r="P14" s="92">
        <v>15.04</v>
      </c>
      <c r="Q14" s="93">
        <f t="shared" si="6"/>
        <v>5</v>
      </c>
      <c r="R14" s="93">
        <f t="shared" si="7"/>
        <v>5</v>
      </c>
      <c r="S14" s="94">
        <f>IF(Table62202732333738[[#This Row],[Non-Member]]="X"," ",IF(R14=" "," ",IFERROR(VLOOKUP(Q14,Points!$A$2:$B$14,2,FALSE)," ")))</f>
        <v>6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IF(Table62202732333738[[#This Row],[Non-Member]]="X"," ",IF(AH14=" "," ",IFERROR(VLOOKUP(AG14,Points!$A$2:$B$14,2,FALSE)," ")))</f>
        <v xml:space="preserve"> </v>
      </c>
      <c r="AJ14" s="93">
        <f>IF(Table62202732333738[[#This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10</v>
      </c>
    </row>
    <row r="15" spans="2:38" x14ac:dyDescent="0.3">
      <c r="B15" s="90" t="s">
        <v>317</v>
      </c>
      <c r="C15" s="91" t="s">
        <v>325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IF(Table62202732333738[[#This Row],[Non-Member]]="X"," ",IF(N15=" "," ",IFERROR(VLOOKUP(M15,Points!$A$2:$B$14,2,FALSE)," ")))</f>
        <v xml:space="preserve"> </v>
      </c>
      <c r="P15" s="92">
        <v>24.27</v>
      </c>
      <c r="Q15" s="93">
        <f t="shared" si="6"/>
        <v>15</v>
      </c>
      <c r="R15" s="93" t="str">
        <f t="shared" si="7"/>
        <v xml:space="preserve"> </v>
      </c>
      <c r="S15" s="94" t="str">
        <f>IF(Table62202732333738[[#This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IF(Table62202732333738[[#This Row],[Non-Member]]="X"," ",IF(AH15=" "," ",IFERROR(VLOOKUP(AG15,Points!$A$2:$B$14,2,FALSE)," ")))</f>
        <v xml:space="preserve"> </v>
      </c>
      <c r="AJ15" s="93" t="str">
        <f>IF(Table62202732333738[[#This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271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IF(Table62202732333738[[#This Row],[Non-Member]]="X"," ",IF(F16=" "," ",IFERROR(VLOOKUP(E16,Points!$A$2:$B$14,2,FALSE)," ")))</f>
        <v xml:space="preserve"> </v>
      </c>
      <c r="H16" s="92">
        <v>0</v>
      </c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IF(Table62202732333738[[#This Row],[Non-Member]]="X"," ",IF(J16=" "," ",IFERROR(VLOOKUP(I16,Points!$A$2:$B$14,2,FALSE)," ")))</f>
        <v xml:space="preserve"> </v>
      </c>
      <c r="L16" s="92">
        <v>20.81</v>
      </c>
      <c r="M16" s="97">
        <f t="shared" si="4"/>
        <v>9</v>
      </c>
      <c r="N16" s="97" t="str">
        <f t="shared" si="5"/>
        <v xml:space="preserve"> </v>
      </c>
      <c r="O16" s="94" t="str">
        <f>IF(Table62202732333738[[#This Row],[Non-Member]]="X"," ",IF(N16=" "," ",IFERROR(VLOOKUP(M16,Points!$A$2:$B$14,2,FALSE)," ")))</f>
        <v xml:space="preserve"> </v>
      </c>
      <c r="P16" s="92">
        <v>17.510000000000002</v>
      </c>
      <c r="Q16" s="97">
        <f t="shared" si="6"/>
        <v>8</v>
      </c>
      <c r="R16" s="97" t="str">
        <f t="shared" si="7"/>
        <v xml:space="preserve"> </v>
      </c>
      <c r="S16" s="94" t="str">
        <f>IF(Table62202732333738[[#This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IF(Table62202732333738[[#This Row],[Non-Member]]="X"," ",IF(AH16=" "," ",IFERROR(VLOOKUP(AG16,Points!$A$2:$B$14,2,FALSE)," ")))</f>
        <v xml:space="preserve"> </v>
      </c>
      <c r="AJ16" s="97">
        <f>IF(Table62202732333738[[#This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268</v>
      </c>
      <c r="C17" s="91"/>
      <c r="D17" s="135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IF(Table62202732333738[[#This Row],[Non-Member]]="X"," ",IF(F17=" "," ",IFERROR(VLOOKUP(E17,Points!$A$2:$B$14,2,FALSE)," ")))</f>
        <v xml:space="preserve"> </v>
      </c>
      <c r="H17" s="92">
        <v>21.515000000000001</v>
      </c>
      <c r="I17" s="93">
        <f t="shared" si="2"/>
        <v>10</v>
      </c>
      <c r="J17" s="93" t="str">
        <f t="shared" si="3"/>
        <v xml:space="preserve"> </v>
      </c>
      <c r="K17" s="94" t="str">
        <f>IF(Table62202732333738[[#This Row],[Non-Member]]="X"," ",IF(J17=" "," ",IFERROR(VLOOKUP(I17,Points!$A$2:$B$14,2,FALSE)," ")))</f>
        <v xml:space="preserve"> </v>
      </c>
      <c r="L17" s="92">
        <v>21.77</v>
      </c>
      <c r="M17" s="93">
        <f t="shared" si="4"/>
        <v>10</v>
      </c>
      <c r="N17" s="93" t="str">
        <f t="shared" si="5"/>
        <v xml:space="preserve"> </v>
      </c>
      <c r="O17" s="94" t="str">
        <f>IF(Table62202732333738[[#This Row],[Non-Member]]="X"," ",IF(N17=" "," ",IFERROR(VLOOKUP(M17,Points!$A$2:$B$14,2,FALSE)," ")))</f>
        <v xml:space="preserve"> </v>
      </c>
      <c r="P17" s="92">
        <v>22.09</v>
      </c>
      <c r="Q17" s="93">
        <f t="shared" si="6"/>
        <v>13</v>
      </c>
      <c r="R17" s="93" t="str">
        <f t="shared" si="7"/>
        <v xml:space="preserve"> </v>
      </c>
      <c r="S17" s="94" t="str">
        <f>IF(Table62202732333738[[#This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IF(Table62202732333738[[#This Row],[Non-Member]]="X"," ",IF(AH17=" "," ",IFERROR(VLOOKUP(AG17,Points!$A$2:$B$14,2,FALSE)," ")))</f>
        <v xml:space="preserve"> </v>
      </c>
      <c r="AJ17" s="93">
        <f>IF(Table62202732333738[[#This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267</v>
      </c>
      <c r="C18" s="91" t="s">
        <v>325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IF(Table62202732333738[[#This Row],[Non-Member]]="X"," ",IF(F18=" "," ",IFERROR(VLOOKUP(E18,Points!$A$2:$B$14,2,FALSE)," ")))</f>
        <v xml:space="preserve"> </v>
      </c>
      <c r="H18" s="92">
        <v>17.277000000000001</v>
      </c>
      <c r="I18" s="93">
        <f t="shared" si="2"/>
        <v>7</v>
      </c>
      <c r="J18" s="93" t="str">
        <f t="shared" si="3"/>
        <v xml:space="preserve"> </v>
      </c>
      <c r="K18" s="94" t="str">
        <f>IF(Table62202732333738[[#This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IF(Table62202732333738[[#This Row],[Non-Member]]="X"," ",IF(AH18=" "," ",IFERROR(VLOOKUP(AG18,Points!$A$2:$B$14,2,FALSE)," ")))</f>
        <v xml:space="preserve"> </v>
      </c>
      <c r="AJ18" s="93" t="str">
        <f>IF(Table62202732333738[[#This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269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IF(Table62202732333738[[#This Row],[Non-Member]]="X"," ",IF(F19=" "," ",IFERROR(VLOOKUP(E19,Points!$A$2:$B$14,2,FALSE)," ")))</f>
        <v xml:space="preserve"> </v>
      </c>
      <c r="H19" s="92">
        <v>25.071999999999999</v>
      </c>
      <c r="I19" s="97">
        <f t="shared" si="2"/>
        <v>11</v>
      </c>
      <c r="J19" s="97" t="str">
        <f t="shared" si="3"/>
        <v xml:space="preserve"> </v>
      </c>
      <c r="K19" s="94" t="str">
        <f>IF(Table62202732333738[[#This Row],[Non-Member]]="X"," ",IF(J19=" "," ",IFERROR(VLOOKUP(I19,Points!$A$2:$B$14,2,FALSE)," ")))</f>
        <v xml:space="preserve"> </v>
      </c>
      <c r="L19" s="92">
        <v>22.16</v>
      </c>
      <c r="M19" s="97">
        <f t="shared" si="4"/>
        <v>11</v>
      </c>
      <c r="N19" s="97" t="str">
        <f t="shared" si="5"/>
        <v xml:space="preserve"> </v>
      </c>
      <c r="O19" s="94" t="str">
        <f>IF(Table62202732333738[[#This Row],[Non-Member]]="X"," ",IF(N19=" "," ",IFERROR(VLOOKUP(M19,Points!$A$2:$B$14,2,FALSE)," ")))</f>
        <v xml:space="preserve"> </v>
      </c>
      <c r="P19" s="92">
        <v>0</v>
      </c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IF(Table62202732333738[[#This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IF(Table62202732333738[[#This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IF(Table62202732333738[[#This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IF(Table62202732333738[[#This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IF(Table62202732333738[[#This Row],[Non-Member]]="X"," ",IF(AH19=" "," ",IFERROR(VLOOKUP(AG19,Points!$A$2:$B$14,2,FALSE)," ")))</f>
        <v xml:space="preserve"> </v>
      </c>
      <c r="AJ19" s="97">
        <f>IF(Table62202732333738[[#This Row],[Non-Member]]="X"," ",((IF(G19=" ",0,G19))+(IF(K19=" ",0,K19))+(IF(O19=" ",0,O19))+(IF(S19=" ",0,S19))+(IF(W19=" ",0,W19))+(IF(AA19=" ",0,AA19))+(IF(AE19=" ",0,AE19))+(IF(AI19=" ",0,AI19))))</f>
        <v>0</v>
      </c>
      <c r="AK19" s="151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184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IF(Table62202732333738[[#This Row],[Non-Member]]="X"," ",IF(F20=" "," ",IFERROR(VLOOKUP(E20,Points!$A$2:$B$14,2,FALSE)," ")))</f>
        <v xml:space="preserve"> </v>
      </c>
      <c r="H20" s="92">
        <v>32.072000000000003</v>
      </c>
      <c r="I20" s="93">
        <f t="shared" si="2"/>
        <v>12</v>
      </c>
      <c r="J20" s="93" t="str">
        <f t="shared" si="3"/>
        <v xml:space="preserve"> </v>
      </c>
      <c r="K20" s="94" t="str">
        <f>IF(Table62202732333738[[#This Row],[Non-Member]]="X"," ",IF(J20=" "," ",IFERROR(VLOOKUP(I20,Points!$A$2:$B$14,2,FALSE)," ")))</f>
        <v xml:space="preserve"> </v>
      </c>
      <c r="L20" s="92">
        <v>27.31</v>
      </c>
      <c r="M20" s="93">
        <f t="shared" si="4"/>
        <v>13</v>
      </c>
      <c r="N20" s="93" t="str">
        <f t="shared" si="5"/>
        <v xml:space="preserve"> </v>
      </c>
      <c r="O20" s="94" t="str">
        <f>IF(Table62202732333738[[#This Row],[Non-Member]]="X"," ",IF(N20=" "," ",IFERROR(VLOOKUP(M20,Points!$A$2:$B$14,2,FALSE)," ")))</f>
        <v xml:space="preserve"> </v>
      </c>
      <c r="P20" s="92">
        <v>23.64</v>
      </c>
      <c r="Q20" s="93">
        <f t="shared" si="6"/>
        <v>14</v>
      </c>
      <c r="R20" s="93" t="str">
        <f t="shared" si="7"/>
        <v xml:space="preserve"> </v>
      </c>
      <c r="S20" s="94" t="str">
        <f>IF(Table62202732333738[[#This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IF(Table62202732333738[[#This Row],[Non-Member]]="X"," ",IF(AH20=" "," ",IFERROR(VLOOKUP(AG20,Points!$A$2:$B$14,2,FALSE)," ")))</f>
        <v xml:space="preserve"> </v>
      </c>
      <c r="AJ20" s="93">
        <f>IF(Table62202732333738[[#This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183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IF(Table62202732333738[[#This Row],[Non-Member]]="X"," ",IF(J21=" "," ",IFERROR(VLOOKUP(I21,Points!$A$2:$B$14,2,FALSE)," ")))</f>
        <v xml:space="preserve"> </v>
      </c>
      <c r="L21" s="92">
        <v>19.420000000000002</v>
      </c>
      <c r="M21" s="93">
        <f t="shared" si="4"/>
        <v>8</v>
      </c>
      <c r="N21" s="93" t="str">
        <f t="shared" si="5"/>
        <v xml:space="preserve"> </v>
      </c>
      <c r="O21" s="94" t="str">
        <f>IF(Table62202732333738[[#This Row],[Non-Member]]="X"," ",IF(N21=" "," ",IFERROR(VLOOKUP(M21,Points!$A$2:$B$14,2,FALSE)," ")))</f>
        <v xml:space="preserve"> </v>
      </c>
      <c r="P21" s="92">
        <v>20.05</v>
      </c>
      <c r="Q21" s="93">
        <f t="shared" si="6"/>
        <v>12</v>
      </c>
      <c r="R21" s="93" t="str">
        <f t="shared" si="7"/>
        <v xml:space="preserve"> </v>
      </c>
      <c r="S21" s="94" t="str">
        <f>IF(Table62202732333738[[#This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IF(Table62202732333738[[#This Row],[Non-Member]]="X"," ",IF(AH21=" "," ",IFERROR(VLOOKUP(AG21,Points!$A$2:$B$14,2,FALSE)," ")))</f>
        <v xml:space="preserve"> </v>
      </c>
      <c r="AJ21" s="93">
        <f>IF(Table62202732333738[[#This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180</v>
      </c>
      <c r="C22" s="91"/>
      <c r="D22" s="135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IF(Table62202732333738[[#This Row],[Non-Member]]="X"," ",IF(F22=" "," ",IFERROR(VLOOKUP(E22,Points!$A$2:$B$14,2,FALSE)," ")))</f>
        <v xml:space="preserve"> </v>
      </c>
      <c r="H22" s="92">
        <v>17.474</v>
      </c>
      <c r="I22" s="97">
        <f t="shared" si="2"/>
        <v>8</v>
      </c>
      <c r="J22" s="97" t="str">
        <f t="shared" si="3"/>
        <v xml:space="preserve"> </v>
      </c>
      <c r="K22" s="94" t="str">
        <f>IF(Table62202732333738[[#This Row],[Non-Member]]="X"," ",IF(J22=" "," ",IFERROR(VLOOKUP(I22,Points!$A$2:$B$14,2,FALSE)," ")))</f>
        <v xml:space="preserve"> </v>
      </c>
      <c r="L22" s="92">
        <v>18.52</v>
      </c>
      <c r="M22" s="97">
        <f t="shared" si="4"/>
        <v>7</v>
      </c>
      <c r="N22" s="97" t="str">
        <f t="shared" si="5"/>
        <v xml:space="preserve"> </v>
      </c>
      <c r="O22" s="94" t="str">
        <f>IF(Table62202732333738[[#This Row],[Non-Member]]="X"," ",IF(N22=" "," ",IFERROR(VLOOKUP(M22,Points!$A$2:$B$14,2,FALSE)," ")))</f>
        <v xml:space="preserve"> </v>
      </c>
      <c r="P22" s="92">
        <v>19.97</v>
      </c>
      <c r="Q22" s="97">
        <f t="shared" si="6"/>
        <v>11</v>
      </c>
      <c r="R22" s="97" t="str">
        <f t="shared" si="7"/>
        <v xml:space="preserve"> </v>
      </c>
      <c r="S22" s="94" t="str">
        <f>IF(Table62202732333738[[#This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IF(Table62202732333738[[#This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IF(Table62202732333738[[#This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7" t="str">
        <f t="shared" si="15"/>
        <v xml:space="preserve"> </v>
      </c>
      <c r="AH22" s="97" t="str">
        <f t="shared" si="16"/>
        <v xml:space="preserve"> </v>
      </c>
      <c r="AI22" s="94" t="str">
        <f>IF(Table62202732333738[[#This Row],[Non-Member]]="X"," ",IF(AH22=" "," ",IFERROR(VLOOKUP(AG22,Points!$A$2:$B$14,2,FALSE)," ")))</f>
        <v xml:space="preserve"> </v>
      </c>
      <c r="AJ22" s="97">
        <f>IF(Table62202732333738[[#This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IF(Table62202732333738[[#This Row],[Non-Member]]="X"," ",IF(AH23=" "," ",IFERROR(VLOOKUP(AG23,Points!$A$2:$B$14,2,FALSE)," ")))</f>
        <v xml:space="preserve"> </v>
      </c>
      <c r="AJ23" s="93">
        <f>IF(Table62202732333738[[#This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 t="s">
        <v>214</v>
      </c>
      <c r="D24" s="102"/>
      <c r="E24" s="153" t="str">
        <f t="shared" si="0"/>
        <v xml:space="preserve"> </v>
      </c>
      <c r="F24" s="153" t="str">
        <f t="shared" si="1"/>
        <v xml:space="preserve"> </v>
      </c>
      <c r="G24" s="104" t="str">
        <f>IF(Table62202732333738[[#This Row],[Non-Member]]="X"," ",IF(F24=" "," ",IFERROR(VLOOKUP(E24,Points!$A$2:$B$14,2,FALSE)," ")))</f>
        <v xml:space="preserve"> </v>
      </c>
      <c r="H24" s="102"/>
      <c r="I24" s="153" t="str">
        <f t="shared" si="2"/>
        <v xml:space="preserve"> </v>
      </c>
      <c r="J24" s="153" t="str">
        <f t="shared" si="3"/>
        <v xml:space="preserve"> </v>
      </c>
      <c r="K24" s="104" t="str">
        <f>IF(Table62202732333738[[#This Row],[Non-Member]]="X"," ",IF(J24=" "," ",IFERROR(VLOOKUP(I24,Points!$A$2:$B$14,2,FALSE)," ")))</f>
        <v xml:space="preserve"> </v>
      </c>
      <c r="L24" s="102"/>
      <c r="M24" s="153" t="str">
        <f t="shared" si="4"/>
        <v xml:space="preserve"> </v>
      </c>
      <c r="N24" s="153" t="str">
        <f t="shared" si="5"/>
        <v xml:space="preserve"> </v>
      </c>
      <c r="O24" s="104" t="str">
        <f>IF(Table62202732333738[[#This Row],[Non-Member]]="X"," ",IF(N24=" "," ",IFERROR(VLOOKUP(M24,Points!$A$2:$B$14,2,FALSE)," ")))</f>
        <v xml:space="preserve"> </v>
      </c>
      <c r="P24" s="102"/>
      <c r="Q24" s="153" t="str">
        <f t="shared" si="6"/>
        <v xml:space="preserve"> </v>
      </c>
      <c r="R24" s="153" t="str">
        <f t="shared" si="7"/>
        <v xml:space="preserve"> </v>
      </c>
      <c r="S24" s="104" t="str">
        <f>IF(Table62202732333738[[#This Row],[Non-Member]]="X"," ",IF(R24=" "," ",IFERROR(VLOOKUP(Q24,Points!$A$2:$B$14,2,FALSE)," ")))</f>
        <v xml:space="preserve"> </v>
      </c>
      <c r="T24" s="102"/>
      <c r="U24" s="153" t="str">
        <f t="shared" si="8"/>
        <v xml:space="preserve"> </v>
      </c>
      <c r="V24" s="153" t="str">
        <f t="shared" si="9"/>
        <v xml:space="preserve"> </v>
      </c>
      <c r="W24" s="104" t="str">
        <f>IF(Table62202732333738[[#This Row],[Non-Member]]="X"," ",IF(V24=" "," ",IFERROR(VLOOKUP(U24,Points!$A$2:$B$14,2,FALSE)," ")))</f>
        <v xml:space="preserve"> </v>
      </c>
      <c r="X24" s="102"/>
      <c r="Y24" s="153" t="str">
        <f t="shared" si="10"/>
        <v xml:space="preserve"> </v>
      </c>
      <c r="Z24" s="153" t="str">
        <f t="shared" si="11"/>
        <v xml:space="preserve"> </v>
      </c>
      <c r="AA24" s="104" t="str">
        <f>IF(Table62202732333738[[#This Row],[Non-Member]]="X"," ",IF(Z24=" "," ",IFERROR(VLOOKUP(Y24,Points!$A$2:$B$14,2,FALSE)," ")))</f>
        <v xml:space="preserve"> </v>
      </c>
      <c r="AB24" s="102"/>
      <c r="AC24" s="153" t="str">
        <f t="shared" si="12"/>
        <v xml:space="preserve"> </v>
      </c>
      <c r="AD24" s="153" t="str">
        <f t="shared" si="13"/>
        <v xml:space="preserve"> </v>
      </c>
      <c r="AE24" s="104" t="str">
        <f>IF(Table62202732333738[[#This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54" t="str">
        <f t="shared" si="15"/>
        <v xml:space="preserve"> </v>
      </c>
      <c r="AH24" s="153" t="str">
        <f t="shared" si="16"/>
        <v xml:space="preserve"> </v>
      </c>
      <c r="AI24" s="104" t="str">
        <f>IF(Table62202732333738[[#This Row],[Non-Member]]="X"," ",IF(AH24=" "," ",IFERROR(VLOOKUP(AG24,Points!$A$2:$B$14,2,FALSE)," ")))</f>
        <v xml:space="preserve"> </v>
      </c>
      <c r="AJ24" s="97">
        <f>IF(Table62202732333738[[#This Row],[Non-Member]]="X"," ",((IF(G24=" ",0,G24))+(IF(K24=" ",0,K24))+(IF(O24=" ",0,O24))+(IF(S24=" ",0,S24))+(IF(W24=" ",0,W24))+(IF(AA24=" ",0,AA24))+(IF(AE24=" ",0,AE24))+(IF(AI24=" ",0,AI24))))</f>
        <v>0</v>
      </c>
      <c r="AK24" s="15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UBamIEjcVcguie6HrWJSntFPy1OSBBSbpB7aM2c5hUOipmDJ2EgOqVKzO5/SyatVgaBHPP/ExoQxB3l2MAAOSA==" saltValue="3wAn9Qss1HlE5I7dpJv4K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5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60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85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IF(Table6220273233373839[[#This Row],[Non-Member]]="X"," ",IF(F5=" "," ",IFERROR(VLOOKUP(E5,Points!$A$2:$B$14,2,FALSE)," ")))</f>
        <v xml:space="preserve"> </v>
      </c>
      <c r="H5" s="85">
        <v>8.81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IF(Table6220273233373839[[#This Row],[Non-Member]]="X"," ",IF(J5=" "," ",IFERROR(VLOOKUP(I5,Points!$A$2:$B$14,2,FALSE)," ")))</f>
        <v>18</v>
      </c>
      <c r="L5" s="85">
        <v>9.17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IF(Table6220273233373839[[#This Row],[Non-Member]]="X"," ",IF(N5=" "," ",IFERROR(VLOOKUP(M5,Points!$A$2:$B$14,2,FALSE)," ")))</f>
        <v>18</v>
      </c>
      <c r="P5" s="85">
        <v>9.36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IF(Table6220273233373839[[#This Row],[Non-Member]]="X"," ",IF(AH5=" "," ",IFERROR(VLOOKUP(AG5,Points!$A$2:$B$14,2,FALSE)," ")))</f>
        <v xml:space="preserve"> </v>
      </c>
      <c r="AJ5" s="86">
        <f>IF(Table6220273233373839[[#This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7">IF(AJ5=0," ",AJ5)</f>
        <v>54</v>
      </c>
      <c r="AL5" s="89">
        <f t="shared" ref="AL5:AL24" si="18">IF(AK5=" "," ",RANK(AK5,$AK$5:$AK$24))</f>
        <v>1</v>
      </c>
    </row>
    <row r="6" spans="2:38" x14ac:dyDescent="0.3">
      <c r="B6" s="90" t="s">
        <v>192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IF(Table6220273233373839[[#This Row],[Non-Member]]="X"," ",IF(F6=" "," ",IFERROR(VLOOKUP(E6,Points!$A$2:$B$14,2,FALSE)," ")))</f>
        <v xml:space="preserve"> </v>
      </c>
      <c r="H6" s="92">
        <v>12.28</v>
      </c>
      <c r="I6" s="93">
        <f t="shared" si="2"/>
        <v>6</v>
      </c>
      <c r="J6" s="93">
        <f t="shared" si="3"/>
        <v>6</v>
      </c>
      <c r="K6" s="94">
        <f>IF(Table6220273233373839[[#This Row],[Non-Member]]="X"," ",IF(J6=" "," ",IFERROR(VLOOKUP(I6,Points!$A$2:$B$14,2,FALSE)," ")))</f>
        <v>3</v>
      </c>
      <c r="L6" s="92">
        <v>9.1999999999999993</v>
      </c>
      <c r="M6" s="93">
        <f t="shared" si="4"/>
        <v>2</v>
      </c>
      <c r="N6" s="93">
        <f t="shared" si="5"/>
        <v>2</v>
      </c>
      <c r="O6" s="94">
        <f>IF(Table6220273233373839[[#This Row],[Non-Member]]="X"," ",IF(N6=" "," ",IFERROR(VLOOKUP(M6,Points!$A$2:$B$14,2,FALSE)," ")))</f>
        <v>15</v>
      </c>
      <c r="P6" s="92">
        <v>9.74</v>
      </c>
      <c r="Q6" s="93">
        <f t="shared" si="6"/>
        <v>2</v>
      </c>
      <c r="R6" s="93">
        <f t="shared" si="7"/>
        <v>2</v>
      </c>
      <c r="S6" s="94">
        <f>IF(Table6220273233373839[[#This Row],[Non-Member]]="X"," ",IF(R6=" "," ",IFERROR(VLOOKUP(Q6,Points!$A$2:$B$14,2,FALSE)," ")))</f>
        <v>15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IF(Table6220273233373839[[#This Row],[Non-Member]]="X"," ",IF(AH6=" "," ",IFERROR(VLOOKUP(AG6,Points!$A$2:$B$14,2,FALSE)," ")))</f>
        <v xml:space="preserve"> </v>
      </c>
      <c r="AJ6" s="93">
        <f>IF(Table6220273233373839[[#This Row],[Non-Member]]="X"," ",((IF(G6=" ",0,G6))+(IF(K6=" ",0,K6))+(IF(O6=" ",0,O6))+(IF(S6=" ",0,S6))+(IF(W6=" ",0,W6))+(IF(AA6=" ",0,AA6))+(IF(AE6=" ",0,AE6))+(IF(AI6=" ",0,AI6))))</f>
        <v>33</v>
      </c>
      <c r="AK6" s="95">
        <f t="shared" si="17"/>
        <v>33</v>
      </c>
      <c r="AL6" s="96">
        <f t="shared" si="18"/>
        <v>2</v>
      </c>
    </row>
    <row r="7" spans="2:38" x14ac:dyDescent="0.3">
      <c r="B7" s="90" t="s">
        <v>179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IF(Table6220273233373839[[#This Row],[Non-Member]]="X"," ",IF(F7=" "," ",IFERROR(VLOOKUP(E7,Points!$A$2:$B$14,2,FALSE)," ")))</f>
        <v xml:space="preserve"> </v>
      </c>
      <c r="H7" s="92">
        <v>9.56</v>
      </c>
      <c r="I7" s="93">
        <f t="shared" si="2"/>
        <v>2</v>
      </c>
      <c r="J7" s="93">
        <f t="shared" si="3"/>
        <v>2</v>
      </c>
      <c r="K7" s="94">
        <f>IF(Table6220273233373839[[#This Row],[Non-Member]]="X"," ",IF(J7=" "," ",IFERROR(VLOOKUP(I7,Points!$A$2:$B$14,2,FALSE)," ")))</f>
        <v>15</v>
      </c>
      <c r="L7" s="92">
        <v>10.49</v>
      </c>
      <c r="M7" s="93">
        <f t="shared" si="4"/>
        <v>5</v>
      </c>
      <c r="N7" s="93">
        <f t="shared" si="5"/>
        <v>5</v>
      </c>
      <c r="O7" s="94">
        <f>IF(Table6220273233373839[[#This Row],[Non-Member]]="X"," ",IF(N7=" "," ",IFERROR(VLOOKUP(M7,Points!$A$2:$B$14,2,FALSE)," ")))</f>
        <v>6</v>
      </c>
      <c r="P7" s="92">
        <v>9.83</v>
      </c>
      <c r="Q7" s="93">
        <f t="shared" si="6"/>
        <v>4</v>
      </c>
      <c r="R7" s="93">
        <f t="shared" si="7"/>
        <v>4</v>
      </c>
      <c r="S7" s="94">
        <f>IF(Table6220273233373839[[#This Row],[Non-Member]]="X"," ",IF(R7=" "," ",IFERROR(VLOOKUP(Q7,Points!$A$2:$B$14,2,FALSE)," ")))</f>
        <v>9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IF(Table6220273233373839[[#This Row],[Non-Member]]="X"," ",IF(AH7=" "," ",IFERROR(VLOOKUP(AG7,Points!$A$2:$B$14,2,FALSE)," ")))</f>
        <v xml:space="preserve"> </v>
      </c>
      <c r="AJ7" s="93">
        <f>IF(Table6220273233373839[[#This Row],[Non-Member]]="X"," ",((IF(G7=" ",0,G7))+(IF(K7=" ",0,K7))+(IF(O7=" ",0,O7))+(IF(S7=" ",0,S7))+(IF(W7=" ",0,W7))+(IF(AA7=" ",0,AA7))+(IF(AE7=" ",0,AE7))+(IF(AI7=" ",0,AI7))))</f>
        <v>30</v>
      </c>
      <c r="AK7" s="95">
        <f t="shared" si="17"/>
        <v>30</v>
      </c>
      <c r="AL7" s="96">
        <f t="shared" si="18"/>
        <v>3</v>
      </c>
    </row>
    <row r="8" spans="2:38" x14ac:dyDescent="0.3">
      <c r="B8" s="90" t="s">
        <v>91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IF(Table6220273233373839[[#This Row],[Non-Member]]="X"," ",IF(F8=" "," ",IFERROR(VLOOKUP(E8,Points!$A$2:$B$14,2,FALSE)," ")))</f>
        <v xml:space="preserve"> </v>
      </c>
      <c r="H8" s="92">
        <v>17</v>
      </c>
      <c r="I8" s="97">
        <f t="shared" si="2"/>
        <v>13</v>
      </c>
      <c r="J8" s="97" t="str">
        <f t="shared" si="3"/>
        <v xml:space="preserve"> </v>
      </c>
      <c r="K8" s="94" t="str">
        <f>IF(Table6220273233373839[[#This Row],[Non-Member]]="X"," ",IF(J8=" "," ",IFERROR(VLOOKUP(I8,Points!$A$2:$B$14,2,FALSE)," ")))</f>
        <v xml:space="preserve"> </v>
      </c>
      <c r="L8" s="92">
        <v>9.7899999999999991</v>
      </c>
      <c r="M8" s="97">
        <f t="shared" si="4"/>
        <v>4</v>
      </c>
      <c r="N8" s="97">
        <f t="shared" si="5"/>
        <v>4</v>
      </c>
      <c r="O8" s="94">
        <f>IF(Table6220273233373839[[#This Row],[Non-Member]]="X"," ",IF(N8=" "," ",IFERROR(VLOOKUP(M8,Points!$A$2:$B$14,2,FALSE)," ")))</f>
        <v>9</v>
      </c>
      <c r="P8" s="92">
        <v>9.81</v>
      </c>
      <c r="Q8" s="97">
        <f t="shared" si="6"/>
        <v>3</v>
      </c>
      <c r="R8" s="97">
        <f t="shared" si="7"/>
        <v>3</v>
      </c>
      <c r="S8" s="94">
        <f>IF(Table6220273233373839[[#This Row],[Non-Member]]="X"," ",IF(R8=" "," ",IFERROR(VLOOKUP(Q8,Points!$A$2:$B$14,2,FALSE)," ")))</f>
        <v>12</v>
      </c>
      <c r="T8" s="92"/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IF(Table6220273233373839[[#This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7" t="str">
        <f t="shared" si="15"/>
        <v xml:space="preserve"> </v>
      </c>
      <c r="AH8" s="97" t="str">
        <f t="shared" si="16"/>
        <v xml:space="preserve"> </v>
      </c>
      <c r="AI8" s="94" t="str">
        <f>IF(Table6220273233373839[[#This Row],[Non-Member]]="X"," ",IF(AH8=" "," ",IFERROR(VLOOKUP(AG8,Points!$A$2:$B$14,2,FALSE)," ")))</f>
        <v xml:space="preserve"> </v>
      </c>
      <c r="AJ8" s="97">
        <f>IF(Table6220273233373839[[#This Row],[Non-Member]]="X"," ",((IF(G8=" ",0,G8))+(IF(K8=" ",0,K8))+(IF(O8=" ",0,O8))+(IF(S8=" ",0,S8))+(IF(W8=" ",0,W8))+(IF(AA8=" ",0,AA8))+(IF(AE8=" ",0,AE8))+(IF(AI8=" ",0,AI8))))</f>
        <v>21</v>
      </c>
      <c r="AK8" s="95">
        <f t="shared" si="17"/>
        <v>21</v>
      </c>
      <c r="AL8" s="98">
        <f t="shared" si="18"/>
        <v>4</v>
      </c>
    </row>
    <row r="9" spans="2:38" x14ac:dyDescent="0.3">
      <c r="B9" s="90" t="s">
        <v>193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IF(Table6220273233373839[[#This Row],[Non-Member]]="X"," ",IF(F9=" "," ",IFERROR(VLOOKUP(E9,Points!$A$2:$B$14,2,FALSE)," ")))</f>
        <v xml:space="preserve"> </v>
      </c>
      <c r="H9" s="92">
        <v>14.35</v>
      </c>
      <c r="I9" s="97">
        <f t="shared" si="2"/>
        <v>10</v>
      </c>
      <c r="J9" s="97" t="str">
        <f t="shared" si="3"/>
        <v xml:space="preserve"> </v>
      </c>
      <c r="K9" s="94" t="str">
        <f>IF(Table6220273233373839[[#This Row],[Non-Member]]="X"," ",IF(J9=" "," ",IFERROR(VLOOKUP(I9,Points!$A$2:$B$14,2,FALSE)," ")))</f>
        <v xml:space="preserve"> </v>
      </c>
      <c r="L9" s="92">
        <v>9.4</v>
      </c>
      <c r="M9" s="97">
        <f t="shared" si="4"/>
        <v>3</v>
      </c>
      <c r="N9" s="97">
        <f t="shared" si="5"/>
        <v>3</v>
      </c>
      <c r="O9" s="94">
        <f>IF(Table6220273233373839[[#This Row],[Non-Member]]="X"," ",IF(N9=" "," ",IFERROR(VLOOKUP(M9,Points!$A$2:$B$14,2,FALSE)," ")))</f>
        <v>12</v>
      </c>
      <c r="P9" s="92">
        <v>10.14</v>
      </c>
      <c r="Q9" s="97">
        <f t="shared" si="6"/>
        <v>5</v>
      </c>
      <c r="R9" s="97">
        <f t="shared" si="7"/>
        <v>5</v>
      </c>
      <c r="S9" s="94">
        <f>IF(Table6220273233373839[[#This Row],[Non-Member]]="X"," ",IF(R9=" "," ",IFERROR(VLOOKUP(Q9,Points!$A$2:$B$14,2,FALSE)," ")))</f>
        <v>6</v>
      </c>
      <c r="T9" s="92"/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IF(Table6220273233373839[[#This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IF(Table6220273233373839[[#This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IF(Table6220273233373839[[#This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7" t="str">
        <f t="shared" si="15"/>
        <v xml:space="preserve"> </v>
      </c>
      <c r="AH9" s="97" t="str">
        <f t="shared" si="16"/>
        <v xml:space="preserve"> </v>
      </c>
      <c r="AI9" s="94" t="str">
        <f>IF(Table6220273233373839[[#This Row],[Non-Member]]="X"," ",IF(AH9=" "," ",IFERROR(VLOOKUP(AG9,Points!$A$2:$B$14,2,FALSE)," ")))</f>
        <v xml:space="preserve"> </v>
      </c>
      <c r="AJ9" s="97">
        <f>IF(Table6220273233373839[[#This Row],[Non-Member]]="X"," ",((IF(G9=" ",0,G9))+(IF(K9=" ",0,K9))+(IF(O9=" ",0,O9))+(IF(S9=" ",0,S9))+(IF(W9=" ",0,W9))+(IF(AA9=" ",0,AA9))+(IF(AE9=" ",0,AE9))+(IF(AI9=" ",0,AI9))))</f>
        <v>18</v>
      </c>
      <c r="AK9" s="95">
        <f t="shared" si="17"/>
        <v>18</v>
      </c>
      <c r="AL9" s="98">
        <f t="shared" si="18"/>
        <v>5</v>
      </c>
    </row>
    <row r="10" spans="2:38" x14ac:dyDescent="0.3">
      <c r="B10" s="90" t="s">
        <v>259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IF(Table6220273233373839[[#This Row],[Non-Member]]="X"," ",IF(F10=" "," ",IFERROR(VLOOKUP(E10,Points!$A$2:$B$14,2,FALSE)," ")))</f>
        <v xml:space="preserve"> </v>
      </c>
      <c r="H10" s="92">
        <v>12.09</v>
      </c>
      <c r="I10" s="97">
        <f t="shared" si="2"/>
        <v>4</v>
      </c>
      <c r="J10" s="97">
        <f t="shared" si="3"/>
        <v>4</v>
      </c>
      <c r="K10" s="94">
        <f>IF(Table6220273233373839[[#This Row],[Non-Member]]="X"," ",IF(J10=" "," ",IFERROR(VLOOKUP(I10,Points!$A$2:$B$14,2,FALSE)," ")))</f>
        <v>9</v>
      </c>
      <c r="L10" s="92">
        <v>12.11</v>
      </c>
      <c r="M10" s="97">
        <f t="shared" si="4"/>
        <v>8</v>
      </c>
      <c r="N10" s="97" t="str">
        <f t="shared" si="5"/>
        <v xml:space="preserve"> </v>
      </c>
      <c r="O10" s="94" t="str">
        <f>IF(Table6220273233373839[[#This Row],[Non-Member]]="X"," ",IF(N10=" "," ",IFERROR(VLOOKUP(M10,Points!$A$2:$B$14,2,FALSE)," ")))</f>
        <v xml:space="preserve"> </v>
      </c>
      <c r="P10" s="92">
        <v>11.19</v>
      </c>
      <c r="Q10" s="97">
        <f t="shared" si="6"/>
        <v>7</v>
      </c>
      <c r="R10" s="97" t="str">
        <f t="shared" si="7"/>
        <v xml:space="preserve"> </v>
      </c>
      <c r="S10" s="94" t="str">
        <f>IF(Table6220273233373839[[#This Row],[Non-Member]]="X"," ",IF(R10=" "," ",IFERROR(VLOOKUP(Q10,Points!$A$2:$B$14,2,FALSE)," ")))</f>
        <v xml:space="preserve"> </v>
      </c>
      <c r="T10" s="92"/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IF(Table6220273233373839[[#This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8" t="str">
        <f t="shared" si="15"/>
        <v xml:space="preserve"> </v>
      </c>
      <c r="AH10" s="97" t="str">
        <f t="shared" si="16"/>
        <v xml:space="preserve"> </v>
      </c>
      <c r="AI10" s="94" t="str">
        <f>IF(Table6220273233373839[[#This Row],[Non-Member]]="X"," ",IF(AH10=" "," ",IFERROR(VLOOKUP(AG10,Points!$A$2:$B$14,2,FALSE)," ")))</f>
        <v xml:space="preserve"> </v>
      </c>
      <c r="AJ10" s="97">
        <f>IF(Table6220273233373839[[#This Row],[Non-Member]]="X"," ",((IF(G10=" ",0,G10))+(IF(K10=" ",0,K10))+(IF(O10=" ",0,O10))+(IF(S10=" ",0,S10))+(IF(W10=" ",0,W10))+(IF(AA10=" ",0,AA10))+(IF(AE10=" ",0,AE10))+(IF(AI10=" ",0,AI10))))</f>
        <v>9</v>
      </c>
      <c r="AK10" s="151">
        <f t="shared" si="17"/>
        <v>9</v>
      </c>
      <c r="AL10" s="98">
        <f t="shared" si="18"/>
        <v>6</v>
      </c>
    </row>
    <row r="11" spans="2:38" x14ac:dyDescent="0.3">
      <c r="B11" s="90" t="s">
        <v>180</v>
      </c>
      <c r="C11" s="91"/>
      <c r="D11" s="92"/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IF(Table6220273233373839[[#This Row],[Non-Member]]="X"," ",IF(F11=" "," ",IFERROR(VLOOKUP(E11,Points!$A$2:$B$14,2,FALSE)," ")))</f>
        <v xml:space="preserve"> </v>
      </c>
      <c r="H11" s="92">
        <v>12.19</v>
      </c>
      <c r="I11" s="97">
        <f t="shared" si="2"/>
        <v>5</v>
      </c>
      <c r="J11" s="97">
        <f t="shared" si="3"/>
        <v>5</v>
      </c>
      <c r="K11" s="94">
        <f>IF(Table6220273233373839[[#This Row],[Non-Member]]="X"," ",IF(J11=" "," ",IFERROR(VLOOKUP(I11,Points!$A$2:$B$14,2,FALSE)," ")))</f>
        <v>6</v>
      </c>
      <c r="L11" s="92">
        <v>11.25</v>
      </c>
      <c r="M11" s="97">
        <f t="shared" si="4"/>
        <v>7</v>
      </c>
      <c r="N11" s="97" t="str">
        <f t="shared" si="5"/>
        <v xml:space="preserve"> </v>
      </c>
      <c r="O11" s="94" t="str">
        <f>IF(Table6220273233373839[[#This Row],[Non-Member]]="X"," ",IF(N11=" "," ",IFERROR(VLOOKUP(M11,Points!$A$2:$B$14,2,FALSE)," ")))</f>
        <v xml:space="preserve"> </v>
      </c>
      <c r="P11" s="92">
        <v>13.09</v>
      </c>
      <c r="Q11" s="97">
        <f t="shared" si="6"/>
        <v>10</v>
      </c>
      <c r="R11" s="97" t="str">
        <f t="shared" si="7"/>
        <v xml:space="preserve"> </v>
      </c>
      <c r="S11" s="94" t="str">
        <f>IF(Table6220273233373839[[#This Row],[Non-Member]]="X"," ",IF(R11=" "," ",IFERROR(VLOOKUP(Q11,Points!$A$2:$B$14,2,FALSE)," ")))</f>
        <v xml:space="preserve"> </v>
      </c>
      <c r="T11" s="92"/>
      <c r="U11" s="97" t="str">
        <f t="shared" si="8"/>
        <v xml:space="preserve"> </v>
      </c>
      <c r="V11" s="97" t="str">
        <f t="shared" si="9"/>
        <v xml:space="preserve"> </v>
      </c>
      <c r="W11" s="94" t="str">
        <f>IF(Table6220273233373839[[#This Row],[Non-Member]]="X"," ",IF(V11=" "," ",IFERROR(VLOOKUP(U11,Points!$A$2:$B$14,2,FALSE)," ")))</f>
        <v xml:space="preserve"> </v>
      </c>
      <c r="X11" s="92"/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IF(Table6220273233373839[[#This Row],[Non-Member]]="X"," ",IF(Z11=" "," ",IFERROR(VLOOKUP(Y11,Points!$A$2:$B$14,2,FALSE)," ")))</f>
        <v xml:space="preserve"> </v>
      </c>
      <c r="AB11" s="92"/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8" t="str">
        <f t="shared" si="15"/>
        <v xml:space="preserve"> </v>
      </c>
      <c r="AH11" s="97" t="str">
        <f t="shared" si="16"/>
        <v xml:space="preserve"> </v>
      </c>
      <c r="AI11" s="94" t="str">
        <f>IF(Table6220273233373839[[#This Row],[Non-Member]]="X"," ",IF(AH11=" "," ",IFERROR(VLOOKUP(AG11,Points!$A$2:$B$14,2,FALSE)," ")))</f>
        <v xml:space="preserve"> </v>
      </c>
      <c r="AJ11" s="97">
        <f>IF(Table6220273233373839[[#This Row],[Non-Member]]="X"," ",((IF(G11=" ",0,G11))+(IF(K11=" ",0,K11))+(IF(O11=" ",0,O11))+(IF(S11=" ",0,S11))+(IF(W11=" ",0,W11))+(IF(AA11=" ",0,AA11))+(IF(AE11=" ",0,AE11))+(IF(AI11=" ",0,AI11))))</f>
        <v>6</v>
      </c>
      <c r="AK11" s="151">
        <f t="shared" si="17"/>
        <v>6</v>
      </c>
      <c r="AL11" s="98">
        <f t="shared" si="18"/>
        <v>7</v>
      </c>
    </row>
    <row r="12" spans="2:38" x14ac:dyDescent="0.3">
      <c r="B12" s="90" t="s">
        <v>84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IF(Table6220273233373839[[#This Row],[Non-Member]]="X"," ",IF(F12=" "," ",IFERROR(VLOOKUP(E12,Points!$A$2:$B$14,2,FALSE)," ")))</f>
        <v xml:space="preserve"> </v>
      </c>
      <c r="H12" s="92">
        <v>13.15</v>
      </c>
      <c r="I12" s="93">
        <f t="shared" si="2"/>
        <v>9</v>
      </c>
      <c r="J12" s="93" t="str">
        <f t="shared" si="3"/>
        <v xml:space="preserve"> </v>
      </c>
      <c r="K12" s="94" t="str">
        <f>IF(Table6220273233373839[[#This Row],[Non-Member]]="X"," ",IF(J12=" "," ",IFERROR(VLOOKUP(I12,Points!$A$2:$B$14,2,FALSE)," ")))</f>
        <v xml:space="preserve"> </v>
      </c>
      <c r="L12" s="92">
        <v>12.47</v>
      </c>
      <c r="M12" s="93">
        <f t="shared" si="4"/>
        <v>9</v>
      </c>
      <c r="N12" s="93" t="str">
        <f t="shared" si="5"/>
        <v xml:space="preserve"> </v>
      </c>
      <c r="O12" s="94" t="str">
        <f>IF(Table6220273233373839[[#This Row],[Non-Member]]="X"," ",IF(N12=" "," ",IFERROR(VLOOKUP(M12,Points!$A$2:$B$14,2,FALSE)," ")))</f>
        <v xml:space="preserve"> </v>
      </c>
      <c r="P12" s="92">
        <v>10.25</v>
      </c>
      <c r="Q12" s="93">
        <f t="shared" si="6"/>
        <v>6</v>
      </c>
      <c r="R12" s="93">
        <f t="shared" si="7"/>
        <v>6</v>
      </c>
      <c r="S12" s="94">
        <f>IF(Table6220273233373839[[#This Row],[Non-Member]]="X"," ",IF(R12=" "," ",IFERROR(VLOOKUP(Q12,Points!$A$2:$B$14,2,FALSE)," ")))</f>
        <v>3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IF(Table6220273233373839[[#This Row],[Non-Member]]="X"," ",IF(AH12=" "," ",IFERROR(VLOOKUP(AG12,Points!$A$2:$B$14,2,FALSE)," ")))</f>
        <v xml:space="preserve"> </v>
      </c>
      <c r="AJ12" s="93">
        <f>IF(Table6220273233373839[[#This Row],[Non-Member]]="X"," ",((IF(G12=" ",0,G12))+(IF(K12=" ",0,K12))+(IF(O12=" ",0,O12))+(IF(S12=" ",0,S12))+(IF(W12=" ",0,W12))+(IF(AA12=" ",0,AA12))+(IF(AE12=" ",0,AE12))+(IF(AI12=" ",0,AI12))))</f>
        <v>3</v>
      </c>
      <c r="AK12" s="95">
        <f t="shared" si="17"/>
        <v>3</v>
      </c>
      <c r="AL12" s="96">
        <f t="shared" si="18"/>
        <v>8</v>
      </c>
    </row>
    <row r="13" spans="2:38" x14ac:dyDescent="0.3">
      <c r="B13" s="90" t="s">
        <v>185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IF(Table6220273233373839[[#This Row],[Non-Member]]="X"," ",IF(F13=" "," ",IFERROR(VLOOKUP(E13,Points!$A$2:$B$14,2,FALSE)," ")))</f>
        <v xml:space="preserve"> </v>
      </c>
      <c r="H13" s="92">
        <v>16.190000000000001</v>
      </c>
      <c r="I13" s="93">
        <f t="shared" si="2"/>
        <v>11</v>
      </c>
      <c r="J13" s="93" t="str">
        <f t="shared" si="3"/>
        <v xml:space="preserve"> </v>
      </c>
      <c r="K13" s="94" t="str">
        <f>IF(Table6220273233373839[[#This Row],[Non-Member]]="X"," ",IF(J13=" "," ",IFERROR(VLOOKUP(I13,Points!$A$2:$B$14,2,FALSE)," ")))</f>
        <v xml:space="preserve"> </v>
      </c>
      <c r="L13" s="92">
        <v>10.98</v>
      </c>
      <c r="M13" s="93">
        <f t="shared" si="4"/>
        <v>6</v>
      </c>
      <c r="N13" s="93">
        <f t="shared" si="5"/>
        <v>6</v>
      </c>
      <c r="O13" s="94">
        <f>IF(Table6220273233373839[[#This Row],[Non-Member]]="X"," ",IF(N13=" "," ",IFERROR(VLOOKUP(M13,Points!$A$2:$B$14,2,FALSE)," ")))</f>
        <v>3</v>
      </c>
      <c r="P13" s="92">
        <v>11.56</v>
      </c>
      <c r="Q13" s="93">
        <f t="shared" si="6"/>
        <v>8</v>
      </c>
      <c r="R13" s="93" t="str">
        <f t="shared" si="7"/>
        <v xml:space="preserve"> </v>
      </c>
      <c r="S13" s="94" t="str">
        <f>IF(Table6220273233373839[[#This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IF(Table6220273233373839[[#This Row],[Non-Member]]="X"," ",IF(AH13=" "," ",IFERROR(VLOOKUP(AG13,Points!$A$2:$B$14,2,FALSE)," ")))</f>
        <v xml:space="preserve"> </v>
      </c>
      <c r="AJ13" s="93">
        <f>IF(Table6220273233373839[[#This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8</v>
      </c>
    </row>
    <row r="14" spans="2:38" x14ac:dyDescent="0.3">
      <c r="B14" s="90" t="s">
        <v>317</v>
      </c>
      <c r="C14" s="91" t="s">
        <v>325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IF(Table6220273233373839[[#This Row],[Non-Member]]="X"," ",IF(J14=" "," ",IFERROR(VLOOKUP(I14,Points!$A$2:$B$14,2,FALSE)," ")))</f>
        <v xml:space="preserve"> </v>
      </c>
      <c r="L14" s="92">
        <v>27.12</v>
      </c>
      <c r="M14" s="93">
        <f t="shared" si="4"/>
        <v>19</v>
      </c>
      <c r="N14" s="93" t="str">
        <f t="shared" si="5"/>
        <v xml:space="preserve"> </v>
      </c>
      <c r="O14" s="94" t="str">
        <f>IF(Table6220273233373839[[#This Row],[Non-Member]]="X"," ",IF(N14=" "," ",IFERROR(VLOOKUP(M14,Points!$A$2:$B$14,2,FALSE)," ")))</f>
        <v xml:space="preserve"> </v>
      </c>
      <c r="P14" s="92">
        <v>18.16</v>
      </c>
      <c r="Q14" s="93">
        <f t="shared" si="6"/>
        <v>16</v>
      </c>
      <c r="R14" s="93" t="str">
        <f t="shared" si="7"/>
        <v xml:space="preserve"> </v>
      </c>
      <c r="S14" s="94" t="str">
        <f>IF(Table6220273233373839[[#This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IF(Table6220273233373839[[#This Row],[Non-Member]]="X"," ",IF(AH14=" "," ",IFERROR(VLOOKUP(AG14,Points!$A$2:$B$14,2,FALSE)," ")))</f>
        <v xml:space="preserve"> </v>
      </c>
      <c r="AJ14" s="93" t="str">
        <f>IF(Table6220273233373839[[#This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 t="s">
        <v>318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IF(Table6220273233373839[[#This Row],[Non-Member]]="X"," ",IF(J15=" "," ",IFERROR(VLOOKUP(I15,Points!$A$2:$B$14,2,FALSE)," ")))</f>
        <v xml:space="preserve"> </v>
      </c>
      <c r="L15" s="92">
        <v>26.69</v>
      </c>
      <c r="M15" s="93">
        <f t="shared" si="4"/>
        <v>18</v>
      </c>
      <c r="N15" s="93" t="str">
        <f t="shared" si="5"/>
        <v xml:space="preserve"> </v>
      </c>
      <c r="O15" s="94" t="str">
        <f>IF(Table6220273233373839[[#This Row],[Non-Member]]="X"," ",IF(N15=" "," ",IFERROR(VLOOKUP(M15,Points!$A$2:$B$14,2,FALSE)," ")))</f>
        <v xml:space="preserve"> </v>
      </c>
      <c r="P15" s="92">
        <v>16.649999999999999</v>
      </c>
      <c r="Q15" s="93">
        <f t="shared" si="6"/>
        <v>13</v>
      </c>
      <c r="R15" s="93" t="str">
        <f t="shared" si="7"/>
        <v xml:space="preserve"> </v>
      </c>
      <c r="S15" s="94" t="str">
        <f>IF(Table6220273233373839[[#This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IF(Table6220273233373839[[#This Row],[Non-Member]]="X"," ",IF(AH15=" "," ",IFERROR(VLOOKUP(AG15,Points!$A$2:$B$14,2,FALSE)," ")))</f>
        <v xml:space="preserve"> </v>
      </c>
      <c r="AJ15" s="93">
        <f>IF(Table6220273233373839[[#This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182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IF(Table6220273233373839[[#This Row],[Non-Member]]="X"," ",IF(J16=" "," ",IFERROR(VLOOKUP(I16,Points!$A$2:$B$14,2,FALSE)," ")))</f>
        <v xml:space="preserve"> </v>
      </c>
      <c r="L16" s="92">
        <v>13.34</v>
      </c>
      <c r="M16" s="93">
        <f t="shared" si="4"/>
        <v>14</v>
      </c>
      <c r="N16" s="93" t="str">
        <f t="shared" si="5"/>
        <v xml:space="preserve"> </v>
      </c>
      <c r="O16" s="94" t="str">
        <f>IF(Table6220273233373839[[#This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IF(Table6220273233373839[[#This Row],[Non-Member]]="X"," ",IF(AH16=" "," ",IFERROR(VLOOKUP(AG16,Points!$A$2:$B$14,2,FALSE)," ")))</f>
        <v xml:space="preserve"> </v>
      </c>
      <c r="AJ16" s="93">
        <f>IF(Table6220273233373839[[#This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272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IF(Table6220273233373839[[#This Row],[Non-Member]]="X"," ",IF(F17=" "," ",IFERROR(VLOOKUP(E17,Points!$A$2:$B$14,2,FALSE)," ")))</f>
        <v xml:space="preserve"> </v>
      </c>
      <c r="H17" s="92">
        <v>32.15</v>
      </c>
      <c r="I17" s="93">
        <f t="shared" si="2"/>
        <v>17</v>
      </c>
      <c r="J17" s="93" t="str">
        <f t="shared" si="3"/>
        <v xml:space="preserve"> </v>
      </c>
      <c r="K17" s="94" t="str">
        <f>IF(Table6220273233373839[[#This Row],[Non-Member]]="X"," ",IF(J17=" "," ",IFERROR(VLOOKUP(I17,Points!$A$2:$B$14,2,FALSE)," ")))</f>
        <v xml:space="preserve"> </v>
      </c>
      <c r="L17" s="92">
        <v>15.18</v>
      </c>
      <c r="M17" s="93">
        <f t="shared" si="4"/>
        <v>15</v>
      </c>
      <c r="N17" s="93" t="str">
        <f t="shared" si="5"/>
        <v xml:space="preserve"> </v>
      </c>
      <c r="O17" s="94" t="str">
        <f>IF(Table6220273233373839[[#This Row],[Non-Member]]="X"," ",IF(N17=" "," ",IFERROR(VLOOKUP(M17,Points!$A$2:$B$14,2,FALSE)," ")))</f>
        <v xml:space="preserve"> </v>
      </c>
      <c r="P17" s="92">
        <v>17.899999999999999</v>
      </c>
      <c r="Q17" s="93">
        <f t="shared" si="6"/>
        <v>14</v>
      </c>
      <c r="R17" s="93" t="str">
        <f t="shared" si="7"/>
        <v xml:space="preserve"> </v>
      </c>
      <c r="S17" s="94" t="str">
        <f>IF(Table6220273233373839[[#This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IF(Table6220273233373839[[#This Row],[Non-Member]]="X"," ",IF(AH17=" "," ",IFERROR(VLOOKUP(AG17,Points!$A$2:$B$14,2,FALSE)," ")))</f>
        <v xml:space="preserve"> </v>
      </c>
      <c r="AJ17" s="93">
        <f>IF(Table6220273233373839[[#This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268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IF(Table6220273233373839[[#This Row],[Non-Member]]="X"," ",IF(F18=" "," ",IFERROR(VLOOKUP(E18,Points!$A$2:$B$14,2,FALSE)," ")))</f>
        <v xml:space="preserve"> </v>
      </c>
      <c r="H18" s="92">
        <v>18.48</v>
      </c>
      <c r="I18" s="93">
        <f t="shared" si="2"/>
        <v>14</v>
      </c>
      <c r="J18" s="93" t="str">
        <f t="shared" si="3"/>
        <v xml:space="preserve"> </v>
      </c>
      <c r="K18" s="94" t="str">
        <f>IF(Table6220273233373839[[#This Row],[Non-Member]]="X"," ",IF(J18=" "," ",IFERROR(VLOOKUP(I18,Points!$A$2:$B$14,2,FALSE)," ")))</f>
        <v xml:space="preserve"> </v>
      </c>
      <c r="L18" s="92">
        <v>20.07</v>
      </c>
      <c r="M18" s="93">
        <f t="shared" si="4"/>
        <v>17</v>
      </c>
      <c r="N18" s="93" t="str">
        <f t="shared" si="5"/>
        <v xml:space="preserve"> </v>
      </c>
      <c r="O18" s="94" t="str">
        <f>IF(Table6220273233373839[[#This Row],[Non-Member]]="X"," ",IF(N18=" "," ",IFERROR(VLOOKUP(M18,Points!$A$2:$B$14,2,FALSE)," ")))</f>
        <v xml:space="preserve"> </v>
      </c>
      <c r="P18" s="92">
        <v>23.84</v>
      </c>
      <c r="Q18" s="93">
        <f t="shared" si="6"/>
        <v>18</v>
      </c>
      <c r="R18" s="93" t="str">
        <f t="shared" si="7"/>
        <v xml:space="preserve"> </v>
      </c>
      <c r="S18" s="94" t="str">
        <f>IF(Table6220273233373839[[#This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IF(Table6220273233373839[[#This Row],[Non-Member]]="X"," ",IF(AH18=" "," ",IFERROR(VLOOKUP(AG18,Points!$A$2:$B$14,2,FALSE)," ")))</f>
        <v xml:space="preserve"> </v>
      </c>
      <c r="AJ18" s="93">
        <f>IF(Table6220273233373839[[#This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267</v>
      </c>
      <c r="C19" s="91" t="s">
        <v>325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IF(Table6220273233373839[[#This Row],[Non-Member]]="X"," ",IF(F19=" "," ",IFERROR(VLOOKUP(E19,Points!$A$2:$B$14,2,FALSE)," ")))</f>
        <v xml:space="preserve"> </v>
      </c>
      <c r="H19" s="92">
        <v>11.98</v>
      </c>
      <c r="I19" s="93">
        <f t="shared" si="2"/>
        <v>3</v>
      </c>
      <c r="J19" s="93">
        <f t="shared" si="3"/>
        <v>3</v>
      </c>
      <c r="K19" s="94" t="str">
        <f>IF(Table6220273233373839[[#This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IF(Table6220273233373839[[#This Row],[Non-Member]]="X"," ",IF(AH19=" "," ",IFERROR(VLOOKUP(AG19,Points!$A$2:$B$14,2,FALSE)," ")))</f>
        <v xml:space="preserve"> </v>
      </c>
      <c r="AJ19" s="93" t="str">
        <f>IF(Table6220273233373839[[#This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269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IF(Table6220273233373839[[#This Row],[Non-Member]]="X"," ",IF(F20=" "," ",IFERROR(VLOOKUP(E20,Points!$A$2:$B$14,2,FALSE)," ")))</f>
        <v xml:space="preserve"> </v>
      </c>
      <c r="H20" s="92">
        <v>29.98</v>
      </c>
      <c r="I20" s="93">
        <f t="shared" si="2"/>
        <v>16</v>
      </c>
      <c r="J20" s="93" t="str">
        <f t="shared" si="3"/>
        <v xml:space="preserve"> </v>
      </c>
      <c r="K20" s="94" t="str">
        <f>IF(Table6220273233373839[[#This Row],[Non-Member]]="X"," ",IF(J20=" "," ",IFERROR(VLOOKUP(I20,Points!$A$2:$B$14,2,FALSE)," ")))</f>
        <v xml:space="preserve"> </v>
      </c>
      <c r="L20" s="92">
        <v>19.21</v>
      </c>
      <c r="M20" s="93">
        <f t="shared" si="4"/>
        <v>16</v>
      </c>
      <c r="N20" s="93" t="str">
        <f t="shared" si="5"/>
        <v xml:space="preserve"> </v>
      </c>
      <c r="O20" s="94" t="str">
        <f>IF(Table6220273233373839[[#This Row],[Non-Member]]="X"," ",IF(N20=" "," ",IFERROR(VLOOKUP(M20,Points!$A$2:$B$14,2,FALSE)," ")))</f>
        <v xml:space="preserve"> </v>
      </c>
      <c r="P20" s="92">
        <v>18.11</v>
      </c>
      <c r="Q20" s="93">
        <f t="shared" si="6"/>
        <v>15</v>
      </c>
      <c r="R20" s="93" t="str">
        <f t="shared" si="7"/>
        <v xml:space="preserve"> </v>
      </c>
      <c r="S20" s="94" t="str">
        <f>IF(Table6220273233373839[[#This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IF(Table6220273233373839[[#This Row],[Non-Member]]="X"," ",IF(AH20=" "," ",IFERROR(VLOOKUP(AG20,Points!$A$2:$B$14,2,FALSE)," ")))</f>
        <v xml:space="preserve"> </v>
      </c>
      <c r="AJ20" s="93">
        <f>IF(Table6220273233373839[[#This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184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IF(Table6220273233373839[[#This Row],[Non-Member]]="X"," ",IF(F21=" "," ",IFERROR(VLOOKUP(E21,Points!$A$2:$B$14,2,FALSE)," ")))</f>
        <v xml:space="preserve"> </v>
      </c>
      <c r="H21" s="92">
        <v>25.17</v>
      </c>
      <c r="I21" s="97">
        <f t="shared" si="2"/>
        <v>15</v>
      </c>
      <c r="J21" s="97" t="str">
        <f t="shared" si="3"/>
        <v xml:space="preserve"> </v>
      </c>
      <c r="K21" s="94" t="str">
        <f>IF(Table6220273233373839[[#This Row],[Non-Member]]="X"," ",IF(J21=" "," ",IFERROR(VLOOKUP(I21,Points!$A$2:$B$14,2,FALSE)," ")))</f>
        <v xml:space="preserve"> </v>
      </c>
      <c r="L21" s="92">
        <v>12.94</v>
      </c>
      <c r="M21" s="97">
        <f t="shared" si="4"/>
        <v>11</v>
      </c>
      <c r="N21" s="97" t="str">
        <f t="shared" si="5"/>
        <v xml:space="preserve"> </v>
      </c>
      <c r="O21" s="94" t="str">
        <f>IF(Table6220273233373839[[#This Row],[Non-Member]]="X"," ",IF(N21=" "," ",IFERROR(VLOOKUP(M21,Points!$A$2:$B$14,2,FALSE)," ")))</f>
        <v xml:space="preserve"> </v>
      </c>
      <c r="P21" s="92">
        <v>21.71</v>
      </c>
      <c r="Q21" s="97">
        <f t="shared" si="6"/>
        <v>17</v>
      </c>
      <c r="R21" s="97" t="str">
        <f t="shared" si="7"/>
        <v xml:space="preserve"> </v>
      </c>
      <c r="S21" s="94" t="str">
        <f>IF(Table6220273233373839[[#This Row],[Non-Member]]="X"," ",IF(R21=" "," ",IFERROR(VLOOKUP(Q21,Points!$A$2:$B$14,2,FALSE)," ")))</f>
        <v xml:space="preserve"> </v>
      </c>
      <c r="T21" s="92"/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IF(Table6220273233373839[[#This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IF(Table6220273233373839[[#This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IF(Table6220273233373839[[#This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8" t="str">
        <f t="shared" si="15"/>
        <v xml:space="preserve"> </v>
      </c>
      <c r="AH21" s="97" t="str">
        <f t="shared" si="16"/>
        <v xml:space="preserve"> </v>
      </c>
      <c r="AI21" s="94" t="str">
        <f>IF(Table6220273233373839[[#This Row],[Non-Member]]="X"," ",IF(AH21=" "," ",IFERROR(VLOOKUP(AG21,Points!$A$2:$B$14,2,FALSE)," ")))</f>
        <v xml:space="preserve"> </v>
      </c>
      <c r="AJ21" s="97">
        <f>IF(Table6220273233373839[[#This Row],[Non-Member]]="X"," ",((IF(G21=" ",0,G21))+(IF(K21=" ",0,K21))+(IF(O21=" ",0,O21))+(IF(S21=" ",0,S21))+(IF(W21=" ",0,W21))+(IF(AA21=" ",0,AA21))+(IF(AE21=" ",0,AE21))+(IF(AI21=" ",0,AI21))))</f>
        <v>0</v>
      </c>
      <c r="AK21" s="151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183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IF(Table6220273233373839[[#This Row],[Non-Member]]="X"," ",IF(F22=" "," ",IFERROR(VLOOKUP(E22,Points!$A$2:$B$14,2,FALSE)," ")))</f>
        <v xml:space="preserve"> </v>
      </c>
      <c r="H22" s="92">
        <v>12.92</v>
      </c>
      <c r="I22" s="97">
        <f t="shared" si="2"/>
        <v>8</v>
      </c>
      <c r="J22" s="97" t="str">
        <f t="shared" si="3"/>
        <v xml:space="preserve"> </v>
      </c>
      <c r="K22" s="94" t="str">
        <f>IF(Table6220273233373839[[#This Row],[Non-Member]]="X"," ",IF(J22=" "," ",IFERROR(VLOOKUP(I22,Points!$A$2:$B$14,2,FALSE)," ")))</f>
        <v xml:space="preserve"> </v>
      </c>
      <c r="L22" s="92">
        <v>12.76</v>
      </c>
      <c r="M22" s="97">
        <f t="shared" si="4"/>
        <v>10</v>
      </c>
      <c r="N22" s="97" t="str">
        <f t="shared" si="5"/>
        <v xml:space="preserve"> </v>
      </c>
      <c r="O22" s="94" t="str">
        <f>IF(Table6220273233373839[[#This Row],[Non-Member]]="X"," ",IF(N22=" "," ",IFERROR(VLOOKUP(M22,Points!$A$2:$B$14,2,FALSE)," ")))</f>
        <v xml:space="preserve"> </v>
      </c>
      <c r="P22" s="92">
        <v>12.21</v>
      </c>
      <c r="Q22" s="97">
        <f t="shared" si="6"/>
        <v>9</v>
      </c>
      <c r="R22" s="97" t="str">
        <f t="shared" si="7"/>
        <v xml:space="preserve"> </v>
      </c>
      <c r="S22" s="94" t="str">
        <f>IF(Table6220273233373839[[#This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IF(Table6220273233373839[[#This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IF(Table6220273233373839[[#This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IF(Table6220273233373839[[#This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7" t="str">
        <f t="shared" si="15"/>
        <v xml:space="preserve"> </v>
      </c>
      <c r="AH22" s="97" t="str">
        <f t="shared" si="16"/>
        <v xml:space="preserve"> </v>
      </c>
      <c r="AI22" s="94" t="str">
        <f>IF(Table6220273233373839[[#This Row],[Non-Member]]="X"," ",IF(AH22=" "," ",IFERROR(VLOOKUP(AG22,Points!$A$2:$B$14,2,FALSE)," ")))</f>
        <v xml:space="preserve"> </v>
      </c>
      <c r="AJ22" s="97">
        <f>IF(Table6220273233373839[[#This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181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IF(Table6220273233373839[[#This Row],[Non-Member]]="X"," ",IF(F23=" "," ",IFERROR(VLOOKUP(E23,Points!$A$2:$B$14,2,FALSE)," ")))</f>
        <v xml:space="preserve"> </v>
      </c>
      <c r="H23" s="92">
        <v>12.61</v>
      </c>
      <c r="I23" s="93">
        <f t="shared" si="2"/>
        <v>7</v>
      </c>
      <c r="J23" s="93" t="str">
        <f t="shared" si="3"/>
        <v xml:space="preserve"> </v>
      </c>
      <c r="K23" s="94" t="str">
        <f>IF(Table6220273233373839[[#This Row],[Non-Member]]="X"," ",IF(J23=" "," ",IFERROR(VLOOKUP(I23,Points!$A$2:$B$14,2,FALSE)," ")))</f>
        <v xml:space="preserve"> </v>
      </c>
      <c r="L23" s="92">
        <v>13.16</v>
      </c>
      <c r="M23" s="93">
        <f t="shared" si="4"/>
        <v>13</v>
      </c>
      <c r="N23" s="93" t="str">
        <f t="shared" si="5"/>
        <v xml:space="preserve"> </v>
      </c>
      <c r="O23" s="94" t="str">
        <f>IF(Table6220273233373839[[#This Row],[Non-Member]]="X"," ",IF(N23=" "," ",IFERROR(VLOOKUP(M23,Points!$A$2:$B$14,2,FALSE)," ")))</f>
        <v xml:space="preserve"> </v>
      </c>
      <c r="P23" s="92">
        <v>15.54</v>
      </c>
      <c r="Q23" s="93">
        <f t="shared" si="6"/>
        <v>12</v>
      </c>
      <c r="R23" s="93" t="str">
        <f t="shared" si="7"/>
        <v xml:space="preserve"> </v>
      </c>
      <c r="S23" s="94" t="str">
        <f>IF(Table6220273233373839[[#This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IF(Table6220273233373839[[#This Row],[Non-Member]]="X"," ",IF(AH23=" "," ",IFERROR(VLOOKUP(AG23,Points!$A$2:$B$14,2,FALSE)," ")))</f>
        <v xml:space="preserve"> </v>
      </c>
      <c r="AJ23" s="93">
        <f>IF(Table6220273233373839[[#This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 t="s">
        <v>178</v>
      </c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IF(Table6220273233373839[[#This Row],[Non-Member]]="X"," ",IF(F24=" "," ",IFERROR(VLOOKUP(E24,Points!$A$2:$B$14,2,FALSE)," ")))</f>
        <v xml:space="preserve"> </v>
      </c>
      <c r="H24" s="102">
        <v>16.71</v>
      </c>
      <c r="I24" s="103">
        <f t="shared" si="2"/>
        <v>12</v>
      </c>
      <c r="J24" s="103" t="str">
        <f t="shared" si="3"/>
        <v xml:space="preserve"> </v>
      </c>
      <c r="K24" s="104" t="str">
        <f>IF(Table6220273233373839[[#This Row],[Non-Member]]="X"," ",IF(J24=" "," ",IFERROR(VLOOKUP(I24,Points!$A$2:$B$14,2,FALSE)," ")))</f>
        <v xml:space="preserve"> </v>
      </c>
      <c r="L24" s="102">
        <v>13</v>
      </c>
      <c r="M24" s="103">
        <f t="shared" si="4"/>
        <v>12</v>
      </c>
      <c r="N24" s="103" t="str">
        <f t="shared" si="5"/>
        <v xml:space="preserve"> </v>
      </c>
      <c r="O24" s="104" t="str">
        <f>IF(Table6220273233373839[[#This Row],[Non-Member]]="X"," ",IF(N24=" "," ",IFERROR(VLOOKUP(M24,Points!$A$2:$B$14,2,FALSE)," ")))</f>
        <v xml:space="preserve"> </v>
      </c>
      <c r="P24" s="102">
        <v>14.84</v>
      </c>
      <c r="Q24" s="103">
        <f t="shared" si="6"/>
        <v>11</v>
      </c>
      <c r="R24" s="103" t="str">
        <f t="shared" si="7"/>
        <v xml:space="preserve"> </v>
      </c>
      <c r="S24" s="104" t="str">
        <f>IF(Table6220273233373839[[#This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IF(Table6220273233373839[[#This Row],[Non-Member]]="X"," ",IF(AH24=" "," ",IFERROR(VLOOKUP(AG24,Points!$A$2:$B$14,2,FALSE)," ")))</f>
        <v xml:space="preserve"> </v>
      </c>
      <c r="AJ24" s="93">
        <f>IF(Table6220273233373839[[#This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6Ae3GP1Pf5xEEn5gVWiP5xyakoCINt5wxUtZsUTrUHSS/vLUQ/VcxfiMyqnZiAZ4zh2YY87k+mwGdRQEQOeyog==" saltValue="4rF6icMkyj/SLupeGlc0z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theme="4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65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8" t="s">
        <v>85</v>
      </c>
      <c r="C5" s="118">
        <f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G-Goats'!$B$5:$AI$24,6,FALSE)=" ",0,VLOOKUP($B5,'MM G-Goats'!$B$5:$AI$24,6,FALSE)),0)</f>
        <v>0</v>
      </c>
      <c r="D5" s="88" t="str">
        <f t="shared" ref="D5:D24" si="0">IF(C5&gt;0,C5," ")</f>
        <v xml:space="preserve"> </v>
      </c>
      <c r="E5" s="156" t="str">
        <f t="shared" ref="E5:E24" si="1">IF(C5=0," ",RANK(C5,C$5:C$24,0))</f>
        <v xml:space="preserve"> </v>
      </c>
      <c r="F5" s="119">
        <f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G-Goats'!$B$5:$AI$24,10,FALSE)=" ",0,VLOOKUP($B5,'MM G-Goats'!$B$5:$AI$24,10,FALSE)),0)</f>
        <v>52.5</v>
      </c>
      <c r="G5" s="88">
        <f t="shared" ref="G5:G24" si="2">IF(F5&gt;0,F5," ")</f>
        <v>52.5</v>
      </c>
      <c r="H5" s="156">
        <f t="shared" ref="H5:H24" si="3">IF(F5=0," ",RANK(F5,F$5:F$24,0))</f>
        <v>1</v>
      </c>
      <c r="I5" s="119">
        <f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G-Goats'!$B$5:$AI$24,14,FALSE)=" ",0,VLOOKUP($B5,'MM G-Goats'!$B$5:$AI$24,14,FALSE)),0)</f>
        <v>54</v>
      </c>
      <c r="J5" s="88">
        <f t="shared" ref="J5:J24" si="4">IF(I5&gt;0,I5," ")</f>
        <v>54</v>
      </c>
      <c r="K5" s="156">
        <f t="shared" ref="K5:K24" si="5">IF(I5=0," ",RANK(I5,I$5:I$24,0))</f>
        <v>1</v>
      </c>
      <c r="L5" s="119">
        <f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G-Goats'!$B$5:$AI$24,18,FALSE)=" ",0,VLOOKUP($B5,'MM G-Goats'!$B$5:$AI$24,18,FALSE)),0)</f>
        <v>58.5</v>
      </c>
      <c r="M5" s="88">
        <f t="shared" ref="M5:M24" si="6">IF(L5&gt;0,L5," ")</f>
        <v>58.5</v>
      </c>
      <c r="N5" s="156">
        <f t="shared" ref="N5:N24" si="7">IF(L5=0," ",RANK(L5,L$5:L$24,0))</f>
        <v>1</v>
      </c>
      <c r="O5" s="119">
        <f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G-Goats'!$B$5:$AI$24,22,FALSE)=" ",0,VLOOKUP($B5,'MM G-Goats'!$B$5:$AI$24,22,FALSE)),0)</f>
        <v>0</v>
      </c>
      <c r="P5" s="88" t="str">
        <f t="shared" ref="P5:P24" si="8">IF(O5&gt;0,O5," ")</f>
        <v xml:space="preserve"> </v>
      </c>
      <c r="Q5" s="156" t="str">
        <f t="shared" ref="Q5:Q24" si="9">IF(O5=0," ",RANK(O5,O$5:O$24,0))</f>
        <v xml:space="preserve"> </v>
      </c>
      <c r="R5" s="119">
        <f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G-Goats'!$B$5:$AI$24,26,FALSE)=" ",0,VLOOKUP($B5,'MM G-Goats'!$B$5:$AI$24,26,FALSE)),0)</f>
        <v>0</v>
      </c>
      <c r="S5" s="88" t="str">
        <f t="shared" ref="S5:S24" si="10">IF(R5&gt;0,R5," ")</f>
        <v xml:space="preserve"> </v>
      </c>
      <c r="T5" s="156" t="str">
        <f t="shared" ref="T5:T24" si="11">IF(R5=0," ",RANK(R5,R$5:R$24,0))</f>
        <v xml:space="preserve"> </v>
      </c>
      <c r="U5" s="119">
        <f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G-Goats'!$B$5:$AI$24,30,FALSE)=" ",0,VLOOKUP($B5,'MM G-Goats'!$B$5:$AI$24,30,FALSE)),0)</f>
        <v>0</v>
      </c>
      <c r="V5" s="88" t="str">
        <f t="shared" ref="V5:V24" si="12">IF(U5&gt;0,U5," ")</f>
        <v xml:space="preserve"> </v>
      </c>
      <c r="W5" s="156" t="str">
        <f t="shared" ref="W5:W24" si="13">IF(U5=0," ",RANK(U5,U$5:U$24,0))</f>
        <v xml:space="preserve"> </v>
      </c>
      <c r="X5" s="119">
        <f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G-Goats'!$B$5:$AI$24,34,FALSE)=" ",0,VLOOKUP($B5,'MM G-Goats'!$B$5:$AI$24,34,FALSE)),0)</f>
        <v>0</v>
      </c>
      <c r="Y5" s="88" t="str">
        <f t="shared" ref="Y5:Y24" si="14">IF(X5&gt;0,X5," ")</f>
        <v xml:space="preserve"> </v>
      </c>
      <c r="Z5" s="156" t="str">
        <f t="shared" ref="Z5:Z24" si="15">IF(X5=0," ",RANK(X5,X$5:X$24,0))</f>
        <v xml:space="preserve"> </v>
      </c>
      <c r="AA5" s="119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165</v>
      </c>
      <c r="AB5" s="88">
        <f t="shared" ref="AB5:AB24" si="16">IF(AA5&gt;0,AA5," ")</f>
        <v>165</v>
      </c>
      <c r="AC5" s="156">
        <f t="shared" ref="AC5:AC24" si="17">IF(AB5=" "," ",RANK(AB5,AB$5:AB$24))</f>
        <v>1</v>
      </c>
    </row>
    <row r="6" spans="2:29" x14ac:dyDescent="0.3">
      <c r="B6" s="152" t="s">
        <v>192</v>
      </c>
      <c r="C6" s="120">
        <f>IFERROR(IF(VLOOKUP($B6,'MM G-Dummy Roping'!$B$5:$AI$24,6,FALSE)=" ",0,VLOOKUP($B6,'MM G-Dummy Roping'!$B$5:$AI$24,6,FALSE)),0)+IFERROR(IF(VLOOKUP($B6,'MM G-Barrels'!$B$5:$AI$24,6,FALSE)=" ",0,VLOOKUP($B6,'MM G-Barrels'!$B$5:$AI$24,6,FALSE)),0)+IFERROR(IF(VLOOKUP($B6,'MM G-Figure 8'!$B$5:$AI$24,6,FALSE)=" ",0,VLOOKUP($B6,'MM G-Figure 8'!$B$5:$AI$24,6,FALSE)),0)+IFERROR(IF(VLOOKUP($B6,'MM G-Goats'!$B$5:$AI$24,6,FALSE)=" ",0,VLOOKUP($B6,'MM G-Goats'!$B$5:$AI$24,6,FALSE)),0)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IFERROR(IF(VLOOKUP($B6,'MM G-Dummy Roping'!$B$5:$AI$24,10,FALSE)=" ",0,VLOOKUP($B6,'MM G-Dummy Roping'!$B$5:$AI$24,10,FALSE)),0)+IFERROR(IF(VLOOKUP($B6,'MM G-Barrels'!$B$5:$AI$24,10,FALSE)=" ",0,VLOOKUP($B6,'MM G-Barrels'!$B$5:$AI$24,10,FALSE)),0)+IFERROR(IF(VLOOKUP($B6,'MM G-Figure 8'!$B$5:$AI$24,10,FALSE)=" ",0,VLOOKUP($B6,'MM G-Figure 8'!$B$5:$AI$24,10,FALSE)),0)+IFERROR(IF(VLOOKUP($B6,'MM G-Goats'!$B$5:$AI$24,10,FALSE)=" ",0,VLOOKUP($B6,'MM G-Goats'!$B$5:$AI$24,10,FALSE)),0)</f>
        <v>31.5</v>
      </c>
      <c r="G6" s="95">
        <f t="shared" si="2"/>
        <v>31.5</v>
      </c>
      <c r="H6" s="91">
        <f t="shared" si="3"/>
        <v>2</v>
      </c>
      <c r="I6" s="121">
        <f>IFERROR(IF(VLOOKUP($B6,'MM G-Dummy Roping'!$B$5:$AI$24,14,FALSE)=" ",0,VLOOKUP($B6,'MM G-Dummy Roping'!$B$5:$AI$24,14,FALSE)),0)+IFERROR(IF(VLOOKUP($B6,'MM G-Barrels'!$B$5:$AI$24,14,FALSE)=" ",0,VLOOKUP($B6,'MM G-Barrels'!$B$5:$AI$24,14,FALSE)),0)+IFERROR(IF(VLOOKUP($B6,'MM G-Figure 8'!$B$5:$AI$24,14,FALSE)=" ",0,VLOOKUP($B6,'MM G-Figure 8'!$B$5:$AI$24,14,FALSE)),0)+IFERROR(IF(VLOOKUP($B6,'MM G-Goats'!$B$5:$AI$24,14,FALSE)=" ",0,VLOOKUP($B6,'MM G-Goats'!$B$5:$AI$24,14,FALSE)),0)</f>
        <v>43.5</v>
      </c>
      <c r="J6" s="95">
        <f t="shared" si="4"/>
        <v>43.5</v>
      </c>
      <c r="K6" s="91">
        <f t="shared" si="5"/>
        <v>2</v>
      </c>
      <c r="L6" s="121">
        <f>IFERROR(IF(VLOOKUP($B6,'MM G-Dummy Roping'!$B$5:$AI$24,18,FALSE)=" ",0,VLOOKUP($B6,'MM G-Dummy Roping'!$B$5:$AI$24,18,FALSE)),0)+IFERROR(IF(VLOOKUP($B6,'MM G-Barrels'!$B$5:$AI$24,18,FALSE)=" ",0,VLOOKUP($B6,'MM G-Barrels'!$B$5:$AI$24,18,FALSE)),0)+IFERROR(IF(VLOOKUP($B6,'MM G-Figure 8'!$B$5:$AI$24,18,FALSE)=" ",0,VLOOKUP($B6,'MM G-Figure 8'!$B$5:$AI$24,18,FALSE)),0)+IFERROR(IF(VLOOKUP($B6,'MM G-Goats'!$B$5:$AI$24,18,FALSE)=" ",0,VLOOKUP($B6,'MM G-Goats'!$B$5:$AI$24,18,FALSE)),0)</f>
        <v>27</v>
      </c>
      <c r="M6" s="95">
        <f t="shared" si="6"/>
        <v>27</v>
      </c>
      <c r="N6" s="91">
        <f t="shared" si="7"/>
        <v>5</v>
      </c>
      <c r="O6" s="121">
        <f>IFERROR(IF(VLOOKUP($B6,'MM G-Dummy Roping'!$B$5:$AI$24,22,FALSE)=" ",0,VLOOKUP($B6,'MM G-Dummy Roping'!$B$5:$AI$24,22,FALSE)),0)+IFERROR(IF(VLOOKUP($B6,'MM G-Barrels'!$B$5:$AI$24,22,FALSE)=" ",0,VLOOKUP($B6,'MM G-Barrels'!$B$5:$AI$24,22,FALSE)),0)+IFERROR(IF(VLOOKUP($B6,'MM G-Figure 8'!$B$5:$AI$24,22,FALSE)=" ",0,VLOOKUP($B6,'MM G-Figure 8'!$B$5:$AI$24,22,FALSE)),0)+IFERROR(IF(VLOOKUP($B6,'MM G-Goats'!$B$5:$AI$24,22,FALSE)=" ",0,VLOOKUP($B6,'MM G-Goats'!$B$5:$AI$24,22,FALSE)),0)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IFERROR(IF(VLOOKUP($B6,'MM G-Dummy Roping'!$B$5:$AI$24,26,FALSE)=" ",0,VLOOKUP($B6,'MM G-Dummy Roping'!$B$5:$AI$24,26,FALSE)),0)+IFERROR(IF(VLOOKUP($B6,'MM G-Barrels'!$B$5:$AI$24,26,FALSE)=" ",0,VLOOKUP($B6,'MM G-Barrels'!$B$5:$AI$24,26,FALSE)),0)+IFERROR(IF(VLOOKUP($B6,'MM G-Figure 8'!$B$5:$AI$24,26,FALSE)=" ",0,VLOOKUP($B6,'MM G-Figure 8'!$B$5:$AI$24,26,FALSE)),0)+IFERROR(IF(VLOOKUP($B6,'MM G-Goats'!$B$5:$AI$24,26,FALSE)=" ",0,VLOOKUP($B6,'MM G-Goats'!$B$5:$AI$24,26,FALSE)),0)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IFERROR(IF(VLOOKUP($B6,'MM G-Dummy Roping'!$B$5:$AI$24,30,FALSE)=" ",0,VLOOKUP($B6,'MM G-Dummy Roping'!$B$5:$AI$24,30,FALSE)),0)+IFERROR(IF(VLOOKUP($B6,'MM G-Barrels'!$B$5:$AI$24,30,FALSE)=" ",0,VLOOKUP($B6,'MM G-Barrels'!$B$5:$AI$24,30,FALSE)),0)+IFERROR(IF(VLOOKUP($B6,'MM G-Figure 8'!$B$5:$AI$24,30,FALSE)=" ",0,VLOOKUP($B6,'MM G-Figure 8'!$B$5:$AI$24,30,FALSE)),0)+IFERROR(IF(VLOOKUP($B6,'MM G-Goats'!$B$5:$AI$24,30,FALSE)=" ",0,VLOOKUP($B6,'MM G-Goats'!$B$5:$AI$24,30,FALSE)),0)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IFERROR(IF(VLOOKUP($B6,'MM G-Dummy Roping'!$B$5:$AI$24,34,FALSE)=" ",0,VLOOKUP($B6,'MM G-Dummy Roping'!$B$5:$AI$24,34,FALSE)),0)+IFERROR(IF(VLOOKUP($B6,'MM G-Barrels'!$B$5:$AI$24,34,FALSE)=" ",0,VLOOKUP($B6,'MM G-Barrels'!$B$5:$AI$24,34,FALSE)),0)+IFERROR(IF(VLOOKUP($B6,'MM G-Figure 8'!$B$5:$AI$24,34,FALSE)=" ",0,VLOOKUP($B6,'MM G-Figure 8'!$B$5:$AI$24,34,FALSE)),0)+IFERROR(IF(VLOOKUP($B6,'MM G-Goats'!$B$5:$AI$24,34,FALSE)=" ",0,VLOOKUP($B6,'MM G-Goats'!$B$5:$AI$24,34,FALSE)),0)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102</v>
      </c>
      <c r="AB6" s="95">
        <f t="shared" si="16"/>
        <v>102</v>
      </c>
      <c r="AC6" s="91">
        <f t="shared" si="17"/>
        <v>2</v>
      </c>
    </row>
    <row r="7" spans="2:29" x14ac:dyDescent="0.3">
      <c r="B7" s="152" t="s">
        <v>193</v>
      </c>
      <c r="C7" s="120">
        <f>IFERROR(IF(VLOOKUP($B7,'MM G-Dummy Roping'!$B$5:$AI$24,6,FALSE)=" ",0,VLOOKUP($B7,'MM G-Dummy Roping'!$B$5:$AI$24,6,FALSE)),0)+IFERROR(IF(VLOOKUP($B7,'MM G-Barrels'!$B$5:$AI$24,6,FALSE)=" ",0,VLOOKUP($B7,'MM G-Barrels'!$B$5:$AI$24,6,FALSE)),0)+IFERROR(IF(VLOOKUP($B7,'MM G-Figure 8'!$B$5:$AI$24,6,FALSE)=" ",0,VLOOKUP($B7,'MM G-Figure 8'!$B$5:$AI$24,6,FALSE)),0)+IFERROR(IF(VLOOKUP($B7,'MM G-Goats'!$B$5:$AI$24,6,FALSE)=" ",0,VLOOKUP($B7,'MM G-Goats'!$B$5:$AI$24,6,FALSE)),0)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IFERROR(IF(VLOOKUP($B7,'MM G-Dummy Roping'!$B$5:$AI$24,10,FALSE)=" ",0,VLOOKUP($B7,'MM G-Dummy Roping'!$B$5:$AI$24,10,FALSE)),0)+IFERROR(IF(VLOOKUP($B7,'MM G-Barrels'!$B$5:$AI$24,10,FALSE)=" ",0,VLOOKUP($B7,'MM G-Barrels'!$B$5:$AI$24,10,FALSE)),0)+IFERROR(IF(VLOOKUP($B7,'MM G-Figure 8'!$B$5:$AI$24,10,FALSE)=" ",0,VLOOKUP($B7,'MM G-Figure 8'!$B$5:$AI$24,10,FALSE)),0)+IFERROR(IF(VLOOKUP($B7,'MM G-Goats'!$B$5:$AI$24,10,FALSE)=" ",0,VLOOKUP($B7,'MM G-Goats'!$B$5:$AI$24,10,FALSE)),0)</f>
        <v>23</v>
      </c>
      <c r="G7" s="95">
        <f t="shared" si="2"/>
        <v>23</v>
      </c>
      <c r="H7" s="91">
        <f t="shared" si="3"/>
        <v>4</v>
      </c>
      <c r="I7" s="121">
        <f>IFERROR(IF(VLOOKUP($B7,'MM G-Dummy Roping'!$B$5:$AI$24,14,FALSE)=" ",0,VLOOKUP($B7,'MM G-Dummy Roping'!$B$5:$AI$24,14,FALSE)),0)+IFERROR(IF(VLOOKUP($B7,'MM G-Barrels'!$B$5:$AI$24,14,FALSE)=" ",0,VLOOKUP($B7,'MM G-Barrels'!$B$5:$AI$24,14,FALSE)),0)+IFERROR(IF(VLOOKUP($B7,'MM G-Figure 8'!$B$5:$AI$24,14,FALSE)=" ",0,VLOOKUP($B7,'MM G-Figure 8'!$B$5:$AI$24,14,FALSE)),0)+IFERROR(IF(VLOOKUP($B7,'MM G-Goats'!$B$5:$AI$24,14,FALSE)=" ",0,VLOOKUP($B7,'MM G-Goats'!$B$5:$AI$24,14,FALSE)),0)</f>
        <v>30</v>
      </c>
      <c r="J7" s="95">
        <f t="shared" si="4"/>
        <v>30</v>
      </c>
      <c r="K7" s="91">
        <f t="shared" si="5"/>
        <v>3</v>
      </c>
      <c r="L7" s="121">
        <f>IFERROR(IF(VLOOKUP($B7,'MM G-Dummy Roping'!$B$5:$AI$24,18,FALSE)=" ",0,VLOOKUP($B7,'MM G-Dummy Roping'!$B$5:$AI$24,18,FALSE)),0)+IFERROR(IF(VLOOKUP($B7,'MM G-Barrels'!$B$5:$AI$24,18,FALSE)=" ",0,VLOOKUP($B7,'MM G-Barrels'!$B$5:$AI$24,18,FALSE)),0)+IFERROR(IF(VLOOKUP($B7,'MM G-Figure 8'!$B$5:$AI$24,18,FALSE)=" ",0,VLOOKUP($B7,'MM G-Figure 8'!$B$5:$AI$24,18,FALSE)),0)+IFERROR(IF(VLOOKUP($B7,'MM G-Goats'!$B$5:$AI$24,18,FALSE)=" ",0,VLOOKUP($B7,'MM G-Goats'!$B$5:$AI$24,18,FALSE)),0)</f>
        <v>36</v>
      </c>
      <c r="M7" s="95">
        <f t="shared" si="6"/>
        <v>36</v>
      </c>
      <c r="N7" s="91">
        <f t="shared" si="7"/>
        <v>2</v>
      </c>
      <c r="O7" s="121">
        <f>IFERROR(IF(VLOOKUP($B7,'MM G-Dummy Roping'!$B$5:$AI$24,22,FALSE)=" ",0,VLOOKUP($B7,'MM G-Dummy Roping'!$B$5:$AI$24,22,FALSE)),0)+IFERROR(IF(VLOOKUP($B7,'MM G-Barrels'!$B$5:$AI$24,22,FALSE)=" ",0,VLOOKUP($B7,'MM G-Barrels'!$B$5:$AI$24,22,FALSE)),0)+IFERROR(IF(VLOOKUP($B7,'MM G-Figure 8'!$B$5:$AI$24,22,FALSE)=" ",0,VLOOKUP($B7,'MM G-Figure 8'!$B$5:$AI$24,22,FALSE)),0)+IFERROR(IF(VLOOKUP($B7,'MM G-Goats'!$B$5:$AI$24,22,FALSE)=" ",0,VLOOKUP($B7,'MM G-Goats'!$B$5:$AI$24,22,FALSE)),0)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IFERROR(IF(VLOOKUP($B7,'MM G-Dummy Roping'!$B$5:$AI$24,26,FALSE)=" ",0,VLOOKUP($B7,'MM G-Dummy Roping'!$B$5:$AI$24,26,FALSE)),0)+IFERROR(IF(VLOOKUP($B7,'MM G-Barrels'!$B$5:$AI$24,26,FALSE)=" ",0,VLOOKUP($B7,'MM G-Barrels'!$B$5:$AI$24,26,FALSE)),0)+IFERROR(IF(VLOOKUP($B7,'MM G-Figure 8'!$B$5:$AI$24,26,FALSE)=" ",0,VLOOKUP($B7,'MM G-Figure 8'!$B$5:$AI$24,26,FALSE)),0)+IFERROR(IF(VLOOKUP($B7,'MM G-Goats'!$B$5:$AI$24,26,FALSE)=" ",0,VLOOKUP($B7,'MM G-Goats'!$B$5:$AI$24,26,FALSE)),0)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IFERROR(IF(VLOOKUP($B7,'MM G-Dummy Roping'!$B$5:$AI$24,30,FALSE)=" ",0,VLOOKUP($B7,'MM G-Dummy Roping'!$B$5:$AI$24,30,FALSE)),0)+IFERROR(IF(VLOOKUP($B7,'MM G-Barrels'!$B$5:$AI$24,30,FALSE)=" ",0,VLOOKUP($B7,'MM G-Barrels'!$B$5:$AI$24,30,FALSE)),0)+IFERROR(IF(VLOOKUP($B7,'MM G-Figure 8'!$B$5:$AI$24,30,FALSE)=" ",0,VLOOKUP($B7,'MM G-Figure 8'!$B$5:$AI$24,30,FALSE)),0)+IFERROR(IF(VLOOKUP($B7,'MM G-Goats'!$B$5:$AI$24,30,FALSE)=" ",0,VLOOKUP($B7,'MM G-Goats'!$B$5:$AI$24,30,FALSE)),0)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IFERROR(IF(VLOOKUP($B7,'MM G-Dummy Roping'!$B$5:$AI$24,34,FALSE)=" ",0,VLOOKUP($B7,'MM G-Dummy Roping'!$B$5:$AI$24,34,FALSE)),0)+IFERROR(IF(VLOOKUP($B7,'MM G-Barrels'!$B$5:$AI$24,34,FALSE)=" ",0,VLOOKUP($B7,'MM G-Barrels'!$B$5:$AI$24,34,FALSE)),0)+IFERROR(IF(VLOOKUP($B7,'MM G-Figure 8'!$B$5:$AI$24,34,FALSE)=" ",0,VLOOKUP($B7,'MM G-Figure 8'!$B$5:$AI$24,34,FALSE)),0)+IFERROR(IF(VLOOKUP($B7,'MM G-Goats'!$B$5:$AI$24,34,FALSE)=" ",0,VLOOKUP($B7,'MM G-Goats'!$B$5:$AI$24,34,FALSE)),0)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89</v>
      </c>
      <c r="AB7" s="95">
        <f t="shared" si="16"/>
        <v>89</v>
      </c>
      <c r="AC7" s="91">
        <f t="shared" si="17"/>
        <v>3</v>
      </c>
    </row>
    <row r="8" spans="2:29" x14ac:dyDescent="0.3">
      <c r="B8" s="152" t="s">
        <v>91</v>
      </c>
      <c r="C8" s="120">
        <f>IFERROR(IF(VLOOKUP($B8,'MM G-Dummy Roping'!$B$5:$AI$24,6,FALSE)=" ",0,VLOOKUP($B8,'MM G-Dummy Roping'!$B$5:$AI$24,6,FALSE)),0)+IFERROR(IF(VLOOKUP($B8,'MM G-Barrels'!$B$5:$AI$24,6,FALSE)=" ",0,VLOOKUP($B8,'MM G-Barrels'!$B$5:$AI$24,6,FALSE)),0)+IFERROR(IF(VLOOKUP($B8,'MM G-Figure 8'!$B$5:$AI$24,6,FALSE)=" ",0,VLOOKUP($B8,'MM G-Figure 8'!$B$5:$AI$24,6,FALSE)),0)+IFERROR(IF(VLOOKUP($B8,'MM G-Goats'!$B$5:$AI$24,6,FALSE)=" ",0,VLOOKUP($B8,'MM G-Goats'!$B$5:$AI$24,6,FALSE)),0)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IFERROR(IF(VLOOKUP($B8,'MM G-Dummy Roping'!$B$5:$AI$24,10,FALSE)=" ",0,VLOOKUP($B8,'MM G-Dummy Roping'!$B$5:$AI$24,10,FALSE)),0)+IFERROR(IF(VLOOKUP($B8,'MM G-Barrels'!$B$5:$AI$24,10,FALSE)=" ",0,VLOOKUP($B8,'MM G-Barrels'!$B$5:$AI$24,10,FALSE)),0)+IFERROR(IF(VLOOKUP($B8,'MM G-Figure 8'!$B$5:$AI$24,10,FALSE)=" ",0,VLOOKUP($B8,'MM G-Figure 8'!$B$5:$AI$24,10,FALSE)),0)+IFERROR(IF(VLOOKUP($B8,'MM G-Goats'!$B$5:$AI$24,10,FALSE)=" ",0,VLOOKUP($B8,'MM G-Goats'!$B$5:$AI$24,10,FALSE)),0)</f>
        <v>23</v>
      </c>
      <c r="G8" s="95">
        <f t="shared" si="2"/>
        <v>23</v>
      </c>
      <c r="H8" s="91">
        <f t="shared" si="3"/>
        <v>4</v>
      </c>
      <c r="I8" s="121">
        <f>IFERROR(IF(VLOOKUP($B8,'MM G-Dummy Roping'!$B$5:$AI$24,14,FALSE)=" ",0,VLOOKUP($B8,'MM G-Dummy Roping'!$B$5:$AI$24,14,FALSE)),0)+IFERROR(IF(VLOOKUP($B8,'MM G-Barrels'!$B$5:$AI$24,14,FALSE)=" ",0,VLOOKUP($B8,'MM G-Barrels'!$B$5:$AI$24,14,FALSE)),0)+IFERROR(IF(VLOOKUP($B8,'MM G-Figure 8'!$B$5:$AI$24,14,FALSE)=" ",0,VLOOKUP($B8,'MM G-Figure 8'!$B$5:$AI$24,14,FALSE)),0)+IFERROR(IF(VLOOKUP($B8,'MM G-Goats'!$B$5:$AI$24,14,FALSE)=" ",0,VLOOKUP($B8,'MM G-Goats'!$B$5:$AI$24,14,FALSE)),0)</f>
        <v>27</v>
      </c>
      <c r="J8" s="95">
        <f t="shared" si="4"/>
        <v>27</v>
      </c>
      <c r="K8" s="91">
        <f t="shared" si="5"/>
        <v>4</v>
      </c>
      <c r="L8" s="121">
        <f>IFERROR(IF(VLOOKUP($B8,'MM G-Dummy Roping'!$B$5:$AI$24,18,FALSE)=" ",0,VLOOKUP($B8,'MM G-Dummy Roping'!$B$5:$AI$24,18,FALSE)),0)+IFERROR(IF(VLOOKUP($B8,'MM G-Barrels'!$B$5:$AI$24,18,FALSE)=" ",0,VLOOKUP($B8,'MM G-Barrels'!$B$5:$AI$24,18,FALSE)),0)+IFERROR(IF(VLOOKUP($B8,'MM G-Figure 8'!$B$5:$AI$24,18,FALSE)=" ",0,VLOOKUP($B8,'MM G-Figure 8'!$B$5:$AI$24,18,FALSE)),0)+IFERROR(IF(VLOOKUP($B8,'MM G-Goats'!$B$5:$AI$24,18,FALSE)=" ",0,VLOOKUP($B8,'MM G-Goats'!$B$5:$AI$24,18,FALSE)),0)</f>
        <v>34.5</v>
      </c>
      <c r="M8" s="95">
        <f t="shared" si="6"/>
        <v>34.5</v>
      </c>
      <c r="N8" s="91">
        <f t="shared" si="7"/>
        <v>3</v>
      </c>
      <c r="O8" s="121">
        <f>IFERROR(IF(VLOOKUP($B8,'MM G-Dummy Roping'!$B$5:$AI$24,22,FALSE)=" ",0,VLOOKUP($B8,'MM G-Dummy Roping'!$B$5:$AI$24,22,FALSE)),0)+IFERROR(IF(VLOOKUP($B8,'MM G-Barrels'!$B$5:$AI$24,22,FALSE)=" ",0,VLOOKUP($B8,'MM G-Barrels'!$B$5:$AI$24,22,FALSE)),0)+IFERROR(IF(VLOOKUP($B8,'MM G-Figure 8'!$B$5:$AI$24,22,FALSE)=" ",0,VLOOKUP($B8,'MM G-Figure 8'!$B$5:$AI$24,22,FALSE)),0)+IFERROR(IF(VLOOKUP($B8,'MM G-Goats'!$B$5:$AI$24,22,FALSE)=" ",0,VLOOKUP($B8,'MM G-Goats'!$B$5:$AI$24,22,FALSE)),0)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IFERROR(IF(VLOOKUP($B8,'MM G-Dummy Roping'!$B$5:$AI$24,26,FALSE)=" ",0,VLOOKUP($B8,'MM G-Dummy Roping'!$B$5:$AI$24,26,FALSE)),0)+IFERROR(IF(VLOOKUP($B8,'MM G-Barrels'!$B$5:$AI$24,26,FALSE)=" ",0,VLOOKUP($B8,'MM G-Barrels'!$B$5:$AI$24,26,FALSE)),0)+IFERROR(IF(VLOOKUP($B8,'MM G-Figure 8'!$B$5:$AI$24,26,FALSE)=" ",0,VLOOKUP($B8,'MM G-Figure 8'!$B$5:$AI$24,26,FALSE)),0)+IFERROR(IF(VLOOKUP($B8,'MM G-Goats'!$B$5:$AI$24,26,FALSE)=" ",0,VLOOKUP($B8,'MM G-Goats'!$B$5:$AI$24,26,FALSE)),0)</f>
        <v>0</v>
      </c>
      <c r="S8" s="95" t="str">
        <f t="shared" si="10"/>
        <v xml:space="preserve"> </v>
      </c>
      <c r="T8" s="91" t="str">
        <f t="shared" si="11"/>
        <v xml:space="preserve"> </v>
      </c>
      <c r="U8" s="121">
        <f>IFERROR(IF(VLOOKUP($B8,'MM G-Dummy Roping'!$B$5:$AI$24,30,FALSE)=" ",0,VLOOKUP($B8,'MM G-Dummy Roping'!$B$5:$AI$24,30,FALSE)),0)+IFERROR(IF(VLOOKUP($B8,'MM G-Barrels'!$B$5:$AI$24,30,FALSE)=" ",0,VLOOKUP($B8,'MM G-Barrels'!$B$5:$AI$24,30,FALSE)),0)+IFERROR(IF(VLOOKUP($B8,'MM G-Figure 8'!$B$5:$AI$24,30,FALSE)=" ",0,VLOOKUP($B8,'MM G-Figure 8'!$B$5:$AI$24,30,FALSE)),0)+IFERROR(IF(VLOOKUP($B8,'MM G-Goats'!$B$5:$AI$24,30,FALSE)=" ",0,VLOOKUP($B8,'MM G-Goats'!$B$5:$AI$24,30,FALSE)),0)</f>
        <v>0</v>
      </c>
      <c r="V8" s="95" t="str">
        <f t="shared" si="12"/>
        <v xml:space="preserve"> </v>
      </c>
      <c r="W8" s="91" t="str">
        <f t="shared" si="13"/>
        <v xml:space="preserve"> </v>
      </c>
      <c r="X8" s="121">
        <f>IFERROR(IF(VLOOKUP($B8,'MM G-Dummy Roping'!$B$5:$AI$24,34,FALSE)=" ",0,VLOOKUP($B8,'MM G-Dummy Roping'!$B$5:$AI$24,34,FALSE)),0)+IFERROR(IF(VLOOKUP($B8,'MM G-Barrels'!$B$5:$AI$24,34,FALSE)=" ",0,VLOOKUP($B8,'MM G-Barrels'!$B$5:$AI$24,34,FALSE)),0)+IFERROR(IF(VLOOKUP($B8,'MM G-Figure 8'!$B$5:$AI$24,34,FALSE)=" ",0,VLOOKUP($B8,'MM G-Figure 8'!$B$5:$AI$24,34,FALSE)),0)+IFERROR(IF(VLOOKUP($B8,'MM G-Goats'!$B$5:$AI$24,34,FALSE)=" ",0,VLOOKUP($B8,'MM G-Goats'!$B$5:$AI$24,34,FALSE)),0)</f>
        <v>0</v>
      </c>
      <c r="Y8" s="95" t="str">
        <f t="shared" si="14"/>
        <v xml:space="preserve"> </v>
      </c>
      <c r="Z8" s="91" t="str">
        <f t="shared" si="15"/>
        <v xml:space="preserve"> </v>
      </c>
      <c r="AA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84.5</v>
      </c>
      <c r="AB8" s="95">
        <f t="shared" si="16"/>
        <v>84.5</v>
      </c>
      <c r="AC8" s="91">
        <f t="shared" si="17"/>
        <v>4</v>
      </c>
    </row>
    <row r="9" spans="2:29" x14ac:dyDescent="0.3">
      <c r="B9" s="152" t="s">
        <v>179</v>
      </c>
      <c r="C9" s="120">
        <f>IFERROR(IF(VLOOKUP($B9,'MM G-Dummy Roping'!$B$5:$AI$24,6,FALSE)=" ",0,VLOOKUP($B9,'MM G-Dummy Roping'!$B$5:$AI$24,6,FALSE)),0)+IFERROR(IF(VLOOKUP($B9,'MM G-Barrels'!$B$5:$AI$24,6,FALSE)=" ",0,VLOOKUP($B9,'MM G-Barrels'!$B$5:$AI$24,6,FALSE)),0)+IFERROR(IF(VLOOKUP($B9,'MM G-Figure 8'!$B$5:$AI$24,6,FALSE)=" ",0,VLOOKUP($B9,'MM G-Figure 8'!$B$5:$AI$24,6,FALSE)),0)+IFERROR(IF(VLOOKUP($B9,'MM G-Goats'!$B$5:$AI$24,6,FALSE)=" ",0,VLOOKUP($B9,'MM G-Goats'!$B$5:$AI$24,6,FALSE)),0)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IFERROR(IF(VLOOKUP($B9,'MM G-Dummy Roping'!$B$5:$AI$24,10,FALSE)=" ",0,VLOOKUP($B9,'MM G-Dummy Roping'!$B$5:$AI$24,10,FALSE)),0)+IFERROR(IF(VLOOKUP($B9,'MM G-Barrels'!$B$5:$AI$24,10,FALSE)=" ",0,VLOOKUP($B9,'MM G-Barrels'!$B$5:$AI$24,10,FALSE)),0)+IFERROR(IF(VLOOKUP($B9,'MM G-Figure 8'!$B$5:$AI$24,10,FALSE)=" ",0,VLOOKUP($B9,'MM G-Figure 8'!$B$5:$AI$24,10,FALSE)),0)+IFERROR(IF(VLOOKUP($B9,'MM G-Goats'!$B$5:$AI$24,10,FALSE)=" ",0,VLOOKUP($B9,'MM G-Goats'!$B$5:$AI$24,10,FALSE)),0)</f>
        <v>20</v>
      </c>
      <c r="G9" s="95">
        <f t="shared" si="2"/>
        <v>20</v>
      </c>
      <c r="H9" s="122">
        <f t="shared" si="3"/>
        <v>6</v>
      </c>
      <c r="I9" s="121">
        <f>IFERROR(IF(VLOOKUP($B9,'MM G-Dummy Roping'!$B$5:$AI$24,14,FALSE)=" ",0,VLOOKUP($B9,'MM G-Dummy Roping'!$B$5:$AI$24,14,FALSE)),0)+IFERROR(IF(VLOOKUP($B9,'MM G-Barrels'!$B$5:$AI$24,14,FALSE)=" ",0,VLOOKUP($B9,'MM G-Barrels'!$B$5:$AI$24,14,FALSE)),0)+IFERROR(IF(VLOOKUP($B9,'MM G-Figure 8'!$B$5:$AI$24,14,FALSE)=" ",0,VLOOKUP($B9,'MM G-Figure 8'!$B$5:$AI$24,14,FALSE)),0)+IFERROR(IF(VLOOKUP($B9,'MM G-Goats'!$B$5:$AI$24,14,FALSE)=" ",0,VLOOKUP($B9,'MM G-Goats'!$B$5:$AI$24,14,FALSE)),0)</f>
        <v>18</v>
      </c>
      <c r="J9" s="95">
        <f t="shared" si="4"/>
        <v>18</v>
      </c>
      <c r="K9" s="122">
        <f t="shared" si="5"/>
        <v>5</v>
      </c>
      <c r="L9" s="121">
        <f>IFERROR(IF(VLOOKUP($B9,'MM G-Dummy Roping'!$B$5:$AI$24,18,FALSE)=" ",0,VLOOKUP($B9,'MM G-Dummy Roping'!$B$5:$AI$24,18,FALSE)),0)+IFERROR(IF(VLOOKUP($B9,'MM G-Barrels'!$B$5:$AI$24,18,FALSE)=" ",0,VLOOKUP($B9,'MM G-Barrels'!$B$5:$AI$24,18,FALSE)),0)+IFERROR(IF(VLOOKUP($B9,'MM G-Figure 8'!$B$5:$AI$24,18,FALSE)=" ",0,VLOOKUP($B9,'MM G-Figure 8'!$B$5:$AI$24,18,FALSE)),0)+IFERROR(IF(VLOOKUP($B9,'MM G-Goats'!$B$5:$AI$24,18,FALSE)=" ",0,VLOOKUP($B9,'MM G-Goats'!$B$5:$AI$24,18,FALSE)),0)</f>
        <v>28.5</v>
      </c>
      <c r="M9" s="95">
        <f t="shared" si="6"/>
        <v>28.5</v>
      </c>
      <c r="N9" s="122">
        <f t="shared" si="7"/>
        <v>4</v>
      </c>
      <c r="O9" s="121">
        <f>IFERROR(IF(VLOOKUP($B9,'MM G-Dummy Roping'!$B$5:$AI$24,22,FALSE)=" ",0,VLOOKUP($B9,'MM G-Dummy Roping'!$B$5:$AI$24,22,FALSE)),0)+IFERROR(IF(VLOOKUP($B9,'MM G-Barrels'!$B$5:$AI$24,22,FALSE)=" ",0,VLOOKUP($B9,'MM G-Barrels'!$B$5:$AI$24,22,FALSE)),0)+IFERROR(IF(VLOOKUP($B9,'MM G-Figure 8'!$B$5:$AI$24,22,FALSE)=" ",0,VLOOKUP($B9,'MM G-Figure 8'!$B$5:$AI$24,22,FALSE)),0)+IFERROR(IF(VLOOKUP($B9,'MM G-Goats'!$B$5:$AI$24,22,FALSE)=" ",0,VLOOKUP($B9,'MM G-Goats'!$B$5:$AI$24,22,FALSE)),0)</f>
        <v>0</v>
      </c>
      <c r="P9" s="95" t="str">
        <f t="shared" si="8"/>
        <v xml:space="preserve"> </v>
      </c>
      <c r="Q9" s="122" t="str">
        <f t="shared" si="9"/>
        <v xml:space="preserve"> </v>
      </c>
      <c r="R9" s="121">
        <f>IFERROR(IF(VLOOKUP($B9,'MM G-Dummy Roping'!$B$5:$AI$24,26,FALSE)=" ",0,VLOOKUP($B9,'MM G-Dummy Roping'!$B$5:$AI$24,26,FALSE)),0)+IFERROR(IF(VLOOKUP($B9,'MM G-Barrels'!$B$5:$AI$24,26,FALSE)=" ",0,VLOOKUP($B9,'MM G-Barrels'!$B$5:$AI$24,26,FALSE)),0)+IFERROR(IF(VLOOKUP($B9,'MM G-Figure 8'!$B$5:$AI$24,26,FALSE)=" ",0,VLOOKUP($B9,'MM G-Figure 8'!$B$5:$AI$24,26,FALSE)),0)+IFERROR(IF(VLOOKUP($B9,'MM G-Goats'!$B$5:$AI$24,26,FALSE)=" ",0,VLOOKUP($B9,'MM G-Goats'!$B$5:$AI$24,26,FALSE)),0)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IFERROR(IF(VLOOKUP($B9,'MM G-Dummy Roping'!$B$5:$AI$24,30,FALSE)=" ",0,VLOOKUP($B9,'MM G-Dummy Roping'!$B$5:$AI$24,30,FALSE)),0)+IFERROR(IF(VLOOKUP($B9,'MM G-Barrels'!$B$5:$AI$24,30,FALSE)=" ",0,VLOOKUP($B9,'MM G-Barrels'!$B$5:$AI$24,30,FALSE)),0)+IFERROR(IF(VLOOKUP($B9,'MM G-Figure 8'!$B$5:$AI$24,30,FALSE)=" ",0,VLOOKUP($B9,'MM G-Figure 8'!$B$5:$AI$24,30,FALSE)),0)+IFERROR(IF(VLOOKUP($B9,'MM G-Goats'!$B$5:$AI$24,30,FALSE)=" ",0,VLOOKUP($B9,'MM G-Goats'!$B$5:$AI$24,30,FALSE)),0)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IFERROR(IF(VLOOKUP($B9,'MM G-Dummy Roping'!$B$5:$AI$24,34,FALSE)=" ",0,VLOOKUP($B9,'MM G-Dummy Roping'!$B$5:$AI$24,34,FALSE)),0)+IFERROR(IF(VLOOKUP($B9,'MM G-Barrels'!$B$5:$AI$24,34,FALSE)=" ",0,VLOOKUP($B9,'MM G-Barrels'!$B$5:$AI$24,34,FALSE)),0)+IFERROR(IF(VLOOKUP($B9,'MM G-Figure 8'!$B$5:$AI$24,34,FALSE)=" ",0,VLOOKUP($B9,'MM G-Figure 8'!$B$5:$AI$24,34,FALSE)),0)+IFERROR(IF(VLOOKUP($B9,'MM G-Goats'!$B$5:$AI$24,34,FALSE)=" ",0,VLOOKUP($B9,'MM G-Goats'!$B$5:$AI$24,34,FALSE)),0)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66.5</v>
      </c>
      <c r="AB9" s="95">
        <f t="shared" si="16"/>
        <v>66.5</v>
      </c>
      <c r="AC9" s="122">
        <f t="shared" si="17"/>
        <v>5</v>
      </c>
    </row>
    <row r="10" spans="2:29" x14ac:dyDescent="0.3">
      <c r="B10" s="152" t="s">
        <v>259</v>
      </c>
      <c r="C10" s="120">
        <f>IFERROR(IF(VLOOKUP($B10,'MM G-Dummy Roping'!$B$5:$AI$24,6,FALSE)=" ",0,VLOOKUP($B10,'MM G-Dummy Roping'!$B$5:$AI$24,6,FALSE)),0)+IFERROR(IF(VLOOKUP($B10,'MM G-Barrels'!$B$5:$AI$24,6,FALSE)=" ",0,VLOOKUP($B10,'MM G-Barrels'!$B$5:$AI$24,6,FALSE)),0)+IFERROR(IF(VLOOKUP($B10,'MM G-Figure 8'!$B$5:$AI$24,6,FALSE)=" ",0,VLOOKUP($B10,'MM G-Figure 8'!$B$5:$AI$24,6,FALSE)),0)+IFERROR(IF(VLOOKUP($B10,'MM G-Goats'!$B$5:$AI$24,6,FALSE)=" ",0,VLOOKUP($B10,'MM G-Goats'!$B$5:$AI$24,6,FALSE)),0)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IFERROR(IF(VLOOKUP($B10,'MM G-Dummy Roping'!$B$5:$AI$24,10,FALSE)=" ",0,VLOOKUP($B10,'MM G-Dummy Roping'!$B$5:$AI$24,10,FALSE)),0)+IFERROR(IF(VLOOKUP($B10,'MM G-Barrels'!$B$5:$AI$24,10,FALSE)=" ",0,VLOOKUP($B10,'MM G-Barrels'!$B$5:$AI$24,10,FALSE)),0)+IFERROR(IF(VLOOKUP($B10,'MM G-Figure 8'!$B$5:$AI$24,10,FALSE)=" ",0,VLOOKUP($B10,'MM G-Figure 8'!$B$5:$AI$24,10,FALSE)),0)+IFERROR(IF(VLOOKUP($B10,'MM G-Goats'!$B$5:$AI$24,10,FALSE)=" ",0,VLOOKUP($B10,'MM G-Goats'!$B$5:$AI$24,10,FALSE)),0)</f>
        <v>29</v>
      </c>
      <c r="G10" s="95">
        <f t="shared" si="2"/>
        <v>29</v>
      </c>
      <c r="H10" s="91">
        <f t="shared" si="3"/>
        <v>3</v>
      </c>
      <c r="I10" s="121">
        <f>IFERROR(IF(VLOOKUP($B10,'MM G-Dummy Roping'!$B$5:$AI$24,14,FALSE)=" ",0,VLOOKUP($B10,'MM G-Dummy Roping'!$B$5:$AI$24,14,FALSE)),0)+IFERROR(IF(VLOOKUP($B10,'MM G-Barrels'!$B$5:$AI$24,14,FALSE)=" ",0,VLOOKUP($B10,'MM G-Barrels'!$B$5:$AI$24,14,FALSE)),0)+IFERROR(IF(VLOOKUP($B10,'MM G-Figure 8'!$B$5:$AI$24,14,FALSE)=" ",0,VLOOKUP($B10,'MM G-Figure 8'!$B$5:$AI$24,14,FALSE)),0)+IFERROR(IF(VLOOKUP($B10,'MM G-Goats'!$B$5:$AI$24,14,FALSE)=" ",0,VLOOKUP($B10,'MM G-Goats'!$B$5:$AI$24,14,FALSE)),0)</f>
        <v>15</v>
      </c>
      <c r="J10" s="95">
        <f t="shared" si="4"/>
        <v>15</v>
      </c>
      <c r="K10" s="91">
        <f t="shared" si="5"/>
        <v>7</v>
      </c>
      <c r="L10" s="121">
        <f>IFERROR(IF(VLOOKUP($B10,'MM G-Dummy Roping'!$B$5:$AI$24,18,FALSE)=" ",0,VLOOKUP($B10,'MM G-Dummy Roping'!$B$5:$AI$24,18,FALSE)),0)+IFERROR(IF(VLOOKUP($B10,'MM G-Barrels'!$B$5:$AI$24,18,FALSE)=" ",0,VLOOKUP($B10,'MM G-Barrels'!$B$5:$AI$24,18,FALSE)),0)+IFERROR(IF(VLOOKUP($B10,'MM G-Figure 8'!$B$5:$AI$24,18,FALSE)=" ",0,VLOOKUP($B10,'MM G-Figure 8'!$B$5:$AI$24,18,FALSE)),0)+IFERROR(IF(VLOOKUP($B10,'MM G-Goats'!$B$5:$AI$24,18,FALSE)=" ",0,VLOOKUP($B10,'MM G-Goats'!$B$5:$AI$24,18,FALSE)),0)</f>
        <v>15</v>
      </c>
      <c r="M10" s="95">
        <f t="shared" si="6"/>
        <v>15</v>
      </c>
      <c r="N10" s="91">
        <f t="shared" si="7"/>
        <v>7</v>
      </c>
      <c r="O10" s="121">
        <f>IFERROR(IF(VLOOKUP($B10,'MM G-Dummy Roping'!$B$5:$AI$24,22,FALSE)=" ",0,VLOOKUP($B10,'MM G-Dummy Roping'!$B$5:$AI$24,22,FALSE)),0)+IFERROR(IF(VLOOKUP($B10,'MM G-Barrels'!$B$5:$AI$24,22,FALSE)=" ",0,VLOOKUP($B10,'MM G-Barrels'!$B$5:$AI$24,22,FALSE)),0)+IFERROR(IF(VLOOKUP($B10,'MM G-Figure 8'!$B$5:$AI$24,22,FALSE)=" ",0,VLOOKUP($B10,'MM G-Figure 8'!$B$5:$AI$24,22,FALSE)),0)+IFERROR(IF(VLOOKUP($B10,'MM G-Goats'!$B$5:$AI$24,22,FALSE)=" ",0,VLOOKUP($B10,'MM G-Goats'!$B$5:$AI$24,22,FALSE)),0)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IFERROR(IF(VLOOKUP($B10,'MM G-Dummy Roping'!$B$5:$AI$24,26,FALSE)=" ",0,VLOOKUP($B10,'MM G-Dummy Roping'!$B$5:$AI$24,26,FALSE)),0)+IFERROR(IF(VLOOKUP($B10,'MM G-Barrels'!$B$5:$AI$24,26,FALSE)=" ",0,VLOOKUP($B10,'MM G-Barrels'!$B$5:$AI$24,26,FALSE)),0)+IFERROR(IF(VLOOKUP($B10,'MM G-Figure 8'!$B$5:$AI$24,26,FALSE)=" ",0,VLOOKUP($B10,'MM G-Figure 8'!$B$5:$AI$24,26,FALSE)),0)+IFERROR(IF(VLOOKUP($B10,'MM G-Goats'!$B$5:$AI$24,26,FALSE)=" ",0,VLOOKUP($B10,'MM G-Goats'!$B$5:$AI$24,26,FALSE)),0)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IFERROR(IF(VLOOKUP($B10,'MM G-Dummy Roping'!$B$5:$AI$24,30,FALSE)=" ",0,VLOOKUP($B10,'MM G-Dummy Roping'!$B$5:$AI$24,30,FALSE)),0)+IFERROR(IF(VLOOKUP($B10,'MM G-Barrels'!$B$5:$AI$24,30,FALSE)=" ",0,VLOOKUP($B10,'MM G-Barrels'!$B$5:$AI$24,30,FALSE)),0)+IFERROR(IF(VLOOKUP($B10,'MM G-Figure 8'!$B$5:$AI$24,30,FALSE)=" ",0,VLOOKUP($B10,'MM G-Figure 8'!$B$5:$AI$24,30,FALSE)),0)+IFERROR(IF(VLOOKUP($B10,'MM G-Goats'!$B$5:$AI$24,30,FALSE)=" ",0,VLOOKUP($B10,'MM G-Goats'!$B$5:$AI$24,30,FALSE)),0)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IFERROR(IF(VLOOKUP($B10,'MM G-Dummy Roping'!$B$5:$AI$24,34,FALSE)=" ",0,VLOOKUP($B10,'MM G-Dummy Roping'!$B$5:$AI$24,34,FALSE)),0)+IFERROR(IF(VLOOKUP($B10,'MM G-Barrels'!$B$5:$AI$24,34,FALSE)=" ",0,VLOOKUP($B10,'MM G-Barrels'!$B$5:$AI$24,34,FALSE)),0)+IFERROR(IF(VLOOKUP($B10,'MM G-Figure 8'!$B$5:$AI$24,34,FALSE)=" ",0,VLOOKUP($B10,'MM G-Figure 8'!$B$5:$AI$24,34,FALSE)),0)+IFERROR(IF(VLOOKUP($B10,'MM G-Goats'!$B$5:$AI$24,34,FALSE)=" ",0,VLOOKUP($B10,'MM G-Goats'!$B$5:$AI$24,34,FALSE)),0)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59</v>
      </c>
      <c r="AB10" s="95">
        <f t="shared" si="16"/>
        <v>59</v>
      </c>
      <c r="AC10" s="91">
        <f t="shared" si="17"/>
        <v>6</v>
      </c>
    </row>
    <row r="11" spans="2:29" x14ac:dyDescent="0.3">
      <c r="B11" s="152" t="s">
        <v>181</v>
      </c>
      <c r="C11" s="120">
        <f>IFERROR(IF(VLOOKUP($B11,'MM G-Dummy Roping'!$B$5:$AI$24,6,FALSE)=" ",0,VLOOKUP($B11,'MM G-Dummy Roping'!$B$5:$AI$24,6,FALSE)),0)+IFERROR(IF(VLOOKUP($B11,'MM G-Barrels'!$B$5:$AI$24,6,FALSE)=" ",0,VLOOKUP($B11,'MM G-Barrels'!$B$5:$AI$24,6,FALSE)),0)+IFERROR(IF(VLOOKUP($B11,'MM G-Figure 8'!$B$5:$AI$24,6,FALSE)=" ",0,VLOOKUP($B11,'MM G-Figure 8'!$B$5:$AI$24,6,FALSE)),0)+IFERROR(IF(VLOOKUP($B11,'MM G-Goats'!$B$5:$AI$24,6,FALSE)=" ",0,VLOOKUP($B11,'MM G-Goats'!$B$5:$AI$24,6,FALSE)),0)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IFERROR(IF(VLOOKUP($B11,'MM G-Dummy Roping'!$B$5:$AI$24,10,FALSE)=" ",0,VLOOKUP($B11,'MM G-Dummy Roping'!$B$5:$AI$24,10,FALSE)),0)+IFERROR(IF(VLOOKUP($B11,'MM G-Barrels'!$B$5:$AI$24,10,FALSE)=" ",0,VLOOKUP($B11,'MM G-Barrels'!$B$5:$AI$24,10,FALSE)),0)+IFERROR(IF(VLOOKUP($B11,'MM G-Figure 8'!$B$5:$AI$24,10,FALSE)=" ",0,VLOOKUP($B11,'MM G-Figure 8'!$B$5:$AI$24,10,FALSE)),0)+IFERROR(IF(VLOOKUP($B11,'MM G-Goats'!$B$5:$AI$24,10,FALSE)=" ",0,VLOOKUP($B11,'MM G-Goats'!$B$5:$AI$24,10,FALSE)),0)</f>
        <v>20</v>
      </c>
      <c r="G11" s="95">
        <f t="shared" si="2"/>
        <v>20</v>
      </c>
      <c r="H11" s="91">
        <f t="shared" si="3"/>
        <v>6</v>
      </c>
      <c r="I11" s="121">
        <f>IFERROR(IF(VLOOKUP($B11,'MM G-Dummy Roping'!$B$5:$AI$24,14,FALSE)=" ",0,VLOOKUP($B11,'MM G-Dummy Roping'!$B$5:$AI$24,14,FALSE)),0)+IFERROR(IF(VLOOKUP($B11,'MM G-Barrels'!$B$5:$AI$24,14,FALSE)=" ",0,VLOOKUP($B11,'MM G-Barrels'!$B$5:$AI$24,14,FALSE)),0)+IFERROR(IF(VLOOKUP($B11,'MM G-Figure 8'!$B$5:$AI$24,14,FALSE)=" ",0,VLOOKUP($B11,'MM G-Figure 8'!$B$5:$AI$24,14,FALSE)),0)+IFERROR(IF(VLOOKUP($B11,'MM G-Goats'!$B$5:$AI$24,14,FALSE)=" ",0,VLOOKUP($B11,'MM G-Goats'!$B$5:$AI$24,14,FALSE)),0)</f>
        <v>16.5</v>
      </c>
      <c r="J11" s="95">
        <f t="shared" si="4"/>
        <v>16.5</v>
      </c>
      <c r="K11" s="91">
        <f t="shared" si="5"/>
        <v>6</v>
      </c>
      <c r="L11" s="121">
        <f>IFERROR(IF(VLOOKUP($B11,'MM G-Dummy Roping'!$B$5:$AI$24,18,FALSE)=" ",0,VLOOKUP($B11,'MM G-Dummy Roping'!$B$5:$AI$24,18,FALSE)),0)+IFERROR(IF(VLOOKUP($B11,'MM G-Barrels'!$B$5:$AI$24,18,FALSE)=" ",0,VLOOKUP($B11,'MM G-Barrels'!$B$5:$AI$24,18,FALSE)),0)+IFERROR(IF(VLOOKUP($B11,'MM G-Figure 8'!$B$5:$AI$24,18,FALSE)=" ",0,VLOOKUP($B11,'MM G-Figure 8'!$B$5:$AI$24,18,FALSE)),0)+IFERROR(IF(VLOOKUP($B11,'MM G-Goats'!$B$5:$AI$24,18,FALSE)=" ",0,VLOOKUP($B11,'MM G-Goats'!$B$5:$AI$24,18,FALSE)),0)</f>
        <v>10.5</v>
      </c>
      <c r="M11" s="95">
        <f t="shared" si="6"/>
        <v>10.5</v>
      </c>
      <c r="N11" s="91">
        <f t="shared" si="7"/>
        <v>9</v>
      </c>
      <c r="O11" s="121">
        <f>IFERROR(IF(VLOOKUP($B11,'MM G-Dummy Roping'!$B$5:$AI$24,22,FALSE)=" ",0,VLOOKUP($B11,'MM G-Dummy Roping'!$B$5:$AI$24,22,FALSE)),0)+IFERROR(IF(VLOOKUP($B11,'MM G-Barrels'!$B$5:$AI$24,22,FALSE)=" ",0,VLOOKUP($B11,'MM G-Barrels'!$B$5:$AI$24,22,FALSE)),0)+IFERROR(IF(VLOOKUP($B11,'MM G-Figure 8'!$B$5:$AI$24,22,FALSE)=" ",0,VLOOKUP($B11,'MM G-Figure 8'!$B$5:$AI$24,22,FALSE)),0)+IFERROR(IF(VLOOKUP($B11,'MM G-Goats'!$B$5:$AI$24,22,FALSE)=" ",0,VLOOKUP($B11,'MM G-Goats'!$B$5:$AI$24,22,FALSE)),0)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IFERROR(IF(VLOOKUP($B11,'MM G-Dummy Roping'!$B$5:$AI$24,26,FALSE)=" ",0,VLOOKUP($B11,'MM G-Dummy Roping'!$B$5:$AI$24,26,FALSE)),0)+IFERROR(IF(VLOOKUP($B11,'MM G-Barrels'!$B$5:$AI$24,26,FALSE)=" ",0,VLOOKUP($B11,'MM G-Barrels'!$B$5:$AI$24,26,FALSE)),0)+IFERROR(IF(VLOOKUP($B11,'MM G-Figure 8'!$B$5:$AI$24,26,FALSE)=" ",0,VLOOKUP($B11,'MM G-Figure 8'!$B$5:$AI$24,26,FALSE)),0)+IFERROR(IF(VLOOKUP($B11,'MM G-Goats'!$B$5:$AI$24,26,FALSE)=" ",0,VLOOKUP($B11,'MM G-Goats'!$B$5:$AI$24,26,FALSE)),0)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IFERROR(IF(VLOOKUP($B11,'MM G-Dummy Roping'!$B$5:$AI$24,30,FALSE)=" ",0,VLOOKUP($B11,'MM G-Dummy Roping'!$B$5:$AI$24,30,FALSE)),0)+IFERROR(IF(VLOOKUP($B11,'MM G-Barrels'!$B$5:$AI$24,30,FALSE)=" ",0,VLOOKUP($B11,'MM G-Barrels'!$B$5:$AI$24,30,FALSE)),0)+IFERROR(IF(VLOOKUP($B11,'MM G-Figure 8'!$B$5:$AI$24,30,FALSE)=" ",0,VLOOKUP($B11,'MM G-Figure 8'!$B$5:$AI$24,30,FALSE)),0)+IFERROR(IF(VLOOKUP($B11,'MM G-Goats'!$B$5:$AI$24,30,FALSE)=" ",0,VLOOKUP($B11,'MM G-Goats'!$B$5:$AI$24,30,FALSE)),0)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IFERROR(IF(VLOOKUP($B11,'MM G-Dummy Roping'!$B$5:$AI$24,34,FALSE)=" ",0,VLOOKUP($B11,'MM G-Dummy Roping'!$B$5:$AI$24,34,FALSE)),0)+IFERROR(IF(VLOOKUP($B11,'MM G-Barrels'!$B$5:$AI$24,34,FALSE)=" ",0,VLOOKUP($B11,'MM G-Barrels'!$B$5:$AI$24,34,FALSE)),0)+IFERROR(IF(VLOOKUP($B11,'MM G-Figure 8'!$B$5:$AI$24,34,FALSE)=" ",0,VLOOKUP($B11,'MM G-Figure 8'!$B$5:$AI$24,34,FALSE)),0)+IFERROR(IF(VLOOKUP($B11,'MM G-Goats'!$B$5:$AI$24,34,FALSE)=" ",0,VLOOKUP($B11,'MM G-Goats'!$B$5:$AI$24,34,FALSE)),0)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47</v>
      </c>
      <c r="AB11" s="95">
        <f t="shared" si="16"/>
        <v>47</v>
      </c>
      <c r="AC11" s="91">
        <f t="shared" si="17"/>
        <v>7</v>
      </c>
    </row>
    <row r="12" spans="2:29" x14ac:dyDescent="0.3">
      <c r="B12" s="152" t="s">
        <v>84</v>
      </c>
      <c r="C12" s="120">
        <f>IFERROR(IF(VLOOKUP($B12,'MM G-Dummy Roping'!$B$5:$AI$24,6,FALSE)=" ",0,VLOOKUP($B12,'MM G-Dummy Roping'!$B$5:$AI$24,6,FALSE)),0)+IFERROR(IF(VLOOKUP($B12,'MM G-Barrels'!$B$5:$AI$24,6,FALSE)=" ",0,VLOOKUP($B12,'MM G-Barrels'!$B$5:$AI$24,6,FALSE)),0)+IFERROR(IF(VLOOKUP($B12,'MM G-Figure 8'!$B$5:$AI$24,6,FALSE)=" ",0,VLOOKUP($B12,'MM G-Figure 8'!$B$5:$AI$24,6,FALSE)),0)+IFERROR(IF(VLOOKUP($B12,'MM G-Goats'!$B$5:$AI$24,6,FALSE)=" ",0,VLOOKUP($B12,'MM G-Goats'!$B$5:$AI$24,6,FALSE)),0)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IFERROR(IF(VLOOKUP($B12,'MM G-Dummy Roping'!$B$5:$AI$24,10,FALSE)=" ",0,VLOOKUP($B12,'MM G-Dummy Roping'!$B$5:$AI$24,10,FALSE)),0)+IFERROR(IF(VLOOKUP($B12,'MM G-Barrels'!$B$5:$AI$24,10,FALSE)=" ",0,VLOOKUP($B12,'MM G-Barrels'!$B$5:$AI$24,10,FALSE)),0)+IFERROR(IF(VLOOKUP($B12,'MM G-Figure 8'!$B$5:$AI$24,10,FALSE)=" ",0,VLOOKUP($B12,'MM G-Figure 8'!$B$5:$AI$24,10,FALSE)),0)+IFERROR(IF(VLOOKUP($B12,'MM G-Goats'!$B$5:$AI$24,10,FALSE)=" ",0,VLOOKUP($B12,'MM G-Goats'!$B$5:$AI$24,10,FALSE)),0)</f>
        <v>18</v>
      </c>
      <c r="G12" s="95">
        <f t="shared" si="2"/>
        <v>18</v>
      </c>
      <c r="H12" s="91">
        <f t="shared" si="3"/>
        <v>8</v>
      </c>
      <c r="I12" s="121">
        <f>IFERROR(IF(VLOOKUP($B12,'MM G-Dummy Roping'!$B$5:$AI$24,14,FALSE)=" ",0,VLOOKUP($B12,'MM G-Dummy Roping'!$B$5:$AI$24,14,FALSE)),0)+IFERROR(IF(VLOOKUP($B12,'MM G-Barrels'!$B$5:$AI$24,14,FALSE)=" ",0,VLOOKUP($B12,'MM G-Barrels'!$B$5:$AI$24,14,FALSE)),0)+IFERROR(IF(VLOOKUP($B12,'MM G-Figure 8'!$B$5:$AI$24,14,FALSE)=" ",0,VLOOKUP($B12,'MM G-Figure 8'!$B$5:$AI$24,14,FALSE)),0)+IFERROR(IF(VLOOKUP($B12,'MM G-Goats'!$B$5:$AI$24,14,FALSE)=" ",0,VLOOKUP($B12,'MM G-Goats'!$B$5:$AI$24,14,FALSE)),0)</f>
        <v>12</v>
      </c>
      <c r="J12" s="95">
        <f t="shared" si="4"/>
        <v>12</v>
      </c>
      <c r="K12" s="91">
        <f t="shared" si="5"/>
        <v>9</v>
      </c>
      <c r="L12" s="121">
        <f>IFERROR(IF(VLOOKUP($B12,'MM G-Dummy Roping'!$B$5:$AI$24,18,FALSE)=" ",0,VLOOKUP($B12,'MM G-Dummy Roping'!$B$5:$AI$24,18,FALSE)),0)+IFERROR(IF(VLOOKUP($B12,'MM G-Barrels'!$B$5:$AI$24,18,FALSE)=" ",0,VLOOKUP($B12,'MM G-Barrels'!$B$5:$AI$24,18,FALSE)),0)+IFERROR(IF(VLOOKUP($B12,'MM G-Figure 8'!$B$5:$AI$24,18,FALSE)=" ",0,VLOOKUP($B12,'MM G-Figure 8'!$B$5:$AI$24,18,FALSE)),0)+IFERROR(IF(VLOOKUP($B12,'MM G-Goats'!$B$5:$AI$24,18,FALSE)=" ",0,VLOOKUP($B12,'MM G-Goats'!$B$5:$AI$24,18,FALSE)),0)</f>
        <v>6</v>
      </c>
      <c r="M12" s="95">
        <f t="shared" si="6"/>
        <v>6</v>
      </c>
      <c r="N12" s="91">
        <f t="shared" si="7"/>
        <v>10</v>
      </c>
      <c r="O12" s="121">
        <f>IFERROR(IF(VLOOKUP($B12,'MM G-Dummy Roping'!$B$5:$AI$24,22,FALSE)=" ",0,VLOOKUP($B12,'MM G-Dummy Roping'!$B$5:$AI$24,22,FALSE)),0)+IFERROR(IF(VLOOKUP($B12,'MM G-Barrels'!$B$5:$AI$24,22,FALSE)=" ",0,VLOOKUP($B12,'MM G-Barrels'!$B$5:$AI$24,22,FALSE)),0)+IFERROR(IF(VLOOKUP($B12,'MM G-Figure 8'!$B$5:$AI$24,22,FALSE)=" ",0,VLOOKUP($B12,'MM G-Figure 8'!$B$5:$AI$24,22,FALSE)),0)+IFERROR(IF(VLOOKUP($B12,'MM G-Goats'!$B$5:$AI$24,22,FALSE)=" ",0,VLOOKUP($B12,'MM G-Goats'!$B$5:$AI$24,22,FALSE)),0)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IFERROR(IF(VLOOKUP($B12,'MM G-Dummy Roping'!$B$5:$AI$24,26,FALSE)=" ",0,VLOOKUP($B12,'MM G-Dummy Roping'!$B$5:$AI$24,26,FALSE)),0)+IFERROR(IF(VLOOKUP($B12,'MM G-Barrels'!$B$5:$AI$24,26,FALSE)=" ",0,VLOOKUP($B12,'MM G-Barrels'!$B$5:$AI$24,26,FALSE)),0)+IFERROR(IF(VLOOKUP($B12,'MM G-Figure 8'!$B$5:$AI$24,26,FALSE)=" ",0,VLOOKUP($B12,'MM G-Figure 8'!$B$5:$AI$24,26,FALSE)),0)+IFERROR(IF(VLOOKUP($B12,'MM G-Goats'!$B$5:$AI$24,26,FALSE)=" ",0,VLOOKUP($B12,'MM G-Goats'!$B$5:$AI$24,26,FALSE)),0)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IFERROR(IF(VLOOKUP($B12,'MM G-Dummy Roping'!$B$5:$AI$24,30,FALSE)=" ",0,VLOOKUP($B12,'MM G-Dummy Roping'!$B$5:$AI$24,30,FALSE)),0)+IFERROR(IF(VLOOKUP($B12,'MM G-Barrels'!$B$5:$AI$24,30,FALSE)=" ",0,VLOOKUP($B12,'MM G-Barrels'!$B$5:$AI$24,30,FALSE)),0)+IFERROR(IF(VLOOKUP($B12,'MM G-Figure 8'!$B$5:$AI$24,30,FALSE)=" ",0,VLOOKUP($B12,'MM G-Figure 8'!$B$5:$AI$24,30,FALSE)),0)+IFERROR(IF(VLOOKUP($B12,'MM G-Goats'!$B$5:$AI$24,30,FALSE)=" ",0,VLOOKUP($B12,'MM G-Goats'!$B$5:$AI$24,30,FALSE)),0)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IFERROR(IF(VLOOKUP($B12,'MM G-Dummy Roping'!$B$5:$AI$24,34,FALSE)=" ",0,VLOOKUP($B12,'MM G-Dummy Roping'!$B$5:$AI$24,34,FALSE)),0)+IFERROR(IF(VLOOKUP($B12,'MM G-Barrels'!$B$5:$AI$24,34,FALSE)=" ",0,VLOOKUP($B12,'MM G-Barrels'!$B$5:$AI$24,34,FALSE)),0)+IFERROR(IF(VLOOKUP($B12,'MM G-Figure 8'!$B$5:$AI$24,34,FALSE)=" ",0,VLOOKUP($B12,'MM G-Figure 8'!$B$5:$AI$24,34,FALSE)),0)+IFERROR(IF(VLOOKUP($B12,'MM G-Goats'!$B$5:$AI$24,34,FALSE)=" ",0,VLOOKUP($B12,'MM G-Goats'!$B$5:$AI$24,34,FALSE)),0)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36</v>
      </c>
      <c r="AB12" s="95">
        <f t="shared" si="16"/>
        <v>36</v>
      </c>
      <c r="AC12" s="91">
        <f t="shared" si="17"/>
        <v>8</v>
      </c>
    </row>
    <row r="13" spans="2:29" x14ac:dyDescent="0.3">
      <c r="B13" s="141" t="s">
        <v>178</v>
      </c>
      <c r="C13" s="120">
        <f>IFERROR(IF(VLOOKUP($B13,'MM G-Dummy Roping'!$B$5:$AI$24,6,FALSE)=" ",0,VLOOKUP($B13,'MM G-Dummy Roping'!$B$5:$AI$24,6,FALSE)),0)+IFERROR(IF(VLOOKUP($B13,'MM G-Barrels'!$B$5:$AI$24,6,FALSE)=" ",0,VLOOKUP($B13,'MM G-Barrels'!$B$5:$AI$24,6,FALSE)),0)+IFERROR(IF(VLOOKUP($B13,'MM G-Figure 8'!$B$5:$AI$24,6,FALSE)=" ",0,VLOOKUP($B13,'MM G-Figure 8'!$B$5:$AI$24,6,FALSE)),0)+IFERROR(IF(VLOOKUP($B13,'MM G-Goats'!$B$5:$AI$24,6,FALSE)=" ",0,VLOOKUP($B13,'MM G-Goats'!$B$5:$AI$24,6,FALSE)),0)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G-Dummy Roping'!$B$5:$AI$24,10,FALSE)=" ",0,VLOOKUP($B13,'MM G-Dummy Roping'!$B$5:$AI$24,10,FALSE)),0)+IFERROR(IF(VLOOKUP($B13,'MM G-Barrels'!$B$5:$AI$24,10,FALSE)=" ",0,VLOOKUP($B13,'MM G-Barrels'!$B$5:$AI$24,10,FALSE)),0)+IFERROR(IF(VLOOKUP($B13,'MM G-Figure 8'!$B$5:$AI$24,10,FALSE)=" ",0,VLOOKUP($B13,'MM G-Figure 8'!$B$5:$AI$24,10,FALSE)),0)+IFERROR(IF(VLOOKUP($B13,'MM G-Goats'!$B$5:$AI$24,10,FALSE)=" ",0,VLOOKUP($B13,'MM G-Goats'!$B$5:$AI$24,10,FALSE)),0)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IFERROR(IF(VLOOKUP($B13,'MM G-Dummy Roping'!$B$5:$AI$24,14,FALSE)=" ",0,VLOOKUP($B13,'MM G-Dummy Roping'!$B$5:$AI$24,14,FALSE)),0)+IFERROR(IF(VLOOKUP($B13,'MM G-Barrels'!$B$5:$AI$24,14,FALSE)=" ",0,VLOOKUP($B13,'MM G-Barrels'!$B$5:$AI$24,14,FALSE)),0)+IFERROR(IF(VLOOKUP($B13,'MM G-Figure 8'!$B$5:$AI$24,14,FALSE)=" ",0,VLOOKUP($B13,'MM G-Figure 8'!$B$5:$AI$24,14,FALSE)),0)+IFERROR(IF(VLOOKUP($B13,'MM G-Goats'!$B$5:$AI$24,14,FALSE)=" ",0,VLOOKUP($B13,'MM G-Goats'!$B$5:$AI$24,14,FALSE)),0)</f>
        <v>15</v>
      </c>
      <c r="J13" s="95">
        <f t="shared" si="4"/>
        <v>15</v>
      </c>
      <c r="K13" s="91">
        <f t="shared" si="5"/>
        <v>7</v>
      </c>
      <c r="L13" s="121">
        <f>IFERROR(IF(VLOOKUP($B13,'MM G-Dummy Roping'!$B$5:$AI$24,18,FALSE)=" ",0,VLOOKUP($B13,'MM G-Dummy Roping'!$B$5:$AI$24,18,FALSE)),0)+IFERROR(IF(VLOOKUP($B13,'MM G-Barrels'!$B$5:$AI$24,18,FALSE)=" ",0,VLOOKUP($B13,'MM G-Barrels'!$B$5:$AI$24,18,FALSE)),0)+IFERROR(IF(VLOOKUP($B13,'MM G-Figure 8'!$B$5:$AI$24,18,FALSE)=" ",0,VLOOKUP($B13,'MM G-Figure 8'!$B$5:$AI$24,18,FALSE)),0)+IFERROR(IF(VLOOKUP($B13,'MM G-Goats'!$B$5:$AI$24,18,FALSE)=" ",0,VLOOKUP($B13,'MM G-Goats'!$B$5:$AI$24,18,FALSE)),0)</f>
        <v>12</v>
      </c>
      <c r="M13" s="95">
        <f t="shared" si="6"/>
        <v>12</v>
      </c>
      <c r="N13" s="91">
        <f t="shared" si="7"/>
        <v>8</v>
      </c>
      <c r="O13" s="121">
        <f>IFERROR(IF(VLOOKUP($B13,'MM G-Dummy Roping'!$B$5:$AI$24,22,FALSE)=" ",0,VLOOKUP($B13,'MM G-Dummy Roping'!$B$5:$AI$24,22,FALSE)),0)+IFERROR(IF(VLOOKUP($B13,'MM G-Barrels'!$B$5:$AI$24,22,FALSE)=" ",0,VLOOKUP($B13,'MM G-Barrels'!$B$5:$AI$24,22,FALSE)),0)+IFERROR(IF(VLOOKUP($B13,'MM G-Figure 8'!$B$5:$AI$24,22,FALSE)=" ",0,VLOOKUP($B13,'MM G-Figure 8'!$B$5:$AI$24,22,FALSE)),0)+IFERROR(IF(VLOOKUP($B13,'MM G-Goats'!$B$5:$AI$24,22,FALSE)=" ",0,VLOOKUP($B13,'MM G-Goats'!$B$5:$AI$24,22,FALSE)),0)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IFERROR(IF(VLOOKUP($B13,'MM G-Dummy Roping'!$B$5:$AI$24,26,FALSE)=" ",0,VLOOKUP($B13,'MM G-Dummy Roping'!$B$5:$AI$24,26,FALSE)),0)+IFERROR(IF(VLOOKUP($B13,'MM G-Barrels'!$B$5:$AI$24,26,FALSE)=" ",0,VLOOKUP($B13,'MM G-Barrels'!$B$5:$AI$24,26,FALSE)),0)+IFERROR(IF(VLOOKUP($B13,'MM G-Figure 8'!$B$5:$AI$24,26,FALSE)=" ",0,VLOOKUP($B13,'MM G-Figure 8'!$B$5:$AI$24,26,FALSE)),0)+IFERROR(IF(VLOOKUP($B13,'MM G-Goats'!$B$5:$AI$24,26,FALSE)=" ",0,VLOOKUP($B13,'MM G-Goats'!$B$5:$AI$24,26,FALSE)),0)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IFERROR(IF(VLOOKUP($B13,'MM G-Dummy Roping'!$B$5:$AI$24,30,FALSE)=" ",0,VLOOKUP($B13,'MM G-Dummy Roping'!$B$5:$AI$24,30,FALSE)),0)+IFERROR(IF(VLOOKUP($B13,'MM G-Barrels'!$B$5:$AI$24,30,FALSE)=" ",0,VLOOKUP($B13,'MM G-Barrels'!$B$5:$AI$24,30,FALSE)),0)+IFERROR(IF(VLOOKUP($B13,'MM G-Figure 8'!$B$5:$AI$24,30,FALSE)=" ",0,VLOOKUP($B13,'MM G-Figure 8'!$B$5:$AI$24,30,FALSE)),0)+IFERROR(IF(VLOOKUP($B13,'MM G-Goats'!$B$5:$AI$24,30,FALSE)=" ",0,VLOOKUP($B13,'MM G-Goats'!$B$5:$AI$24,30,FALSE)),0)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IFERROR(IF(VLOOKUP($B13,'MM G-Dummy Roping'!$B$5:$AI$24,34,FALSE)=" ",0,VLOOKUP($B13,'MM G-Dummy Roping'!$B$5:$AI$24,34,FALSE)),0)+IFERROR(IF(VLOOKUP($B13,'MM G-Barrels'!$B$5:$AI$24,34,FALSE)=" ",0,VLOOKUP($B13,'MM G-Barrels'!$B$5:$AI$24,34,FALSE)),0)+IFERROR(IF(VLOOKUP($B13,'MM G-Figure 8'!$B$5:$AI$24,34,FALSE)=" ",0,VLOOKUP($B13,'MM G-Figure 8'!$B$5:$AI$24,34,FALSE)),0)+IFERROR(IF(VLOOKUP($B13,'MM G-Goats'!$B$5:$AI$24,34,FALSE)=" ",0,VLOOKUP($B13,'MM G-Goats'!$B$5:$AI$24,34,FALSE)),0)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27</v>
      </c>
      <c r="AB13" s="95">
        <f t="shared" si="16"/>
        <v>27</v>
      </c>
      <c r="AC13" s="91">
        <f t="shared" si="17"/>
        <v>9</v>
      </c>
    </row>
    <row r="14" spans="2:29" x14ac:dyDescent="0.3">
      <c r="B14" s="141" t="s">
        <v>318</v>
      </c>
      <c r="C14" s="120">
        <f>IFERROR(IF(VLOOKUP($B14,'MM G-Dummy Roping'!$B$5:$AI$24,6,FALSE)=" ",0,VLOOKUP($B14,'MM G-Dummy Roping'!$B$5:$AI$24,6,FALSE)),0)+IFERROR(IF(VLOOKUP($B14,'MM G-Barrels'!$B$5:$AI$24,6,FALSE)=" ",0,VLOOKUP($B14,'MM G-Barrels'!$B$5:$AI$24,6,FALSE)),0)+IFERROR(IF(VLOOKUP($B14,'MM G-Figure 8'!$B$5:$AI$24,6,FALSE)=" ",0,VLOOKUP($B14,'MM G-Figure 8'!$B$5:$AI$24,6,FALSE)),0)+IFERROR(IF(VLOOKUP($B14,'MM G-Goats'!$B$5:$AI$24,6,FALSE)=" ",0,VLOOKUP($B14,'MM G-Goats'!$B$5:$AI$24,6,FALSE)),0)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IFERROR(IF(VLOOKUP($B14,'MM G-Dummy Roping'!$B$5:$AI$24,10,FALSE)=" ",0,VLOOKUP($B14,'MM G-Dummy Roping'!$B$5:$AI$24,10,FALSE)),0)+IFERROR(IF(VLOOKUP($B14,'MM G-Barrels'!$B$5:$AI$24,10,FALSE)=" ",0,VLOOKUP($B14,'MM G-Barrels'!$B$5:$AI$24,10,FALSE)),0)+IFERROR(IF(VLOOKUP($B14,'MM G-Figure 8'!$B$5:$AI$24,10,FALSE)=" ",0,VLOOKUP($B14,'MM G-Figure 8'!$B$5:$AI$24,10,FALSE)),0)+IFERROR(IF(VLOOKUP($B14,'MM G-Goats'!$B$5:$AI$24,10,FALSE)=" ",0,VLOOKUP($B14,'MM G-Goats'!$B$5:$AI$24,10,FALSE)),0)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IFERROR(IF(VLOOKUP($B14,'MM G-Dummy Roping'!$B$5:$AI$24,14,FALSE)=" ",0,VLOOKUP($B14,'MM G-Dummy Roping'!$B$5:$AI$24,14,FALSE)),0)+IFERROR(IF(VLOOKUP($B14,'MM G-Barrels'!$B$5:$AI$24,14,FALSE)=" ",0,VLOOKUP($B14,'MM G-Barrels'!$B$5:$AI$24,14,FALSE)),0)+IFERROR(IF(VLOOKUP($B14,'MM G-Figure 8'!$B$5:$AI$24,14,FALSE)=" ",0,VLOOKUP($B14,'MM G-Figure 8'!$B$5:$AI$24,14,FALSE)),0)+IFERROR(IF(VLOOKUP($B14,'MM G-Goats'!$B$5:$AI$24,14,FALSE)=" ",0,VLOOKUP($B14,'MM G-Goats'!$B$5:$AI$24,14,FALSE)),0)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IFERROR(IF(VLOOKUP($B14,'MM G-Dummy Roping'!$B$5:$AI$24,18,FALSE)=" ",0,VLOOKUP($B14,'MM G-Dummy Roping'!$B$5:$AI$24,18,FALSE)),0)+IFERROR(IF(VLOOKUP($B14,'MM G-Barrels'!$B$5:$AI$24,18,FALSE)=" ",0,VLOOKUP($B14,'MM G-Barrels'!$B$5:$AI$24,18,FALSE)),0)+IFERROR(IF(VLOOKUP($B14,'MM G-Figure 8'!$B$5:$AI$24,18,FALSE)=" ",0,VLOOKUP($B14,'MM G-Figure 8'!$B$5:$AI$24,18,FALSE)),0)+IFERROR(IF(VLOOKUP($B14,'MM G-Goats'!$B$5:$AI$24,18,FALSE)=" ",0,VLOOKUP($B14,'MM G-Goats'!$B$5:$AI$24,18,FALSE)),0)</f>
        <v>16.5</v>
      </c>
      <c r="M14" s="95">
        <f t="shared" si="6"/>
        <v>16.5</v>
      </c>
      <c r="N14" s="91">
        <f t="shared" si="7"/>
        <v>6</v>
      </c>
      <c r="O14" s="121">
        <f>IFERROR(IF(VLOOKUP($B14,'MM G-Dummy Roping'!$B$5:$AI$24,22,FALSE)=" ",0,VLOOKUP($B14,'MM G-Dummy Roping'!$B$5:$AI$24,22,FALSE)),0)+IFERROR(IF(VLOOKUP($B14,'MM G-Barrels'!$B$5:$AI$24,22,FALSE)=" ",0,VLOOKUP($B14,'MM G-Barrels'!$B$5:$AI$24,22,FALSE)),0)+IFERROR(IF(VLOOKUP($B14,'MM G-Figure 8'!$B$5:$AI$24,22,FALSE)=" ",0,VLOOKUP($B14,'MM G-Figure 8'!$B$5:$AI$24,22,FALSE)),0)+IFERROR(IF(VLOOKUP($B14,'MM G-Goats'!$B$5:$AI$24,22,FALSE)=" ",0,VLOOKUP($B14,'MM G-Goats'!$B$5:$AI$24,22,FALSE)),0)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IFERROR(IF(VLOOKUP($B14,'MM G-Dummy Roping'!$B$5:$AI$24,26,FALSE)=" ",0,VLOOKUP($B14,'MM G-Dummy Roping'!$B$5:$AI$24,26,FALSE)),0)+IFERROR(IF(VLOOKUP($B14,'MM G-Barrels'!$B$5:$AI$24,26,FALSE)=" ",0,VLOOKUP($B14,'MM G-Barrels'!$B$5:$AI$24,26,FALSE)),0)+IFERROR(IF(VLOOKUP($B14,'MM G-Figure 8'!$B$5:$AI$24,26,FALSE)=" ",0,VLOOKUP($B14,'MM G-Figure 8'!$B$5:$AI$24,26,FALSE)),0)+IFERROR(IF(VLOOKUP($B14,'MM G-Goats'!$B$5:$AI$24,26,FALSE)=" ",0,VLOOKUP($B14,'MM G-Goats'!$B$5:$AI$24,26,FALSE)),0)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IFERROR(IF(VLOOKUP($B14,'MM G-Dummy Roping'!$B$5:$AI$24,30,FALSE)=" ",0,VLOOKUP($B14,'MM G-Dummy Roping'!$B$5:$AI$24,30,FALSE)),0)+IFERROR(IF(VLOOKUP($B14,'MM G-Barrels'!$B$5:$AI$24,30,FALSE)=" ",0,VLOOKUP($B14,'MM G-Barrels'!$B$5:$AI$24,30,FALSE)),0)+IFERROR(IF(VLOOKUP($B14,'MM G-Figure 8'!$B$5:$AI$24,30,FALSE)=" ",0,VLOOKUP($B14,'MM G-Figure 8'!$B$5:$AI$24,30,FALSE)),0)+IFERROR(IF(VLOOKUP($B14,'MM G-Goats'!$B$5:$AI$24,30,FALSE)=" ",0,VLOOKUP($B14,'MM G-Goats'!$B$5:$AI$24,30,FALSE)),0)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IFERROR(IF(VLOOKUP($B14,'MM G-Dummy Roping'!$B$5:$AI$24,34,FALSE)=" ",0,VLOOKUP($B14,'MM G-Dummy Roping'!$B$5:$AI$24,34,FALSE)),0)+IFERROR(IF(VLOOKUP($B14,'MM G-Barrels'!$B$5:$AI$24,34,FALSE)=" ",0,VLOOKUP($B14,'MM G-Barrels'!$B$5:$AI$24,34,FALSE)),0)+IFERROR(IF(VLOOKUP($B14,'MM G-Figure 8'!$B$5:$AI$24,34,FALSE)=" ",0,VLOOKUP($B14,'MM G-Figure 8'!$B$5:$AI$24,34,FALSE)),0)+IFERROR(IF(VLOOKUP($B14,'MM G-Goats'!$B$5:$AI$24,34,FALSE)=" ",0,VLOOKUP($B14,'MM G-Goats'!$B$5:$AI$24,34,FALSE)),0)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16.5</v>
      </c>
      <c r="AB14" s="95">
        <f t="shared" si="16"/>
        <v>16.5</v>
      </c>
      <c r="AC14" s="91">
        <f t="shared" si="17"/>
        <v>10</v>
      </c>
    </row>
    <row r="15" spans="2:29" x14ac:dyDescent="0.3">
      <c r="B15" s="152" t="s">
        <v>185</v>
      </c>
      <c r="C15" s="120">
        <f>IFERROR(IF(VLOOKUP($B15,'MM G-Dummy Roping'!$B$5:$AI$24,6,FALSE)=" ",0,VLOOKUP($B15,'MM G-Dummy Roping'!$B$5:$AI$24,6,FALSE)),0)+IFERROR(IF(VLOOKUP($B15,'MM G-Barrels'!$B$5:$AI$24,6,FALSE)=" ",0,VLOOKUP($B15,'MM G-Barrels'!$B$5:$AI$24,6,FALSE)),0)+IFERROR(IF(VLOOKUP($B15,'MM G-Figure 8'!$B$5:$AI$24,6,FALSE)=" ",0,VLOOKUP($B15,'MM G-Figure 8'!$B$5:$AI$24,6,FALSE)),0)+IFERROR(IF(VLOOKUP($B15,'MM G-Goats'!$B$5:$AI$24,6,FALSE)=" ",0,VLOOKUP($B15,'MM G-Goats'!$B$5:$AI$24,6,FALSE)),0)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IFERROR(IF(VLOOKUP($B15,'MM G-Dummy Roping'!$B$5:$AI$24,10,FALSE)=" ",0,VLOOKUP($B15,'MM G-Dummy Roping'!$B$5:$AI$24,10,FALSE)),0)+IFERROR(IF(VLOOKUP($B15,'MM G-Barrels'!$B$5:$AI$24,10,FALSE)=" ",0,VLOOKUP($B15,'MM G-Barrels'!$B$5:$AI$24,10,FALSE)),0)+IFERROR(IF(VLOOKUP($B15,'MM G-Figure 8'!$B$5:$AI$24,10,FALSE)=" ",0,VLOOKUP($B15,'MM G-Figure 8'!$B$5:$AI$24,10,FALSE)),0)+IFERROR(IF(VLOOKUP($B15,'MM G-Goats'!$B$5:$AI$24,10,FALSE)=" ",0,VLOOKUP($B15,'MM G-Goats'!$B$5:$AI$24,10,FALSE)),0)</f>
        <v>6</v>
      </c>
      <c r="G15" s="95">
        <f t="shared" si="2"/>
        <v>6</v>
      </c>
      <c r="H15" s="91">
        <f t="shared" si="3"/>
        <v>10</v>
      </c>
      <c r="I15" s="121">
        <f>IFERROR(IF(VLOOKUP($B15,'MM G-Dummy Roping'!$B$5:$AI$24,14,FALSE)=" ",0,VLOOKUP($B15,'MM G-Dummy Roping'!$B$5:$AI$24,14,FALSE)),0)+IFERROR(IF(VLOOKUP($B15,'MM G-Barrels'!$B$5:$AI$24,14,FALSE)=" ",0,VLOOKUP($B15,'MM G-Barrels'!$B$5:$AI$24,14,FALSE)),0)+IFERROR(IF(VLOOKUP($B15,'MM G-Figure 8'!$B$5:$AI$24,14,FALSE)=" ",0,VLOOKUP($B15,'MM G-Figure 8'!$B$5:$AI$24,14,FALSE)),0)+IFERROR(IF(VLOOKUP($B15,'MM G-Goats'!$B$5:$AI$24,14,FALSE)=" ",0,VLOOKUP($B15,'MM G-Goats'!$B$5:$AI$24,14,FALSE)),0)</f>
        <v>6</v>
      </c>
      <c r="J15" s="95">
        <f t="shared" si="4"/>
        <v>6</v>
      </c>
      <c r="K15" s="91">
        <f t="shared" si="5"/>
        <v>10</v>
      </c>
      <c r="L15" s="121">
        <f>IFERROR(IF(VLOOKUP($B15,'MM G-Dummy Roping'!$B$5:$AI$24,18,FALSE)=" ",0,VLOOKUP($B15,'MM G-Dummy Roping'!$B$5:$AI$24,18,FALSE)),0)+IFERROR(IF(VLOOKUP($B15,'MM G-Barrels'!$B$5:$AI$24,18,FALSE)=" ",0,VLOOKUP($B15,'MM G-Barrels'!$B$5:$AI$24,18,FALSE)),0)+IFERROR(IF(VLOOKUP($B15,'MM G-Figure 8'!$B$5:$AI$24,18,FALSE)=" ",0,VLOOKUP($B15,'MM G-Figure 8'!$B$5:$AI$24,18,FALSE)),0)+IFERROR(IF(VLOOKUP($B15,'MM G-Goats'!$B$5:$AI$24,18,FALSE)=" ",0,VLOOKUP($B15,'MM G-Goats'!$B$5:$AI$24,18,FALSE)),0)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IFERROR(IF(VLOOKUP($B15,'MM G-Dummy Roping'!$B$5:$AI$24,22,FALSE)=" ",0,VLOOKUP($B15,'MM G-Dummy Roping'!$B$5:$AI$24,22,FALSE)),0)+IFERROR(IF(VLOOKUP($B15,'MM G-Barrels'!$B$5:$AI$24,22,FALSE)=" ",0,VLOOKUP($B15,'MM G-Barrels'!$B$5:$AI$24,22,FALSE)),0)+IFERROR(IF(VLOOKUP($B15,'MM G-Figure 8'!$B$5:$AI$24,22,FALSE)=" ",0,VLOOKUP($B15,'MM G-Figure 8'!$B$5:$AI$24,22,FALSE)),0)+IFERROR(IF(VLOOKUP($B15,'MM G-Goats'!$B$5:$AI$24,22,FALSE)=" ",0,VLOOKUP($B15,'MM G-Goats'!$B$5:$AI$24,22,FALSE)),0)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IFERROR(IF(VLOOKUP($B15,'MM G-Dummy Roping'!$B$5:$AI$24,26,FALSE)=" ",0,VLOOKUP($B15,'MM G-Dummy Roping'!$B$5:$AI$24,26,FALSE)),0)+IFERROR(IF(VLOOKUP($B15,'MM G-Barrels'!$B$5:$AI$24,26,FALSE)=" ",0,VLOOKUP($B15,'MM G-Barrels'!$B$5:$AI$24,26,FALSE)),0)+IFERROR(IF(VLOOKUP($B15,'MM G-Figure 8'!$B$5:$AI$24,26,FALSE)=" ",0,VLOOKUP($B15,'MM G-Figure 8'!$B$5:$AI$24,26,FALSE)),0)+IFERROR(IF(VLOOKUP($B15,'MM G-Goats'!$B$5:$AI$24,26,FALSE)=" ",0,VLOOKUP($B15,'MM G-Goats'!$B$5:$AI$24,26,FALSE)),0)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IFERROR(IF(VLOOKUP($B15,'MM G-Dummy Roping'!$B$5:$AI$24,30,FALSE)=" ",0,VLOOKUP($B15,'MM G-Dummy Roping'!$B$5:$AI$24,30,FALSE)),0)+IFERROR(IF(VLOOKUP($B15,'MM G-Barrels'!$B$5:$AI$24,30,FALSE)=" ",0,VLOOKUP($B15,'MM G-Barrels'!$B$5:$AI$24,30,FALSE)),0)+IFERROR(IF(VLOOKUP($B15,'MM G-Figure 8'!$B$5:$AI$24,30,FALSE)=" ",0,VLOOKUP($B15,'MM G-Figure 8'!$B$5:$AI$24,30,FALSE)),0)+IFERROR(IF(VLOOKUP($B15,'MM G-Goats'!$B$5:$AI$24,30,FALSE)=" ",0,VLOOKUP($B15,'MM G-Goats'!$B$5:$AI$24,30,FALSE)),0)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IFERROR(IF(VLOOKUP($B15,'MM G-Dummy Roping'!$B$5:$AI$24,34,FALSE)=" ",0,VLOOKUP($B15,'MM G-Dummy Roping'!$B$5:$AI$24,34,FALSE)),0)+IFERROR(IF(VLOOKUP($B15,'MM G-Barrels'!$B$5:$AI$24,34,FALSE)=" ",0,VLOOKUP($B15,'MM G-Barrels'!$B$5:$AI$24,34,FALSE)),0)+IFERROR(IF(VLOOKUP($B15,'MM G-Figure 8'!$B$5:$AI$24,34,FALSE)=" ",0,VLOOKUP($B15,'MM G-Figure 8'!$B$5:$AI$24,34,FALSE)),0)+IFERROR(IF(VLOOKUP($B15,'MM G-Goats'!$B$5:$AI$24,34,FALSE)=" ",0,VLOOKUP($B15,'MM G-Goats'!$B$5:$AI$24,34,FALSE)),0)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</v>
      </c>
      <c r="AB15" s="95">
        <f t="shared" si="16"/>
        <v>12</v>
      </c>
      <c r="AC15" s="91">
        <f t="shared" si="17"/>
        <v>11</v>
      </c>
    </row>
    <row r="16" spans="2:29" x14ac:dyDescent="0.3">
      <c r="B16" s="141" t="s">
        <v>182</v>
      </c>
      <c r="C16" s="120">
        <f>IFERROR(IF(VLOOKUP($B16,'MM G-Dummy Roping'!$B$5:$AI$24,6,FALSE)=" ",0,VLOOKUP($B16,'MM G-Dummy Roping'!$B$5:$AI$24,6,FALSE)),0)+IFERROR(IF(VLOOKUP($B16,'MM G-Barrels'!$B$5:$AI$24,6,FALSE)=" ",0,VLOOKUP($B16,'MM G-Barrels'!$B$5:$AI$24,6,FALSE)),0)+IFERROR(IF(VLOOKUP($B16,'MM G-Figure 8'!$B$5:$AI$24,6,FALSE)=" ",0,VLOOKUP($B16,'MM G-Figure 8'!$B$5:$AI$24,6,FALSE)),0)+IFERROR(IF(VLOOKUP($B16,'MM G-Goats'!$B$5:$AI$24,6,FALSE)=" ",0,VLOOKUP($B16,'MM G-Goats'!$B$5:$AI$24,6,FALSE)),0)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IFERROR(IF(VLOOKUP($B16,'MM G-Dummy Roping'!$B$5:$AI$24,10,FALSE)=" ",0,VLOOKUP($B16,'MM G-Dummy Roping'!$B$5:$AI$24,10,FALSE)),0)+IFERROR(IF(VLOOKUP($B16,'MM G-Barrels'!$B$5:$AI$24,10,FALSE)=" ",0,VLOOKUP($B16,'MM G-Barrels'!$B$5:$AI$24,10,FALSE)),0)+IFERROR(IF(VLOOKUP($B16,'MM G-Figure 8'!$B$5:$AI$24,10,FALSE)=" ",0,VLOOKUP($B16,'MM G-Figure 8'!$B$5:$AI$24,10,FALSE)),0)+IFERROR(IF(VLOOKUP($B16,'MM G-Goats'!$B$5:$AI$24,10,FALSE)=" ",0,VLOOKUP($B16,'MM G-Goats'!$B$5:$AI$24,10,FALSE)),0)</f>
        <v>3</v>
      </c>
      <c r="G16" s="95">
        <f t="shared" si="2"/>
        <v>3</v>
      </c>
      <c r="H16" s="91">
        <f t="shared" si="3"/>
        <v>12</v>
      </c>
      <c r="I16" s="121">
        <f>IFERROR(IF(VLOOKUP($B16,'MM G-Dummy Roping'!$B$5:$AI$24,14,FALSE)=" ",0,VLOOKUP($B16,'MM G-Dummy Roping'!$B$5:$AI$24,14,FALSE)),0)+IFERROR(IF(VLOOKUP($B16,'MM G-Barrels'!$B$5:$AI$24,14,FALSE)=" ",0,VLOOKUP($B16,'MM G-Barrels'!$B$5:$AI$24,14,FALSE)),0)+IFERROR(IF(VLOOKUP($B16,'MM G-Figure 8'!$B$5:$AI$24,14,FALSE)=" ",0,VLOOKUP($B16,'MM G-Figure 8'!$B$5:$AI$24,14,FALSE)),0)+IFERROR(IF(VLOOKUP($B16,'MM G-Goats'!$B$5:$AI$24,14,FALSE)=" ",0,VLOOKUP($B16,'MM G-Goats'!$B$5:$AI$24,14,FALSE)),0)</f>
        <v>6</v>
      </c>
      <c r="J16" s="95">
        <f t="shared" si="4"/>
        <v>6</v>
      </c>
      <c r="K16" s="91">
        <f t="shared" si="5"/>
        <v>10</v>
      </c>
      <c r="L16" s="121">
        <f>IFERROR(IF(VLOOKUP($B16,'MM G-Dummy Roping'!$B$5:$AI$24,18,FALSE)=" ",0,VLOOKUP($B16,'MM G-Dummy Roping'!$B$5:$AI$24,18,FALSE)),0)+IFERROR(IF(VLOOKUP($B16,'MM G-Barrels'!$B$5:$AI$24,18,FALSE)=" ",0,VLOOKUP($B16,'MM G-Barrels'!$B$5:$AI$24,18,FALSE)),0)+IFERROR(IF(VLOOKUP($B16,'MM G-Figure 8'!$B$5:$AI$24,18,FALSE)=" ",0,VLOOKUP($B16,'MM G-Figure 8'!$B$5:$AI$24,18,FALSE)),0)+IFERROR(IF(VLOOKUP($B16,'MM G-Goats'!$B$5:$AI$24,18,FALSE)=" ",0,VLOOKUP($B16,'MM G-Goats'!$B$5:$AI$24,18,FALSE)),0)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IFERROR(IF(VLOOKUP($B16,'MM G-Dummy Roping'!$B$5:$AI$24,22,FALSE)=" ",0,VLOOKUP($B16,'MM G-Dummy Roping'!$B$5:$AI$24,22,FALSE)),0)+IFERROR(IF(VLOOKUP($B16,'MM G-Barrels'!$B$5:$AI$24,22,FALSE)=" ",0,VLOOKUP($B16,'MM G-Barrels'!$B$5:$AI$24,22,FALSE)),0)+IFERROR(IF(VLOOKUP($B16,'MM G-Figure 8'!$B$5:$AI$24,22,FALSE)=" ",0,VLOOKUP($B16,'MM G-Figure 8'!$B$5:$AI$24,22,FALSE)),0)+IFERROR(IF(VLOOKUP($B16,'MM G-Goats'!$B$5:$AI$24,22,FALSE)=" ",0,VLOOKUP($B16,'MM G-Goats'!$B$5:$AI$24,22,FALSE)),0)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IFERROR(IF(VLOOKUP($B16,'MM G-Dummy Roping'!$B$5:$AI$24,26,FALSE)=" ",0,VLOOKUP($B16,'MM G-Dummy Roping'!$B$5:$AI$24,26,FALSE)),0)+IFERROR(IF(VLOOKUP($B16,'MM G-Barrels'!$B$5:$AI$24,26,FALSE)=" ",0,VLOOKUP($B16,'MM G-Barrels'!$B$5:$AI$24,26,FALSE)),0)+IFERROR(IF(VLOOKUP($B16,'MM G-Figure 8'!$B$5:$AI$24,26,FALSE)=" ",0,VLOOKUP($B16,'MM G-Figure 8'!$B$5:$AI$24,26,FALSE)),0)+IFERROR(IF(VLOOKUP($B16,'MM G-Goats'!$B$5:$AI$24,26,FALSE)=" ",0,VLOOKUP($B16,'MM G-Goats'!$B$5:$AI$24,26,FALSE)),0)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G-Dummy Roping'!$B$5:$AI$24,30,FALSE)=" ",0,VLOOKUP($B16,'MM G-Dummy Roping'!$B$5:$AI$24,30,FALSE)),0)+IFERROR(IF(VLOOKUP($B16,'MM G-Barrels'!$B$5:$AI$24,30,FALSE)=" ",0,VLOOKUP($B16,'MM G-Barrels'!$B$5:$AI$24,30,FALSE)),0)+IFERROR(IF(VLOOKUP($B16,'MM G-Figure 8'!$B$5:$AI$24,30,FALSE)=" ",0,VLOOKUP($B16,'MM G-Figure 8'!$B$5:$AI$24,30,FALSE)),0)+IFERROR(IF(VLOOKUP($B16,'MM G-Goats'!$B$5:$AI$24,30,FALSE)=" ",0,VLOOKUP($B16,'MM G-Goats'!$B$5:$AI$24,30,FALSE)),0)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IFERROR(IF(VLOOKUP($B16,'MM G-Dummy Roping'!$B$5:$AI$24,34,FALSE)=" ",0,VLOOKUP($B16,'MM G-Dummy Roping'!$B$5:$AI$24,34,FALSE)),0)+IFERROR(IF(VLOOKUP($B16,'MM G-Barrels'!$B$5:$AI$24,34,FALSE)=" ",0,VLOOKUP($B16,'MM G-Barrels'!$B$5:$AI$24,34,FALSE)),0)+IFERROR(IF(VLOOKUP($B16,'MM G-Figure 8'!$B$5:$AI$24,34,FALSE)=" ",0,VLOOKUP($B16,'MM G-Figure 8'!$B$5:$AI$24,34,FALSE)),0)+IFERROR(IF(VLOOKUP($B16,'MM G-Goats'!$B$5:$AI$24,34,FALSE)=" ",0,VLOOKUP($B16,'MM G-Goats'!$B$5:$AI$24,34,FALSE)),0)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9</v>
      </c>
      <c r="AB16" s="95">
        <f t="shared" si="16"/>
        <v>9</v>
      </c>
      <c r="AC16" s="91">
        <f t="shared" si="17"/>
        <v>12</v>
      </c>
    </row>
    <row r="17" spans="2:29" x14ac:dyDescent="0.3">
      <c r="B17" s="152" t="s">
        <v>180</v>
      </c>
      <c r="C17" s="120">
        <f>IFERROR(IF(VLOOKUP($B17,'MM G-Dummy Roping'!$B$5:$AI$24,6,FALSE)=" ",0,VLOOKUP($B17,'MM G-Dummy Roping'!$B$5:$AI$24,6,FALSE)),0)+IFERROR(IF(VLOOKUP($B17,'MM G-Barrels'!$B$5:$AI$24,6,FALSE)=" ",0,VLOOKUP($B17,'MM G-Barrels'!$B$5:$AI$24,6,FALSE)),0)+IFERROR(IF(VLOOKUP($B17,'MM G-Figure 8'!$B$5:$AI$24,6,FALSE)=" ",0,VLOOKUP($B17,'MM G-Figure 8'!$B$5:$AI$24,6,FALSE)),0)+IFERROR(IF(VLOOKUP($B17,'MM G-Goats'!$B$5:$AI$24,6,FALSE)=" ",0,VLOOKUP($B17,'MM G-Goats'!$B$5:$AI$24,6,FALSE)),0)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IFERROR(IF(VLOOKUP($B17,'MM G-Dummy Roping'!$B$5:$AI$24,10,FALSE)=" ",0,VLOOKUP($B17,'MM G-Dummy Roping'!$B$5:$AI$24,10,FALSE)),0)+IFERROR(IF(VLOOKUP($B17,'MM G-Barrels'!$B$5:$AI$24,10,FALSE)=" ",0,VLOOKUP($B17,'MM G-Barrels'!$B$5:$AI$24,10,FALSE)),0)+IFERROR(IF(VLOOKUP($B17,'MM G-Figure 8'!$B$5:$AI$24,10,FALSE)=" ",0,VLOOKUP($B17,'MM G-Figure 8'!$B$5:$AI$24,10,FALSE)),0)+IFERROR(IF(VLOOKUP($B17,'MM G-Goats'!$B$5:$AI$24,10,FALSE)=" ",0,VLOOKUP($B17,'MM G-Goats'!$B$5:$AI$24,10,FALSE)),0)</f>
        <v>9</v>
      </c>
      <c r="G17" s="95">
        <f t="shared" si="2"/>
        <v>9</v>
      </c>
      <c r="H17" s="91">
        <f t="shared" si="3"/>
        <v>9</v>
      </c>
      <c r="I17" s="121">
        <f>IFERROR(IF(VLOOKUP($B17,'MM G-Dummy Roping'!$B$5:$AI$24,14,FALSE)=" ",0,VLOOKUP($B17,'MM G-Dummy Roping'!$B$5:$AI$24,14,FALSE)),0)+IFERROR(IF(VLOOKUP($B17,'MM G-Barrels'!$B$5:$AI$24,14,FALSE)=" ",0,VLOOKUP($B17,'MM G-Barrels'!$B$5:$AI$24,14,FALSE)),0)+IFERROR(IF(VLOOKUP($B17,'MM G-Figure 8'!$B$5:$AI$24,14,FALSE)=" ",0,VLOOKUP($B17,'MM G-Figure 8'!$B$5:$AI$24,14,FALSE)),0)+IFERROR(IF(VLOOKUP($B17,'MM G-Goats'!$B$5:$AI$24,14,FALSE)=" ",0,VLOOKUP($B17,'MM G-Goats'!$B$5:$AI$24,14,FALSE)),0)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IFERROR(IF(VLOOKUP($B17,'MM G-Dummy Roping'!$B$5:$AI$24,18,FALSE)=" ",0,VLOOKUP($B17,'MM G-Dummy Roping'!$B$5:$AI$24,18,FALSE)),0)+IFERROR(IF(VLOOKUP($B17,'MM G-Barrels'!$B$5:$AI$24,18,FALSE)=" ",0,VLOOKUP($B17,'MM G-Barrels'!$B$5:$AI$24,18,FALSE)),0)+IFERROR(IF(VLOOKUP($B17,'MM G-Figure 8'!$B$5:$AI$24,18,FALSE)=" ",0,VLOOKUP($B17,'MM G-Figure 8'!$B$5:$AI$24,18,FALSE)),0)+IFERROR(IF(VLOOKUP($B17,'MM G-Goats'!$B$5:$AI$24,18,FALSE)=" ",0,VLOOKUP($B17,'MM G-Goats'!$B$5:$AI$24,18,FALSE)),0)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IFERROR(IF(VLOOKUP($B17,'MM G-Dummy Roping'!$B$5:$AI$24,22,FALSE)=" ",0,VLOOKUP($B17,'MM G-Dummy Roping'!$B$5:$AI$24,22,FALSE)),0)+IFERROR(IF(VLOOKUP($B17,'MM G-Barrels'!$B$5:$AI$24,22,FALSE)=" ",0,VLOOKUP($B17,'MM G-Barrels'!$B$5:$AI$24,22,FALSE)),0)+IFERROR(IF(VLOOKUP($B17,'MM G-Figure 8'!$B$5:$AI$24,22,FALSE)=" ",0,VLOOKUP($B17,'MM G-Figure 8'!$B$5:$AI$24,22,FALSE)),0)+IFERROR(IF(VLOOKUP($B17,'MM G-Goats'!$B$5:$AI$24,22,FALSE)=" ",0,VLOOKUP($B17,'MM G-Goats'!$B$5:$AI$24,22,FALSE)),0)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IFERROR(IF(VLOOKUP($B17,'MM G-Dummy Roping'!$B$5:$AI$24,26,FALSE)=" ",0,VLOOKUP($B17,'MM G-Dummy Roping'!$B$5:$AI$24,26,FALSE)),0)+IFERROR(IF(VLOOKUP($B17,'MM G-Barrels'!$B$5:$AI$24,26,FALSE)=" ",0,VLOOKUP($B17,'MM G-Barrels'!$B$5:$AI$24,26,FALSE)),0)+IFERROR(IF(VLOOKUP($B17,'MM G-Figure 8'!$B$5:$AI$24,26,FALSE)=" ",0,VLOOKUP($B17,'MM G-Figure 8'!$B$5:$AI$24,26,FALSE)),0)+IFERROR(IF(VLOOKUP($B17,'MM G-Goats'!$B$5:$AI$24,26,FALSE)=" ",0,VLOOKUP($B17,'MM G-Goats'!$B$5:$AI$24,26,FALSE)),0)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G-Dummy Roping'!$B$5:$AI$24,30,FALSE)=" ",0,VLOOKUP($B17,'MM G-Dummy Roping'!$B$5:$AI$24,30,FALSE)),0)+IFERROR(IF(VLOOKUP($B17,'MM G-Barrels'!$B$5:$AI$24,30,FALSE)=" ",0,VLOOKUP($B17,'MM G-Barrels'!$B$5:$AI$24,30,FALSE)),0)+IFERROR(IF(VLOOKUP($B17,'MM G-Figure 8'!$B$5:$AI$24,30,FALSE)=" ",0,VLOOKUP($B17,'MM G-Figure 8'!$B$5:$AI$24,30,FALSE)),0)+IFERROR(IF(VLOOKUP($B17,'MM G-Goats'!$B$5:$AI$24,30,FALSE)=" ",0,VLOOKUP($B17,'MM G-Goats'!$B$5:$AI$24,30,FALSE)),0)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IFERROR(IF(VLOOKUP($B17,'MM G-Dummy Roping'!$B$5:$AI$24,34,FALSE)=" ",0,VLOOKUP($B17,'MM G-Dummy Roping'!$B$5:$AI$24,34,FALSE)),0)+IFERROR(IF(VLOOKUP($B17,'MM G-Barrels'!$B$5:$AI$24,34,FALSE)=" ",0,VLOOKUP($B17,'MM G-Barrels'!$B$5:$AI$24,34,FALSE)),0)+IFERROR(IF(VLOOKUP($B17,'MM G-Figure 8'!$B$5:$AI$24,34,FALSE)=" ",0,VLOOKUP($B17,'MM G-Figure 8'!$B$5:$AI$24,34,FALSE)),0)+IFERROR(IF(VLOOKUP($B17,'MM G-Goats'!$B$5:$AI$24,34,FALSE)=" ",0,VLOOKUP($B17,'MM G-Goats'!$B$5:$AI$24,34,FALSE)),0)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9</v>
      </c>
      <c r="AB17" s="95">
        <f t="shared" si="16"/>
        <v>9</v>
      </c>
      <c r="AC17" s="91">
        <f t="shared" si="17"/>
        <v>12</v>
      </c>
    </row>
    <row r="18" spans="2:29" x14ac:dyDescent="0.3">
      <c r="B18" s="141" t="s">
        <v>183</v>
      </c>
      <c r="C18" s="120">
        <f>IFERROR(IF(VLOOKUP($B18,'MM G-Dummy Roping'!$B$5:$AI$24,6,FALSE)=" ",0,VLOOKUP($B18,'MM G-Dummy Roping'!$B$5:$AI$24,6,FALSE)),0)+IFERROR(IF(VLOOKUP($B18,'MM G-Barrels'!$B$5:$AI$24,6,FALSE)=" ",0,VLOOKUP($B18,'MM G-Barrels'!$B$5:$AI$24,6,FALSE)),0)+IFERROR(IF(VLOOKUP($B18,'MM G-Figure 8'!$B$5:$AI$24,6,FALSE)=" ",0,VLOOKUP($B18,'MM G-Figure 8'!$B$5:$AI$24,6,FALSE)),0)+IFERROR(IF(VLOOKUP($B18,'MM G-Goats'!$B$5:$AI$24,6,FALSE)=" ",0,VLOOKUP($B18,'MM G-Goats'!$B$5:$AI$24,6,FALSE)),0)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G-Dummy Roping'!$B$5:$AI$24,10,FALSE)=" ",0,VLOOKUP($B18,'MM G-Dummy Roping'!$B$5:$AI$24,10,FALSE)),0)+IFERROR(IF(VLOOKUP($B18,'MM G-Barrels'!$B$5:$AI$24,10,FALSE)=" ",0,VLOOKUP($B18,'MM G-Barrels'!$B$5:$AI$24,10,FALSE)),0)+IFERROR(IF(VLOOKUP($B18,'MM G-Figure 8'!$B$5:$AI$24,10,FALSE)=" ",0,VLOOKUP($B18,'MM G-Figure 8'!$B$5:$AI$24,10,FALSE)),0)+IFERROR(IF(VLOOKUP($B18,'MM G-Goats'!$B$5:$AI$24,10,FALSE)=" ",0,VLOOKUP($B18,'MM G-Goats'!$B$5:$AI$24,10,FALSE)),0)</f>
        <v>5</v>
      </c>
      <c r="G18" s="95">
        <f t="shared" si="2"/>
        <v>5</v>
      </c>
      <c r="H18" s="91">
        <f t="shared" si="3"/>
        <v>11</v>
      </c>
      <c r="I18" s="121">
        <f>IFERROR(IF(VLOOKUP($B18,'MM G-Dummy Roping'!$B$5:$AI$24,14,FALSE)=" ",0,VLOOKUP($B18,'MM G-Dummy Roping'!$B$5:$AI$24,14,FALSE)),0)+IFERROR(IF(VLOOKUP($B18,'MM G-Barrels'!$B$5:$AI$24,14,FALSE)=" ",0,VLOOKUP($B18,'MM G-Barrels'!$B$5:$AI$24,14,FALSE)),0)+IFERROR(IF(VLOOKUP($B18,'MM G-Figure 8'!$B$5:$AI$24,14,FALSE)=" ",0,VLOOKUP($B18,'MM G-Figure 8'!$B$5:$AI$24,14,FALSE)),0)+IFERROR(IF(VLOOKUP($B18,'MM G-Goats'!$B$5:$AI$24,14,FALSE)=" ",0,VLOOKUP($B18,'MM G-Goats'!$B$5:$AI$24,14,FALSE)),0)</f>
        <v>3</v>
      </c>
      <c r="J18" s="95">
        <f t="shared" si="4"/>
        <v>3</v>
      </c>
      <c r="K18" s="91">
        <f t="shared" si="5"/>
        <v>12</v>
      </c>
      <c r="L18" s="121">
        <f>IFERROR(IF(VLOOKUP($B18,'MM G-Dummy Roping'!$B$5:$AI$24,18,FALSE)=" ",0,VLOOKUP($B18,'MM G-Dummy Roping'!$B$5:$AI$24,18,FALSE)),0)+IFERROR(IF(VLOOKUP($B18,'MM G-Barrels'!$B$5:$AI$24,18,FALSE)=" ",0,VLOOKUP($B18,'MM G-Barrels'!$B$5:$AI$24,18,FALSE)),0)+IFERROR(IF(VLOOKUP($B18,'MM G-Figure 8'!$B$5:$AI$24,18,FALSE)=" ",0,VLOOKUP($B18,'MM G-Figure 8'!$B$5:$AI$24,18,FALSE)),0)+IFERROR(IF(VLOOKUP($B18,'MM G-Goats'!$B$5:$AI$24,18,FALSE)=" ",0,VLOOKUP($B18,'MM G-Goats'!$B$5:$AI$24,18,FALSE)),0)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G-Dummy Roping'!$B$5:$AI$24,22,FALSE)=" ",0,VLOOKUP($B18,'MM G-Dummy Roping'!$B$5:$AI$24,22,FALSE)),0)+IFERROR(IF(VLOOKUP($B18,'MM G-Barrels'!$B$5:$AI$24,22,FALSE)=" ",0,VLOOKUP($B18,'MM G-Barrels'!$B$5:$AI$24,22,FALSE)),0)+IFERROR(IF(VLOOKUP($B18,'MM G-Figure 8'!$B$5:$AI$24,22,FALSE)=" ",0,VLOOKUP($B18,'MM G-Figure 8'!$B$5:$AI$24,22,FALSE)),0)+IFERROR(IF(VLOOKUP($B18,'MM G-Goats'!$B$5:$AI$24,22,FALSE)=" ",0,VLOOKUP($B18,'MM G-Goats'!$B$5:$AI$24,22,FALSE)),0)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G-Dummy Roping'!$B$5:$AI$24,26,FALSE)=" ",0,VLOOKUP($B18,'MM G-Dummy Roping'!$B$5:$AI$24,26,FALSE)),0)+IFERROR(IF(VLOOKUP($B18,'MM G-Barrels'!$B$5:$AI$24,26,FALSE)=" ",0,VLOOKUP($B18,'MM G-Barrels'!$B$5:$AI$24,26,FALSE)),0)+IFERROR(IF(VLOOKUP($B18,'MM G-Figure 8'!$B$5:$AI$24,26,FALSE)=" ",0,VLOOKUP($B18,'MM G-Figure 8'!$B$5:$AI$24,26,FALSE)),0)+IFERROR(IF(VLOOKUP($B18,'MM G-Goats'!$B$5:$AI$24,26,FALSE)=" ",0,VLOOKUP($B18,'MM G-Goats'!$B$5:$AI$24,26,FALSE)),0)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IFERROR(IF(VLOOKUP($B18,'MM G-Dummy Roping'!$B$5:$AI$24,30,FALSE)=" ",0,VLOOKUP($B18,'MM G-Dummy Roping'!$B$5:$AI$24,30,FALSE)),0)+IFERROR(IF(VLOOKUP($B18,'MM G-Barrels'!$B$5:$AI$24,30,FALSE)=" ",0,VLOOKUP($B18,'MM G-Barrels'!$B$5:$AI$24,30,FALSE)),0)+IFERROR(IF(VLOOKUP($B18,'MM G-Figure 8'!$B$5:$AI$24,30,FALSE)=" ",0,VLOOKUP($B18,'MM G-Figure 8'!$B$5:$AI$24,30,FALSE)),0)+IFERROR(IF(VLOOKUP($B18,'MM G-Goats'!$B$5:$AI$24,30,FALSE)=" ",0,VLOOKUP($B18,'MM G-Goats'!$B$5:$AI$24,30,FALSE)),0)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IFERROR(IF(VLOOKUP($B18,'MM G-Dummy Roping'!$B$5:$AI$24,34,FALSE)=" ",0,VLOOKUP($B18,'MM G-Dummy Roping'!$B$5:$AI$24,34,FALSE)),0)+IFERROR(IF(VLOOKUP($B18,'MM G-Barrels'!$B$5:$AI$24,34,FALSE)=" ",0,VLOOKUP($B18,'MM G-Barrels'!$B$5:$AI$24,34,FALSE)),0)+IFERROR(IF(VLOOKUP($B18,'MM G-Figure 8'!$B$5:$AI$24,34,FALSE)=" ",0,VLOOKUP($B18,'MM G-Figure 8'!$B$5:$AI$24,34,FALSE)),0)+IFERROR(IF(VLOOKUP($B18,'MM G-Goats'!$B$5:$AI$24,34,FALSE)=" ",0,VLOOKUP($B18,'MM G-Goats'!$B$5:$AI$24,34,FALSE)),0)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</v>
      </c>
      <c r="AB18" s="95">
        <f t="shared" si="16"/>
        <v>8</v>
      </c>
      <c r="AC18" s="91">
        <f t="shared" si="17"/>
        <v>14</v>
      </c>
    </row>
    <row r="19" spans="2:29" x14ac:dyDescent="0.3">
      <c r="B19" s="141" t="s">
        <v>184</v>
      </c>
      <c r="C19" s="120">
        <f>IFERROR(IF(VLOOKUP($B19,'MM G-Dummy Roping'!$B$5:$AI$24,6,FALSE)=" ",0,VLOOKUP($B19,'MM G-Dummy Roping'!$B$5:$AI$24,6,FALSE)),0)+IFERROR(IF(VLOOKUP($B19,'MM G-Barrels'!$B$5:$AI$24,6,FALSE)=" ",0,VLOOKUP($B19,'MM G-Barrels'!$B$5:$AI$24,6,FALSE)),0)+IFERROR(IF(VLOOKUP($B19,'MM G-Figure 8'!$B$5:$AI$24,6,FALSE)=" ",0,VLOOKUP($B19,'MM G-Figure 8'!$B$5:$AI$24,6,FALSE)),0)+IFERROR(IF(VLOOKUP($B19,'MM G-Goats'!$B$5:$AI$24,6,FALSE)=" ",0,VLOOKUP($B19,'MM G-Goats'!$B$5:$AI$24,6,FALSE)),0)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IFERROR(IF(VLOOKUP($B19,'MM G-Dummy Roping'!$B$5:$AI$24,10,FALSE)=" ",0,VLOOKUP($B19,'MM G-Dummy Roping'!$B$5:$AI$24,10,FALSE)),0)+IFERROR(IF(VLOOKUP($B19,'MM G-Barrels'!$B$5:$AI$24,10,FALSE)=" ",0,VLOOKUP($B19,'MM G-Barrels'!$B$5:$AI$24,10,FALSE)),0)+IFERROR(IF(VLOOKUP($B19,'MM G-Figure 8'!$B$5:$AI$24,10,FALSE)=" ",0,VLOOKUP($B19,'MM G-Figure 8'!$B$5:$AI$24,10,FALSE)),0)+IFERROR(IF(VLOOKUP($B19,'MM G-Goats'!$B$5:$AI$24,10,FALSE)=" ",0,VLOOKUP($B19,'MM G-Goats'!$B$5:$AI$24,10,FALSE)),0)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IFERROR(IF(VLOOKUP($B19,'MM G-Dummy Roping'!$B$5:$AI$24,14,FALSE)=" ",0,VLOOKUP($B19,'MM G-Dummy Roping'!$B$5:$AI$24,14,FALSE)),0)+IFERROR(IF(VLOOKUP($B19,'MM G-Barrels'!$B$5:$AI$24,14,FALSE)=" ",0,VLOOKUP($B19,'MM G-Barrels'!$B$5:$AI$24,14,FALSE)),0)+IFERROR(IF(VLOOKUP($B19,'MM G-Figure 8'!$B$5:$AI$24,14,FALSE)=" ",0,VLOOKUP($B19,'MM G-Figure 8'!$B$5:$AI$24,14,FALSE)),0)+IFERROR(IF(VLOOKUP($B19,'MM G-Goats'!$B$5:$AI$24,14,FALSE)=" ",0,VLOOKUP($B19,'MM G-Goats'!$B$5:$AI$24,14,FALSE)),0)</f>
        <v>3</v>
      </c>
      <c r="J19" s="95">
        <f t="shared" si="4"/>
        <v>3</v>
      </c>
      <c r="K19" s="122">
        <f t="shared" si="5"/>
        <v>12</v>
      </c>
      <c r="L19" s="121">
        <f>IFERROR(IF(VLOOKUP($B19,'MM G-Dummy Roping'!$B$5:$AI$24,18,FALSE)=" ",0,VLOOKUP($B19,'MM G-Dummy Roping'!$B$5:$AI$24,18,FALSE)),0)+IFERROR(IF(VLOOKUP($B19,'MM G-Barrels'!$B$5:$AI$24,18,FALSE)=" ",0,VLOOKUP($B19,'MM G-Barrels'!$B$5:$AI$24,18,FALSE)),0)+IFERROR(IF(VLOOKUP($B19,'MM G-Figure 8'!$B$5:$AI$24,18,FALSE)=" ",0,VLOOKUP($B19,'MM G-Figure 8'!$B$5:$AI$24,18,FALSE)),0)+IFERROR(IF(VLOOKUP($B19,'MM G-Goats'!$B$5:$AI$24,18,FALSE)=" ",0,VLOOKUP($B19,'MM G-Goats'!$B$5:$AI$24,18,FALSE)),0)</f>
        <v>4.5</v>
      </c>
      <c r="M19" s="95">
        <f t="shared" si="6"/>
        <v>4.5</v>
      </c>
      <c r="N19" s="122">
        <f t="shared" si="7"/>
        <v>11</v>
      </c>
      <c r="O19" s="121">
        <f>IFERROR(IF(VLOOKUP($B19,'MM G-Dummy Roping'!$B$5:$AI$24,22,FALSE)=" ",0,VLOOKUP($B19,'MM G-Dummy Roping'!$B$5:$AI$24,22,FALSE)),0)+IFERROR(IF(VLOOKUP($B19,'MM G-Barrels'!$B$5:$AI$24,22,FALSE)=" ",0,VLOOKUP($B19,'MM G-Barrels'!$B$5:$AI$24,22,FALSE)),0)+IFERROR(IF(VLOOKUP($B19,'MM G-Figure 8'!$B$5:$AI$24,22,FALSE)=" ",0,VLOOKUP($B19,'MM G-Figure 8'!$B$5:$AI$24,22,FALSE)),0)+IFERROR(IF(VLOOKUP($B19,'MM G-Goats'!$B$5:$AI$24,22,FALSE)=" ",0,VLOOKUP($B19,'MM G-Goats'!$B$5:$AI$24,22,FALSE)),0)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IFERROR(IF(VLOOKUP($B19,'MM G-Dummy Roping'!$B$5:$AI$24,26,FALSE)=" ",0,VLOOKUP($B19,'MM G-Dummy Roping'!$B$5:$AI$24,26,FALSE)),0)+IFERROR(IF(VLOOKUP($B19,'MM G-Barrels'!$B$5:$AI$24,26,FALSE)=" ",0,VLOOKUP($B19,'MM G-Barrels'!$B$5:$AI$24,26,FALSE)),0)+IFERROR(IF(VLOOKUP($B19,'MM G-Figure 8'!$B$5:$AI$24,26,FALSE)=" ",0,VLOOKUP($B19,'MM G-Figure 8'!$B$5:$AI$24,26,FALSE)),0)+IFERROR(IF(VLOOKUP($B19,'MM G-Goats'!$B$5:$AI$24,26,FALSE)=" ",0,VLOOKUP($B19,'MM G-Goats'!$B$5:$AI$24,26,FALSE)),0)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IFERROR(IF(VLOOKUP($B19,'MM G-Dummy Roping'!$B$5:$AI$24,30,FALSE)=" ",0,VLOOKUP($B19,'MM G-Dummy Roping'!$B$5:$AI$24,30,FALSE)),0)+IFERROR(IF(VLOOKUP($B19,'MM G-Barrels'!$B$5:$AI$24,30,FALSE)=" ",0,VLOOKUP($B19,'MM G-Barrels'!$B$5:$AI$24,30,FALSE)),0)+IFERROR(IF(VLOOKUP($B19,'MM G-Figure 8'!$B$5:$AI$24,30,FALSE)=" ",0,VLOOKUP($B19,'MM G-Figure 8'!$B$5:$AI$24,30,FALSE)),0)+IFERROR(IF(VLOOKUP($B19,'MM G-Goats'!$B$5:$AI$24,30,FALSE)=" ",0,VLOOKUP($B19,'MM G-Goats'!$B$5:$AI$24,30,FALSE)),0)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IFERROR(IF(VLOOKUP($B19,'MM G-Dummy Roping'!$B$5:$AI$24,34,FALSE)=" ",0,VLOOKUP($B19,'MM G-Dummy Roping'!$B$5:$AI$24,34,FALSE)),0)+IFERROR(IF(VLOOKUP($B19,'MM G-Barrels'!$B$5:$AI$24,34,FALSE)=" ",0,VLOOKUP($B19,'MM G-Barrels'!$B$5:$AI$24,34,FALSE)),0)+IFERROR(IF(VLOOKUP($B19,'MM G-Figure 8'!$B$5:$AI$24,34,FALSE)=" ",0,VLOOKUP($B19,'MM G-Figure 8'!$B$5:$AI$24,34,FALSE)),0)+IFERROR(IF(VLOOKUP($B19,'MM G-Goats'!$B$5:$AI$24,34,FALSE)=" ",0,VLOOKUP($B19,'MM G-Goats'!$B$5:$AI$24,34,FALSE)),0)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7.5</v>
      </c>
      <c r="AB19" s="95">
        <f t="shared" si="16"/>
        <v>7.5</v>
      </c>
      <c r="AC19" s="122">
        <f t="shared" si="17"/>
        <v>15</v>
      </c>
    </row>
    <row r="20" spans="2:29" x14ac:dyDescent="0.3">
      <c r="B20" s="141" t="s">
        <v>271</v>
      </c>
      <c r="C20" s="120">
        <f>IFERROR(IF(VLOOKUP($B20,'MM G-Dummy Roping'!$B$5:$AI$24,6,FALSE)=" ",0,VLOOKUP($B20,'MM G-Dummy Roping'!$B$5:$AI$24,6,FALSE)),0)+IFERROR(IF(VLOOKUP($B20,'MM G-Barrels'!$B$5:$AI$24,6,FALSE)=" ",0,VLOOKUP($B20,'MM G-Barrels'!$B$5:$AI$24,6,FALSE)),0)+IFERROR(IF(VLOOKUP($B20,'MM G-Figure 8'!$B$5:$AI$24,6,FALSE)=" ",0,VLOOKUP($B20,'MM G-Figure 8'!$B$5:$AI$24,6,FALSE)),0)+IFERROR(IF(VLOOKUP($B20,'MM G-Goats'!$B$5:$AI$24,6,FALSE)=" ",0,VLOOKUP($B20,'MM G-Goats'!$B$5:$AI$24,6,FALSE)),0)</f>
        <v>0</v>
      </c>
      <c r="D20" s="95" t="str">
        <f t="shared" si="0"/>
        <v xml:space="preserve"> </v>
      </c>
      <c r="E20" s="122" t="str">
        <f t="shared" si="1"/>
        <v xml:space="preserve"> </v>
      </c>
      <c r="F20" s="121">
        <f>IFERROR(IF(VLOOKUP($B20,'MM G-Dummy Roping'!$B$5:$AI$24,10,FALSE)=" ",0,VLOOKUP($B20,'MM G-Dummy Roping'!$B$5:$AI$24,10,FALSE)),0)+IFERROR(IF(VLOOKUP($B20,'MM G-Barrels'!$B$5:$AI$24,10,FALSE)=" ",0,VLOOKUP($B20,'MM G-Barrels'!$B$5:$AI$24,10,FALSE)),0)+IFERROR(IF(VLOOKUP($B20,'MM G-Figure 8'!$B$5:$AI$24,10,FALSE)=" ",0,VLOOKUP($B20,'MM G-Figure 8'!$B$5:$AI$24,10,FALSE)),0)+IFERROR(IF(VLOOKUP($B20,'MM G-Goats'!$B$5:$AI$24,10,FALSE)=" ",0,VLOOKUP($B20,'MM G-Goats'!$B$5:$AI$24,10,FALSE)),0)</f>
        <v>0</v>
      </c>
      <c r="G20" s="95" t="str">
        <f t="shared" si="2"/>
        <v xml:space="preserve"> </v>
      </c>
      <c r="H20" s="122" t="str">
        <f t="shared" si="3"/>
        <v xml:space="preserve"> </v>
      </c>
      <c r="I20" s="121">
        <f>IFERROR(IF(VLOOKUP($B20,'MM G-Dummy Roping'!$B$5:$AI$24,14,FALSE)=" ",0,VLOOKUP($B20,'MM G-Dummy Roping'!$B$5:$AI$24,14,FALSE)),0)+IFERROR(IF(VLOOKUP($B20,'MM G-Barrels'!$B$5:$AI$24,14,FALSE)=" ",0,VLOOKUP($B20,'MM G-Barrels'!$B$5:$AI$24,14,FALSE)),0)+IFERROR(IF(VLOOKUP($B20,'MM G-Figure 8'!$B$5:$AI$24,14,FALSE)=" ",0,VLOOKUP($B20,'MM G-Figure 8'!$B$5:$AI$24,14,FALSE)),0)+IFERROR(IF(VLOOKUP($B20,'MM G-Goats'!$B$5:$AI$24,14,FALSE)=" ",0,VLOOKUP($B20,'MM G-Goats'!$B$5:$AI$24,14,FALSE)),0)</f>
        <v>3</v>
      </c>
      <c r="J20" s="95">
        <f t="shared" si="4"/>
        <v>3</v>
      </c>
      <c r="K20" s="122">
        <f t="shared" si="5"/>
        <v>12</v>
      </c>
      <c r="L20" s="121">
        <f>IFERROR(IF(VLOOKUP($B20,'MM G-Dummy Roping'!$B$5:$AI$24,18,FALSE)=" ",0,VLOOKUP($B20,'MM G-Dummy Roping'!$B$5:$AI$24,18,FALSE)),0)+IFERROR(IF(VLOOKUP($B20,'MM G-Barrels'!$B$5:$AI$24,18,FALSE)=" ",0,VLOOKUP($B20,'MM G-Barrels'!$B$5:$AI$24,18,FALSE)),0)+IFERROR(IF(VLOOKUP($B20,'MM G-Figure 8'!$B$5:$AI$24,18,FALSE)=" ",0,VLOOKUP($B20,'MM G-Figure 8'!$B$5:$AI$24,18,FALSE)),0)+IFERROR(IF(VLOOKUP($B20,'MM G-Goats'!$B$5:$AI$24,18,FALSE)=" ",0,VLOOKUP($B20,'MM G-Goats'!$B$5:$AI$24,18,FALSE)),0)</f>
        <v>3</v>
      </c>
      <c r="M20" s="95">
        <f t="shared" si="6"/>
        <v>3</v>
      </c>
      <c r="N20" s="122">
        <f t="shared" si="7"/>
        <v>12</v>
      </c>
      <c r="O20" s="121">
        <f>IFERROR(IF(VLOOKUP($B20,'MM G-Dummy Roping'!$B$5:$AI$24,22,FALSE)=" ",0,VLOOKUP($B20,'MM G-Dummy Roping'!$B$5:$AI$24,22,FALSE)),0)+IFERROR(IF(VLOOKUP($B20,'MM G-Barrels'!$B$5:$AI$24,22,FALSE)=" ",0,VLOOKUP($B20,'MM G-Barrels'!$B$5:$AI$24,22,FALSE)),0)+IFERROR(IF(VLOOKUP($B20,'MM G-Figure 8'!$B$5:$AI$24,22,FALSE)=" ",0,VLOOKUP($B20,'MM G-Figure 8'!$B$5:$AI$24,22,FALSE)),0)+IFERROR(IF(VLOOKUP($B20,'MM G-Goats'!$B$5:$AI$24,22,FALSE)=" ",0,VLOOKUP($B20,'MM G-Goats'!$B$5:$AI$24,22,FALSE)),0)</f>
        <v>0</v>
      </c>
      <c r="P20" s="95" t="str">
        <f t="shared" si="8"/>
        <v xml:space="preserve"> </v>
      </c>
      <c r="Q20" s="122" t="str">
        <f t="shared" si="9"/>
        <v xml:space="preserve"> </v>
      </c>
      <c r="R20" s="121">
        <f>IFERROR(IF(VLOOKUP($B20,'MM G-Dummy Roping'!$B$5:$AI$24,26,FALSE)=" ",0,VLOOKUP($B20,'MM G-Dummy Roping'!$B$5:$AI$24,26,FALSE)),0)+IFERROR(IF(VLOOKUP($B20,'MM G-Barrels'!$B$5:$AI$24,26,FALSE)=" ",0,VLOOKUP($B20,'MM G-Barrels'!$B$5:$AI$24,26,FALSE)),0)+IFERROR(IF(VLOOKUP($B20,'MM G-Figure 8'!$B$5:$AI$24,26,FALSE)=" ",0,VLOOKUP($B20,'MM G-Figure 8'!$B$5:$AI$24,26,FALSE)),0)+IFERROR(IF(VLOOKUP($B20,'MM G-Goats'!$B$5:$AI$24,26,FALSE)=" ",0,VLOOKUP($B20,'MM G-Goats'!$B$5:$AI$24,26,FALSE)),0)</f>
        <v>0</v>
      </c>
      <c r="S20" s="95" t="str">
        <f t="shared" si="10"/>
        <v xml:space="preserve"> </v>
      </c>
      <c r="T20" s="122" t="str">
        <f t="shared" si="11"/>
        <v xml:space="preserve"> </v>
      </c>
      <c r="U20" s="121">
        <f>IFERROR(IF(VLOOKUP($B20,'MM G-Dummy Roping'!$B$5:$AI$24,30,FALSE)=" ",0,VLOOKUP($B20,'MM G-Dummy Roping'!$B$5:$AI$24,30,FALSE)),0)+IFERROR(IF(VLOOKUP($B20,'MM G-Barrels'!$B$5:$AI$24,30,FALSE)=" ",0,VLOOKUP($B20,'MM G-Barrels'!$B$5:$AI$24,30,FALSE)),0)+IFERROR(IF(VLOOKUP($B20,'MM G-Figure 8'!$B$5:$AI$24,30,FALSE)=" ",0,VLOOKUP($B20,'MM G-Figure 8'!$B$5:$AI$24,30,FALSE)),0)+IFERROR(IF(VLOOKUP($B20,'MM G-Goats'!$B$5:$AI$24,30,FALSE)=" ",0,VLOOKUP($B20,'MM G-Goats'!$B$5:$AI$24,30,FALSE)),0)</f>
        <v>0</v>
      </c>
      <c r="V20" s="95" t="str">
        <f t="shared" si="12"/>
        <v xml:space="preserve"> </v>
      </c>
      <c r="W20" s="122" t="str">
        <f t="shared" si="13"/>
        <v xml:space="preserve"> </v>
      </c>
      <c r="X20" s="121">
        <f>IFERROR(IF(VLOOKUP($B20,'MM G-Dummy Roping'!$B$5:$AI$24,34,FALSE)=" ",0,VLOOKUP($B20,'MM G-Dummy Roping'!$B$5:$AI$24,34,FALSE)),0)+IFERROR(IF(VLOOKUP($B20,'MM G-Barrels'!$B$5:$AI$24,34,FALSE)=" ",0,VLOOKUP($B20,'MM G-Barrels'!$B$5:$AI$24,34,FALSE)),0)+IFERROR(IF(VLOOKUP($B20,'MM G-Figure 8'!$B$5:$AI$24,34,FALSE)=" ",0,VLOOKUP($B20,'MM G-Figure 8'!$B$5:$AI$24,34,FALSE)),0)+IFERROR(IF(VLOOKUP($B20,'MM G-Goats'!$B$5:$AI$24,34,FALSE)=" ",0,VLOOKUP($B20,'MM G-Goats'!$B$5:$AI$24,34,FALSE)),0)</f>
        <v>0</v>
      </c>
      <c r="Y20" s="95" t="str">
        <f t="shared" si="14"/>
        <v xml:space="preserve"> </v>
      </c>
      <c r="Z20" s="122" t="str">
        <f t="shared" si="15"/>
        <v xml:space="preserve"> </v>
      </c>
      <c r="AA2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</v>
      </c>
      <c r="AB20" s="95">
        <f t="shared" si="16"/>
        <v>6</v>
      </c>
      <c r="AC20" s="122">
        <f t="shared" si="17"/>
        <v>16</v>
      </c>
    </row>
    <row r="21" spans="2:29" x14ac:dyDescent="0.3">
      <c r="B21" s="141" t="s">
        <v>268</v>
      </c>
      <c r="C21" s="120">
        <f>IFERROR(IF(VLOOKUP($B21,'MM G-Dummy Roping'!$B$5:$AI$24,6,FALSE)=" ",0,VLOOKUP($B21,'MM G-Dummy Roping'!$B$5:$AI$24,6,FALSE)),0)+IFERROR(IF(VLOOKUP($B21,'MM G-Barrels'!$B$5:$AI$24,6,FALSE)=" ",0,VLOOKUP($B21,'MM G-Barrels'!$B$5:$AI$24,6,FALSE)),0)+IFERROR(IF(VLOOKUP($B21,'MM G-Figure 8'!$B$5:$AI$24,6,FALSE)=" ",0,VLOOKUP($B21,'MM G-Figure 8'!$B$5:$AI$24,6,FALSE)),0)+IFERROR(IF(VLOOKUP($B21,'MM G-Goats'!$B$5:$AI$24,6,FALSE)=" ",0,VLOOKUP($B21,'MM G-Goats'!$B$5:$AI$24,6,FALSE)),0)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IFERROR(IF(VLOOKUP($B21,'MM G-Dummy Roping'!$B$5:$AI$24,10,FALSE)=" ",0,VLOOKUP($B21,'MM G-Dummy Roping'!$B$5:$AI$24,10,FALSE)),0)+IFERROR(IF(VLOOKUP($B21,'MM G-Barrels'!$B$5:$AI$24,10,FALSE)=" ",0,VLOOKUP($B21,'MM G-Barrels'!$B$5:$AI$24,10,FALSE)),0)+IFERROR(IF(VLOOKUP($B21,'MM G-Figure 8'!$B$5:$AI$24,10,FALSE)=" ",0,VLOOKUP($B21,'MM G-Figure 8'!$B$5:$AI$24,10,FALSE)),0)+IFERROR(IF(VLOOKUP($B21,'MM G-Goats'!$B$5:$AI$24,10,FALSE)=" ",0,VLOOKUP($B21,'MM G-Goats'!$B$5:$AI$24,10,FALSE)),0)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IFERROR(IF(VLOOKUP($B21,'MM G-Dummy Roping'!$B$5:$AI$24,14,FALSE)=" ",0,VLOOKUP($B21,'MM G-Dummy Roping'!$B$5:$AI$24,14,FALSE)),0)+IFERROR(IF(VLOOKUP($B21,'MM G-Barrels'!$B$5:$AI$24,14,FALSE)=" ",0,VLOOKUP($B21,'MM G-Barrels'!$B$5:$AI$24,14,FALSE)),0)+IFERROR(IF(VLOOKUP($B21,'MM G-Figure 8'!$B$5:$AI$24,14,FALSE)=" ",0,VLOOKUP($B21,'MM G-Figure 8'!$B$5:$AI$24,14,FALSE)),0)+IFERROR(IF(VLOOKUP($B21,'MM G-Goats'!$B$5:$AI$24,14,FALSE)=" ",0,VLOOKUP($B21,'MM G-Goats'!$B$5:$AI$24,14,FALSE)),0)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IFERROR(IF(VLOOKUP($B21,'MM G-Dummy Roping'!$B$5:$AI$24,18,FALSE)=" ",0,VLOOKUP($B21,'MM G-Dummy Roping'!$B$5:$AI$24,18,FALSE)),0)+IFERROR(IF(VLOOKUP($B21,'MM G-Barrels'!$B$5:$AI$24,18,FALSE)=" ",0,VLOOKUP($B21,'MM G-Barrels'!$B$5:$AI$24,18,FALSE)),0)+IFERROR(IF(VLOOKUP($B21,'MM G-Figure 8'!$B$5:$AI$24,18,FALSE)=" ",0,VLOOKUP($B21,'MM G-Figure 8'!$B$5:$AI$24,18,FALSE)),0)+IFERROR(IF(VLOOKUP($B21,'MM G-Goats'!$B$5:$AI$24,18,FALSE)=" ",0,VLOOKUP($B21,'MM G-Goats'!$B$5:$AI$24,18,FALSE)),0)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IFERROR(IF(VLOOKUP($B21,'MM G-Dummy Roping'!$B$5:$AI$24,22,FALSE)=" ",0,VLOOKUP($B21,'MM G-Dummy Roping'!$B$5:$AI$24,22,FALSE)),0)+IFERROR(IF(VLOOKUP($B21,'MM G-Barrels'!$B$5:$AI$24,22,FALSE)=" ",0,VLOOKUP($B21,'MM G-Barrels'!$B$5:$AI$24,22,FALSE)),0)+IFERROR(IF(VLOOKUP($B21,'MM G-Figure 8'!$B$5:$AI$24,22,FALSE)=" ",0,VLOOKUP($B21,'MM G-Figure 8'!$B$5:$AI$24,22,FALSE)),0)+IFERROR(IF(VLOOKUP($B21,'MM G-Goats'!$B$5:$AI$24,22,FALSE)=" ",0,VLOOKUP($B21,'MM G-Goats'!$B$5:$AI$24,22,FALSE)),0)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IFERROR(IF(VLOOKUP($B21,'MM G-Dummy Roping'!$B$5:$AI$24,26,FALSE)=" ",0,VLOOKUP($B21,'MM G-Dummy Roping'!$B$5:$AI$24,26,FALSE)),0)+IFERROR(IF(VLOOKUP($B21,'MM G-Barrels'!$B$5:$AI$24,26,FALSE)=" ",0,VLOOKUP($B21,'MM G-Barrels'!$B$5:$AI$24,26,FALSE)),0)+IFERROR(IF(VLOOKUP($B21,'MM G-Figure 8'!$B$5:$AI$24,26,FALSE)=" ",0,VLOOKUP($B21,'MM G-Figure 8'!$B$5:$AI$24,26,FALSE)),0)+IFERROR(IF(VLOOKUP($B21,'MM G-Goats'!$B$5:$AI$24,26,FALSE)=" ",0,VLOOKUP($B21,'MM G-Goats'!$B$5:$AI$24,26,FALSE)),0)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IFERROR(IF(VLOOKUP($B21,'MM G-Dummy Roping'!$B$5:$AI$24,30,FALSE)=" ",0,VLOOKUP($B21,'MM G-Dummy Roping'!$B$5:$AI$24,30,FALSE)),0)+IFERROR(IF(VLOOKUP($B21,'MM G-Barrels'!$B$5:$AI$24,30,FALSE)=" ",0,VLOOKUP($B21,'MM G-Barrels'!$B$5:$AI$24,30,FALSE)),0)+IFERROR(IF(VLOOKUP($B21,'MM G-Figure 8'!$B$5:$AI$24,30,FALSE)=" ",0,VLOOKUP($B21,'MM G-Figure 8'!$B$5:$AI$24,30,FALSE)),0)+IFERROR(IF(VLOOKUP($B21,'MM G-Goats'!$B$5:$AI$24,30,FALSE)=" ",0,VLOOKUP($B21,'MM G-Goats'!$B$5:$AI$24,30,FALSE)),0)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IFERROR(IF(VLOOKUP($B21,'MM G-Dummy Roping'!$B$5:$AI$24,34,FALSE)=" ",0,VLOOKUP($B21,'MM G-Dummy Roping'!$B$5:$AI$24,34,FALSE)),0)+IFERROR(IF(VLOOKUP($B21,'MM G-Barrels'!$B$5:$AI$24,34,FALSE)=" ",0,VLOOKUP($B21,'MM G-Barrels'!$B$5:$AI$24,34,FALSE)),0)+IFERROR(IF(VLOOKUP($B21,'MM G-Figure 8'!$B$5:$AI$24,34,FALSE)=" ",0,VLOOKUP($B21,'MM G-Figure 8'!$B$5:$AI$24,34,FALSE)),0)+IFERROR(IF(VLOOKUP($B21,'MM G-Goats'!$B$5:$AI$24,34,FALSE)=" ",0,VLOOKUP($B21,'MM G-Goats'!$B$5:$AI$24,34,FALSE)),0)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3">
      <c r="B22" s="141" t="s">
        <v>270</v>
      </c>
      <c r="C22" s="120">
        <f>IFERROR(IF(VLOOKUP($B22,'MM G-Dummy Roping'!$B$5:$AI$24,6,FALSE)=" ",0,VLOOKUP($B22,'MM G-Dummy Roping'!$B$5:$AI$24,6,FALSE)),0)+IFERROR(IF(VLOOKUP($B22,'MM G-Barrels'!$B$5:$AI$24,6,FALSE)=" ",0,VLOOKUP($B22,'MM G-Barrels'!$B$5:$AI$24,6,FALSE)),0)+IFERROR(IF(VLOOKUP($B22,'MM G-Figure 8'!$B$5:$AI$24,6,FALSE)=" ",0,VLOOKUP($B22,'MM G-Figure 8'!$B$5:$AI$24,6,FALSE)),0)+IFERROR(IF(VLOOKUP($B22,'MM G-Goats'!$B$5:$AI$24,6,FALSE)=" ",0,VLOOKUP($B22,'MM G-Goats'!$B$5:$AI$24,6,FALSE)),0)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G-Dummy Roping'!$B$5:$AI$24,10,FALSE)=" ",0,VLOOKUP($B22,'MM G-Dummy Roping'!$B$5:$AI$24,10,FALSE)),0)+IFERROR(IF(VLOOKUP($B22,'MM G-Barrels'!$B$5:$AI$24,10,FALSE)=" ",0,VLOOKUP($B22,'MM G-Barrels'!$B$5:$AI$24,10,FALSE)),0)+IFERROR(IF(VLOOKUP($B22,'MM G-Figure 8'!$B$5:$AI$24,10,FALSE)=" ",0,VLOOKUP($B22,'MM G-Figure 8'!$B$5:$AI$24,10,FALSE)),0)+IFERROR(IF(VLOOKUP($B22,'MM G-Goats'!$B$5:$AI$24,10,FALSE)=" ",0,VLOOKUP($B22,'MM G-Goats'!$B$5:$AI$24,10,FALSE)),0)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G-Dummy Roping'!$B$5:$AI$24,14,FALSE)=" ",0,VLOOKUP($B22,'MM G-Dummy Roping'!$B$5:$AI$24,14,FALSE)),0)+IFERROR(IF(VLOOKUP($B22,'MM G-Barrels'!$B$5:$AI$24,14,FALSE)=" ",0,VLOOKUP($B22,'MM G-Barrels'!$B$5:$AI$24,14,FALSE)),0)+IFERROR(IF(VLOOKUP($B22,'MM G-Figure 8'!$B$5:$AI$24,14,FALSE)=" ",0,VLOOKUP($B22,'MM G-Figure 8'!$B$5:$AI$24,14,FALSE)),0)+IFERROR(IF(VLOOKUP($B22,'MM G-Goats'!$B$5:$AI$24,14,FALSE)=" ",0,VLOOKUP($B22,'MM G-Goats'!$B$5:$AI$24,14,FALSE)),0)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G-Dummy Roping'!$B$5:$AI$24,18,FALSE)=" ",0,VLOOKUP($B22,'MM G-Dummy Roping'!$B$5:$AI$24,18,FALSE)),0)+IFERROR(IF(VLOOKUP($B22,'MM G-Barrels'!$B$5:$AI$24,18,FALSE)=" ",0,VLOOKUP($B22,'MM G-Barrels'!$B$5:$AI$24,18,FALSE)),0)+IFERROR(IF(VLOOKUP($B22,'MM G-Figure 8'!$B$5:$AI$24,18,FALSE)=" ",0,VLOOKUP($B22,'MM G-Figure 8'!$B$5:$AI$24,18,FALSE)),0)+IFERROR(IF(VLOOKUP($B22,'MM G-Goats'!$B$5:$AI$24,18,FALSE)=" ",0,VLOOKUP($B22,'MM G-Goats'!$B$5:$AI$24,18,FALSE)),0)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G-Dummy Roping'!$B$5:$AI$24,22,FALSE)=" ",0,VLOOKUP($B22,'MM G-Dummy Roping'!$B$5:$AI$24,22,FALSE)),0)+IFERROR(IF(VLOOKUP($B22,'MM G-Barrels'!$B$5:$AI$24,22,FALSE)=" ",0,VLOOKUP($B22,'MM G-Barrels'!$B$5:$AI$24,22,FALSE)),0)+IFERROR(IF(VLOOKUP($B22,'MM G-Figure 8'!$B$5:$AI$24,22,FALSE)=" ",0,VLOOKUP($B22,'MM G-Figure 8'!$B$5:$AI$24,22,FALSE)),0)+IFERROR(IF(VLOOKUP($B22,'MM G-Goats'!$B$5:$AI$24,22,FALSE)=" ",0,VLOOKUP($B22,'MM G-Goats'!$B$5:$AI$24,22,FALSE)),0)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G-Dummy Roping'!$B$5:$AI$24,26,FALSE)=" ",0,VLOOKUP($B22,'MM G-Dummy Roping'!$B$5:$AI$24,26,FALSE)),0)+IFERROR(IF(VLOOKUP($B22,'MM G-Barrels'!$B$5:$AI$24,26,FALSE)=" ",0,VLOOKUP($B22,'MM G-Barrels'!$B$5:$AI$24,26,FALSE)),0)+IFERROR(IF(VLOOKUP($B22,'MM G-Figure 8'!$B$5:$AI$24,26,FALSE)=" ",0,VLOOKUP($B22,'MM G-Figure 8'!$B$5:$AI$24,26,FALSE)),0)+IFERROR(IF(VLOOKUP($B22,'MM G-Goats'!$B$5:$AI$24,26,FALSE)=" ",0,VLOOKUP($B22,'MM G-Goats'!$B$5:$AI$24,26,FALSE)),0)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G-Dummy Roping'!$B$5:$AI$24,30,FALSE)=" ",0,VLOOKUP($B22,'MM G-Dummy Roping'!$B$5:$AI$24,30,FALSE)),0)+IFERROR(IF(VLOOKUP($B22,'MM G-Barrels'!$B$5:$AI$24,30,FALSE)=" ",0,VLOOKUP($B22,'MM G-Barrels'!$B$5:$AI$24,30,FALSE)),0)+IFERROR(IF(VLOOKUP($B22,'MM G-Figure 8'!$B$5:$AI$24,30,FALSE)=" ",0,VLOOKUP($B22,'MM G-Figure 8'!$B$5:$AI$24,30,FALSE)),0)+IFERROR(IF(VLOOKUP($B22,'MM G-Goats'!$B$5:$AI$24,30,FALSE)=" ",0,VLOOKUP($B22,'MM G-Goats'!$B$5:$AI$24,30,FALSE)),0)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IFERROR(IF(VLOOKUP($B22,'MM G-Dummy Roping'!$B$5:$AI$24,34,FALSE)=" ",0,VLOOKUP($B22,'MM G-Dummy Roping'!$B$5:$AI$24,34,FALSE)),0)+IFERROR(IF(VLOOKUP($B22,'MM G-Barrels'!$B$5:$AI$24,34,FALSE)=" ",0,VLOOKUP($B22,'MM G-Barrels'!$B$5:$AI$24,34,FALSE)),0)+IFERROR(IF(VLOOKUP($B22,'MM G-Figure 8'!$B$5:$AI$24,34,FALSE)=" ",0,VLOOKUP($B22,'MM G-Figure 8'!$B$5:$AI$24,34,FALSE)),0)+IFERROR(IF(VLOOKUP($B22,'MM G-Goats'!$B$5:$AI$24,34,FALSE)=" ",0,VLOOKUP($B22,'MM G-Goats'!$B$5:$AI$24,34,FALSE)),0)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1" t="s">
        <v>269</v>
      </c>
      <c r="C23" s="120">
        <f>IFERROR(IF(VLOOKUP($B23,'MM G-Dummy Roping'!$B$5:$AI$24,6,FALSE)=" ",0,VLOOKUP($B23,'MM G-Dummy Roping'!$B$5:$AI$24,6,FALSE)),0)+IFERROR(IF(VLOOKUP($B23,'MM G-Barrels'!$B$5:$AI$24,6,FALSE)=" ",0,VLOOKUP($B23,'MM G-Barrels'!$B$5:$AI$24,6,FALSE)),0)+IFERROR(IF(VLOOKUP($B23,'MM G-Figure 8'!$B$5:$AI$24,6,FALSE)=" ",0,VLOOKUP($B23,'MM G-Figure 8'!$B$5:$AI$24,6,FALSE)),0)+IFERROR(IF(VLOOKUP($B23,'MM G-Goats'!$B$5:$AI$24,6,FALSE)=" ",0,VLOOKUP($B23,'MM G-Goats'!$B$5:$AI$24,6,FALSE)),0)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G-Dummy Roping'!$B$5:$AI$24,10,FALSE)=" ",0,VLOOKUP($B23,'MM G-Dummy Roping'!$B$5:$AI$24,10,FALSE)),0)+IFERROR(IF(VLOOKUP($B23,'MM G-Barrels'!$B$5:$AI$24,10,FALSE)=" ",0,VLOOKUP($B23,'MM G-Barrels'!$B$5:$AI$24,10,FALSE)),0)+IFERROR(IF(VLOOKUP($B23,'MM G-Figure 8'!$B$5:$AI$24,10,FALSE)=" ",0,VLOOKUP($B23,'MM G-Figure 8'!$B$5:$AI$24,10,FALSE)),0)+IFERROR(IF(VLOOKUP($B23,'MM G-Goats'!$B$5:$AI$24,10,FALSE)=" ",0,VLOOKUP($B23,'MM G-Goats'!$B$5:$AI$24,10,FALSE)),0)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G-Dummy Roping'!$B$5:$AI$24,14,FALSE)=" ",0,VLOOKUP($B23,'MM G-Dummy Roping'!$B$5:$AI$24,14,FALSE)),0)+IFERROR(IF(VLOOKUP($B23,'MM G-Barrels'!$B$5:$AI$24,14,FALSE)=" ",0,VLOOKUP($B23,'MM G-Barrels'!$B$5:$AI$24,14,FALSE)),0)+IFERROR(IF(VLOOKUP($B23,'MM G-Figure 8'!$B$5:$AI$24,14,FALSE)=" ",0,VLOOKUP($B23,'MM G-Figure 8'!$B$5:$AI$24,14,FALSE)),0)+IFERROR(IF(VLOOKUP($B23,'MM G-Goats'!$B$5:$AI$24,14,FALSE)=" ",0,VLOOKUP($B23,'MM G-Goats'!$B$5:$AI$24,14,FALSE)),0)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G-Dummy Roping'!$B$5:$AI$24,18,FALSE)=" ",0,VLOOKUP($B23,'MM G-Dummy Roping'!$B$5:$AI$24,18,FALSE)),0)+IFERROR(IF(VLOOKUP($B23,'MM G-Barrels'!$B$5:$AI$24,18,FALSE)=" ",0,VLOOKUP($B23,'MM G-Barrels'!$B$5:$AI$24,18,FALSE)),0)+IFERROR(IF(VLOOKUP($B23,'MM G-Figure 8'!$B$5:$AI$24,18,FALSE)=" ",0,VLOOKUP($B23,'MM G-Figure 8'!$B$5:$AI$24,18,FALSE)),0)+IFERROR(IF(VLOOKUP($B23,'MM G-Goats'!$B$5:$AI$24,18,FALSE)=" ",0,VLOOKUP($B23,'MM G-Goats'!$B$5:$AI$24,18,FALSE)),0)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G-Dummy Roping'!$B$5:$AI$24,22,FALSE)=" ",0,VLOOKUP($B23,'MM G-Dummy Roping'!$B$5:$AI$24,22,FALSE)),0)+IFERROR(IF(VLOOKUP($B23,'MM G-Barrels'!$B$5:$AI$24,22,FALSE)=" ",0,VLOOKUP($B23,'MM G-Barrels'!$B$5:$AI$24,22,FALSE)),0)+IFERROR(IF(VLOOKUP($B23,'MM G-Figure 8'!$B$5:$AI$24,22,FALSE)=" ",0,VLOOKUP($B23,'MM G-Figure 8'!$B$5:$AI$24,22,FALSE)),0)+IFERROR(IF(VLOOKUP($B23,'MM G-Goats'!$B$5:$AI$24,22,FALSE)=" ",0,VLOOKUP($B23,'MM G-Goats'!$B$5:$AI$24,22,FALSE)),0)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G-Dummy Roping'!$B$5:$AI$24,26,FALSE)=" ",0,VLOOKUP($B23,'MM G-Dummy Roping'!$B$5:$AI$24,26,FALSE)),0)+IFERROR(IF(VLOOKUP($B23,'MM G-Barrels'!$B$5:$AI$24,26,FALSE)=" ",0,VLOOKUP($B23,'MM G-Barrels'!$B$5:$AI$24,26,FALSE)),0)+IFERROR(IF(VLOOKUP($B23,'MM G-Figure 8'!$B$5:$AI$24,26,FALSE)=" ",0,VLOOKUP($B23,'MM G-Figure 8'!$B$5:$AI$24,26,FALSE)),0)+IFERROR(IF(VLOOKUP($B23,'MM G-Goats'!$B$5:$AI$24,26,FALSE)=" ",0,VLOOKUP($B23,'MM G-Goats'!$B$5:$AI$24,26,FALSE)),0)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G-Dummy Roping'!$B$5:$AI$24,30,FALSE)=" ",0,VLOOKUP($B23,'MM G-Dummy Roping'!$B$5:$AI$24,30,FALSE)),0)+IFERROR(IF(VLOOKUP($B23,'MM G-Barrels'!$B$5:$AI$24,30,FALSE)=" ",0,VLOOKUP($B23,'MM G-Barrels'!$B$5:$AI$24,30,FALSE)),0)+IFERROR(IF(VLOOKUP($B23,'MM G-Figure 8'!$B$5:$AI$24,30,FALSE)=" ",0,VLOOKUP($B23,'MM G-Figure 8'!$B$5:$AI$24,30,FALSE)),0)+IFERROR(IF(VLOOKUP($B23,'MM G-Goats'!$B$5:$AI$24,30,FALSE)=" ",0,VLOOKUP($B23,'MM G-Goats'!$B$5:$AI$24,30,FALSE)),0)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G-Dummy Roping'!$B$5:$AI$24,34,FALSE)=" ",0,VLOOKUP($B23,'MM G-Dummy Roping'!$B$5:$AI$24,34,FALSE)),0)+IFERROR(IF(VLOOKUP($B23,'MM G-Barrels'!$B$5:$AI$24,34,FALSE)=" ",0,VLOOKUP($B23,'MM G-Barrels'!$B$5:$AI$24,34,FALSE)),0)+IFERROR(IF(VLOOKUP($B23,'MM G-Figure 8'!$B$5:$AI$24,34,FALSE)=" ",0,VLOOKUP($B23,'MM G-Figure 8'!$B$5:$AI$24,34,FALSE)),0)+IFERROR(IF(VLOOKUP($B23,'MM G-Goats'!$B$5:$AI$24,34,FALSE)=" ",0,VLOOKUP($B23,'MM G-Goats'!$B$5:$AI$24,34,FALSE)),0)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69"/>
      <c r="C24" s="123">
        <f>IFERROR(IF(VLOOKUP($B24,'MM G-Dummy Roping'!$B$5:$AI$24,6,FALSE)=" ",0,VLOOKUP($B24,'MM G-Dummy Roping'!$B$5:$AI$24,6,FALSE)),0)+IFERROR(IF(VLOOKUP($B24,'MM G-Barrels'!$B$5:$AI$24,6,FALSE)=" ",0,VLOOKUP($B24,'MM G-Barrels'!$B$5:$AI$24,6,FALSE)),0)+IFERROR(IF(VLOOKUP($B24,'MM G-Figure 8'!$B$5:$AI$24,6,FALSE)=" ",0,VLOOKUP($B24,'MM G-Figure 8'!$B$5:$AI$24,6,FALSE)),0)+IFERROR(IF(VLOOKUP($B24,'MM G-Goats'!$B$5:$AI$24,6,FALSE)=" ",0,VLOOKUP($B24,'MM G-Goats'!$B$5:$AI$24,6,FALSE)),0)</f>
        <v>0</v>
      </c>
      <c r="D24" s="105" t="str">
        <f t="shared" si="0"/>
        <v xml:space="preserve"> </v>
      </c>
      <c r="E24" s="150" t="str">
        <f t="shared" si="1"/>
        <v xml:space="preserve"> </v>
      </c>
      <c r="F24" s="124">
        <f>IFERROR(IF(VLOOKUP($B24,'MM G-Dummy Roping'!$B$5:$AI$24,10,FALSE)=" ",0,VLOOKUP($B24,'MM G-Dummy Roping'!$B$5:$AI$24,10,FALSE)),0)+IFERROR(IF(VLOOKUP($B24,'MM G-Barrels'!$B$5:$AI$24,10,FALSE)=" ",0,VLOOKUP($B24,'MM G-Barrels'!$B$5:$AI$24,10,FALSE)),0)+IFERROR(IF(VLOOKUP($B24,'MM G-Figure 8'!$B$5:$AI$24,10,FALSE)=" ",0,VLOOKUP($B24,'MM G-Figure 8'!$B$5:$AI$24,10,FALSE)),0)+IFERROR(IF(VLOOKUP($B24,'MM G-Goats'!$B$5:$AI$24,10,FALSE)=" ",0,VLOOKUP($B24,'MM G-Goats'!$B$5:$AI$24,10,FALSE)),0)</f>
        <v>0</v>
      </c>
      <c r="G24" s="105" t="str">
        <f t="shared" si="2"/>
        <v xml:space="preserve"> </v>
      </c>
      <c r="H24" s="150" t="str">
        <f t="shared" si="3"/>
        <v xml:space="preserve"> </v>
      </c>
      <c r="I24" s="124">
        <f>IFERROR(IF(VLOOKUP($B24,'MM G-Dummy Roping'!$B$5:$AI$24,14,FALSE)=" ",0,VLOOKUP($B24,'MM G-Dummy Roping'!$B$5:$AI$24,14,FALSE)),0)+IFERROR(IF(VLOOKUP($B24,'MM G-Barrels'!$B$5:$AI$24,14,FALSE)=" ",0,VLOOKUP($B24,'MM G-Barrels'!$B$5:$AI$24,14,FALSE)),0)+IFERROR(IF(VLOOKUP($B24,'MM G-Figure 8'!$B$5:$AI$24,14,FALSE)=" ",0,VLOOKUP($B24,'MM G-Figure 8'!$B$5:$AI$24,14,FALSE)),0)+IFERROR(IF(VLOOKUP($B24,'MM G-Goats'!$B$5:$AI$24,14,FALSE)=" ",0,VLOOKUP($B24,'MM G-Goats'!$B$5:$AI$24,14,FALSE)),0)</f>
        <v>0</v>
      </c>
      <c r="J24" s="105" t="str">
        <f t="shared" si="4"/>
        <v xml:space="preserve"> </v>
      </c>
      <c r="K24" s="150" t="str">
        <f t="shared" si="5"/>
        <v xml:space="preserve"> </v>
      </c>
      <c r="L24" s="124">
        <f>IFERROR(IF(VLOOKUP($B24,'MM G-Dummy Roping'!$B$5:$AI$24,18,FALSE)=" ",0,VLOOKUP($B24,'MM G-Dummy Roping'!$B$5:$AI$24,18,FALSE)),0)+IFERROR(IF(VLOOKUP($B24,'MM G-Barrels'!$B$5:$AI$24,18,FALSE)=" ",0,VLOOKUP($B24,'MM G-Barrels'!$B$5:$AI$24,18,FALSE)),0)+IFERROR(IF(VLOOKUP($B24,'MM G-Figure 8'!$B$5:$AI$24,18,FALSE)=" ",0,VLOOKUP($B24,'MM G-Figure 8'!$B$5:$AI$24,18,FALSE)),0)+IFERROR(IF(VLOOKUP($B24,'MM G-Goats'!$B$5:$AI$24,18,FALSE)=" ",0,VLOOKUP($B24,'MM G-Goats'!$B$5:$AI$24,18,FALSE)),0)</f>
        <v>0</v>
      </c>
      <c r="M24" s="105" t="str">
        <f t="shared" si="6"/>
        <v xml:space="preserve"> </v>
      </c>
      <c r="N24" s="150" t="str">
        <f t="shared" si="7"/>
        <v xml:space="preserve"> </v>
      </c>
      <c r="O24" s="124">
        <f>IFERROR(IF(VLOOKUP($B24,'MM G-Dummy Roping'!$B$5:$AI$24,22,FALSE)=" ",0,VLOOKUP($B24,'MM G-Dummy Roping'!$B$5:$AI$24,22,FALSE)),0)+IFERROR(IF(VLOOKUP($B24,'MM G-Barrels'!$B$5:$AI$24,22,FALSE)=" ",0,VLOOKUP($B24,'MM G-Barrels'!$B$5:$AI$24,22,FALSE)),0)+IFERROR(IF(VLOOKUP($B24,'MM G-Figure 8'!$B$5:$AI$24,22,FALSE)=" ",0,VLOOKUP($B24,'MM G-Figure 8'!$B$5:$AI$24,22,FALSE)),0)+IFERROR(IF(VLOOKUP($B24,'MM G-Goats'!$B$5:$AI$24,22,FALSE)=" ",0,VLOOKUP($B24,'MM G-Goats'!$B$5:$AI$24,22,FALSE)),0)</f>
        <v>0</v>
      </c>
      <c r="P24" s="105" t="str">
        <f t="shared" si="8"/>
        <v xml:space="preserve"> </v>
      </c>
      <c r="Q24" s="150" t="str">
        <f t="shared" si="9"/>
        <v xml:space="preserve"> </v>
      </c>
      <c r="R24" s="124">
        <f>IFERROR(IF(VLOOKUP($B24,'MM G-Dummy Roping'!$B$5:$AI$24,26,FALSE)=" ",0,VLOOKUP($B24,'MM G-Dummy Roping'!$B$5:$AI$24,26,FALSE)),0)+IFERROR(IF(VLOOKUP($B24,'MM G-Barrels'!$B$5:$AI$24,26,FALSE)=" ",0,VLOOKUP($B24,'MM G-Barrels'!$B$5:$AI$24,26,FALSE)),0)+IFERROR(IF(VLOOKUP($B24,'MM G-Figure 8'!$B$5:$AI$24,26,FALSE)=" ",0,VLOOKUP($B24,'MM G-Figure 8'!$B$5:$AI$24,26,FALSE)),0)+IFERROR(IF(VLOOKUP($B24,'MM G-Goats'!$B$5:$AI$24,26,FALSE)=" ",0,VLOOKUP($B24,'MM G-Goats'!$B$5:$AI$24,26,FALSE)),0)</f>
        <v>0</v>
      </c>
      <c r="S24" s="105" t="str">
        <f t="shared" si="10"/>
        <v xml:space="preserve"> </v>
      </c>
      <c r="T24" s="150" t="str">
        <f t="shared" si="11"/>
        <v xml:space="preserve"> </v>
      </c>
      <c r="U24" s="124">
        <f>IFERROR(IF(VLOOKUP($B24,'MM G-Dummy Roping'!$B$5:$AI$24,30,FALSE)=" ",0,VLOOKUP($B24,'MM G-Dummy Roping'!$B$5:$AI$24,30,FALSE)),0)+IFERROR(IF(VLOOKUP($B24,'MM G-Barrels'!$B$5:$AI$24,30,FALSE)=" ",0,VLOOKUP($B24,'MM G-Barrels'!$B$5:$AI$24,30,FALSE)),0)+IFERROR(IF(VLOOKUP($B24,'MM G-Figure 8'!$B$5:$AI$24,30,FALSE)=" ",0,VLOOKUP($B24,'MM G-Figure 8'!$B$5:$AI$24,30,FALSE)),0)+IFERROR(IF(VLOOKUP($B24,'MM G-Goats'!$B$5:$AI$24,30,FALSE)=" ",0,VLOOKUP($B24,'MM G-Goats'!$B$5:$AI$24,30,FALSE)),0)</f>
        <v>0</v>
      </c>
      <c r="V24" s="105" t="str">
        <f t="shared" si="12"/>
        <v xml:space="preserve"> </v>
      </c>
      <c r="W24" s="150" t="str">
        <f t="shared" si="13"/>
        <v xml:space="preserve"> </v>
      </c>
      <c r="X24" s="124">
        <f>IFERROR(IF(VLOOKUP($B24,'MM G-Dummy Roping'!$B$5:$AI$24,34,FALSE)=" ",0,VLOOKUP($B24,'MM G-Dummy Roping'!$B$5:$AI$24,34,FALSE)),0)+IFERROR(IF(VLOOKUP($B24,'MM G-Barrels'!$B$5:$AI$24,34,FALSE)=" ",0,VLOOKUP($B24,'MM G-Barrels'!$B$5:$AI$24,34,FALSE)),0)+IFERROR(IF(VLOOKUP($B24,'MM G-Figure 8'!$B$5:$AI$24,34,FALSE)=" ",0,VLOOKUP($B24,'MM G-Figure 8'!$B$5:$AI$24,34,FALSE)),0)+IFERROR(IF(VLOOKUP($B24,'MM G-Goats'!$B$5:$AI$24,34,FALSE)=" ",0,VLOOKUP($B24,'MM G-Goats'!$B$5:$AI$24,34,FALSE)),0)</f>
        <v>0</v>
      </c>
      <c r="Y24" s="105" t="str">
        <f t="shared" si="14"/>
        <v xml:space="preserve"> </v>
      </c>
      <c r="Z24" s="150" t="str">
        <f t="shared" si="15"/>
        <v xml:space="preserve"> </v>
      </c>
      <c r="AA24" s="124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4" s="105" t="str">
        <f t="shared" si="16"/>
        <v xml:space="preserve"> </v>
      </c>
      <c r="AC24" s="150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7fjkqJGkuDp1jyeL5wzEQSpCmm2ytjaWKNJD/jA+Zk/1BKeI4Wif/2EMS7jO9BsN+eHDEJT0zq61n4YZlNvrOg==" saltValue="u41zDL4WVkHqyeXrSgnQsw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7" customWidth="1"/>
    <col min="5" max="5" width="11.7265625" style="57" hidden="1" customWidth="1"/>
    <col min="6" max="6" width="11.7265625" style="57" customWidth="1"/>
    <col min="7" max="7" width="11.7265625" style="60" customWidth="1"/>
    <col min="8" max="8" width="11.7265625" style="57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7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64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3" t="s">
        <v>0</v>
      </c>
      <c r="I3" s="68"/>
      <c r="J3" s="68" t="s">
        <v>1</v>
      </c>
      <c r="K3" s="71" t="s">
        <v>2</v>
      </c>
      <c r="L3" s="143" t="s">
        <v>0</v>
      </c>
      <c r="M3" s="68"/>
      <c r="N3" s="68" t="s">
        <v>1</v>
      </c>
      <c r="O3" s="71" t="s">
        <v>2</v>
      </c>
      <c r="P3" s="143" t="s">
        <v>0</v>
      </c>
      <c r="Q3" s="68"/>
      <c r="R3" s="68" t="s">
        <v>1</v>
      </c>
      <c r="S3" s="71" t="s">
        <v>2</v>
      </c>
      <c r="T3" s="143" t="s">
        <v>0</v>
      </c>
      <c r="U3" s="68"/>
      <c r="V3" s="68" t="s">
        <v>1</v>
      </c>
      <c r="W3" s="71" t="s">
        <v>2</v>
      </c>
      <c r="X3" s="143" t="s">
        <v>0</v>
      </c>
      <c r="Y3" s="68"/>
      <c r="Z3" s="68" t="s">
        <v>1</v>
      </c>
      <c r="AA3" s="71" t="s">
        <v>2</v>
      </c>
      <c r="AB3" s="143" t="s">
        <v>0</v>
      </c>
      <c r="AC3" s="68"/>
      <c r="AD3" s="68" t="s">
        <v>1</v>
      </c>
      <c r="AE3" s="71" t="s">
        <v>2</v>
      </c>
      <c r="AF3" s="143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4" t="s">
        <v>0</v>
      </c>
      <c r="E4" s="78" t="s">
        <v>7</v>
      </c>
      <c r="F4" s="78" t="s">
        <v>1</v>
      </c>
      <c r="G4" s="81" t="s">
        <v>2</v>
      </c>
      <c r="H4" s="144" t="s">
        <v>17</v>
      </c>
      <c r="I4" s="78" t="s">
        <v>18</v>
      </c>
      <c r="J4" s="78" t="s">
        <v>8</v>
      </c>
      <c r="K4" s="81" t="s">
        <v>9</v>
      </c>
      <c r="L4" s="144" t="s">
        <v>10</v>
      </c>
      <c r="M4" s="78" t="s">
        <v>19</v>
      </c>
      <c r="N4" s="78" t="s">
        <v>20</v>
      </c>
      <c r="O4" s="81" t="s">
        <v>21</v>
      </c>
      <c r="P4" s="144" t="s">
        <v>22</v>
      </c>
      <c r="Q4" s="78" t="s">
        <v>11</v>
      </c>
      <c r="R4" s="78" t="s">
        <v>23</v>
      </c>
      <c r="S4" s="81" t="s">
        <v>24</v>
      </c>
      <c r="T4" s="144" t="s">
        <v>25</v>
      </c>
      <c r="U4" s="78" t="s">
        <v>26</v>
      </c>
      <c r="V4" s="78" t="s">
        <v>27</v>
      </c>
      <c r="W4" s="81" t="s">
        <v>28</v>
      </c>
      <c r="X4" s="144" t="s">
        <v>29</v>
      </c>
      <c r="Y4" s="78" t="s">
        <v>30</v>
      </c>
      <c r="Z4" s="78" t="s">
        <v>12</v>
      </c>
      <c r="AA4" s="81" t="s">
        <v>13</v>
      </c>
      <c r="AB4" s="144" t="s">
        <v>14</v>
      </c>
      <c r="AC4" s="78" t="s">
        <v>31</v>
      </c>
      <c r="AD4" s="78" t="s">
        <v>32</v>
      </c>
      <c r="AE4" s="81" t="s">
        <v>33</v>
      </c>
      <c r="AF4" s="144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70</v>
      </c>
      <c r="C5" s="84"/>
      <c r="D5" s="145"/>
      <c r="E5" s="86" t="str">
        <f>IF(D5=0," ",_xlfn.RANK.AVG(D5,D$5:D$24,0))</f>
        <v xml:space="preserve"> </v>
      </c>
      <c r="F5" s="86" t="str">
        <f>IF(D5=0," ",IF((RANK(D5,D$5:D$24,0)&gt;6)," ",RANK(D5,D$5:D$24,0)))</f>
        <v xml:space="preserve"> </v>
      </c>
      <c r="G5" s="87" t="str">
        <f>IF(Table62202732[[#This Row],[Non-Member]]="X"," ",IF(F5=" "," ",IFERROR(VLOOKUP(E5,Points!$A$2:$B$14,2,FALSE)," ")))</f>
        <v xml:space="preserve"> </v>
      </c>
      <c r="H5" s="145">
        <v>9</v>
      </c>
      <c r="I5" s="86">
        <f>IF(H5=0," ",_xlfn.RANK.AVG(H5,H$5:H$24,0))</f>
        <v>2.5</v>
      </c>
      <c r="J5" s="86">
        <f>IF(H5=0," ",IF((RANK(H5,H$5:H$24,0)&gt;6)," ",RANK(H5,H$5:H$24,0)))</f>
        <v>1</v>
      </c>
      <c r="K5" s="87">
        <f>IF(Table62202732[[#This Row],[Non-Member]]="X"," ",IF(J5=" "," ",IFERROR(VLOOKUP(I5,Points!$A$2:$B$14,2,FALSE)," ")))</f>
        <v>13.5</v>
      </c>
      <c r="L5" s="145">
        <v>9</v>
      </c>
      <c r="M5" s="86">
        <f>IF(L5=0," ",_xlfn.RANK.AVG(L5,L$5:L$24,0))</f>
        <v>2.5</v>
      </c>
      <c r="N5" s="86">
        <f>IF(L5=0," ",IF((RANK(L5,L$5:L$24,0)&gt;6)," ",RANK(L5,L$5:L$24,0)))</f>
        <v>1</v>
      </c>
      <c r="O5" s="87">
        <f>IF(Table62202732[[#This Row],[Non-Member]]="X"," ",IF(N5=" "," ",IFERROR(VLOOKUP(M5,Points!$A$2:$B$14,2,FALSE)," ")))</f>
        <v>13.5</v>
      </c>
      <c r="P5" s="145">
        <v>9</v>
      </c>
      <c r="Q5" s="86">
        <f>IF(P5=0," ",_xlfn.RANK.AVG(P5,P$5:P$24,0))</f>
        <v>2.5</v>
      </c>
      <c r="R5" s="86">
        <f>IF(P5=0," ",IF((RANK(P5,P$5:P$24,0)&gt;6)," ",RANK(P5,P$5:P$24,0)))</f>
        <v>1</v>
      </c>
      <c r="S5" s="87">
        <f>IF(Table62202732[[#This Row],[Non-Member]]="X"," ",IF(R5=" "," ",IFERROR(VLOOKUP(Q5,Points!$A$2:$B$14,2,FALSE)," ")))</f>
        <v>13.5</v>
      </c>
      <c r="T5" s="145"/>
      <c r="U5" s="86" t="str">
        <f>IF(T5=0," ",_xlfn.RANK.AVG(T5,T$5:T$24,0))</f>
        <v xml:space="preserve"> </v>
      </c>
      <c r="V5" s="86" t="str">
        <f>IF(T5=0," ",IF((RANK(T5,T$5:T$24,0)&gt;6)," ",RANK(T5,T$5:T$24,0)))</f>
        <v xml:space="preserve"> </v>
      </c>
      <c r="W5" s="87" t="str">
        <f>IF(Table62202732[[#This Row],[Non-Member]]="X"," ",IF(V5=" "," ",IFERROR(VLOOKUP(U5,Points!$A$2:$B$14,2,FALSE)," ")))</f>
        <v xml:space="preserve"> </v>
      </c>
      <c r="X5" s="145"/>
      <c r="Y5" s="86" t="str">
        <f>IF(X5=0," ",_xlfn.RANK.AVG(X5,X$5:X$24,0))</f>
        <v xml:space="preserve"> </v>
      </c>
      <c r="Z5" s="86" t="str">
        <f>IF(X5=0," ",IF((RANK(X5,X$5:X$24,0)&gt;6)," ",RANK(X5,X$5:X$24,0)))</f>
        <v xml:space="preserve"> </v>
      </c>
      <c r="AA5" s="87" t="str">
        <f>IF(Table62202732[[#This Row],[Non-Member]]="X"," ",IF(Z5=" "," ",IFERROR(VLOOKUP(Y5,Points!$A$2:$B$14,2,FALSE)," ")))</f>
        <v xml:space="preserve"> </v>
      </c>
      <c r="AB5" s="145"/>
      <c r="AC5" s="86" t="str">
        <f>IF(AB5=0," ",_xlfn.RANK.AVG(AB5,AB$5:AB$24,0))</f>
        <v xml:space="preserve"> </v>
      </c>
      <c r="AD5" s="86" t="str">
        <f>IF(AB5=0," ",IF((RANK(AB5,AB$5:AB$24,0)&gt;6)," ",RANK(AB5,AB$5:AB$24,0)))</f>
        <v xml:space="preserve"> </v>
      </c>
      <c r="AE5" s="87" t="str">
        <f>IF(Table62202732[[#This Row],[Non-Member]]="X"," ",IF(AD5=" "," ",IFERROR(VLOOKUP(AC5,Points!$A$2:$B$14,2,FALSE)," ")))</f>
        <v xml:space="preserve"> </v>
      </c>
      <c r="AF5" s="145" t="str">
        <f>IF(X5+AB5=0," ",X5+AB5)</f>
        <v xml:space="preserve"> </v>
      </c>
      <c r="AG5" s="89" t="e">
        <f>IF(AF5=0," ",_xlfn.RANK.AVG(AF5,IF(AF$5:AF$24&gt;0,AF$5:AF$24,0),0))</f>
        <v>#VALUE!</v>
      </c>
      <c r="AH5" s="86" t="str">
        <f>IFERROR(IF(RANK(AF5,AF$5:AF$24,0)&gt;6," ",(IF(AF5,RANK(AF5,AF$5:AF$24,0)," ")))," ")</f>
        <v xml:space="preserve"> </v>
      </c>
      <c r="AI5" s="87" t="str">
        <f>IF(Table62202732[[#This Row],[Non-Member]]="X"," ",IF(AH5=" "," ",IFERROR(VLOOKUP(AG5,Points!$A$2:$B$14,2,FALSE)," ")))</f>
        <v xml:space="preserve"> </v>
      </c>
      <c r="AJ5" s="86">
        <f>IF(Table62202732[[#This Row],[Non-Member]]="X"," ",((IF(G5=" ",0,G5))+(IF(K5=" ",0,K5))+(IF(O5=" ",0,O5))+(IF(S5=" ",0,S5))+(IF(W5=" ",0,W5))+(IF(AA5=" ",0,AA5))+(IF(AE5=" ",0,AE5))+(IF(AI5=" ",0,AI5))))</f>
        <v>40.5</v>
      </c>
      <c r="AK5" s="88">
        <f>IF(AJ5=0," ",AJ5)</f>
        <v>40.5</v>
      </c>
      <c r="AL5" s="89">
        <f>IF(AK5=" "," ",RANK(AK5,$AK$5:$AK$24))</f>
        <v>1</v>
      </c>
    </row>
    <row r="6" spans="2:38" x14ac:dyDescent="0.3">
      <c r="B6" s="90" t="s">
        <v>274</v>
      </c>
      <c r="C6" s="91"/>
      <c r="D6" s="146"/>
      <c r="E6" s="93" t="str">
        <f>IF(D6=0," ",_xlfn.RANK.AVG(D6,D$5:D$24,0))</f>
        <v xml:space="preserve"> </v>
      </c>
      <c r="F6" s="93" t="str">
        <f>IF(D6=0," ",IF((RANK(D6,D$5:D$24,0)&gt;6)," ",RANK(D6,D$5:D$24,0)))</f>
        <v xml:space="preserve"> </v>
      </c>
      <c r="G6" s="94" t="str">
        <f>IF(Table62202732[[#This Row],[Non-Member]]="X"," ",IF(F6=" "," ",IFERROR(VLOOKUP(E6,Points!$A$2:$B$14,2,FALSE)," ")))</f>
        <v xml:space="preserve"> </v>
      </c>
      <c r="H6" s="146">
        <v>9</v>
      </c>
      <c r="I6" s="93">
        <f>IF(H6=0," ",_xlfn.RANK.AVG(H6,H$5:H$24,0))</f>
        <v>2.5</v>
      </c>
      <c r="J6" s="93">
        <f>IF(H6=0," ",IF((RANK(H6,H$5:H$24,0)&gt;6)," ",RANK(H6,H$5:H$24,0)))</f>
        <v>1</v>
      </c>
      <c r="K6" s="94">
        <f>IF(Table62202732[[#This Row],[Non-Member]]="X"," ",IF(J6=" "," ",IFERROR(VLOOKUP(I6,Points!$A$2:$B$14,2,FALSE)," ")))</f>
        <v>13.5</v>
      </c>
      <c r="L6" s="146">
        <v>9</v>
      </c>
      <c r="M6" s="93">
        <f>IF(L6=0," ",_xlfn.RANK.AVG(L6,L$5:L$24,0))</f>
        <v>2.5</v>
      </c>
      <c r="N6" s="93">
        <f>IF(L6=0," ",IF((RANK(L6,L$5:L$24,0)&gt;6)," ",RANK(L6,L$5:L$24,0)))</f>
        <v>1</v>
      </c>
      <c r="O6" s="94">
        <f>IF(Table62202732[[#This Row],[Non-Member]]="X"," ",IF(N6=" "," ",IFERROR(VLOOKUP(M6,Points!$A$2:$B$14,2,FALSE)," ")))</f>
        <v>13.5</v>
      </c>
      <c r="P6" s="146">
        <v>6</v>
      </c>
      <c r="Q6" s="93">
        <f>IF(P6=0," ",_xlfn.RANK.AVG(P6,P$5:P$24,0))</f>
        <v>6.5</v>
      </c>
      <c r="R6" s="93">
        <f>IF(P6=0," ",IF((RANK(P6,P$5:P$24,0)&gt;6)," ",RANK(P6,P$5:P$24,0)))</f>
        <v>6</v>
      </c>
      <c r="S6" s="94">
        <f>IF(Table62202732[[#This Row],[Non-Member]]="X"," ",IF(R6=" "," ",IFERROR(VLOOKUP(Q6,Points!$A$2:$B$14,2,FALSE)," ")))</f>
        <v>1.5</v>
      </c>
      <c r="T6" s="146"/>
      <c r="U6" s="93" t="str">
        <f>IF(T6=0," ",_xlfn.RANK.AVG(T6,T$5:T$24,0))</f>
        <v xml:space="preserve"> </v>
      </c>
      <c r="V6" s="93" t="str">
        <f>IF(T6=0," ",IF((RANK(T6,T$5:T$24,0)&gt;6)," ",RANK(T6,T$5:T$24,0)))</f>
        <v xml:space="preserve"> </v>
      </c>
      <c r="W6" s="94" t="str">
        <f>IF(Table62202732[[#This Row],[Non-Member]]="X"," ",IF(V6=" "," ",IFERROR(VLOOKUP(U6,Points!$A$2:$B$14,2,FALSE)," ")))</f>
        <v xml:space="preserve"> </v>
      </c>
      <c r="X6" s="146"/>
      <c r="Y6" s="93" t="str">
        <f>IF(X6=0," ",_xlfn.RANK.AVG(X6,X$5:X$24,0))</f>
        <v xml:space="preserve"> </v>
      </c>
      <c r="Z6" s="93" t="str">
        <f>IF(X6=0," ",IF((RANK(X6,X$5:X$24,0)&gt;6)," ",RANK(X6,X$5:X$24,0)))</f>
        <v xml:space="preserve"> </v>
      </c>
      <c r="AA6" s="94" t="str">
        <f>IF(Table62202732[[#This Row],[Non-Member]]="X"," ",IF(Z6=" "," ",IFERROR(VLOOKUP(Y6,Points!$A$2:$B$14,2,FALSE)," ")))</f>
        <v xml:space="preserve"> </v>
      </c>
      <c r="AB6" s="146"/>
      <c r="AC6" s="93" t="str">
        <f>IF(AB6=0," ",_xlfn.RANK.AVG(AB6,AB$5:AB$24,0))</f>
        <v xml:space="preserve"> </v>
      </c>
      <c r="AD6" s="93" t="str">
        <f>IF(AB6=0," ",IF((RANK(AB6,AB$5:AB$24,0)&gt;6)," ",RANK(AB6,AB$5:AB$24,0)))</f>
        <v xml:space="preserve"> </v>
      </c>
      <c r="AE6" s="94" t="str">
        <f>IF(Table62202732[[#This Row],[Non-Member]]="X"," ",IF(AD6=" "," ",IFERROR(VLOOKUP(AC6,Points!$A$2:$B$14,2,FALSE)," ")))</f>
        <v xml:space="preserve"> </v>
      </c>
      <c r="AF6" s="146" t="str">
        <f>IF(X6+AB6=0," ",X6+AB6)</f>
        <v xml:space="preserve"> </v>
      </c>
      <c r="AG6" s="96" t="e">
        <f>IF(AF6=0," ",_xlfn.RANK.AVG(AF6,IF(AF$5:AF$24&gt;0,AF$5:AF$24,0),0))</f>
        <v>#VALUE!</v>
      </c>
      <c r="AH6" s="93" t="str">
        <f>IFERROR(IF(RANK(AF6,AF$5:AF$24,0)&gt;6," ",(IF(AF6,RANK(AF6,AF$5:AF$24,0)," ")))," ")</f>
        <v xml:space="preserve"> </v>
      </c>
      <c r="AI6" s="94" t="str">
        <f>IF(Table62202732[[#This Row],[Non-Member]]="X"," ",IF(AH6=" "," ",IFERROR(VLOOKUP(AG6,Points!$A$2:$B$14,2,FALSE)," ")))</f>
        <v xml:space="preserve"> </v>
      </c>
      <c r="AJ6" s="93">
        <f>IF(Table62202732[[#This Row],[Non-Member]]="X"," ",((IF(G6=" ",0,G6))+(IF(K6=" ",0,K6))+(IF(O6=" ",0,O6))+(IF(S6=" ",0,S6))+(IF(W6=" ",0,W6))+(IF(AA6=" ",0,AA6))+(IF(AE6=" ",0,AE6))+(IF(AI6=" ",0,AI6))))</f>
        <v>28.5</v>
      </c>
      <c r="AK6" s="95">
        <f>IF(AJ6=0," ",AJ6)</f>
        <v>28.5</v>
      </c>
      <c r="AL6" s="96">
        <f>IF(AK6=" "," ",RANK(AK6,$AK$5:$AK$24))</f>
        <v>2</v>
      </c>
    </row>
    <row r="7" spans="2:38" x14ac:dyDescent="0.3">
      <c r="B7" s="90" t="s">
        <v>67</v>
      </c>
      <c r="C7" s="91"/>
      <c r="D7" s="146"/>
      <c r="E7" s="93" t="str">
        <f>IF(D7=0," ",_xlfn.RANK.AVG(D7,D$5:D$24,0))</f>
        <v xml:space="preserve"> </v>
      </c>
      <c r="F7" s="93" t="str">
        <f>IF(D7=0," ",IF((RANK(D7,D$5:D$24,0)&gt;6)," ",RANK(D7,D$5:D$24,0)))</f>
        <v xml:space="preserve"> </v>
      </c>
      <c r="G7" s="94" t="str">
        <f>IF(Table62202732[[#This Row],[Non-Member]]="X"," ",IF(F7=" "," ",IFERROR(VLOOKUP(E7,Points!$A$2:$B$14,2,FALSE)," ")))</f>
        <v xml:space="preserve"> </v>
      </c>
      <c r="H7" s="146">
        <v>6</v>
      </c>
      <c r="I7" s="93">
        <f>IF(H7=0," ",_xlfn.RANK.AVG(H7,H$5:H$24,0))</f>
        <v>8</v>
      </c>
      <c r="J7" s="93" t="str">
        <f>IF(H7=0," ",IF((RANK(H7,H$5:H$24,0)&gt;6)," ",RANK(H7,H$5:H$24,0)))</f>
        <v xml:space="preserve"> </v>
      </c>
      <c r="K7" s="94" t="str">
        <f>IF(Table62202732[[#This Row],[Non-Member]]="X"," ",IF(J7=" "," ",IFERROR(VLOOKUP(I7,Points!$A$2:$B$14,2,FALSE)," ")))</f>
        <v xml:space="preserve"> </v>
      </c>
      <c r="L7" s="146">
        <v>9</v>
      </c>
      <c r="M7" s="93">
        <f>IF(L7=0," ",_xlfn.RANK.AVG(L7,L$5:L$24,0))</f>
        <v>2.5</v>
      </c>
      <c r="N7" s="93">
        <f>IF(L7=0," ",IF((RANK(L7,L$5:L$24,0)&gt;6)," ",RANK(L7,L$5:L$24,0)))</f>
        <v>1</v>
      </c>
      <c r="O7" s="94">
        <f>IF(Table62202732[[#This Row],[Non-Member]]="X"," ",IF(N7=" "," ",IFERROR(VLOOKUP(M7,Points!$A$2:$B$14,2,FALSE)," ")))</f>
        <v>13.5</v>
      </c>
      <c r="P7" s="146">
        <v>9</v>
      </c>
      <c r="Q7" s="93">
        <f>IF(P7=0," ",_xlfn.RANK.AVG(P7,P$5:P$24,0))</f>
        <v>2.5</v>
      </c>
      <c r="R7" s="93">
        <f>IF(P7=0," ",IF((RANK(P7,P$5:P$24,0)&gt;6)," ",RANK(P7,P$5:P$24,0)))</f>
        <v>1</v>
      </c>
      <c r="S7" s="94">
        <f>IF(Table62202732[[#This Row],[Non-Member]]="X"," ",IF(R7=" "," ",IFERROR(VLOOKUP(Q7,Points!$A$2:$B$14,2,FALSE)," ")))</f>
        <v>13.5</v>
      </c>
      <c r="T7" s="146"/>
      <c r="U7" s="93" t="str">
        <f>IF(T7=0," ",_xlfn.RANK.AVG(T7,T$5:T$24,0))</f>
        <v xml:space="preserve"> </v>
      </c>
      <c r="V7" s="93" t="str">
        <f>IF(T7=0," ",IF((RANK(T7,T$5:T$24,0)&gt;6)," ",RANK(T7,T$5:T$24,0)))</f>
        <v xml:space="preserve"> </v>
      </c>
      <c r="W7" s="94" t="str">
        <f>IF(Table62202732[[#This Row],[Non-Member]]="X"," ",IF(V7=" "," ",IFERROR(VLOOKUP(U7,Points!$A$2:$B$14,2,FALSE)," ")))</f>
        <v xml:space="preserve"> </v>
      </c>
      <c r="X7" s="146"/>
      <c r="Y7" s="93" t="str">
        <f>IF(X7=0," ",_xlfn.RANK.AVG(X7,X$5:X$24,0))</f>
        <v xml:space="preserve"> </v>
      </c>
      <c r="Z7" s="93" t="str">
        <f>IF(X7=0," ",IF((RANK(X7,X$5:X$24,0)&gt;6)," ",RANK(X7,X$5:X$24,0)))</f>
        <v xml:space="preserve"> </v>
      </c>
      <c r="AA7" s="94" t="str">
        <f>IF(Table62202732[[#This Row],[Non-Member]]="X"," ",IF(Z7=" "," ",IFERROR(VLOOKUP(Y7,Points!$A$2:$B$14,2,FALSE)," ")))</f>
        <v xml:space="preserve"> </v>
      </c>
      <c r="AB7" s="146"/>
      <c r="AC7" s="93" t="str">
        <f>IF(AB7=0," ",_xlfn.RANK.AVG(AB7,AB$5:AB$24,0))</f>
        <v xml:space="preserve"> </v>
      </c>
      <c r="AD7" s="93" t="str">
        <f>IF(AB7=0," ",IF((RANK(AB7,AB$5:AB$24,0)&gt;6)," ",RANK(AB7,AB$5:AB$24,0)))</f>
        <v xml:space="preserve"> </v>
      </c>
      <c r="AE7" s="94" t="str">
        <f>IF(Table62202732[[#This Row],[Non-Member]]="X"," ",IF(AD7=" "," ",IFERROR(VLOOKUP(AC7,Points!$A$2:$B$14,2,FALSE)," ")))</f>
        <v xml:space="preserve"> </v>
      </c>
      <c r="AF7" s="146" t="str">
        <f>IF(X7+AB7=0," ",X7+AB7)</f>
        <v xml:space="preserve"> </v>
      </c>
      <c r="AG7" s="96" t="e">
        <f>IF(AF7=0," ",_xlfn.RANK.AVG(AF7,IF(AF$5:AF$24&gt;0,AF$5:AF$24,0),0))</f>
        <v>#VALUE!</v>
      </c>
      <c r="AH7" s="93" t="str">
        <f>IFERROR(IF(RANK(AF7,AF$5:AF$24,0)&gt;6," ",(IF(AF7,RANK(AF7,AF$5:AF$24,0)," ")))," ")</f>
        <v xml:space="preserve"> </v>
      </c>
      <c r="AI7" s="94" t="str">
        <f>IF(Table62202732[[#This Row],[Non-Member]]="X"," ",IF(AH7=" "," ",IFERROR(VLOOKUP(AG7,Points!$A$2:$B$14,2,FALSE)," ")))</f>
        <v xml:space="preserve"> </v>
      </c>
      <c r="AJ7" s="93">
        <f>IF(Table62202732[[#This Row],[Non-Member]]="X"," ",((IF(G7=" ",0,G7))+(IF(K7=" ",0,K7))+(IF(O7=" ",0,O7))+(IF(S7=" ",0,S7))+(IF(W7=" ",0,W7))+(IF(AA7=" ",0,AA7))+(IF(AE7=" ",0,AE7))+(IF(AI7=" ",0,AI7))))</f>
        <v>27</v>
      </c>
      <c r="AK7" s="95">
        <f>IF(AJ7=0," ",AJ7)</f>
        <v>27</v>
      </c>
      <c r="AL7" s="96">
        <f>IF(AK7=" "," ",RANK(AK7,$AK$5:$AK$24))</f>
        <v>3</v>
      </c>
    </row>
    <row r="8" spans="2:38" x14ac:dyDescent="0.3">
      <c r="B8" s="90" t="s">
        <v>187</v>
      </c>
      <c r="C8" s="91"/>
      <c r="D8" s="146"/>
      <c r="E8" s="93" t="str">
        <f>IF(D8=0," ",_xlfn.RANK.AVG(D8,D$5:D$24,0))</f>
        <v xml:space="preserve"> </v>
      </c>
      <c r="F8" s="93" t="str">
        <f>IF(D8=0," ",IF((RANK(D8,D$5:D$24,0)&gt;6)," ",RANK(D8,D$5:D$24,0)))</f>
        <v xml:space="preserve"> </v>
      </c>
      <c r="G8" s="94" t="str">
        <f>IF(Table62202732[[#This Row],[Non-Member]]="X"," ",IF(F8=" "," ",IFERROR(VLOOKUP(E8,Points!$A$2:$B$14,2,FALSE)," ")))</f>
        <v xml:space="preserve"> </v>
      </c>
      <c r="H8" s="146">
        <v>8</v>
      </c>
      <c r="I8" s="93">
        <f>IF(H8=0," ",_xlfn.RANK.AVG(H8,H$5:H$24,0))</f>
        <v>5</v>
      </c>
      <c r="J8" s="93">
        <f>IF(H8=0," ",IF((RANK(H8,H$5:H$24,0)&gt;6)," ",RANK(H8,H$5:H$24,0)))</f>
        <v>5</v>
      </c>
      <c r="K8" s="94">
        <f>IF(Table62202732[[#This Row],[Non-Member]]="X"," ",IF(J8=" "," ",IFERROR(VLOOKUP(I8,Points!$A$2:$B$14,2,FALSE)," ")))</f>
        <v>6</v>
      </c>
      <c r="L8" s="146">
        <v>9</v>
      </c>
      <c r="M8" s="93">
        <f>IF(L8=0," ",_xlfn.RANK.AVG(L8,L$5:L$24,0))</f>
        <v>2.5</v>
      </c>
      <c r="N8" s="93">
        <f>IF(L8=0," ",IF((RANK(L8,L$5:L$24,0)&gt;6)," ",RANK(L8,L$5:L$24,0)))</f>
        <v>1</v>
      </c>
      <c r="O8" s="94">
        <f>IF(Table62202732[[#This Row],[Non-Member]]="X"," ",IF(N8=" "," ",IFERROR(VLOOKUP(M8,Points!$A$2:$B$14,2,FALSE)," ")))</f>
        <v>13.5</v>
      </c>
      <c r="P8" s="146">
        <v>5</v>
      </c>
      <c r="Q8" s="93">
        <f>IF(P8=0," ",_xlfn.RANK.AVG(P8,P$5:P$24,0))</f>
        <v>9.5</v>
      </c>
      <c r="R8" s="93" t="str">
        <f>IF(P8=0," ",IF((RANK(P8,P$5:P$24,0)&gt;6)," ",RANK(P8,P$5:P$24,0)))</f>
        <v xml:space="preserve"> </v>
      </c>
      <c r="S8" s="94" t="str">
        <f>IF(Table62202732[[#This Row],[Non-Member]]="X"," ",IF(R8=" "," ",IFERROR(VLOOKUP(Q8,Points!$A$2:$B$14,2,FALSE)," ")))</f>
        <v xml:space="preserve"> </v>
      </c>
      <c r="T8" s="146"/>
      <c r="U8" s="93" t="str">
        <f>IF(T8=0," ",_xlfn.RANK.AVG(T8,T$5:T$24,0))</f>
        <v xml:space="preserve"> </v>
      </c>
      <c r="V8" s="93" t="str">
        <f>IF(T8=0," ",IF((RANK(T8,T$5:T$24,0)&gt;6)," ",RANK(T8,T$5:T$24,0)))</f>
        <v xml:space="preserve"> </v>
      </c>
      <c r="W8" s="94" t="str">
        <f>IF(Table62202732[[#This Row],[Non-Member]]="X"," ",IF(V8=" "," ",IFERROR(VLOOKUP(U8,Points!$A$2:$B$14,2,FALSE)," ")))</f>
        <v xml:space="preserve"> </v>
      </c>
      <c r="X8" s="146"/>
      <c r="Y8" s="93" t="str">
        <f>IF(X8=0," ",_xlfn.RANK.AVG(X8,X$5:X$24,0))</f>
        <v xml:space="preserve"> </v>
      </c>
      <c r="Z8" s="93" t="str">
        <f>IF(X8=0," ",IF((RANK(X8,X$5:X$24,0)&gt;6)," ",RANK(X8,X$5:X$24,0)))</f>
        <v xml:space="preserve"> </v>
      </c>
      <c r="AA8" s="94" t="str">
        <f>IF(Table62202732[[#This Row],[Non-Member]]="X"," ",IF(Z8=" "," ",IFERROR(VLOOKUP(Y8,Points!$A$2:$B$14,2,FALSE)," ")))</f>
        <v xml:space="preserve"> </v>
      </c>
      <c r="AB8" s="146"/>
      <c r="AC8" s="93" t="str">
        <f>IF(AB8=0," ",_xlfn.RANK.AVG(AB8,AB$5:AB$24,0))</f>
        <v xml:space="preserve"> </v>
      </c>
      <c r="AD8" s="93" t="str">
        <f>IF(AB8=0," ",IF((RANK(AB8,AB$5:AB$24,0)&gt;6)," ",RANK(AB8,AB$5:AB$24,0)))</f>
        <v xml:space="preserve"> </v>
      </c>
      <c r="AE8" s="94" t="str">
        <f>IF(Table62202732[[#This Row],[Non-Member]]="X"," ",IF(AD8=" "," ",IFERROR(VLOOKUP(AC8,Points!$A$2:$B$14,2,FALSE)," ")))</f>
        <v xml:space="preserve"> </v>
      </c>
      <c r="AF8" s="146" t="str">
        <f>IF(X8+AB8=0," ",X8+AB8)</f>
        <v xml:space="preserve"> </v>
      </c>
      <c r="AG8" s="96" t="e">
        <f>IF(AF8=0," ",_xlfn.RANK.AVG(AF8,IF(AF$5:AF$24&gt;0,AF$5:AF$24,0),0))</f>
        <v>#VALUE!</v>
      </c>
      <c r="AH8" s="93" t="str">
        <f>IFERROR(IF(RANK(AF8,AF$5:AF$24,0)&gt;6," ",(IF(AF8,RANK(AF8,AF$5:AF$24,0)," ")))," ")</f>
        <v xml:space="preserve"> </v>
      </c>
      <c r="AI8" s="94" t="str">
        <f>IF(Table62202732[[#This Row],[Non-Member]]="X"," ",IF(AH8=" "," ",IFERROR(VLOOKUP(AG8,Points!$A$2:$B$14,2,FALSE)," ")))</f>
        <v xml:space="preserve"> </v>
      </c>
      <c r="AJ8" s="93">
        <f>IF(Table62202732[[#This Row],[Non-Member]]="X"," ",((IF(G8=" ",0,G8))+(IF(K8=" ",0,K8))+(IF(O8=" ",0,O8))+(IF(S8=" ",0,S8))+(IF(W8=" ",0,W8))+(IF(AA8=" ",0,AA8))+(IF(AE8=" ",0,AE8))+(IF(AI8=" ",0,AI8))))</f>
        <v>19.5</v>
      </c>
      <c r="AK8" s="95">
        <f>IF(AJ8=0," ",AJ8)</f>
        <v>19.5</v>
      </c>
      <c r="AL8" s="96">
        <f>IF(AK8=" "," ",RANK(AK8,$AK$5:$AK$24))</f>
        <v>4</v>
      </c>
    </row>
    <row r="9" spans="2:38" x14ac:dyDescent="0.3">
      <c r="B9" s="90" t="s">
        <v>260</v>
      </c>
      <c r="C9" s="91"/>
      <c r="D9" s="146"/>
      <c r="E9" s="93" t="str">
        <f>IF(D9=0," ",_xlfn.RANK.AVG(D9,D$5:D$24,0))</f>
        <v xml:space="preserve"> </v>
      </c>
      <c r="F9" s="93" t="str">
        <f>IF(D9=0," ",IF((RANK(D9,D$5:D$24,0)&gt;6)," ",RANK(D9,D$5:D$24,0)))</f>
        <v xml:space="preserve"> </v>
      </c>
      <c r="G9" s="94" t="str">
        <f>IF(Table62202732[[#This Row],[Non-Member]]="X"," ",IF(F9=" "," ",IFERROR(VLOOKUP(E9,Points!$A$2:$B$14,2,FALSE)," ")))</f>
        <v xml:space="preserve"> </v>
      </c>
      <c r="H9" s="146">
        <v>9</v>
      </c>
      <c r="I9" s="93">
        <f>IF(H9=0," ",_xlfn.RANK.AVG(H9,H$5:H$24,0))</f>
        <v>2.5</v>
      </c>
      <c r="J9" s="93">
        <f>IF(H9=0," ",IF((RANK(H9,H$5:H$24,0)&gt;6)," ",RANK(H9,H$5:H$24,0)))</f>
        <v>1</v>
      </c>
      <c r="K9" s="94">
        <f>IF(Table62202732[[#This Row],[Non-Member]]="X"," ",IF(J9=" "," ",IFERROR(VLOOKUP(I9,Points!$A$2:$B$14,2,FALSE)," ")))</f>
        <v>13.5</v>
      </c>
      <c r="L9" s="146">
        <v>7</v>
      </c>
      <c r="M9" s="93">
        <f>IF(L9=0," ",_xlfn.RANK.AVG(L9,L$5:L$24,0))</f>
        <v>6.5</v>
      </c>
      <c r="N9" s="93">
        <f>IF(L9=0," ",IF((RANK(L9,L$5:L$24,0)&gt;6)," ",RANK(L9,L$5:L$24,0)))</f>
        <v>6</v>
      </c>
      <c r="O9" s="94">
        <f>IF(Table62202732[[#This Row],[Non-Member]]="X"," ",IF(N9=" "," ",IFERROR(VLOOKUP(M9,Points!$A$2:$B$14,2,FALSE)," ")))</f>
        <v>1.5</v>
      </c>
      <c r="P9" s="146">
        <v>5</v>
      </c>
      <c r="Q9" s="93">
        <f>IF(P9=0," ",_xlfn.RANK.AVG(P9,P$5:P$24,0))</f>
        <v>9.5</v>
      </c>
      <c r="R9" s="93" t="str">
        <f>IF(P9=0," ",IF((RANK(P9,P$5:P$24,0)&gt;6)," ",RANK(P9,P$5:P$24,0)))</f>
        <v xml:space="preserve"> </v>
      </c>
      <c r="S9" s="94" t="str">
        <f>IF(Table62202732[[#This Row],[Non-Member]]="X"," ",IF(R9=" "," ",IFERROR(VLOOKUP(Q9,Points!$A$2:$B$14,2,FALSE)," ")))</f>
        <v xml:space="preserve"> </v>
      </c>
      <c r="T9" s="146"/>
      <c r="U9" s="93" t="str">
        <f>IF(T9=0," ",_xlfn.RANK.AVG(T9,T$5:T$24,0))</f>
        <v xml:space="preserve"> </v>
      </c>
      <c r="V9" s="93" t="str">
        <f>IF(T9=0," ",IF((RANK(T9,T$5:T$24,0)&gt;6)," ",RANK(T9,T$5:T$24,0)))</f>
        <v xml:space="preserve"> </v>
      </c>
      <c r="W9" s="94" t="str">
        <f>IF(Table62202732[[#This Row],[Non-Member]]="X"," ",IF(V9=" "," ",IFERROR(VLOOKUP(U9,Points!$A$2:$B$14,2,FALSE)," ")))</f>
        <v xml:space="preserve"> </v>
      </c>
      <c r="X9" s="146"/>
      <c r="Y9" s="93" t="str">
        <f>IF(X9=0," ",_xlfn.RANK.AVG(X9,X$5:X$24,0))</f>
        <v xml:space="preserve"> </v>
      </c>
      <c r="Z9" s="93" t="str">
        <f>IF(X9=0," ",IF((RANK(X9,X$5:X$24,0)&gt;6)," ",RANK(X9,X$5:X$24,0)))</f>
        <v xml:space="preserve"> </v>
      </c>
      <c r="AA9" s="94" t="str">
        <f>IF(Table62202732[[#This Row],[Non-Member]]="X"," ",IF(Z9=" "," ",IFERROR(VLOOKUP(Y9,Points!$A$2:$B$14,2,FALSE)," ")))</f>
        <v xml:space="preserve"> </v>
      </c>
      <c r="AB9" s="146"/>
      <c r="AC9" s="93" t="str">
        <f>IF(AB9=0," ",_xlfn.RANK.AVG(AB9,AB$5:AB$24,0))</f>
        <v xml:space="preserve"> </v>
      </c>
      <c r="AD9" s="93" t="str">
        <f>IF(AB9=0," ",IF((RANK(AB9,AB$5:AB$24,0)&gt;6)," ",RANK(AB9,AB$5:AB$24,0)))</f>
        <v xml:space="preserve"> </v>
      </c>
      <c r="AE9" s="94" t="str">
        <f>IF(Table62202732[[#This Row],[Non-Member]]="X"," ",IF(AD9=" "," ",IFERROR(VLOOKUP(AC9,Points!$A$2:$B$14,2,FALSE)," ")))</f>
        <v xml:space="preserve"> </v>
      </c>
      <c r="AF9" s="146" t="str">
        <f>IF(X9+AB9=0," ",X9+AB9)</f>
        <v xml:space="preserve"> </v>
      </c>
      <c r="AG9" s="96" t="e">
        <f>IF(AF9=0," ",_xlfn.RANK.AVG(AF9,IF(AF$5:AF$24&gt;0,AF$5:AF$24,0),0))</f>
        <v>#VALUE!</v>
      </c>
      <c r="AH9" s="93" t="str">
        <f>IFERROR(IF(RANK(AF9,AF$5:AF$24,0)&gt;6," ",(IF(AF9,RANK(AF9,AF$5:AF$24,0)," ")))," ")</f>
        <v xml:space="preserve"> </v>
      </c>
      <c r="AI9" s="94" t="str">
        <f>IF(Table62202732[[#This Row],[Non-Member]]="X"," ",IF(AH9=" "," ",IFERROR(VLOOKUP(AG9,Points!$A$2:$B$14,2,FALSE)," ")))</f>
        <v xml:space="preserve"> </v>
      </c>
      <c r="AJ9" s="93">
        <f>IF(Table62202732[[#This Row],[Non-Member]]="X"," ",((IF(G9=" ",0,G9))+(IF(K9=" ",0,K9))+(IF(O9=" ",0,O9))+(IF(S9=" ",0,S9))+(IF(W9=" ",0,W9))+(IF(AA9=" ",0,AA9))+(IF(AE9=" ",0,AE9))+(IF(AI9=" ",0,AI9))))</f>
        <v>15</v>
      </c>
      <c r="AK9" s="95">
        <f>IF(AJ9=0," ",AJ9)</f>
        <v>15</v>
      </c>
      <c r="AL9" s="96">
        <f>IF(AK9=" "," ",RANK(AK9,$AK$5:$AK$24))</f>
        <v>5</v>
      </c>
    </row>
    <row r="10" spans="2:38" x14ac:dyDescent="0.3">
      <c r="B10" s="90" t="s">
        <v>275</v>
      </c>
      <c r="C10" s="91"/>
      <c r="D10" s="146"/>
      <c r="E10" s="93" t="str">
        <f>IF(D10=0," ",_xlfn.RANK.AVG(D10,D$5:D$24,0))</f>
        <v xml:space="preserve"> </v>
      </c>
      <c r="F10" s="93" t="str">
        <f>IF(D10=0," ",IF((RANK(D10,D$5:D$24,0)&gt;6)," ",RANK(D10,D$5:D$24,0)))</f>
        <v xml:space="preserve"> </v>
      </c>
      <c r="G10" s="94" t="str">
        <f>IF(Table62202732[[#This Row],[Non-Member]]="X"," ",IF(F10=" "," ",IFERROR(VLOOKUP(E10,Points!$A$2:$B$14,2,FALSE)," ")))</f>
        <v xml:space="preserve"> </v>
      </c>
      <c r="H10" s="146">
        <v>1</v>
      </c>
      <c r="I10" s="93">
        <f>IF(H10=0," ",_xlfn.RANK.AVG(H10,H$5:H$24,0))</f>
        <v>12</v>
      </c>
      <c r="J10" s="93" t="str">
        <f>IF(H10=0," ",IF((RANK(H10,H$5:H$24,0)&gt;6)," ",RANK(H10,H$5:H$24,0)))</f>
        <v xml:space="preserve"> </v>
      </c>
      <c r="K10" s="94" t="str">
        <f>IF(Table62202732[[#This Row],[Non-Member]]="X"," ",IF(J10=" "," ",IFERROR(VLOOKUP(I10,Points!$A$2:$B$14,2,FALSE)," ")))</f>
        <v xml:space="preserve"> </v>
      </c>
      <c r="L10" s="146">
        <v>3</v>
      </c>
      <c r="M10" s="93">
        <f>IF(L10=0," ",_xlfn.RANK.AVG(L10,L$5:L$24,0))</f>
        <v>12</v>
      </c>
      <c r="N10" s="93" t="str">
        <f>IF(L10=0," ",IF((RANK(L10,L$5:L$24,0)&gt;6)," ",RANK(L10,L$5:L$24,0)))</f>
        <v xml:space="preserve"> </v>
      </c>
      <c r="O10" s="94" t="str">
        <f>IF(Table62202732[[#This Row],[Non-Member]]="X"," ",IF(N10=" "," ",IFERROR(VLOOKUP(M10,Points!$A$2:$B$14,2,FALSE)," ")))</f>
        <v xml:space="preserve"> </v>
      </c>
      <c r="P10" s="146">
        <v>9</v>
      </c>
      <c r="Q10" s="93">
        <f>IF(P10=0," ",_xlfn.RANK.AVG(P10,P$5:P$24,0))</f>
        <v>2.5</v>
      </c>
      <c r="R10" s="93">
        <f>IF(P10=0," ",IF((RANK(P10,P$5:P$24,0)&gt;6)," ",RANK(P10,P$5:P$24,0)))</f>
        <v>1</v>
      </c>
      <c r="S10" s="94">
        <f>IF(Table62202732[[#This Row],[Non-Member]]="X"," ",IF(R10=" "," ",IFERROR(VLOOKUP(Q10,Points!$A$2:$B$14,2,FALSE)," ")))</f>
        <v>13.5</v>
      </c>
      <c r="T10" s="146"/>
      <c r="U10" s="93" t="str">
        <f>IF(T10=0," ",_xlfn.RANK.AVG(T10,T$5:T$24,0))</f>
        <v xml:space="preserve"> </v>
      </c>
      <c r="V10" s="93" t="str">
        <f>IF(T10=0," ",IF((RANK(T10,T$5:T$24,0)&gt;6)," ",RANK(T10,T$5:T$24,0)))</f>
        <v xml:space="preserve"> </v>
      </c>
      <c r="W10" s="94" t="str">
        <f>IF(Table62202732[[#This Row],[Non-Member]]="X"," ",IF(V10=" "," ",IFERROR(VLOOKUP(U10,Points!$A$2:$B$14,2,FALSE)," ")))</f>
        <v xml:space="preserve"> </v>
      </c>
      <c r="X10" s="146"/>
      <c r="Y10" s="93" t="str">
        <f>IF(X10=0," ",_xlfn.RANK.AVG(X10,X$5:X$24,0))</f>
        <v xml:space="preserve"> </v>
      </c>
      <c r="Z10" s="93" t="str">
        <f>IF(X10=0," ",IF((RANK(X10,X$5:X$24,0)&gt;6)," ",RANK(X10,X$5:X$24,0)))</f>
        <v xml:space="preserve"> </v>
      </c>
      <c r="AA10" s="94" t="str">
        <f>IF(Table62202732[[#This Row],[Non-Member]]="X"," ",IF(Z10=" "," ",IFERROR(VLOOKUP(Y10,Points!$A$2:$B$14,2,FALSE)," ")))</f>
        <v xml:space="preserve"> </v>
      </c>
      <c r="AB10" s="146"/>
      <c r="AC10" s="93" t="str">
        <f>IF(AB10=0," ",_xlfn.RANK.AVG(AB10,AB$5:AB$24,0))</f>
        <v xml:space="preserve"> </v>
      </c>
      <c r="AD10" s="93" t="str">
        <f>IF(AB10=0," ",IF((RANK(AB10,AB$5:AB$24,0)&gt;6)," ",RANK(AB10,AB$5:AB$24,0)))</f>
        <v xml:space="preserve"> </v>
      </c>
      <c r="AE10" s="94" t="str">
        <f>IF(Table62202732[[#This Row],[Non-Member]]="X"," ",IF(AD10=" "," ",IFERROR(VLOOKUP(AC10,Points!$A$2:$B$14,2,FALSE)," ")))</f>
        <v xml:space="preserve"> </v>
      </c>
      <c r="AF10" s="146" t="str">
        <f>IF(X10+AB10=0," ",X10+AB10)</f>
        <v xml:space="preserve"> </v>
      </c>
      <c r="AG10" s="96" t="e">
        <f>IF(AF10=0," ",_xlfn.RANK.AVG(AF10,IF(AF$5:AF$24&gt;0,AF$5:AF$24,0),0))</f>
        <v>#VALUE!</v>
      </c>
      <c r="AH10" s="93" t="str">
        <f>IFERROR(IF(RANK(AF10,AF$5:AF$24,0)&gt;6," ",(IF(AF10,RANK(AF10,AF$5:AF$24,0)," ")))," ")</f>
        <v xml:space="preserve"> </v>
      </c>
      <c r="AI10" s="94" t="str">
        <f>IF(Table62202732[[#This Row],[Non-Member]]="X"," ",IF(AH10=" "," ",IFERROR(VLOOKUP(AG10,Points!$A$2:$B$14,2,FALSE)," ")))</f>
        <v xml:space="preserve"> </v>
      </c>
      <c r="AJ10" s="93">
        <f>IF(Table62202732[[#This Row],[Non-Member]]="X"," ",((IF(G10=" ",0,G10))+(IF(K10=" ",0,K10))+(IF(O10=" ",0,O10))+(IF(S10=" ",0,S10))+(IF(W10=" ",0,W10))+(IF(AA10=" ",0,AA10))+(IF(AE10=" ",0,AE10))+(IF(AI10=" ",0,AI10))))</f>
        <v>13.5</v>
      </c>
      <c r="AK10" s="95">
        <f>IF(AJ10=0," ",AJ10)</f>
        <v>13.5</v>
      </c>
      <c r="AL10" s="96">
        <f>IF(AK10=" "," ",RANK(AK10,$AK$5:$AK$24))</f>
        <v>6</v>
      </c>
    </row>
    <row r="11" spans="2:38" x14ac:dyDescent="0.3">
      <c r="B11" s="90" t="s">
        <v>273</v>
      </c>
      <c r="C11" s="91"/>
      <c r="D11" s="146"/>
      <c r="E11" s="93" t="str">
        <f>IF(D11=0," ",_xlfn.RANK.AVG(D11,D$5:D$24,0))</f>
        <v xml:space="preserve"> </v>
      </c>
      <c r="F11" s="93" t="str">
        <f>IF(D11=0," ",IF((RANK(D11,D$5:D$24,0)&gt;6)," ",RANK(D11,D$5:D$24,0)))</f>
        <v xml:space="preserve"> </v>
      </c>
      <c r="G11" s="94" t="str">
        <f>IF(Table62202732[[#This Row],[Non-Member]]="X"," ",IF(F11=" "," ",IFERROR(VLOOKUP(E11,Points!$A$2:$B$14,2,FALSE)," ")))</f>
        <v xml:space="preserve"> </v>
      </c>
      <c r="H11" s="146">
        <v>9</v>
      </c>
      <c r="I11" s="93">
        <f>IF(H11=0," ",_xlfn.RANK.AVG(H11,H$5:H$24,0))</f>
        <v>2.5</v>
      </c>
      <c r="J11" s="93">
        <f>IF(H11=0," ",IF((RANK(H11,H$5:H$24,0)&gt;6)," ",RANK(H11,H$5:H$24,0)))</f>
        <v>1</v>
      </c>
      <c r="K11" s="94">
        <f>IF(Table62202732[[#This Row],[Non-Member]]="X"," ",IF(J11=" "," ",IFERROR(VLOOKUP(I11,Points!$A$2:$B$14,2,FALSE)," ")))</f>
        <v>13.5</v>
      </c>
      <c r="L11" s="146">
        <v>6</v>
      </c>
      <c r="M11" s="93">
        <f>IF(L11=0," ",_xlfn.RANK.AVG(L11,L$5:L$24,0))</f>
        <v>8.5</v>
      </c>
      <c r="N11" s="93" t="str">
        <f>IF(L11=0," ",IF((RANK(L11,L$5:L$24,0)&gt;6)," ",RANK(L11,L$5:L$24,0)))</f>
        <v xml:space="preserve"> </v>
      </c>
      <c r="O11" s="94" t="str">
        <f>IF(Table62202732[[#This Row],[Non-Member]]="X"," ",IF(N11=" "," ",IFERROR(VLOOKUP(M11,Points!$A$2:$B$14,2,FALSE)," ")))</f>
        <v xml:space="preserve"> </v>
      </c>
      <c r="P11" s="146">
        <v>5</v>
      </c>
      <c r="Q11" s="93">
        <f>IF(P11=0," ",_xlfn.RANK.AVG(P11,P$5:P$24,0))</f>
        <v>9.5</v>
      </c>
      <c r="R11" s="93" t="str">
        <f>IF(P11=0," ",IF((RANK(P11,P$5:P$24,0)&gt;6)," ",RANK(P11,P$5:P$24,0)))</f>
        <v xml:space="preserve"> </v>
      </c>
      <c r="S11" s="94" t="str">
        <f>IF(Table62202732[[#This Row],[Non-Member]]="X"," ",IF(R11=" "," ",IFERROR(VLOOKUP(Q11,Points!$A$2:$B$14,2,FALSE)," ")))</f>
        <v xml:space="preserve"> </v>
      </c>
      <c r="T11" s="146"/>
      <c r="U11" s="93" t="str">
        <f>IF(T11=0," ",_xlfn.RANK.AVG(T11,T$5:T$24,0))</f>
        <v xml:space="preserve"> </v>
      </c>
      <c r="V11" s="93" t="str">
        <f>IF(T11=0," ",IF((RANK(T11,T$5:T$24,0)&gt;6)," ",RANK(T11,T$5:T$24,0)))</f>
        <v xml:space="preserve"> </v>
      </c>
      <c r="W11" s="94" t="str">
        <f>IF(Table62202732[[#This Row],[Non-Member]]="X"," ",IF(V11=" "," ",IFERROR(VLOOKUP(U11,Points!$A$2:$B$14,2,FALSE)," ")))</f>
        <v xml:space="preserve"> </v>
      </c>
      <c r="X11" s="146"/>
      <c r="Y11" s="93" t="str">
        <f>IF(X11=0," ",_xlfn.RANK.AVG(X11,X$5:X$24,0))</f>
        <v xml:space="preserve"> </v>
      </c>
      <c r="Z11" s="93" t="str">
        <f>IF(X11=0," ",IF((RANK(X11,X$5:X$24,0)&gt;6)," ",RANK(X11,X$5:X$24,0)))</f>
        <v xml:space="preserve"> </v>
      </c>
      <c r="AA11" s="94" t="str">
        <f>IF(Table62202732[[#This Row],[Non-Member]]="X"," ",IF(Z11=" "," ",IFERROR(VLOOKUP(Y11,Points!$A$2:$B$14,2,FALSE)," ")))</f>
        <v xml:space="preserve"> </v>
      </c>
      <c r="AB11" s="146"/>
      <c r="AC11" s="93" t="str">
        <f>IF(AB11=0," ",_xlfn.RANK.AVG(AB11,AB$5:AB$24,0))</f>
        <v xml:space="preserve"> </v>
      </c>
      <c r="AD11" s="93" t="str">
        <f>IF(AB11=0," ",IF((RANK(AB11,AB$5:AB$24,0)&gt;6)," ",RANK(AB11,AB$5:AB$24,0)))</f>
        <v xml:space="preserve"> </v>
      </c>
      <c r="AE11" s="94" t="str">
        <f>IF(Table62202732[[#This Row],[Non-Member]]="X"," ",IF(AD11=" "," ",IFERROR(VLOOKUP(AC11,Points!$A$2:$B$14,2,FALSE)," ")))</f>
        <v xml:space="preserve"> </v>
      </c>
      <c r="AF11" s="146" t="str">
        <f>IF(X11+AB11=0," ",X11+AB11)</f>
        <v xml:space="preserve"> </v>
      </c>
      <c r="AG11" s="96" t="e">
        <f>IF(AF11=0," ",_xlfn.RANK.AVG(AF11,IF(AF$5:AF$24&gt;0,AF$5:AF$24,0),0))</f>
        <v>#VALUE!</v>
      </c>
      <c r="AH11" s="93" t="str">
        <f>IFERROR(IF(RANK(AF11,AF$5:AF$24,0)&gt;6," ",(IF(AF11,RANK(AF11,AF$5:AF$24,0)," ")))," ")</f>
        <v xml:space="preserve"> </v>
      </c>
      <c r="AI11" s="94" t="str">
        <f>IF(Table62202732[[#This Row],[Non-Member]]="X"," ",IF(AH11=" "," ",IFERROR(VLOOKUP(AG11,Points!$A$2:$B$14,2,FALSE)," ")))</f>
        <v xml:space="preserve"> </v>
      </c>
      <c r="AJ11" s="93">
        <f>IF(Table62202732[[#This Row],[Non-Member]]="X"," ",((IF(G11=" ",0,G11))+(IF(K11=" ",0,K11))+(IF(O11=" ",0,O11))+(IF(S11=" ",0,S11))+(IF(W11=" ",0,W11))+(IF(AA11=" ",0,AA11))+(IF(AE11=" ",0,AE11))+(IF(AI11=" ",0,AI11))))</f>
        <v>13.5</v>
      </c>
      <c r="AK11" s="95">
        <f>IF(AJ11=0," ",AJ11)</f>
        <v>13.5</v>
      </c>
      <c r="AL11" s="96">
        <f>IF(AK11=" "," ",RANK(AK11,$AK$5:$AK$24))</f>
        <v>6</v>
      </c>
    </row>
    <row r="12" spans="2:38" x14ac:dyDescent="0.3">
      <c r="B12" s="90" t="s">
        <v>188</v>
      </c>
      <c r="C12" s="91"/>
      <c r="D12" s="146"/>
      <c r="E12" s="93" t="str">
        <f>IF(D12=0," ",_xlfn.RANK.AVG(D12,D$5:D$24,0))</f>
        <v xml:space="preserve"> </v>
      </c>
      <c r="F12" s="93" t="str">
        <f>IF(D12=0," ",IF((RANK(D12,D$5:D$24,0)&gt;6)," ",RANK(D12,D$5:D$24,0)))</f>
        <v xml:space="preserve"> </v>
      </c>
      <c r="G12" s="94" t="str">
        <f>IF(Table62202732[[#This Row],[Non-Member]]="X"," ",IF(F12=" "," ",IFERROR(VLOOKUP(E12,Points!$A$2:$B$14,2,FALSE)," ")))</f>
        <v xml:space="preserve"> </v>
      </c>
      <c r="H12" s="146">
        <v>5</v>
      </c>
      <c r="I12" s="93">
        <f>IF(H12=0," ",_xlfn.RANK.AVG(H12,H$5:H$24,0))</f>
        <v>10</v>
      </c>
      <c r="J12" s="93" t="str">
        <f>IF(H12=0," ",IF((RANK(H12,H$5:H$24,0)&gt;6)," ",RANK(H12,H$5:H$24,0)))</f>
        <v xml:space="preserve"> </v>
      </c>
      <c r="K12" s="94" t="str">
        <f>IF(Table62202732[[#This Row],[Non-Member]]="X"," ",IF(J12=" "," ",IFERROR(VLOOKUP(I12,Points!$A$2:$B$14,2,FALSE)," ")))</f>
        <v xml:space="preserve"> </v>
      </c>
      <c r="L12" s="146">
        <v>2</v>
      </c>
      <c r="M12" s="93">
        <f>IF(L12=0," ",_xlfn.RANK.AVG(L12,L$5:L$24,0))</f>
        <v>15.5</v>
      </c>
      <c r="N12" s="93" t="str">
        <f>IF(L12=0," ",IF((RANK(L12,L$5:L$24,0)&gt;6)," ",RANK(L12,L$5:L$24,0)))</f>
        <v xml:space="preserve"> </v>
      </c>
      <c r="O12" s="94" t="str">
        <f>IF(Table62202732[[#This Row],[Non-Member]]="X"," ",IF(N12=" "," ",IFERROR(VLOOKUP(M12,Points!$A$2:$B$14,2,FALSE)," ")))</f>
        <v xml:space="preserve"> </v>
      </c>
      <c r="P12" s="146">
        <v>8</v>
      </c>
      <c r="Q12" s="93">
        <f>IF(P12=0," ",_xlfn.RANK.AVG(P12,P$5:P$24,0))</f>
        <v>5</v>
      </c>
      <c r="R12" s="93">
        <f>IF(P12=0," ",IF((RANK(P12,P$5:P$24,0)&gt;6)," ",RANK(P12,P$5:P$24,0)))</f>
        <v>5</v>
      </c>
      <c r="S12" s="94">
        <f>IF(Table62202732[[#This Row],[Non-Member]]="X"," ",IF(R12=" "," ",IFERROR(VLOOKUP(Q12,Points!$A$2:$B$14,2,FALSE)," ")))</f>
        <v>6</v>
      </c>
      <c r="T12" s="146"/>
      <c r="U12" s="93" t="str">
        <f>IF(T12=0," ",_xlfn.RANK.AVG(T12,T$5:T$24,0))</f>
        <v xml:space="preserve"> </v>
      </c>
      <c r="V12" s="93" t="str">
        <f>IF(T12=0," ",IF((RANK(T12,T$5:T$24,0)&gt;6)," ",RANK(T12,T$5:T$24,0)))</f>
        <v xml:space="preserve"> </v>
      </c>
      <c r="W12" s="94" t="str">
        <f>IF(Table62202732[[#This Row],[Non-Member]]="X"," ",IF(V12=" "," ",IFERROR(VLOOKUP(U12,Points!$A$2:$B$14,2,FALSE)," ")))</f>
        <v xml:space="preserve"> </v>
      </c>
      <c r="X12" s="146"/>
      <c r="Y12" s="93" t="str">
        <f>IF(X12=0," ",_xlfn.RANK.AVG(X12,X$5:X$24,0))</f>
        <v xml:space="preserve"> </v>
      </c>
      <c r="Z12" s="93" t="str">
        <f>IF(X12=0," ",IF((RANK(X12,X$5:X$24,0)&gt;6)," ",RANK(X12,X$5:X$24,0)))</f>
        <v xml:space="preserve"> </v>
      </c>
      <c r="AA12" s="94" t="str">
        <f>IF(Table62202732[[#This Row],[Non-Member]]="X"," ",IF(Z12=" "," ",IFERROR(VLOOKUP(Y12,Points!$A$2:$B$14,2,FALSE)," ")))</f>
        <v xml:space="preserve"> </v>
      </c>
      <c r="AB12" s="146"/>
      <c r="AC12" s="93" t="str">
        <f>IF(AB12=0," ",_xlfn.RANK.AVG(AB12,AB$5:AB$24,0))</f>
        <v xml:space="preserve"> </v>
      </c>
      <c r="AD12" s="93" t="str">
        <f>IF(AB12=0," ",IF((RANK(AB12,AB$5:AB$24,0)&gt;6)," ",RANK(AB12,AB$5:AB$24,0)))</f>
        <v xml:space="preserve"> </v>
      </c>
      <c r="AE12" s="94" t="str">
        <f>IF(Table62202732[[#This Row],[Non-Member]]="X"," ",IF(AD12=" "," ",IFERROR(VLOOKUP(AC12,Points!$A$2:$B$14,2,FALSE)," ")))</f>
        <v xml:space="preserve"> </v>
      </c>
      <c r="AF12" s="146" t="str">
        <f>IF(X12+AB12=0," ",X12+AB12)</f>
        <v xml:space="preserve"> </v>
      </c>
      <c r="AG12" s="96" t="e">
        <f>IF(AF12=0," ",_xlfn.RANK.AVG(AF12,IF(AF$5:AF$24&gt;0,AF$5:AF$24,0),0))</f>
        <v>#VALUE!</v>
      </c>
      <c r="AH12" s="93" t="str">
        <f>IFERROR(IF(RANK(AF12,AF$5:AF$24,0)&gt;6," ",(IF(AF12,RANK(AF12,AF$5:AF$24,0)," ")))," ")</f>
        <v xml:space="preserve"> </v>
      </c>
      <c r="AI12" s="94" t="str">
        <f>IF(Table62202732[[#This Row],[Non-Member]]="X"," ",IF(AH12=" "," ",IFERROR(VLOOKUP(AG12,Points!$A$2:$B$14,2,FALSE)," ")))</f>
        <v xml:space="preserve"> </v>
      </c>
      <c r="AJ12" s="93">
        <f>IF(Table62202732[[#This Row],[Non-Member]]="X"," ",((IF(G12=" ",0,G12))+(IF(K12=" ",0,K12))+(IF(O12=" ",0,O12))+(IF(S12=" ",0,S12))+(IF(W12=" ",0,W12))+(IF(AA12=" ",0,AA12))+(IF(AE12=" ",0,AE12))+(IF(AI12=" ",0,AI12))))</f>
        <v>6</v>
      </c>
      <c r="AK12" s="95">
        <f>IF(AJ12=0," ",AJ12)</f>
        <v>6</v>
      </c>
      <c r="AL12" s="96">
        <f>IF(AK12=" "," ",RANK(AK12,$AK$5:$AK$24))</f>
        <v>8</v>
      </c>
    </row>
    <row r="13" spans="2:38" x14ac:dyDescent="0.3">
      <c r="B13" s="90" t="s">
        <v>72</v>
      </c>
      <c r="C13" s="91"/>
      <c r="D13" s="146"/>
      <c r="E13" s="93" t="str">
        <f>IF(D13=0," ",_xlfn.RANK.AVG(D13,D$5:D$24,0))</f>
        <v xml:space="preserve"> </v>
      </c>
      <c r="F13" s="93" t="str">
        <f>IF(D13=0," ",IF((RANK(D13,D$5:D$24,0)&gt;6)," ",RANK(D13,D$5:D$24,0)))</f>
        <v xml:space="preserve"> </v>
      </c>
      <c r="G13" s="94" t="str">
        <f>IF(Table62202732[[#This Row],[Non-Member]]="X"," ",IF(F13=" "," ",IFERROR(VLOOKUP(E13,Points!$A$2:$B$14,2,FALSE)," ")))</f>
        <v xml:space="preserve"> </v>
      </c>
      <c r="H13" s="146">
        <v>7</v>
      </c>
      <c r="I13" s="93">
        <f>IF(H13=0," ",_xlfn.RANK.AVG(H13,H$5:H$24,0))</f>
        <v>6</v>
      </c>
      <c r="J13" s="93">
        <f>IF(H13=0," ",IF((RANK(H13,H$5:H$24,0)&gt;6)," ",RANK(H13,H$5:H$24,0)))</f>
        <v>6</v>
      </c>
      <c r="K13" s="94">
        <f>IF(Table62202732[[#This Row],[Non-Member]]="X"," ",IF(J13=" "," ",IFERROR(VLOOKUP(I13,Points!$A$2:$B$14,2,FALSE)," ")))</f>
        <v>3</v>
      </c>
      <c r="L13" s="146">
        <v>7</v>
      </c>
      <c r="M13" s="93">
        <f>IF(L13=0," ",_xlfn.RANK.AVG(L13,L$5:L$24,0))</f>
        <v>6.5</v>
      </c>
      <c r="N13" s="93">
        <f>IF(L13=0," ",IF((RANK(L13,L$5:L$24,0)&gt;6)," ",RANK(L13,L$5:L$24,0)))</f>
        <v>6</v>
      </c>
      <c r="O13" s="94">
        <f>IF(Table62202732[[#This Row],[Non-Member]]="X"," ",IF(N13=" "," ",IFERROR(VLOOKUP(M13,Points!$A$2:$B$14,2,FALSE)," ")))</f>
        <v>1.5</v>
      </c>
      <c r="P13" s="146">
        <v>4</v>
      </c>
      <c r="Q13" s="93">
        <f>IF(P13=0," ",_xlfn.RANK.AVG(P13,P$5:P$24,0))</f>
        <v>12</v>
      </c>
      <c r="R13" s="93" t="str">
        <f>IF(P13=0," ",IF((RANK(P13,P$5:P$24,0)&gt;6)," ",RANK(P13,P$5:P$24,0)))</f>
        <v xml:space="preserve"> </v>
      </c>
      <c r="S13" s="94" t="str">
        <f>IF(Table62202732[[#This Row],[Non-Member]]="X"," ",IF(R13=" "," ",IFERROR(VLOOKUP(Q13,Points!$A$2:$B$14,2,FALSE)," ")))</f>
        <v xml:space="preserve"> </v>
      </c>
      <c r="T13" s="146"/>
      <c r="U13" s="93" t="str">
        <f>IF(T13=0," ",_xlfn.RANK.AVG(T13,T$5:T$24,0))</f>
        <v xml:space="preserve"> </v>
      </c>
      <c r="V13" s="93" t="str">
        <f>IF(T13=0," ",IF((RANK(T13,T$5:T$24,0)&gt;6)," ",RANK(T13,T$5:T$24,0)))</f>
        <v xml:space="preserve"> </v>
      </c>
      <c r="W13" s="94" t="str">
        <f>IF(Table62202732[[#This Row],[Non-Member]]="X"," ",IF(V13=" "," ",IFERROR(VLOOKUP(U13,Points!$A$2:$B$14,2,FALSE)," ")))</f>
        <v xml:space="preserve"> </v>
      </c>
      <c r="X13" s="146"/>
      <c r="Y13" s="93" t="str">
        <f>IF(X13=0," ",_xlfn.RANK.AVG(X13,X$5:X$24,0))</f>
        <v xml:space="preserve"> </v>
      </c>
      <c r="Z13" s="93" t="str">
        <f>IF(X13=0," ",IF((RANK(X13,X$5:X$24,0)&gt;6)," ",RANK(X13,X$5:X$24,0)))</f>
        <v xml:space="preserve"> </v>
      </c>
      <c r="AA13" s="94" t="str">
        <f>IF(Table62202732[[#This Row],[Non-Member]]="X"," ",IF(Z13=" "," ",IFERROR(VLOOKUP(Y13,Points!$A$2:$B$14,2,FALSE)," ")))</f>
        <v xml:space="preserve"> </v>
      </c>
      <c r="AB13" s="146"/>
      <c r="AC13" s="93" t="str">
        <f>IF(AB13=0," ",_xlfn.RANK.AVG(AB13,AB$5:AB$24,0))</f>
        <v xml:space="preserve"> </v>
      </c>
      <c r="AD13" s="93" t="str">
        <f>IF(AB13=0," ",IF((RANK(AB13,AB$5:AB$24,0)&gt;6)," ",RANK(AB13,AB$5:AB$24,0)))</f>
        <v xml:space="preserve"> </v>
      </c>
      <c r="AE13" s="94" t="str">
        <f>IF(Table62202732[[#This Row],[Non-Member]]="X"," ",IF(AD13=" "," ",IFERROR(VLOOKUP(AC13,Points!$A$2:$B$14,2,FALSE)," ")))</f>
        <v xml:space="preserve"> </v>
      </c>
      <c r="AF13" s="146" t="str">
        <f>IF(X13+AB13=0," ",X13+AB13)</f>
        <v xml:space="preserve"> </v>
      </c>
      <c r="AG13" s="96" t="e">
        <f>IF(AF13=0," ",_xlfn.RANK.AVG(AF13,IF(AF$5:AF$24&gt;0,AF$5:AF$24,0),0))</f>
        <v>#VALUE!</v>
      </c>
      <c r="AH13" s="93" t="str">
        <f>IFERROR(IF(RANK(AF13,AF$5:AF$24,0)&gt;6," ",(IF(AF13,RANK(AF13,AF$5:AF$24,0)," ")))," ")</f>
        <v xml:space="preserve"> </v>
      </c>
      <c r="AI13" s="94" t="str">
        <f>IF(Table62202732[[#This Row],[Non-Member]]="X"," ",IF(AH13=" "," ",IFERROR(VLOOKUP(AG13,Points!$A$2:$B$14,2,FALSE)," ")))</f>
        <v xml:space="preserve"> </v>
      </c>
      <c r="AJ13" s="93">
        <f>IF(Table62202732[[#This Row],[Non-Member]]="X"," ",((IF(G13=" ",0,G13))+(IF(K13=" ",0,K13))+(IF(O13=" ",0,O13))+(IF(S13=" ",0,S13))+(IF(W13=" ",0,W13))+(IF(AA13=" ",0,AA13))+(IF(AE13=" ",0,AE13))+(IF(AI13=" ",0,AI13))))</f>
        <v>4.5</v>
      </c>
      <c r="AK13" s="95">
        <f>IF(AJ13=0," ",AJ13)</f>
        <v>4.5</v>
      </c>
      <c r="AL13" s="96">
        <f>IF(AK13=" "," ",RANK(AK13,$AK$5:$AK$24))</f>
        <v>9</v>
      </c>
    </row>
    <row r="14" spans="2:38" x14ac:dyDescent="0.3">
      <c r="B14" s="90" t="s">
        <v>74</v>
      </c>
      <c r="C14" s="91"/>
      <c r="D14" s="146"/>
      <c r="E14" s="93" t="str">
        <f>IF(D14=0," ",_xlfn.RANK.AVG(D14,D$5:D$24,0))</f>
        <v xml:space="preserve"> </v>
      </c>
      <c r="F14" s="93" t="str">
        <f>IF(D14=0," ",IF((RANK(D14,D$5:D$24,0)&gt;6)," ",RANK(D14,D$5:D$24,0)))</f>
        <v xml:space="preserve"> </v>
      </c>
      <c r="G14" s="94" t="str">
        <f>IF(Table62202732[[#This Row],[Non-Member]]="X"," ",IF(F14=" "," ",IFERROR(VLOOKUP(E14,Points!$A$2:$B$14,2,FALSE)," ")))</f>
        <v xml:space="preserve"> </v>
      </c>
      <c r="H14" s="146">
        <v>6</v>
      </c>
      <c r="I14" s="93">
        <f>IF(H14=0," ",_xlfn.RANK.AVG(H14,H$5:H$24,0))</f>
        <v>8</v>
      </c>
      <c r="J14" s="93" t="str">
        <f>IF(H14=0," ",IF((RANK(H14,H$5:H$24,0)&gt;6)," ",RANK(H14,H$5:H$24,0)))</f>
        <v xml:space="preserve"> </v>
      </c>
      <c r="K14" s="94" t="str">
        <f>IF(Table62202732[[#This Row],[Non-Member]]="X"," ",IF(J14=" "," ",IFERROR(VLOOKUP(I14,Points!$A$2:$B$14,2,FALSE)," ")))</f>
        <v xml:space="preserve"> </v>
      </c>
      <c r="L14" s="146">
        <v>3</v>
      </c>
      <c r="M14" s="93">
        <f>IF(L14=0," ",_xlfn.RANK.AVG(L14,L$5:L$24,0))</f>
        <v>12</v>
      </c>
      <c r="N14" s="93" t="str">
        <f>IF(L14=0," ",IF((RANK(L14,L$5:L$24,0)&gt;6)," ",RANK(L14,L$5:L$24,0)))</f>
        <v xml:space="preserve"> </v>
      </c>
      <c r="O14" s="94" t="str">
        <f>IF(Table62202732[[#This Row],[Non-Member]]="X"," ",IF(N14=" "," ",IFERROR(VLOOKUP(M14,Points!$A$2:$B$14,2,FALSE)," ")))</f>
        <v xml:space="preserve"> </v>
      </c>
      <c r="P14" s="146">
        <v>6</v>
      </c>
      <c r="Q14" s="93">
        <f>IF(P14=0," ",_xlfn.RANK.AVG(P14,P$5:P$24,0))</f>
        <v>6.5</v>
      </c>
      <c r="R14" s="93">
        <f>IF(P14=0," ",IF((RANK(P14,P$5:P$24,0)&gt;6)," ",RANK(P14,P$5:P$24,0)))</f>
        <v>6</v>
      </c>
      <c r="S14" s="94">
        <f>IF(Table62202732[[#This Row],[Non-Member]]="X"," ",IF(R14=" "," ",IFERROR(VLOOKUP(Q14,Points!$A$2:$B$14,2,FALSE)," ")))</f>
        <v>1.5</v>
      </c>
      <c r="T14" s="146"/>
      <c r="U14" s="93" t="str">
        <f>IF(T14=0," ",_xlfn.RANK.AVG(T14,T$5:T$24,0))</f>
        <v xml:space="preserve"> </v>
      </c>
      <c r="V14" s="93" t="str">
        <f>IF(T14=0," ",IF((RANK(T14,T$5:T$24,0)&gt;6)," ",RANK(T14,T$5:T$24,0)))</f>
        <v xml:space="preserve"> </v>
      </c>
      <c r="W14" s="94" t="str">
        <f>IF(Table62202732[[#This Row],[Non-Member]]="X"," ",IF(V14=" "," ",IFERROR(VLOOKUP(U14,Points!$A$2:$B$14,2,FALSE)," ")))</f>
        <v xml:space="preserve"> </v>
      </c>
      <c r="X14" s="146"/>
      <c r="Y14" s="93" t="str">
        <f>IF(X14=0," ",_xlfn.RANK.AVG(X14,X$5:X$24,0))</f>
        <v xml:space="preserve"> </v>
      </c>
      <c r="Z14" s="93" t="str">
        <f>IF(X14=0," ",IF((RANK(X14,X$5:X$24,0)&gt;6)," ",RANK(X14,X$5:X$24,0)))</f>
        <v xml:space="preserve"> </v>
      </c>
      <c r="AA14" s="94" t="str">
        <f>IF(Table62202732[[#This Row],[Non-Member]]="X"," ",IF(Z14=" "," ",IFERROR(VLOOKUP(Y14,Points!$A$2:$B$14,2,FALSE)," ")))</f>
        <v xml:space="preserve"> </v>
      </c>
      <c r="AB14" s="146"/>
      <c r="AC14" s="93" t="str">
        <f>IF(AB14=0," ",_xlfn.RANK.AVG(AB14,AB$5:AB$24,0))</f>
        <v xml:space="preserve"> </v>
      </c>
      <c r="AD14" s="93" t="str">
        <f>IF(AB14=0," ",IF((RANK(AB14,AB$5:AB$24,0)&gt;6)," ",RANK(AB14,AB$5:AB$24,0)))</f>
        <v xml:space="preserve"> </v>
      </c>
      <c r="AE14" s="94" t="str">
        <f>IF(Table62202732[[#This Row],[Non-Member]]="X"," ",IF(AD14=" "," ",IFERROR(VLOOKUP(AC14,Points!$A$2:$B$14,2,FALSE)," ")))</f>
        <v xml:space="preserve"> </v>
      </c>
      <c r="AF14" s="146" t="str">
        <f>IF(X14+AB14=0," ",X14+AB14)</f>
        <v xml:space="preserve"> </v>
      </c>
      <c r="AG14" s="96" t="e">
        <f>IF(AF14=0," ",_xlfn.RANK.AVG(AF14,IF(AF$5:AF$24&gt;0,AF$5:AF$24,0),0))</f>
        <v>#VALUE!</v>
      </c>
      <c r="AH14" s="93" t="str">
        <f>IFERROR(IF(RANK(AF14,AF$5:AF$24,0)&gt;6," ",(IF(AF14,RANK(AF14,AF$5:AF$24,0)," ")))," ")</f>
        <v xml:space="preserve"> </v>
      </c>
      <c r="AI14" s="94" t="str">
        <f>IF(Table62202732[[#This Row],[Non-Member]]="X"," ",IF(AH14=" "," ",IFERROR(VLOOKUP(AG14,Points!$A$2:$B$14,2,FALSE)," ")))</f>
        <v xml:space="preserve"> </v>
      </c>
      <c r="AJ14" s="93">
        <f>IF(Table62202732[[#This Row],[Non-Member]]="X"," ",((IF(G14=" ",0,G14))+(IF(K14=" ",0,K14))+(IF(O14=" ",0,O14))+(IF(S14=" ",0,S14))+(IF(W14=" ",0,W14))+(IF(AA14=" ",0,AA14))+(IF(AE14=" ",0,AE14))+(IF(AI14=" ",0,AI14))))</f>
        <v>1.5</v>
      </c>
      <c r="AK14" s="95">
        <f>IF(AJ14=0," ",AJ14)</f>
        <v>1.5</v>
      </c>
      <c r="AL14" s="96">
        <f>IF(AK14=" "," ",RANK(AK14,$AK$5:$AK$24))</f>
        <v>10</v>
      </c>
    </row>
    <row r="15" spans="2:38" x14ac:dyDescent="0.3">
      <c r="B15" s="90" t="s">
        <v>320</v>
      </c>
      <c r="C15" s="91" t="s">
        <v>325</v>
      </c>
      <c r="D15" s="146"/>
      <c r="E15" s="93" t="str">
        <f>IF(D15=0," ",_xlfn.RANK.AVG(D15,D$5:D$24,0))</f>
        <v xml:space="preserve"> </v>
      </c>
      <c r="F15" s="93" t="str">
        <f>IF(D15=0," ",IF((RANK(D15,D$5:D$24,0)&gt;6)," ",RANK(D15,D$5:D$24,0)))</f>
        <v xml:space="preserve"> </v>
      </c>
      <c r="G15" s="94" t="str">
        <f>IF(Table62202732[[#This Row],[Non-Member]]="X"," ",IF(F15=" "," ",IFERROR(VLOOKUP(E15,Points!$A$2:$B$14,2,FALSE)," ")))</f>
        <v xml:space="preserve"> </v>
      </c>
      <c r="H15" s="146"/>
      <c r="I15" s="93" t="str">
        <f>IF(H15=0," ",_xlfn.RANK.AVG(H15,H$5:H$24,0))</f>
        <v xml:space="preserve"> </v>
      </c>
      <c r="J15" s="93" t="str">
        <f>IF(H15=0," ",IF((RANK(H15,H$5:H$24,0)&gt;6)," ",RANK(H15,H$5:H$24,0)))</f>
        <v xml:space="preserve"> </v>
      </c>
      <c r="K15" s="94" t="str">
        <f>IF(Table62202732[[#This Row],[Non-Member]]="X"," ",IF(J15=" "," ",IFERROR(VLOOKUP(I15,Points!$A$2:$B$14,2,FALSE)," ")))</f>
        <v xml:space="preserve"> </v>
      </c>
      <c r="L15" s="146">
        <v>1</v>
      </c>
      <c r="M15" s="93">
        <f>IF(L15=0," ",_xlfn.RANK.AVG(L15,L$5:L$24,0))</f>
        <v>17</v>
      </c>
      <c r="N15" s="93" t="str">
        <f>IF(L15=0," ",IF((RANK(L15,L$5:L$24,0)&gt;6)," ",RANK(L15,L$5:L$24,0)))</f>
        <v xml:space="preserve"> </v>
      </c>
      <c r="O15" s="94" t="str">
        <f>IF(Table62202732[[#This Row],[Non-Member]]="X"," ",IF(N15=" "," ",IFERROR(VLOOKUP(M15,Points!$A$2:$B$14,2,FALSE)," ")))</f>
        <v xml:space="preserve"> </v>
      </c>
      <c r="P15" s="146">
        <v>2</v>
      </c>
      <c r="Q15" s="93">
        <f>IF(P15=0," ",_xlfn.RANK.AVG(P15,P$5:P$24,0))</f>
        <v>17</v>
      </c>
      <c r="R15" s="93" t="str">
        <f>IF(P15=0," ",IF((RANK(P15,P$5:P$24,0)&gt;6)," ",RANK(P15,P$5:P$24,0)))</f>
        <v xml:space="preserve"> </v>
      </c>
      <c r="S15" s="94" t="str">
        <f>IF(Table62202732[[#This Row],[Non-Member]]="X"," ",IF(R15=" "," ",IFERROR(VLOOKUP(Q15,Points!$A$2:$B$14,2,FALSE)," ")))</f>
        <v xml:space="preserve"> </v>
      </c>
      <c r="T15" s="146"/>
      <c r="U15" s="93" t="str">
        <f>IF(T15=0," ",_xlfn.RANK.AVG(T15,T$5:T$24,0))</f>
        <v xml:space="preserve"> </v>
      </c>
      <c r="V15" s="93" t="str">
        <f>IF(T15=0," ",IF((RANK(T15,T$5:T$24,0)&gt;6)," ",RANK(T15,T$5:T$24,0)))</f>
        <v xml:space="preserve"> </v>
      </c>
      <c r="W15" s="94" t="str">
        <f>IF(Table62202732[[#This Row],[Non-Member]]="X"," ",IF(V15=" "," ",IFERROR(VLOOKUP(U15,Points!$A$2:$B$14,2,FALSE)," ")))</f>
        <v xml:space="preserve"> </v>
      </c>
      <c r="X15" s="146"/>
      <c r="Y15" s="93" t="str">
        <f>IF(X15=0," ",_xlfn.RANK.AVG(X15,X$5:X$24,0))</f>
        <v xml:space="preserve"> </v>
      </c>
      <c r="Z15" s="93" t="str">
        <f>IF(X15=0," ",IF((RANK(X15,X$5:X$24,0)&gt;6)," ",RANK(X15,X$5:X$24,0)))</f>
        <v xml:space="preserve"> </v>
      </c>
      <c r="AA15" s="94" t="str">
        <f>IF(Table62202732[[#This Row],[Non-Member]]="X"," ",IF(Z15=" "," ",IFERROR(VLOOKUP(Y15,Points!$A$2:$B$14,2,FALSE)," ")))</f>
        <v xml:space="preserve"> </v>
      </c>
      <c r="AB15" s="146"/>
      <c r="AC15" s="93" t="str">
        <f>IF(AB15=0," ",_xlfn.RANK.AVG(AB15,AB$5:AB$24,0))</f>
        <v xml:space="preserve"> </v>
      </c>
      <c r="AD15" s="93" t="str">
        <f>IF(AB15=0," ",IF((RANK(AB15,AB$5:AB$24,0)&gt;6)," ",RANK(AB15,AB$5:AB$24,0)))</f>
        <v xml:space="preserve"> </v>
      </c>
      <c r="AE15" s="94" t="str">
        <f>IF(Table62202732[[#This Row],[Non-Member]]="X"," ",IF(AD15=" "," ",IFERROR(VLOOKUP(AC15,Points!$A$2:$B$14,2,FALSE)," ")))</f>
        <v xml:space="preserve"> </v>
      </c>
      <c r="AF15" s="146" t="str">
        <f>IF(X15+AB15=0," ",X15+AB15)</f>
        <v xml:space="preserve"> </v>
      </c>
      <c r="AG15" s="96" t="e">
        <f>IF(AF15=0," ",_xlfn.RANK.AVG(AF15,IF(AF$5:AF$24&gt;0,AF$5:AF$24,0),0))</f>
        <v>#VALUE!</v>
      </c>
      <c r="AH15" s="93" t="str">
        <f>IFERROR(IF(RANK(AF15,AF$5:AF$24,0)&gt;6," ",(IF(AF15,RANK(AF15,AF$5:AF$24,0)," ")))," ")</f>
        <v xml:space="preserve"> </v>
      </c>
      <c r="AI15" s="94" t="str">
        <f>IF(Table62202732[[#This Row],[Non-Member]]="X"," ",IF(AH15=" "," ",IFERROR(VLOOKUP(AG15,Points!$A$2:$B$14,2,FALSE)," ")))</f>
        <v xml:space="preserve"> </v>
      </c>
      <c r="AJ15" s="93" t="str">
        <f>IF(Table62202732[[#This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>IF(AJ15=0," ",AJ15)</f>
        <v xml:space="preserve"> </v>
      </c>
      <c r="AL15" s="96" t="str">
        <f>IF(AK15=" "," ",RANK(AK15,$AK$5:$AK$24))</f>
        <v xml:space="preserve"> </v>
      </c>
    </row>
    <row r="16" spans="2:38" x14ac:dyDescent="0.3">
      <c r="B16" s="90" t="s">
        <v>276</v>
      </c>
      <c r="C16" s="91"/>
      <c r="D16" s="146"/>
      <c r="E16" s="97" t="str">
        <f>IF(D16=0," ",_xlfn.RANK.AVG(D16,D$5:D$24,0))</f>
        <v xml:space="preserve"> </v>
      </c>
      <c r="F16" s="97" t="str">
        <f>IF(D16=0," ",IF((RANK(D16,D$5:D$24,0)&gt;6)," ",RANK(D16,D$5:D$24,0)))</f>
        <v xml:space="preserve"> </v>
      </c>
      <c r="G16" s="94" t="str">
        <f>IF(Table62202732[[#This Row],[Non-Member]]="X"," ",IF(F16=" "," ",IFERROR(VLOOKUP(E16,Points!$A$2:$B$14,2,FALSE)," ")))</f>
        <v xml:space="preserve"> </v>
      </c>
      <c r="H16" s="146">
        <v>0</v>
      </c>
      <c r="I16" s="97" t="str">
        <f>IF(H16=0," ",_xlfn.RANK.AVG(H16,H$5:H$24,0))</f>
        <v xml:space="preserve"> </v>
      </c>
      <c r="J16" s="93" t="str">
        <f>IF(H16=0," ",IF((RANK(H16,H$5:H$24,0)&gt;6)," ",RANK(H16,H$5:H$24,0)))</f>
        <v xml:space="preserve"> </v>
      </c>
      <c r="K16" s="94" t="str">
        <f>IF(Table62202732[[#This Row],[Non-Member]]="X"," ",IF(J16=" "," ",IFERROR(VLOOKUP(I16,Points!$A$2:$B$14,2,FALSE)," ")))</f>
        <v xml:space="preserve"> </v>
      </c>
      <c r="L16" s="146">
        <v>3</v>
      </c>
      <c r="M16" s="97">
        <f>IF(L16=0," ",_xlfn.RANK.AVG(L16,L$5:L$24,0))</f>
        <v>12</v>
      </c>
      <c r="N16" s="93" t="str">
        <f>IF(L16=0," ",IF((RANK(L16,L$5:L$24,0)&gt;6)," ",RANK(L16,L$5:L$24,0)))</f>
        <v xml:space="preserve"> </v>
      </c>
      <c r="O16" s="94" t="str">
        <f>IF(Table62202732[[#This Row],[Non-Member]]="X"," ",IF(N16=" "," ",IFERROR(VLOOKUP(M16,Points!$A$2:$B$14,2,FALSE)," ")))</f>
        <v xml:space="preserve"> </v>
      </c>
      <c r="P16" s="146">
        <v>3</v>
      </c>
      <c r="Q16" s="97">
        <f>IF(P16=0," ",_xlfn.RANK.AVG(P16,P$5:P$24,0))</f>
        <v>14</v>
      </c>
      <c r="R16" s="93" t="str">
        <f>IF(P16=0," ",IF((RANK(P16,P$5:P$24,0)&gt;6)," ",RANK(P16,P$5:P$24,0)))</f>
        <v xml:space="preserve"> </v>
      </c>
      <c r="S16" s="94" t="str">
        <f>IF(Table62202732[[#This Row],[Non-Member]]="X"," ",IF(R16=" "," ",IFERROR(VLOOKUP(Q16,Points!$A$2:$B$14,2,FALSE)," ")))</f>
        <v xml:space="preserve"> </v>
      </c>
      <c r="T16" s="146"/>
      <c r="U16" s="97" t="str">
        <f>IF(T16=0," ",_xlfn.RANK.AVG(T16,T$5:T$24,0))</f>
        <v xml:space="preserve"> </v>
      </c>
      <c r="V16" s="93" t="str">
        <f>IF(T16=0," ",IF((RANK(T16,T$5:T$24,0)&gt;6)," ",RANK(T16,T$5:T$24,0)))</f>
        <v xml:space="preserve"> </v>
      </c>
      <c r="W16" s="94" t="str">
        <f>IF(Table62202732[[#This Row],[Non-Member]]="X"," ",IF(V16=" "," ",IFERROR(VLOOKUP(U16,Points!$A$2:$B$14,2,FALSE)," ")))</f>
        <v xml:space="preserve"> </v>
      </c>
      <c r="X16" s="146"/>
      <c r="Y16" s="97" t="str">
        <f>IF(X16=0," ",_xlfn.RANK.AVG(X16,X$5:X$24,0))</f>
        <v xml:space="preserve"> </v>
      </c>
      <c r="Z16" s="93" t="str">
        <f>IF(X16=0," ",IF((RANK(X16,X$5:X$24,0)&gt;6)," ",RANK(X16,X$5:X$24,0)))</f>
        <v xml:space="preserve"> </v>
      </c>
      <c r="AA16" s="94" t="str">
        <f>IF(Table62202732[[#This Row],[Non-Member]]="X"," ",IF(Z16=" "," ",IFERROR(VLOOKUP(Y16,Points!$A$2:$B$14,2,FALSE)," ")))</f>
        <v xml:space="preserve"> </v>
      </c>
      <c r="AB16" s="146"/>
      <c r="AC16" s="97" t="str">
        <f>IF(AB16=0," ",_xlfn.RANK.AVG(AB16,AB$5:AB$24,0))</f>
        <v xml:space="preserve"> </v>
      </c>
      <c r="AD16" s="93" t="str">
        <f>IF(AB16=0," ",IF((RANK(AB16,AB$5:AB$24,0)&gt;6)," ",RANK(AB16,AB$5:AB$24,0)))</f>
        <v xml:space="preserve"> </v>
      </c>
      <c r="AE16" s="94" t="str">
        <f>IF(Table62202732[[#This Row],[Non-Member]]="X"," ",IF(AD16=" "," ",IFERROR(VLOOKUP(AC16,Points!$A$2:$B$14,2,FALSE)," ")))</f>
        <v xml:space="preserve"> </v>
      </c>
      <c r="AF16" s="146" t="str">
        <f>IF(X16+AB16=0," ",X16+AB16)</f>
        <v xml:space="preserve"> </v>
      </c>
      <c r="AG16" s="98" t="e">
        <f>IF(AF16=0," ",_xlfn.RANK.AVG(AF16,IF(AF$5:AF$24&gt;0,AF$5:AF$24,0),0))</f>
        <v>#VALUE!</v>
      </c>
      <c r="AH16" s="93" t="str">
        <f>IFERROR(IF(RANK(AF16,AF$5:AF$24,0)&gt;6," ",(IF(AF16,RANK(AF16,AF$5:AF$24,0)," ")))," ")</f>
        <v xml:space="preserve"> </v>
      </c>
      <c r="AI16" s="94" t="str">
        <f>IF(Table62202732[[#This Row],[Non-Member]]="X"," ",IF(AH16=" "," ",IFERROR(VLOOKUP(AG16,Points!$A$2:$B$14,2,FALSE)," ")))</f>
        <v xml:space="preserve"> </v>
      </c>
      <c r="AJ16" s="97">
        <f>IF(Table62202732[[#This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>IF(AJ16=0," ",AJ16)</f>
        <v xml:space="preserve"> </v>
      </c>
      <c r="AL16" s="98" t="str">
        <f>IF(AK16=" "," ",RANK(AK16,$AK$5:$AK$24))</f>
        <v xml:space="preserve"> </v>
      </c>
    </row>
    <row r="17" spans="2:38" x14ac:dyDescent="0.3">
      <c r="B17" s="90" t="s">
        <v>322</v>
      </c>
      <c r="C17" s="91"/>
      <c r="D17" s="146"/>
      <c r="E17" s="93" t="str">
        <f>IF(D17=0," ",_xlfn.RANK.AVG(D17,D$5:D$24,0))</f>
        <v xml:space="preserve"> </v>
      </c>
      <c r="F17" s="93" t="str">
        <f>IF(D17=0," ",IF((RANK(D17,D$5:D$24,0)&gt;6)," ",RANK(D17,D$5:D$24,0)))</f>
        <v xml:space="preserve"> </v>
      </c>
      <c r="G17" s="94" t="str">
        <f>IF(Table62202732[[#This Row],[Non-Member]]="X"," ",IF(F17=" "," ",IFERROR(VLOOKUP(E17,Points!$A$2:$B$14,2,FALSE)," ")))</f>
        <v xml:space="preserve"> </v>
      </c>
      <c r="H17" s="146"/>
      <c r="I17" s="93" t="str">
        <f>IF(H17=0," ",_xlfn.RANK.AVG(H17,H$5:H$24,0))</f>
        <v xml:space="preserve"> </v>
      </c>
      <c r="J17" s="93" t="str">
        <f>IF(H17=0," ",IF((RANK(H17,H$5:H$24,0)&gt;6)," ",RANK(H17,H$5:H$24,0)))</f>
        <v xml:space="preserve"> </v>
      </c>
      <c r="K17" s="94" t="str">
        <f>IF(Table62202732[[#This Row],[Non-Member]]="X"," ",IF(J17=" "," ",IFERROR(VLOOKUP(I17,Points!$A$2:$B$14,2,FALSE)," ")))</f>
        <v xml:space="preserve"> </v>
      </c>
      <c r="L17" s="146">
        <v>2</v>
      </c>
      <c r="M17" s="93">
        <f>IF(L17=0," ",_xlfn.RANK.AVG(L17,L$5:L$24,0))</f>
        <v>15.5</v>
      </c>
      <c r="N17" s="93" t="str">
        <f>IF(L17=0," ",IF((RANK(L17,L$5:L$24,0)&gt;6)," ",RANK(L17,L$5:L$24,0)))</f>
        <v xml:space="preserve"> </v>
      </c>
      <c r="O17" s="94" t="str">
        <f>IF(Table62202732[[#This Row],[Non-Member]]="X"," ",IF(N17=" "," ",IFERROR(VLOOKUP(M17,Points!$A$2:$B$14,2,FALSE)," ")))</f>
        <v xml:space="preserve"> </v>
      </c>
      <c r="P17" s="146">
        <v>5</v>
      </c>
      <c r="Q17" s="93">
        <f>IF(P17=0," ",_xlfn.RANK.AVG(P17,P$5:P$24,0))</f>
        <v>9.5</v>
      </c>
      <c r="R17" s="93" t="str">
        <f>IF(P17=0," ",IF((RANK(P17,P$5:P$24,0)&gt;6)," ",RANK(P17,P$5:P$24,0)))</f>
        <v xml:space="preserve"> </v>
      </c>
      <c r="S17" s="94" t="str">
        <f>IF(Table62202732[[#This Row],[Non-Member]]="X"," ",IF(R17=" "," ",IFERROR(VLOOKUP(Q17,Points!$A$2:$B$14,2,FALSE)," ")))</f>
        <v xml:space="preserve"> </v>
      </c>
      <c r="T17" s="146"/>
      <c r="U17" s="93" t="str">
        <f>IF(T17=0," ",_xlfn.RANK.AVG(T17,T$5:T$24,0))</f>
        <v xml:space="preserve"> </v>
      </c>
      <c r="V17" s="93" t="str">
        <f>IF(T17=0," ",IF((RANK(T17,T$5:T$24,0)&gt;6)," ",RANK(T17,T$5:T$24,0)))</f>
        <v xml:space="preserve"> </v>
      </c>
      <c r="W17" s="94" t="str">
        <f>IF(Table62202732[[#This Row],[Non-Member]]="X"," ",IF(V17=" "," ",IFERROR(VLOOKUP(U17,Points!$A$2:$B$14,2,FALSE)," ")))</f>
        <v xml:space="preserve"> </v>
      </c>
      <c r="X17" s="146"/>
      <c r="Y17" s="93" t="str">
        <f>IF(X17=0," ",_xlfn.RANK.AVG(X17,X$5:X$24,0))</f>
        <v xml:space="preserve"> </v>
      </c>
      <c r="Z17" s="93" t="str">
        <f>IF(X17=0," ",IF((RANK(X17,X$5:X$24,0)&gt;6)," ",RANK(X17,X$5:X$24,0)))</f>
        <v xml:space="preserve"> </v>
      </c>
      <c r="AA17" s="94" t="str">
        <f>IF(Table62202732[[#This Row],[Non-Member]]="X"," ",IF(Z17=" "," ",IFERROR(VLOOKUP(Y17,Points!$A$2:$B$14,2,FALSE)," ")))</f>
        <v xml:space="preserve"> </v>
      </c>
      <c r="AB17" s="146"/>
      <c r="AC17" s="93" t="str">
        <f>IF(AB17=0," ",_xlfn.RANK.AVG(AB17,AB$5:AB$24,0))</f>
        <v xml:space="preserve"> </v>
      </c>
      <c r="AD17" s="93" t="str">
        <f>IF(AB17=0," ",IF((RANK(AB17,AB$5:AB$24,0)&gt;6)," ",RANK(AB17,AB$5:AB$24,0)))</f>
        <v xml:space="preserve"> </v>
      </c>
      <c r="AE17" s="94" t="str">
        <f>IF(Table62202732[[#This Row],[Non-Member]]="X"," ",IF(AD17=" "," ",IFERROR(VLOOKUP(AC17,Points!$A$2:$B$14,2,FALSE)," ")))</f>
        <v xml:space="preserve"> </v>
      </c>
      <c r="AF17" s="146" t="str">
        <f>IF(X17+AB17=0," ",X17+AB17)</f>
        <v xml:space="preserve"> </v>
      </c>
      <c r="AG17" s="96" t="e">
        <f>IF(AF17=0," ",_xlfn.RANK.AVG(AF17,IF(AF$5:AF$24&gt;0,AF$5:AF$24,0),0))</f>
        <v>#VALUE!</v>
      </c>
      <c r="AH17" s="93" t="str">
        <f>IFERROR(IF(RANK(AF17,AF$5:AF$24,0)&gt;6," ",(IF(AF17,RANK(AF17,AF$5:AF$24,0)," ")))," ")</f>
        <v xml:space="preserve"> </v>
      </c>
      <c r="AI17" s="94" t="str">
        <f>IF(Table62202732[[#This Row],[Non-Member]]="X"," ",IF(AH17=" "," ",IFERROR(VLOOKUP(AG17,Points!$A$2:$B$14,2,FALSE)," ")))</f>
        <v xml:space="preserve"> </v>
      </c>
      <c r="AJ17" s="93">
        <f>IF(Table62202732[[#This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>IF(AJ17=0," ",AJ17)</f>
        <v xml:space="preserve"> </v>
      </c>
      <c r="AL17" s="96" t="str">
        <f>IF(AK17=" "," ",RANK(AK17,$AK$5:$AK$24))</f>
        <v xml:space="preserve"> </v>
      </c>
    </row>
    <row r="18" spans="2:38" x14ac:dyDescent="0.3">
      <c r="B18" s="90" t="s">
        <v>323</v>
      </c>
      <c r="C18" s="91"/>
      <c r="D18" s="146"/>
      <c r="E18" s="93" t="str">
        <f>IF(D18=0," ",_xlfn.RANK.AVG(D18,D$5:D$24,0))</f>
        <v xml:space="preserve"> </v>
      </c>
      <c r="F18" s="93" t="str">
        <f>IF(D18=0," ",IF((RANK(D18,D$5:D$24,0)&gt;6)," ",RANK(D18,D$5:D$24,0)))</f>
        <v xml:space="preserve"> </v>
      </c>
      <c r="G18" s="94" t="str">
        <f>IF(Table62202732[[#This Row],[Non-Member]]="X"," ",IF(F18=" "," ",IFERROR(VLOOKUP(E18,Points!$A$2:$B$14,2,FALSE)," ")))</f>
        <v xml:space="preserve"> </v>
      </c>
      <c r="H18" s="146"/>
      <c r="I18" s="93" t="str">
        <f>IF(H18=0," ",_xlfn.RANK.AVG(H18,H$5:H$24,0))</f>
        <v xml:space="preserve"> </v>
      </c>
      <c r="J18" s="93" t="str">
        <f>IF(H18=0," ",IF((RANK(H18,H$5:H$24,0)&gt;6)," ",RANK(H18,H$5:H$24,0)))</f>
        <v xml:space="preserve"> </v>
      </c>
      <c r="K18" s="94" t="str">
        <f>IF(Table62202732[[#This Row],[Non-Member]]="X"," ",IF(J18=" "," ",IFERROR(VLOOKUP(I18,Points!$A$2:$B$14,2,FALSE)," ")))</f>
        <v xml:space="preserve"> </v>
      </c>
      <c r="L18" s="146">
        <v>3</v>
      </c>
      <c r="M18" s="93">
        <f>IF(L18=0," ",_xlfn.RANK.AVG(L18,L$5:L$24,0))</f>
        <v>12</v>
      </c>
      <c r="N18" s="93" t="str">
        <f>IF(L18=0," ",IF((RANK(L18,L$5:L$24,0)&gt;6)," ",RANK(L18,L$5:L$24,0)))</f>
        <v xml:space="preserve"> </v>
      </c>
      <c r="O18" s="94" t="str">
        <f>IF(Table62202732[[#This Row],[Non-Member]]="X"," ",IF(N18=" "," ",IFERROR(VLOOKUP(M18,Points!$A$2:$B$14,2,FALSE)," ")))</f>
        <v xml:space="preserve"> </v>
      </c>
      <c r="P18" s="146">
        <v>3</v>
      </c>
      <c r="Q18" s="93">
        <f>IF(P18=0," ",_xlfn.RANK.AVG(P18,P$5:P$24,0))</f>
        <v>14</v>
      </c>
      <c r="R18" s="93" t="str">
        <f>IF(P18=0," ",IF((RANK(P18,P$5:P$24,0)&gt;6)," ",RANK(P18,P$5:P$24,0)))</f>
        <v xml:space="preserve"> </v>
      </c>
      <c r="S18" s="94" t="str">
        <f>IF(Table62202732[[#This Row],[Non-Member]]="X"," ",IF(R18=" "," ",IFERROR(VLOOKUP(Q18,Points!$A$2:$B$14,2,FALSE)," ")))</f>
        <v xml:space="preserve"> </v>
      </c>
      <c r="T18" s="146"/>
      <c r="U18" s="93" t="str">
        <f>IF(T18=0," ",_xlfn.RANK.AVG(T18,T$5:T$24,0))</f>
        <v xml:space="preserve"> </v>
      </c>
      <c r="V18" s="93" t="str">
        <f>IF(T18=0," ",IF((RANK(T18,T$5:T$24,0)&gt;6)," ",RANK(T18,T$5:T$24,0)))</f>
        <v xml:space="preserve"> </v>
      </c>
      <c r="W18" s="94" t="str">
        <f>IF(Table62202732[[#This Row],[Non-Member]]="X"," ",IF(V18=" "," ",IFERROR(VLOOKUP(U18,Points!$A$2:$B$14,2,FALSE)," ")))</f>
        <v xml:space="preserve"> </v>
      </c>
      <c r="X18" s="146"/>
      <c r="Y18" s="93" t="str">
        <f>IF(X18=0," ",_xlfn.RANK.AVG(X18,X$5:X$24,0))</f>
        <v xml:space="preserve"> </v>
      </c>
      <c r="Z18" s="93" t="str">
        <f>IF(X18=0," ",IF((RANK(X18,X$5:X$24,0)&gt;6)," ",RANK(X18,X$5:X$24,0)))</f>
        <v xml:space="preserve"> </v>
      </c>
      <c r="AA18" s="94" t="str">
        <f>IF(Table62202732[[#This Row],[Non-Member]]="X"," ",IF(Z18=" "," ",IFERROR(VLOOKUP(Y18,Points!$A$2:$B$14,2,FALSE)," ")))</f>
        <v xml:space="preserve"> </v>
      </c>
      <c r="AB18" s="146"/>
      <c r="AC18" s="93" t="str">
        <f>IF(AB18=0," ",_xlfn.RANK.AVG(AB18,AB$5:AB$24,0))</f>
        <v xml:space="preserve"> </v>
      </c>
      <c r="AD18" s="93" t="str">
        <f>IF(AB18=0," ",IF((RANK(AB18,AB$5:AB$24,0)&gt;6)," ",RANK(AB18,AB$5:AB$24,0)))</f>
        <v xml:space="preserve"> </v>
      </c>
      <c r="AE18" s="94" t="str">
        <f>IF(Table62202732[[#This Row],[Non-Member]]="X"," ",IF(AD18=" "," ",IFERROR(VLOOKUP(AC18,Points!$A$2:$B$14,2,FALSE)," ")))</f>
        <v xml:space="preserve"> </v>
      </c>
      <c r="AF18" s="146" t="str">
        <f>IF(X18+AB18=0," ",X18+AB18)</f>
        <v xml:space="preserve"> </v>
      </c>
      <c r="AG18" s="96" t="e">
        <f>IF(AF18=0," ",_xlfn.RANK.AVG(AF18,IF(AF$5:AF$24&gt;0,AF$5:AF$24,0),0))</f>
        <v>#VALUE!</v>
      </c>
      <c r="AH18" s="93" t="str">
        <f>IFERROR(IF(RANK(AF18,AF$5:AF$24,0)&gt;6," ",(IF(AF18,RANK(AF18,AF$5:AF$24,0)," ")))," ")</f>
        <v xml:space="preserve"> </v>
      </c>
      <c r="AI18" s="94" t="str">
        <f>IF(Table62202732[[#This Row],[Non-Member]]="X"," ",IF(AH18=" "," ",IFERROR(VLOOKUP(AG18,Points!$A$2:$B$14,2,FALSE)," ")))</f>
        <v xml:space="preserve"> </v>
      </c>
      <c r="AJ18" s="93">
        <f>IF(Table62202732[[#This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>IF(AJ18=0," ",AJ18)</f>
        <v xml:space="preserve"> </v>
      </c>
      <c r="AL18" s="96" t="str">
        <f>IF(AK18=" "," ",RANK(AK18,$AK$5:$AK$24))</f>
        <v xml:space="preserve"> </v>
      </c>
    </row>
    <row r="19" spans="2:38" x14ac:dyDescent="0.3">
      <c r="B19" s="90" t="s">
        <v>324</v>
      </c>
      <c r="C19" s="91" t="s">
        <v>325</v>
      </c>
      <c r="D19" s="146"/>
      <c r="E19" s="93" t="str">
        <f>IF(D19=0," ",_xlfn.RANK.AVG(D19,D$5:D$24,0))</f>
        <v xml:space="preserve"> </v>
      </c>
      <c r="F19" s="93" t="str">
        <f>IF(D19=0," ",IF((RANK(D19,D$5:D$24,0)&gt;6)," ",RANK(D19,D$5:D$24,0)))</f>
        <v xml:space="preserve"> </v>
      </c>
      <c r="G19" s="94" t="str">
        <f>IF(Table62202732[[#This Row],[Non-Member]]="X"," ",IF(F19=" "," ",IFERROR(VLOOKUP(E19,Points!$A$2:$B$14,2,FALSE)," ")))</f>
        <v xml:space="preserve"> </v>
      </c>
      <c r="H19" s="146"/>
      <c r="I19" s="93" t="str">
        <f>IF(H19=0," ",_xlfn.RANK.AVG(H19,H$5:H$24,0))</f>
        <v xml:space="preserve"> </v>
      </c>
      <c r="J19" s="93" t="str">
        <f>IF(H19=0," ",IF((RANK(H19,H$5:H$24,0)&gt;6)," ",RANK(H19,H$5:H$24,0)))</f>
        <v xml:space="preserve"> </v>
      </c>
      <c r="K19" s="94" t="str">
        <f>IF(Table62202732[[#This Row],[Non-Member]]="X"," ",IF(J19=" "," ",IFERROR(VLOOKUP(I19,Points!$A$2:$B$14,2,FALSE)," ")))</f>
        <v xml:space="preserve"> </v>
      </c>
      <c r="L19" s="146"/>
      <c r="M19" s="93" t="str">
        <f>IF(L19=0," ",_xlfn.RANK.AVG(L19,L$5:L$24,0))</f>
        <v xml:space="preserve"> </v>
      </c>
      <c r="N19" s="93" t="str">
        <f>IF(L19=0," ",IF((RANK(L19,L$5:L$24,0)&gt;6)," ",RANK(L19,L$5:L$24,0)))</f>
        <v xml:space="preserve"> </v>
      </c>
      <c r="O19" s="94" t="str">
        <f>IF(Table62202732[[#This Row],[Non-Member]]="X"," ",IF(N19=" "," ",IFERROR(VLOOKUP(M19,Points!$A$2:$B$14,2,FALSE)," ")))</f>
        <v xml:space="preserve"> </v>
      </c>
      <c r="P19" s="146">
        <v>2</v>
      </c>
      <c r="Q19" s="93">
        <f>IF(P19=0," ",_xlfn.RANK.AVG(P19,P$5:P$24,0))</f>
        <v>17</v>
      </c>
      <c r="R19" s="93" t="str">
        <f>IF(P19=0," ",IF((RANK(P19,P$5:P$24,0)&gt;6)," ",RANK(P19,P$5:P$24,0)))</f>
        <v xml:space="preserve"> </v>
      </c>
      <c r="S19" s="94" t="str">
        <f>IF(Table62202732[[#This Row],[Non-Member]]="X"," ",IF(R19=" "," ",IFERROR(VLOOKUP(Q19,Points!$A$2:$B$14,2,FALSE)," ")))</f>
        <v xml:space="preserve"> </v>
      </c>
      <c r="T19" s="146"/>
      <c r="U19" s="93" t="str">
        <f>IF(T19=0," ",_xlfn.RANK.AVG(T19,T$5:T$24,0))</f>
        <v xml:space="preserve"> </v>
      </c>
      <c r="V19" s="93" t="str">
        <f>IF(T19=0," ",IF((RANK(T19,T$5:T$24,0)&gt;6)," ",RANK(T19,T$5:T$24,0)))</f>
        <v xml:space="preserve"> </v>
      </c>
      <c r="W19" s="94" t="str">
        <f>IF(Table62202732[[#This Row],[Non-Member]]="X"," ",IF(V19=" "," ",IFERROR(VLOOKUP(U19,Points!$A$2:$B$14,2,FALSE)," ")))</f>
        <v xml:space="preserve"> </v>
      </c>
      <c r="X19" s="146"/>
      <c r="Y19" s="93" t="str">
        <f>IF(X19=0," ",_xlfn.RANK.AVG(X19,X$5:X$24,0))</f>
        <v xml:space="preserve"> </v>
      </c>
      <c r="Z19" s="93" t="str">
        <f>IF(X19=0," ",IF((RANK(X19,X$5:X$24,0)&gt;6)," ",RANK(X19,X$5:X$24,0)))</f>
        <v xml:space="preserve"> </v>
      </c>
      <c r="AA19" s="94" t="str">
        <f>IF(Table62202732[[#This Row],[Non-Member]]="X"," ",IF(Z19=" "," ",IFERROR(VLOOKUP(Y19,Points!$A$2:$B$14,2,FALSE)," ")))</f>
        <v xml:space="preserve"> </v>
      </c>
      <c r="AB19" s="146"/>
      <c r="AC19" s="93" t="str">
        <f>IF(AB19=0," ",_xlfn.RANK.AVG(AB19,AB$5:AB$24,0))</f>
        <v xml:space="preserve"> </v>
      </c>
      <c r="AD19" s="93" t="str">
        <f>IF(AB19=0," ",IF((RANK(AB19,AB$5:AB$24,0)&gt;6)," ",RANK(AB19,AB$5:AB$24,0)))</f>
        <v xml:space="preserve"> </v>
      </c>
      <c r="AE19" s="94" t="str">
        <f>IF(Table62202732[[#This Row],[Non-Member]]="X"," ",IF(AD19=" "," ",IFERROR(VLOOKUP(AC19,Points!$A$2:$B$14,2,FALSE)," ")))</f>
        <v xml:space="preserve"> </v>
      </c>
      <c r="AF19" s="146" t="str">
        <f>IF(X19+AB19=0," ",X19+AB19)</f>
        <v xml:space="preserve"> </v>
      </c>
      <c r="AG19" s="96" t="e">
        <f>IF(AF19=0," ",_xlfn.RANK.AVG(AF19,IF(AF$5:AF$24&gt;0,AF$5:AF$24,0),0))</f>
        <v>#VALUE!</v>
      </c>
      <c r="AH19" s="93" t="str">
        <f>IFERROR(IF(RANK(AF19,AF$5:AF$24,0)&gt;6," ",(IF(AF19,RANK(AF19,AF$5:AF$24,0)," ")))," ")</f>
        <v xml:space="preserve"> </v>
      </c>
      <c r="AI19" s="94" t="str">
        <f>IF(Table62202732[[#This Row],[Non-Member]]="X"," ",IF(AH19=" "," ",IFERROR(VLOOKUP(AG19,Points!$A$2:$B$14,2,FALSE)," ")))</f>
        <v xml:space="preserve"> </v>
      </c>
      <c r="AJ19" s="93" t="str">
        <f>IF(Table62202732[[#This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>IF(AJ19=0," ",AJ19)</f>
        <v xml:space="preserve"> </v>
      </c>
      <c r="AL19" s="96" t="str">
        <f>IF(AK19=" "," ",RANK(AK19,$AK$5:$AK$24))</f>
        <v xml:space="preserve"> </v>
      </c>
    </row>
    <row r="20" spans="2:38" x14ac:dyDescent="0.3">
      <c r="B20" s="90" t="s">
        <v>278</v>
      </c>
      <c r="C20" s="91"/>
      <c r="D20" s="146"/>
      <c r="E20" s="93" t="str">
        <f>IF(D20=0," ",_xlfn.RANK.AVG(D20,D$5:D$24,0))</f>
        <v xml:space="preserve"> </v>
      </c>
      <c r="F20" s="93" t="str">
        <f>IF(D20=0," ",IF((RANK(D20,D$5:D$24,0)&gt;6)," ",RANK(D20,D$5:D$24,0)))</f>
        <v xml:space="preserve"> </v>
      </c>
      <c r="G20" s="94" t="str">
        <f>IF(Table62202732[[#This Row],[Non-Member]]="X"," ",IF(F20=" "," ",IFERROR(VLOOKUP(E20,Points!$A$2:$B$14,2,FALSE)," ")))</f>
        <v xml:space="preserve"> </v>
      </c>
      <c r="H20" s="146"/>
      <c r="I20" s="93" t="str">
        <f>IF(H20=0," ",_xlfn.RANK.AVG(H20,H$5:H$24,0))</f>
        <v xml:space="preserve"> </v>
      </c>
      <c r="J20" s="93" t="str">
        <f>IF(H20=0," ",IF((RANK(H20,H$5:H$24,0)&gt;6)," ",RANK(H20,H$5:H$24,0)))</f>
        <v xml:space="preserve"> </v>
      </c>
      <c r="K20" s="94" t="str">
        <f>IF(Table62202732[[#This Row],[Non-Member]]="X"," ",IF(J20=" "," ",IFERROR(VLOOKUP(I20,Points!$A$2:$B$14,2,FALSE)," ")))</f>
        <v xml:space="preserve"> </v>
      </c>
      <c r="L20" s="146">
        <v>3</v>
      </c>
      <c r="M20" s="93">
        <f>IF(L20=0," ",_xlfn.RANK.AVG(L20,L$5:L$24,0))</f>
        <v>12</v>
      </c>
      <c r="N20" s="93" t="str">
        <f>IF(L20=0," ",IF((RANK(L20,L$5:L$24,0)&gt;6)," ",RANK(L20,L$5:L$24,0)))</f>
        <v xml:space="preserve"> </v>
      </c>
      <c r="O20" s="94" t="str">
        <f>IF(Table62202732[[#This Row],[Non-Member]]="X"," ",IF(N20=" "," ",IFERROR(VLOOKUP(M20,Points!$A$2:$B$14,2,FALSE)," ")))</f>
        <v xml:space="preserve"> </v>
      </c>
      <c r="P20" s="146">
        <v>0</v>
      </c>
      <c r="Q20" s="93" t="str">
        <f>IF(P20=0," ",_xlfn.RANK.AVG(P20,P$5:P$24,0))</f>
        <v xml:space="preserve"> </v>
      </c>
      <c r="R20" s="93" t="str">
        <f>IF(P20=0," ",IF((RANK(P20,P$5:P$24,0)&gt;6)," ",RANK(P20,P$5:P$24,0)))</f>
        <v xml:space="preserve"> </v>
      </c>
      <c r="S20" s="94" t="str">
        <f>IF(Table62202732[[#This Row],[Non-Member]]="X"," ",IF(R20=" "," ",IFERROR(VLOOKUP(Q20,Points!$A$2:$B$14,2,FALSE)," ")))</f>
        <v xml:space="preserve"> </v>
      </c>
      <c r="T20" s="146"/>
      <c r="U20" s="93" t="str">
        <f>IF(T20=0," ",_xlfn.RANK.AVG(T20,T$5:T$24,0))</f>
        <v xml:space="preserve"> </v>
      </c>
      <c r="V20" s="93" t="str">
        <f>IF(T20=0," ",IF((RANK(T20,T$5:T$24,0)&gt;6)," ",RANK(T20,T$5:T$24,0)))</f>
        <v xml:space="preserve"> </v>
      </c>
      <c r="W20" s="94" t="str">
        <f>IF(Table62202732[[#This Row],[Non-Member]]="X"," ",IF(V20=" "," ",IFERROR(VLOOKUP(U20,Points!$A$2:$B$14,2,FALSE)," ")))</f>
        <v xml:space="preserve"> </v>
      </c>
      <c r="X20" s="146"/>
      <c r="Y20" s="93" t="str">
        <f>IF(X20=0," ",_xlfn.RANK.AVG(X20,X$5:X$24,0))</f>
        <v xml:space="preserve"> </v>
      </c>
      <c r="Z20" s="93" t="str">
        <f>IF(X20=0," ",IF((RANK(X20,X$5:X$24,0)&gt;6)," ",RANK(X20,X$5:X$24,0)))</f>
        <v xml:space="preserve"> </v>
      </c>
      <c r="AA20" s="94" t="str">
        <f>IF(Table62202732[[#This Row],[Non-Member]]="X"," ",IF(Z20=" "," ",IFERROR(VLOOKUP(Y20,Points!$A$2:$B$14,2,FALSE)," ")))</f>
        <v xml:space="preserve"> </v>
      </c>
      <c r="AB20" s="146"/>
      <c r="AC20" s="93" t="str">
        <f>IF(AB20=0," ",_xlfn.RANK.AVG(AB20,AB$5:AB$24,0))</f>
        <v xml:space="preserve"> </v>
      </c>
      <c r="AD20" s="93" t="str">
        <f>IF(AB20=0," ",IF((RANK(AB20,AB$5:AB$24,0)&gt;6)," ",RANK(AB20,AB$5:AB$24,0)))</f>
        <v xml:space="preserve"> </v>
      </c>
      <c r="AE20" s="94" t="str">
        <f>IF(Table62202732[[#This Row],[Non-Member]]="X"," ",IF(AD20=" "," ",IFERROR(VLOOKUP(AC20,Points!$A$2:$B$14,2,FALSE)," ")))</f>
        <v xml:space="preserve"> </v>
      </c>
      <c r="AF20" s="146" t="str">
        <f>IF(X20+AB20=0," ",X20+AB20)</f>
        <v xml:space="preserve"> </v>
      </c>
      <c r="AG20" s="96" t="e">
        <f>IF(AF20=0," ",_xlfn.RANK.AVG(AF20,IF(AF$5:AF$24&gt;0,AF$5:AF$24,0),0))</f>
        <v>#VALUE!</v>
      </c>
      <c r="AH20" s="93" t="str">
        <f>IFERROR(IF(RANK(AF20,AF$5:AF$24,0)&gt;6," ",(IF(AF20,RANK(AF20,AF$5:AF$24,0)," ")))," ")</f>
        <v xml:space="preserve"> </v>
      </c>
      <c r="AI20" s="94" t="str">
        <f>IF(Table62202732[[#This Row],[Non-Member]]="X"," ",IF(AH20=" "," ",IFERROR(VLOOKUP(AG20,Points!$A$2:$B$14,2,FALSE)," ")))</f>
        <v xml:space="preserve"> </v>
      </c>
      <c r="AJ20" s="93">
        <f>IF(Table62202732[[#This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>IF(AJ20=0," ",AJ20)</f>
        <v xml:space="preserve"> </v>
      </c>
      <c r="AL20" s="96" t="str">
        <f>IF(AK20=" "," ",RANK(AK20,$AK$5:$AK$24))</f>
        <v xml:space="preserve"> </v>
      </c>
    </row>
    <row r="21" spans="2:38" x14ac:dyDescent="0.3">
      <c r="B21" s="90" t="s">
        <v>186</v>
      </c>
      <c r="C21" s="91"/>
      <c r="D21" s="146"/>
      <c r="E21" s="93" t="str">
        <f>IF(D21=0," ",_xlfn.RANK.AVG(D21,D$5:D$24,0))</f>
        <v xml:space="preserve"> </v>
      </c>
      <c r="F21" s="93" t="str">
        <f>IF(D21=0," ",IF((RANK(D21,D$5:D$24,0)&gt;6)," ",RANK(D21,D$5:D$24,0)))</f>
        <v xml:space="preserve"> </v>
      </c>
      <c r="G21" s="94" t="str">
        <f>IF(Table62202732[[#This Row],[Non-Member]]="X"," ",IF(F21=" "," ",IFERROR(VLOOKUP(E21,Points!$A$2:$B$14,2,FALSE)," ")))</f>
        <v xml:space="preserve"> </v>
      </c>
      <c r="H21" s="146">
        <v>6</v>
      </c>
      <c r="I21" s="93">
        <f>IF(H21=0," ",_xlfn.RANK.AVG(H21,H$5:H$24,0))</f>
        <v>8</v>
      </c>
      <c r="J21" s="93" t="str">
        <f>IF(H21=0," ",IF((RANK(H21,H$5:H$24,0)&gt;6)," ",RANK(H21,H$5:H$24,0)))</f>
        <v xml:space="preserve"> </v>
      </c>
      <c r="K21" s="94" t="str">
        <f>IF(Table62202732[[#This Row],[Non-Member]]="X"," ",IF(J21=" "," ",IFERROR(VLOOKUP(I21,Points!$A$2:$B$14,2,FALSE)," ")))</f>
        <v xml:space="preserve"> </v>
      </c>
      <c r="L21" s="146"/>
      <c r="M21" s="93" t="str">
        <f>IF(L21=0," ",_xlfn.RANK.AVG(L21,L$5:L$24,0))</f>
        <v xml:space="preserve"> </v>
      </c>
      <c r="N21" s="93" t="str">
        <f>IF(L21=0," ",IF((RANK(L21,L$5:L$24,0)&gt;6)," ",RANK(L21,L$5:L$24,0)))</f>
        <v xml:space="preserve"> </v>
      </c>
      <c r="O21" s="94" t="str">
        <f>IF(Table62202732[[#This Row],[Non-Member]]="X"," ",IF(N21=" "," ",IFERROR(VLOOKUP(M21,Points!$A$2:$B$14,2,FALSE)," ")))</f>
        <v xml:space="preserve"> </v>
      </c>
      <c r="P21" s="146"/>
      <c r="Q21" s="93" t="str">
        <f>IF(P21=0," ",_xlfn.RANK.AVG(P21,P$5:P$24,0))</f>
        <v xml:space="preserve"> </v>
      </c>
      <c r="R21" s="93" t="str">
        <f>IF(P21=0," ",IF((RANK(P21,P$5:P$24,0)&gt;6)," ",RANK(P21,P$5:P$24,0)))</f>
        <v xml:space="preserve"> </v>
      </c>
      <c r="S21" s="94" t="str">
        <f>IF(Table62202732[[#This Row],[Non-Member]]="X"," ",IF(R21=" "," ",IFERROR(VLOOKUP(Q21,Points!$A$2:$B$14,2,FALSE)," ")))</f>
        <v xml:space="preserve"> </v>
      </c>
      <c r="T21" s="146"/>
      <c r="U21" s="93" t="str">
        <f>IF(T21=0," ",_xlfn.RANK.AVG(T21,T$5:T$24,0))</f>
        <v xml:space="preserve"> </v>
      </c>
      <c r="V21" s="93" t="str">
        <f>IF(T21=0," ",IF((RANK(T21,T$5:T$24,0)&gt;6)," ",RANK(T21,T$5:T$24,0)))</f>
        <v xml:space="preserve"> </v>
      </c>
      <c r="W21" s="94" t="str">
        <f>IF(Table62202732[[#This Row],[Non-Member]]="X"," ",IF(V21=" "," ",IFERROR(VLOOKUP(U21,Points!$A$2:$B$14,2,FALSE)," ")))</f>
        <v xml:space="preserve"> </v>
      </c>
      <c r="X21" s="146"/>
      <c r="Y21" s="93" t="str">
        <f>IF(X21=0," ",_xlfn.RANK.AVG(X21,X$5:X$24,0))</f>
        <v xml:space="preserve"> </v>
      </c>
      <c r="Z21" s="93" t="str">
        <f>IF(X21=0," ",IF((RANK(X21,X$5:X$24,0)&gt;6)," ",RANK(X21,X$5:X$24,0)))</f>
        <v xml:space="preserve"> </v>
      </c>
      <c r="AA21" s="94" t="str">
        <f>IF(Table62202732[[#This Row],[Non-Member]]="X"," ",IF(Z21=" "," ",IFERROR(VLOOKUP(Y21,Points!$A$2:$B$14,2,FALSE)," ")))</f>
        <v xml:space="preserve"> </v>
      </c>
      <c r="AB21" s="146"/>
      <c r="AC21" s="93" t="str">
        <f>IF(AB21=0," ",_xlfn.RANK.AVG(AB21,AB$5:AB$24,0))</f>
        <v xml:space="preserve"> </v>
      </c>
      <c r="AD21" s="93" t="str">
        <f>IF(AB21=0," ",IF((RANK(AB21,AB$5:AB$24,0)&gt;6)," ",RANK(AB21,AB$5:AB$24,0)))</f>
        <v xml:space="preserve"> </v>
      </c>
      <c r="AE21" s="94" t="str">
        <f>IF(Table62202732[[#This Row],[Non-Member]]="X"," ",IF(AD21=" "," ",IFERROR(VLOOKUP(AC21,Points!$A$2:$B$14,2,FALSE)," ")))</f>
        <v xml:space="preserve"> </v>
      </c>
      <c r="AF21" s="146" t="str">
        <f>IF(X21+AB21=0," ",X21+AB21)</f>
        <v xml:space="preserve"> </v>
      </c>
      <c r="AG21" s="96" t="e">
        <f>IF(AF21=0," ",_xlfn.RANK.AVG(AF21,IF(AF$5:AF$24&gt;0,AF$5:AF$24,0),0))</f>
        <v>#VALUE!</v>
      </c>
      <c r="AH21" s="93" t="str">
        <f>IFERROR(IF(RANK(AF21,AF$5:AF$24,0)&gt;6," ",(IF(AF21,RANK(AF21,AF$5:AF$24,0)," ")))," ")</f>
        <v xml:space="preserve"> </v>
      </c>
      <c r="AI21" s="94" t="str">
        <f>IF(Table62202732[[#This Row],[Non-Member]]="X"," ",IF(AH21=" "," ",IFERROR(VLOOKUP(AG21,Points!$A$2:$B$14,2,FALSE)," ")))</f>
        <v xml:space="preserve"> </v>
      </c>
      <c r="AJ21" s="93">
        <f>IF(Table62202732[[#This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>IF(AJ21=0," ",AJ21)</f>
        <v xml:space="preserve"> </v>
      </c>
      <c r="AL21" s="96" t="str">
        <f>IF(AK21=" "," ",RANK(AK21,$AK$5:$AK$24))</f>
        <v xml:space="preserve"> </v>
      </c>
    </row>
    <row r="22" spans="2:38" x14ac:dyDescent="0.3">
      <c r="B22" s="90" t="s">
        <v>277</v>
      </c>
      <c r="C22" s="91"/>
      <c r="D22" s="146"/>
      <c r="E22" s="97" t="str">
        <f>IF(D22=0," ",_xlfn.RANK.AVG(D22,D$5:D$24,0))</f>
        <v xml:space="preserve"> </v>
      </c>
      <c r="F22" s="97" t="str">
        <f>IF(D22=0," ",IF((RANK(D22,D$5:D$24,0)&gt;6)," ",RANK(D22,D$5:D$24,0)))</f>
        <v xml:space="preserve"> </v>
      </c>
      <c r="G22" s="94" t="str">
        <f>IF(Table62202732[[#This Row],[Non-Member]]="X"," ",IF(F22=" "," ",IFERROR(VLOOKUP(E22,Points!$A$2:$B$14,2,FALSE)," ")))</f>
        <v xml:space="preserve"> </v>
      </c>
      <c r="H22" s="146">
        <v>2</v>
      </c>
      <c r="I22" s="97">
        <f>IF(H22=0," ",_xlfn.RANK.AVG(H22,H$5:H$24,0))</f>
        <v>11</v>
      </c>
      <c r="J22" s="93" t="str">
        <f>IF(H22=0," ",IF((RANK(H22,H$5:H$24,0)&gt;6)," ",RANK(H22,H$5:H$24,0)))</f>
        <v xml:space="preserve"> </v>
      </c>
      <c r="K22" s="94" t="str">
        <f>IF(Table62202732[[#This Row],[Non-Member]]="X"," ",IF(J22=" "," ",IFERROR(VLOOKUP(I22,Points!$A$2:$B$14,2,FALSE)," ")))</f>
        <v xml:space="preserve"> </v>
      </c>
      <c r="L22" s="146">
        <v>6</v>
      </c>
      <c r="M22" s="97">
        <f>IF(L22=0," ",_xlfn.RANK.AVG(L22,L$5:L$24,0))</f>
        <v>8.5</v>
      </c>
      <c r="N22" s="93" t="str">
        <f>IF(L22=0," ",IF((RANK(L22,L$5:L$24,0)&gt;6)," ",RANK(L22,L$5:L$24,0)))</f>
        <v xml:space="preserve"> </v>
      </c>
      <c r="O22" s="94" t="str">
        <f>IF(Table62202732[[#This Row],[Non-Member]]="X"," ",IF(N22=" "," ",IFERROR(VLOOKUP(M22,Points!$A$2:$B$14,2,FALSE)," ")))</f>
        <v xml:space="preserve"> </v>
      </c>
      <c r="P22" s="146">
        <v>3</v>
      </c>
      <c r="Q22" s="97">
        <f>IF(P22=0," ",_xlfn.RANK.AVG(P22,P$5:P$24,0))</f>
        <v>14</v>
      </c>
      <c r="R22" s="93" t="str">
        <f>IF(P22=0," ",IF((RANK(P22,P$5:P$24,0)&gt;6)," ",RANK(P22,P$5:P$24,0)))</f>
        <v xml:space="preserve"> </v>
      </c>
      <c r="S22" s="94" t="str">
        <f>IF(Table62202732[[#This Row],[Non-Member]]="X"," ",IF(R22=" "," ",IFERROR(VLOOKUP(Q22,Points!$A$2:$B$14,2,FALSE)," ")))</f>
        <v xml:space="preserve"> </v>
      </c>
      <c r="T22" s="146"/>
      <c r="U22" s="97" t="str">
        <f>IF(T22=0," ",_xlfn.RANK.AVG(T22,T$5:T$24,0))</f>
        <v xml:space="preserve"> </v>
      </c>
      <c r="V22" s="93" t="str">
        <f>IF(T22=0," ",IF((RANK(T22,T$5:T$24,0)&gt;6)," ",RANK(T22,T$5:T$24,0)))</f>
        <v xml:space="preserve"> </v>
      </c>
      <c r="W22" s="94" t="str">
        <f>IF(Table62202732[[#This Row],[Non-Member]]="X"," ",IF(V22=" "," ",IFERROR(VLOOKUP(U22,Points!$A$2:$B$14,2,FALSE)," ")))</f>
        <v xml:space="preserve"> </v>
      </c>
      <c r="X22" s="146"/>
      <c r="Y22" s="97" t="str">
        <f>IF(X22=0," ",_xlfn.RANK.AVG(X22,X$5:X$24,0))</f>
        <v xml:space="preserve"> </v>
      </c>
      <c r="Z22" s="93" t="str">
        <f>IF(X22=0," ",IF((RANK(X22,X$5:X$24,0)&gt;6)," ",RANK(X22,X$5:X$24,0)))</f>
        <v xml:space="preserve"> </v>
      </c>
      <c r="AA22" s="94" t="str">
        <f>IF(Table62202732[[#This Row],[Non-Member]]="X"," ",IF(Z22=" "," ",IFERROR(VLOOKUP(Y22,Points!$A$2:$B$14,2,FALSE)," ")))</f>
        <v xml:space="preserve"> </v>
      </c>
      <c r="AB22" s="146"/>
      <c r="AC22" s="97" t="str">
        <f>IF(AB22=0," ",_xlfn.RANK.AVG(AB22,AB$5:AB$24,0))</f>
        <v xml:space="preserve"> </v>
      </c>
      <c r="AD22" s="93" t="str">
        <f>IF(AB22=0," ",IF((RANK(AB22,AB$5:AB$24,0)&gt;6)," ",RANK(AB22,AB$5:AB$24,0)))</f>
        <v xml:space="preserve"> </v>
      </c>
      <c r="AE22" s="94" t="str">
        <f>IF(Table62202732[[#This Row],[Non-Member]]="X"," ",IF(AD22=" "," ",IFERROR(VLOOKUP(AC22,Points!$A$2:$B$14,2,FALSE)," ")))</f>
        <v xml:space="preserve"> </v>
      </c>
      <c r="AF22" s="146" t="str">
        <f>IF(X22+AB22=0," ",X22+AB22)</f>
        <v xml:space="preserve"> </v>
      </c>
      <c r="AG22" s="98" t="e">
        <f>IF(AF22=0," ",_xlfn.RANK.AVG(AF22,IF(AF$5:AF$24&gt;0,AF$5:AF$24,0),0))</f>
        <v>#VALUE!</v>
      </c>
      <c r="AH22" s="93" t="str">
        <f>IFERROR(IF(RANK(AF22,AF$5:AF$24,0)&gt;6," ",(IF(AF22,RANK(AF22,AF$5:AF$24,0)," ")))," ")</f>
        <v xml:space="preserve"> </v>
      </c>
      <c r="AI22" s="94" t="str">
        <f>IF(Table62202732[[#This Row],[Non-Member]]="X"," ",IF(AH22=" "," ",IFERROR(VLOOKUP(AG22,Points!$A$2:$B$14,2,FALSE)," ")))</f>
        <v xml:space="preserve"> </v>
      </c>
      <c r="AJ22" s="97">
        <f>IF(Table62202732[[#This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>IF(AJ22=0," ",AJ22)</f>
        <v xml:space="preserve"> </v>
      </c>
      <c r="AL22" s="98" t="str">
        <f>IF(AK22=" "," ",RANK(AK22,$AK$5:$AK$24))</f>
        <v xml:space="preserve"> </v>
      </c>
    </row>
    <row r="23" spans="2:38" x14ac:dyDescent="0.3">
      <c r="B23" s="90" t="s">
        <v>319</v>
      </c>
      <c r="C23" s="91" t="s">
        <v>325</v>
      </c>
      <c r="D23" s="146"/>
      <c r="E23" s="97" t="str">
        <f>IF(D23=0," ",_xlfn.RANK.AVG(D23,D$5:D$24,0))</f>
        <v xml:space="preserve"> </v>
      </c>
      <c r="F23" s="97" t="str">
        <f>IF(D23=0," ",IF((RANK(D23,D$5:D$24,0)&gt;6)," ",RANK(D23,D$5:D$24,0)))</f>
        <v xml:space="preserve"> </v>
      </c>
      <c r="G23" s="94" t="str">
        <f>IF(Table62202732[[#This Row],[Non-Member]]="X"," ",IF(F23=" "," ",IFERROR(VLOOKUP(E23,Points!$A$2:$B$14,2,FALSE)," ")))</f>
        <v xml:space="preserve"> </v>
      </c>
      <c r="H23" s="146"/>
      <c r="I23" s="97" t="str">
        <f>IF(H23=0," ",_xlfn.RANK.AVG(H23,H$5:H$24,0))</f>
        <v xml:space="preserve"> </v>
      </c>
      <c r="J23" s="93" t="str">
        <f>IF(H23=0," ",IF((RANK(H23,H$5:H$24,0)&gt;6)," ",RANK(H23,H$5:H$24,0)))</f>
        <v xml:space="preserve"> </v>
      </c>
      <c r="K23" s="94" t="str">
        <f>IF(Table62202732[[#This Row],[Non-Member]]="X"," ",IF(J23=" "," ",IFERROR(VLOOKUP(I23,Points!$A$2:$B$14,2,FALSE)," ")))</f>
        <v xml:space="preserve"> </v>
      </c>
      <c r="L23" s="146">
        <v>8</v>
      </c>
      <c r="M23" s="97">
        <f>IF(L23=0," ",_xlfn.RANK.AVG(L23,L$5:L$24,0))</f>
        <v>5</v>
      </c>
      <c r="N23" s="93">
        <f>IF(L23=0," ",IF((RANK(L23,L$5:L$24,0)&gt;6)," ",RANK(L23,L$5:L$24,0)))</f>
        <v>5</v>
      </c>
      <c r="O23" s="94" t="str">
        <f>IF(Table62202732[[#This Row],[Non-Member]]="X"," ",IF(N23=" "," ",IFERROR(VLOOKUP(M23,Points!$A$2:$B$14,2,FALSE)," ")))</f>
        <v xml:space="preserve"> </v>
      </c>
      <c r="P23" s="146">
        <v>9</v>
      </c>
      <c r="Q23" s="97">
        <f>IF(P23=0," ",_xlfn.RANK.AVG(P23,P$5:P$24,0))</f>
        <v>2.5</v>
      </c>
      <c r="R23" s="93">
        <f>IF(P23=0," ",IF((RANK(P23,P$5:P$24,0)&gt;6)," ",RANK(P23,P$5:P$24,0)))</f>
        <v>1</v>
      </c>
      <c r="S23" s="94" t="str">
        <f>IF(Table62202732[[#This Row],[Non-Member]]="X"," ",IF(R23=" "," ",IFERROR(VLOOKUP(Q23,Points!$A$2:$B$14,2,FALSE)," ")))</f>
        <v xml:space="preserve"> </v>
      </c>
      <c r="T23" s="146"/>
      <c r="U23" s="97" t="str">
        <f>IF(T23=0," ",_xlfn.RANK.AVG(T23,T$5:T$24,0))</f>
        <v xml:space="preserve"> </v>
      </c>
      <c r="V23" s="93" t="str">
        <f>IF(T23=0," ",IF((RANK(T23,T$5:T$24,0)&gt;6)," ",RANK(T23,T$5:T$24,0)))</f>
        <v xml:space="preserve"> </v>
      </c>
      <c r="W23" s="94" t="str">
        <f>IF(Table62202732[[#This Row],[Non-Member]]="X"," ",IF(V23=" "," ",IFERROR(VLOOKUP(U23,Points!$A$2:$B$14,2,FALSE)," ")))</f>
        <v xml:space="preserve"> </v>
      </c>
      <c r="X23" s="146"/>
      <c r="Y23" s="97" t="str">
        <f>IF(X23=0," ",_xlfn.RANK.AVG(X23,X$5:X$24,0))</f>
        <v xml:space="preserve"> </v>
      </c>
      <c r="Z23" s="93" t="str">
        <f>IF(X23=0," ",IF((RANK(X23,X$5:X$24,0)&gt;6)," ",RANK(X23,X$5:X$24,0)))</f>
        <v xml:space="preserve"> </v>
      </c>
      <c r="AA23" s="94" t="str">
        <f>IF(Table62202732[[#This Row],[Non-Member]]="X"," ",IF(Z23=" "," ",IFERROR(VLOOKUP(Y23,Points!$A$2:$B$14,2,FALSE)," ")))</f>
        <v xml:space="preserve"> </v>
      </c>
      <c r="AB23" s="146"/>
      <c r="AC23" s="97" t="str">
        <f>IF(AB23=0," ",_xlfn.RANK.AVG(AB23,AB$5:AB$24,0))</f>
        <v xml:space="preserve"> </v>
      </c>
      <c r="AD23" s="93" t="str">
        <f>IF(AB23=0," ",IF((RANK(AB23,AB$5:AB$24,0)&gt;6)," ",RANK(AB23,AB$5:AB$24,0)))</f>
        <v xml:space="preserve"> </v>
      </c>
      <c r="AE23" s="94" t="str">
        <f>IF(Table62202732[[#This Row],[Non-Member]]="X"," ",IF(AD23=" "," ",IFERROR(VLOOKUP(AC23,Points!$A$2:$B$14,2,FALSE)," ")))</f>
        <v xml:space="preserve"> </v>
      </c>
      <c r="AF23" s="146" t="str">
        <f>IF(X23+AB23=0," ",X23+AB23)</f>
        <v xml:space="preserve"> </v>
      </c>
      <c r="AG23" s="98" t="e">
        <f>IF(AF23=0," ",_xlfn.RANK.AVG(AF23,IF(AF$5:AF$24&gt;0,AF$5:AF$24,0),0))</f>
        <v>#VALUE!</v>
      </c>
      <c r="AH23" s="93" t="str">
        <f>IFERROR(IF(RANK(AF23,AF$5:AF$24,0)&gt;6," ",(IF(AF23,RANK(AF23,AF$5:AF$24,0)," ")))," ")</f>
        <v xml:space="preserve"> </v>
      </c>
      <c r="AI23" s="94" t="str">
        <f>IF(Table62202732[[#This Row],[Non-Member]]="X"," ",IF(AH23=" "," ",IFERROR(VLOOKUP(AG23,Points!$A$2:$B$14,2,FALSE)," ")))</f>
        <v xml:space="preserve"> </v>
      </c>
      <c r="AJ23" s="97" t="str">
        <f>IF(Table62202732[[#This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>IF(AJ23=0," ",AJ23)</f>
        <v xml:space="preserve"> </v>
      </c>
      <c r="AL23" s="98" t="str">
        <f>IF(AK23=" "," ",RANK(AK23,$AK$5:$AK$24))</f>
        <v xml:space="preserve"> </v>
      </c>
    </row>
    <row r="24" spans="2:38" ht="14.5" thickBot="1" x14ac:dyDescent="0.35">
      <c r="B24" s="100" t="s">
        <v>321</v>
      </c>
      <c r="C24" s="101" t="s">
        <v>325</v>
      </c>
      <c r="D24" s="147"/>
      <c r="E24" s="103" t="str">
        <f>IF(D24=0," ",_xlfn.RANK.AVG(D24,D$5:D$24,0))</f>
        <v xml:space="preserve"> </v>
      </c>
      <c r="F24" s="103" t="str">
        <f>IF(D24=0," ",IF((RANK(D24,D$5:D$24,0)&gt;6)," ",RANK(D24,D$5:D$24,0)))</f>
        <v xml:space="preserve"> </v>
      </c>
      <c r="G24" s="104" t="str">
        <f>IF(Table62202732[[#This Row],[Non-Member]]="X"," ",IF(F24=" "," ",IFERROR(VLOOKUP(E24,Points!$A$2:$B$14,2,FALSE)," ")))</f>
        <v xml:space="preserve"> </v>
      </c>
      <c r="H24" s="146"/>
      <c r="I24" s="93" t="str">
        <f>IF(H24=0," ",_xlfn.RANK.AVG(H24,H$5:H$24,0))</f>
        <v xml:space="preserve"> </v>
      </c>
      <c r="J24" s="93" t="str">
        <f>IF(H24=0," ",IF((RANK(H24,H$5:H$24,0)&gt;6)," ",RANK(H24,H$5:H$24,0)))</f>
        <v xml:space="preserve"> </v>
      </c>
      <c r="K24" s="104" t="str">
        <f>IF(Table62202732[[#This Row],[Non-Member]]="X"," ",IF(J24=" "," ",IFERROR(VLOOKUP(I24,Points!$A$2:$B$14,2,FALSE)," ")))</f>
        <v xml:space="preserve"> </v>
      </c>
      <c r="L24" s="146">
        <v>0</v>
      </c>
      <c r="M24" s="93" t="str">
        <f>IF(L24=0," ",_xlfn.RANK.AVG(L24,L$5:L$24,0))</f>
        <v xml:space="preserve"> </v>
      </c>
      <c r="N24" s="93" t="str">
        <f>IF(L24=0," ",IF((RANK(L24,L$5:L$24,0)&gt;6)," ",RANK(L24,L$5:L$24,0)))</f>
        <v xml:space="preserve"> </v>
      </c>
      <c r="O24" s="104" t="str">
        <f>IF(Table62202732[[#This Row],[Non-Member]]="X"," ",IF(N24=" "," ",IFERROR(VLOOKUP(M24,Points!$A$2:$B$14,2,FALSE)," ")))</f>
        <v xml:space="preserve"> </v>
      </c>
      <c r="P24" s="146">
        <v>2</v>
      </c>
      <c r="Q24" s="93">
        <f>IF(P24=0," ",_xlfn.RANK.AVG(P24,P$5:P$24,0))</f>
        <v>17</v>
      </c>
      <c r="R24" s="93" t="str">
        <f>IF(P24=0," ",IF((RANK(P24,P$5:P$24,0)&gt;6)," ",RANK(P24,P$5:P$24,0)))</f>
        <v xml:space="preserve"> </v>
      </c>
      <c r="S24" s="104" t="str">
        <f>IF(Table62202732[[#This Row],[Non-Member]]="X"," ",IF(R24=" "," ",IFERROR(VLOOKUP(Q24,Points!$A$2:$B$14,2,FALSE)," ")))</f>
        <v xml:space="preserve"> </v>
      </c>
      <c r="T24" s="146"/>
      <c r="U24" s="93" t="str">
        <f>IF(T24=0," ",_xlfn.RANK.AVG(T24,T$5:T$24,0))</f>
        <v xml:space="preserve"> </v>
      </c>
      <c r="V24" s="93" t="str">
        <f>IF(T24=0," ",IF((RANK(T24,T$5:T$24,0)&gt;6)," ",RANK(T24,T$5:T$24,0)))</f>
        <v xml:space="preserve"> </v>
      </c>
      <c r="W24" s="104" t="str">
        <f>IF(Table62202732[[#This Row],[Non-Member]]="X"," ",IF(V24=" "," ",IFERROR(VLOOKUP(U24,Points!$A$2:$B$14,2,FALSE)," ")))</f>
        <v xml:space="preserve"> </v>
      </c>
      <c r="X24" s="146"/>
      <c r="Y24" s="93" t="str">
        <f>IF(X24=0," ",_xlfn.RANK.AVG(X24,X$5:X$24,0))</f>
        <v xml:space="preserve"> </v>
      </c>
      <c r="Z24" s="93" t="str">
        <f>IF(X24=0," ",IF((RANK(X24,X$5:X$24,0)&gt;6)," ",RANK(X24,X$5:X$24,0)))</f>
        <v xml:space="preserve"> </v>
      </c>
      <c r="AA24" s="104" t="str">
        <f>IF(Table62202732[[#This Row],[Non-Member]]="X"," ",IF(Z24=" "," ",IFERROR(VLOOKUP(Y24,Points!$A$2:$B$14,2,FALSE)," ")))</f>
        <v xml:space="preserve"> </v>
      </c>
      <c r="AB24" s="146"/>
      <c r="AC24" s="93" t="str">
        <f>IF(AB24=0," ",_xlfn.RANK.AVG(AB24,AB$5:AB$24,0))</f>
        <v xml:space="preserve"> </v>
      </c>
      <c r="AD24" s="93" t="str">
        <f>IF(AB24=0," ",IF((RANK(AB24,AB$5:AB$24,0)&gt;6)," ",RANK(AB24,AB$5:AB$24,0)))</f>
        <v xml:space="preserve"> </v>
      </c>
      <c r="AE24" s="104" t="str">
        <f>IF(Table62202732[[#This Row],[Non-Member]]="X"," ",IF(AD24=" "," ",IFERROR(VLOOKUP(AC24,Points!$A$2:$B$14,2,FALSE)," ")))</f>
        <v xml:space="preserve"> </v>
      </c>
      <c r="AF24" s="146" t="str">
        <f>IF(X24+AB24=0," ",X24+AB24)</f>
        <v xml:space="preserve"> </v>
      </c>
      <c r="AG24" s="96" t="e">
        <f>IF(AF24=0," ",_xlfn.RANK.AVG(AF24,IF(AF$5:AF$24&gt;0,AF$5:AF$24,0),0))</f>
        <v>#VALUE!</v>
      </c>
      <c r="AH24" s="93" t="str">
        <f>IFERROR(IF(RANK(AF24,AF$5:AF$24,0)&gt;6," ",(IF(AF24,RANK(AF24,AF$5:AF$24,0)," ")))," ")</f>
        <v xml:space="preserve"> </v>
      </c>
      <c r="AI24" s="104" t="str">
        <f>IF(Table62202732[[#This Row],[Non-Member]]="X"," ",IF(AH24=" "," ",IFERROR(VLOOKUP(AG24,Points!$A$2:$B$14,2,FALSE)," ")))</f>
        <v xml:space="preserve"> </v>
      </c>
      <c r="AJ24" s="93" t="str">
        <f>IF(Table62202732[[#This Row],[Non-Member]]="X"," ",((IF(G24=" ",0,G24))+(IF(K24=" ",0,K24))+(IF(O24=" ",0,O24))+(IF(S24=" ",0,S24))+(IF(W24=" ",0,W24))+(IF(AA24=" ",0,AA24))+(IF(AE24=" ",0,AE24))+(IF(AI24=" ",0,AI24))))</f>
        <v xml:space="preserve"> </v>
      </c>
      <c r="AK24" s="105" t="str">
        <f>IF(AJ24=0," ",AJ24)</f>
        <v xml:space="preserve"> </v>
      </c>
      <c r="AL24" s="96" t="str">
        <f>IF(AK24=" "," ",RANK(AK24,$AK$5:$AK$24))</f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sheetProtection algorithmName="SHA-512" hashValue="3yu283Ctpn/4bLFLYkLgHRlwhIWesQTnj5P3Tr/tjBJjroIT9JXF7rMyzGwrrMc4ZdbmpfoxcfxIxMVWvqDc9Q==" saltValue="Sd1b5UHXB/yUUcf1BWk89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63</v>
      </c>
      <c r="C2" s="176"/>
      <c r="D2" s="177">
        <v>43954</v>
      </c>
      <c r="E2" s="177"/>
      <c r="F2" s="177"/>
      <c r="G2" s="178"/>
      <c r="H2" s="172">
        <v>43632</v>
      </c>
      <c r="I2" s="173"/>
      <c r="J2" s="173"/>
      <c r="K2" s="174"/>
      <c r="L2" s="172">
        <v>43659</v>
      </c>
      <c r="M2" s="173"/>
      <c r="N2" s="173"/>
      <c r="O2" s="174"/>
      <c r="P2" s="172">
        <v>43660</v>
      </c>
      <c r="Q2" s="173"/>
      <c r="R2" s="173"/>
      <c r="S2" s="174"/>
      <c r="T2" s="172">
        <v>43681</v>
      </c>
      <c r="U2" s="173"/>
      <c r="V2" s="173"/>
      <c r="W2" s="174"/>
      <c r="X2" s="172" t="s">
        <v>161</v>
      </c>
      <c r="Y2" s="173"/>
      <c r="Z2" s="173"/>
      <c r="AA2" s="174"/>
      <c r="AB2" s="172" t="s">
        <v>162</v>
      </c>
      <c r="AC2" s="173"/>
      <c r="AD2" s="173"/>
      <c r="AE2" s="174"/>
      <c r="AF2" s="172" t="s">
        <v>3</v>
      </c>
      <c r="AG2" s="173"/>
      <c r="AH2" s="173"/>
      <c r="AI2" s="174"/>
      <c r="AJ2" s="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67</v>
      </c>
      <c r="C5" s="84"/>
      <c r="D5" s="85"/>
      <c r="E5" s="86" t="str">
        <f>IF(D5=0," ",_xlfn.RANK.AVG(D5,D$5:D$24,1)-COUNTIF(D$5:D$24,0))</f>
        <v xml:space="preserve"> </v>
      </c>
      <c r="F5" s="86" t="str">
        <f>IF(D5=0," ",IF((RANK(D5,D$5:D$24,1)-COUNTIF(D$5:D$24,0)&gt;6)," ",RANK(D5,D$5:D$24,1)-COUNTIF(D$5:D$24,0)))</f>
        <v xml:space="preserve"> </v>
      </c>
      <c r="G5" s="87" t="str">
        <f>IF(Table6220273233[[#This Row],[Non-Member]]="X"," ",IF(F5=" "," ",IFERROR(VLOOKUP(E5,Points!$A$2:$B$14,2,FALSE)," ")))</f>
        <v xml:space="preserve"> </v>
      </c>
      <c r="H5" s="85">
        <v>13.73</v>
      </c>
      <c r="I5" s="86">
        <f>IF(H5=0," ",_xlfn.RANK.AVG(H5,H$5:H$24,1)-COUNTIF(H$5:H$24,0))</f>
        <v>3</v>
      </c>
      <c r="J5" s="86">
        <f>IF(H5=0," ",IF((RANK(H5,H$5:H$24,1)-COUNTIF(H$5:H$24,0)&gt;6)," ",RANK(H5,H$5:H$24,1)-COUNTIF(H$5:H$24,0)))</f>
        <v>3</v>
      </c>
      <c r="K5" s="87">
        <f>IF(Table6220273233[[#This Row],[Non-Member]]="X"," ",IF(J5=" "," ",IFERROR(VLOOKUP(I5,Points!$A$2:$B$14,2,FALSE)," ")))</f>
        <v>12</v>
      </c>
      <c r="L5" s="85">
        <v>10.81</v>
      </c>
      <c r="M5" s="86">
        <f>IF(L5=0," ",_xlfn.RANK.AVG(L5,L$5:L$24,1)-COUNTIF(L$5:L$24,0))</f>
        <v>1</v>
      </c>
      <c r="N5" s="86">
        <f>IF(L5=0," ",IF((RANK(L5,L$5:L$24,1)-COUNTIF(L$5:L$24,0)&gt;6)," ",RANK(L5,L$5:L$24,1)-COUNTIF(L$5:L$24,0)))</f>
        <v>1</v>
      </c>
      <c r="O5" s="87">
        <f>IF(Table6220273233[[#This Row],[Non-Member]]="X"," ",IF(N5=" "," ",IFERROR(VLOOKUP(M5,Points!$A$2:$B$14,2,FALSE)," ")))</f>
        <v>18</v>
      </c>
      <c r="P5" s="136">
        <v>10.029999999999999</v>
      </c>
      <c r="Q5" s="86">
        <f>IF(P5=0," ",_xlfn.RANK.AVG(P5,P$5:P$24,1)-COUNTIF(P$5:P$24,0))</f>
        <v>2</v>
      </c>
      <c r="R5" s="86">
        <f>IF(P5=0," ",IF((RANK(P5,P$5:P$24,1)-COUNTIF(P$5:P$24,0)&gt;6)," ",RANK(P5,P$5:P$24,1)-COUNTIF(P$5:P$24,0)))</f>
        <v>2</v>
      </c>
      <c r="S5" s="87">
        <f>IF(Table6220273233[[#This Row],[Non-Member]]="X"," ",IF(R5=" "," ",IFERROR(VLOOKUP(Q5,Points!$A$2:$B$14,2,FALSE)," ")))</f>
        <v>15</v>
      </c>
      <c r="T5" s="85"/>
      <c r="U5" s="86" t="str">
        <f>IF(T5=0," ",_xlfn.RANK.AVG(T5,T$5:T$24,1)-COUNTIF(T$5:T$24,0))</f>
        <v xml:space="preserve"> </v>
      </c>
      <c r="V5" s="86" t="str">
        <f>IF(T5=0," ",IF((RANK(T5,T$5:T$24,1)-COUNTIF(T$5:T$24,0)&gt;6)," ",RANK(T5,T$5:T$24,1)-COUNTIF(T$5:T$24,0)))</f>
        <v xml:space="preserve"> </v>
      </c>
      <c r="W5" s="87" t="str">
        <f>IF(Table6220273233[[#This Row],[Non-Member]]="X"," ",IF(V5=" "," ",IFERROR(VLOOKUP(U5,Points!$A$2:$B$14,2,FALSE)," ")))</f>
        <v xml:space="preserve"> </v>
      </c>
      <c r="X5" s="85"/>
      <c r="Y5" s="86" t="str">
        <f>IF(X5=0," ",_xlfn.RANK.AVG(X5,X$5:X$24,1)-COUNTIF(X$5:X$24,0))</f>
        <v xml:space="preserve"> </v>
      </c>
      <c r="Z5" s="86" t="str">
        <f>IF(X5=0," ",IF((RANK(X5,X$5:X$24,1)-COUNTIF(X$5:X$24,0)&gt;6)," ",RANK(X5,X$5:X$24,1)-COUNTIF(X$5:X$24,0)))</f>
        <v xml:space="preserve"> </v>
      </c>
      <c r="AA5" s="87" t="str">
        <f>IF(Table6220273233[[#This Row],[Non-Member]]="X"," ",IF(Z5=" "," ",IFERROR(VLOOKUP(Y5,Points!$A$2:$B$14,2,FALSE)," ")))</f>
        <v xml:space="preserve"> </v>
      </c>
      <c r="AB5" s="85"/>
      <c r="AC5" s="86" t="str">
        <f>IF(AB5=0," ",_xlfn.RANK.AVG(AB5,AB$5:AB$24,1)-COUNTIF(AB$5:AB$24,0))</f>
        <v xml:space="preserve"> </v>
      </c>
      <c r="AD5" s="86" t="str">
        <f>IF(AB5=0," ",IF((RANK(AB5,AB$5:AB$24,1)-COUNTIF(AB$5:AB$24,0)&gt;6)," ",RANK(AB5,AB$5:AB$24,1)-COUNTIF(AB$5:AB$24,0)))</f>
        <v xml:space="preserve"> </v>
      </c>
      <c r="AE5" s="87" t="str">
        <f>IF(Table6220273233[[#This Row],[Non-Member]]="X"," ",IF(AD5=" "," ",IFERROR(VLOOKUP(AC5,Points!$A$2:$B$14,2,FALSE)," ")))</f>
        <v xml:space="preserve"> </v>
      </c>
      <c r="AF5" s="85" t="str">
        <f>IF(OR(X5=0,AB5=0)," ",X5+AB5)</f>
        <v xml:space="preserve"> </v>
      </c>
      <c r="AG5" s="86" t="str">
        <f>IF(OR(AF5=0,AF5=" ")," ",_xlfn.RANK.AVG(AF5,AF$5:AF$24,1)-COUNTIF(AF$5:AF$24,0))</f>
        <v xml:space="preserve"> </v>
      </c>
      <c r="AH5" s="86" t="str">
        <f>IF(OR(AF5=0,AF5=" ")," ",IF((RANK(AF5,AF$5:AF$24,1)-COUNTIF(AF$5:AF$24,0)&gt;6)," ",RANK(AF5,AF$5:AF$24,1)-COUNTIF(AF$5:AF$24,0)))</f>
        <v xml:space="preserve"> </v>
      </c>
      <c r="AI5" s="87" t="str">
        <f>IF(Table6220273233[[#This Row],[Non-Member]]="X"," ",IF(AH5=" "," ",IFERROR(VLOOKUP(AG5,Points!$A$2:$B$14,2,FALSE)," ")))</f>
        <v xml:space="preserve"> </v>
      </c>
      <c r="AJ5" s="86">
        <f>IF(Table6220273233[[#This Row],[Non-Member]]="X"," ",((IF(G5=" ",0,G5))+(IF(K5=" ",0,K5))+(IF(O5=" ",0,O5))+(IF(S5=" ",0,S5))+(IF(W5=" ",0,W5))+(IF(AA5=" ",0,AA5))+(IF(AE5=" ",0,AE5))+(IF(AI5=" ",0,AI5))))</f>
        <v>45</v>
      </c>
      <c r="AK5" s="88">
        <f>IF(AJ5=0," ",AJ5)</f>
        <v>45</v>
      </c>
      <c r="AL5" s="89">
        <f>IF(AK5=" "," ",RANK(AK5,$AK$5:$AK$24))</f>
        <v>1</v>
      </c>
    </row>
    <row r="6" spans="2:38" x14ac:dyDescent="0.3">
      <c r="B6" s="90" t="s">
        <v>70</v>
      </c>
      <c r="C6" s="91"/>
      <c r="D6" s="92"/>
      <c r="E6" s="93" t="str">
        <f>IF(D6=0," ",_xlfn.RANK.AVG(D6,D$5:D$24,1)-COUNTIF(D$5:D$24,0))</f>
        <v xml:space="preserve"> </v>
      </c>
      <c r="F6" s="93" t="str">
        <f>IF(D6=0," ",IF((RANK(D6,D$5:D$24,1)-COUNTIF(D$5:D$24,0)&gt;6)," ",RANK(D6,D$5:D$24,1)-COUNTIF(D$5:D$24,0)))</f>
        <v xml:space="preserve"> </v>
      </c>
      <c r="G6" s="94" t="str">
        <f>IF(Table6220273233[[#This Row],[Non-Member]]="X"," ",IF(F6=" "," ",IFERROR(VLOOKUP(E6,Points!$A$2:$B$14,2,FALSE)," ")))</f>
        <v xml:space="preserve"> </v>
      </c>
      <c r="H6" s="92">
        <v>13.55</v>
      </c>
      <c r="I6" s="93">
        <f>IF(H6=0," ",_xlfn.RANK.AVG(H6,H$5:H$24,1)-COUNTIF(H$5:H$24,0))</f>
        <v>1</v>
      </c>
      <c r="J6" s="93">
        <f>IF(H6=0," ",IF((RANK(H6,H$5:H$24,1)-COUNTIF(H$5:H$24,0)&gt;6)," ",RANK(H6,H$5:H$24,1)-COUNTIF(H$5:H$24,0)))</f>
        <v>1</v>
      </c>
      <c r="K6" s="94">
        <f>IF(Table6220273233[[#This Row],[Non-Member]]="X"," ",IF(J6=" "," ",IFERROR(VLOOKUP(I6,Points!$A$2:$B$14,2,FALSE)," ")))</f>
        <v>18</v>
      </c>
      <c r="L6" s="92">
        <v>11.78</v>
      </c>
      <c r="M6" s="93">
        <f>IF(L6=0," ",_xlfn.RANK.AVG(L6,L$5:L$24,1)-COUNTIF(L$5:L$24,0))</f>
        <v>3</v>
      </c>
      <c r="N6" s="93">
        <f>IF(L6=0," ",IF((RANK(L6,L$5:L$24,1)-COUNTIF(L$5:L$24,0)&gt;6)," ",RANK(L6,L$5:L$24,1)-COUNTIF(L$5:L$24,0)))</f>
        <v>3</v>
      </c>
      <c r="O6" s="94">
        <f>IF(Table6220273233[[#This Row],[Non-Member]]="X"," ",IF(N6=" "," ",IFERROR(VLOOKUP(M6,Points!$A$2:$B$14,2,FALSE)," ")))</f>
        <v>12</v>
      </c>
      <c r="P6" s="135">
        <v>12.41</v>
      </c>
      <c r="Q6" s="93">
        <f>IF(P6=0," ",_xlfn.RANK.AVG(P6,P$5:P$24,1)-COUNTIF(P$5:P$24,0))</f>
        <v>6</v>
      </c>
      <c r="R6" s="93">
        <f>IF(P6=0," ",IF((RANK(P6,P$5:P$24,1)-COUNTIF(P$5:P$24,0)&gt;6)," ",RANK(P6,P$5:P$24,1)-COUNTIF(P$5:P$24,0)))</f>
        <v>6</v>
      </c>
      <c r="S6" s="94">
        <f>IF(Table6220273233[[#This Row],[Non-Member]]="X"," ",IF(R6=" "," ",IFERROR(VLOOKUP(Q6,Points!$A$2:$B$14,2,FALSE)," ")))</f>
        <v>3</v>
      </c>
      <c r="T6" s="92"/>
      <c r="U6" s="93" t="str">
        <f>IF(T6=0," ",_xlfn.RANK.AVG(T6,T$5:T$24,1)-COUNTIF(T$5:T$24,0))</f>
        <v xml:space="preserve"> </v>
      </c>
      <c r="V6" s="93" t="str">
        <f>IF(T6=0," ",IF((RANK(T6,T$5:T$24,1)-COUNTIF(T$5:T$24,0)&gt;6)," ",RANK(T6,T$5:T$24,1)-COUNTIF(T$5:T$24,0)))</f>
        <v xml:space="preserve"> </v>
      </c>
      <c r="W6" s="94" t="str">
        <f>IF(Table6220273233[[#This Row],[Non-Member]]="X"," ",IF(V6=" "," ",IFERROR(VLOOKUP(U6,Points!$A$2:$B$14,2,FALSE)," ")))</f>
        <v xml:space="preserve"> </v>
      </c>
      <c r="X6" s="92"/>
      <c r="Y6" s="93" t="str">
        <f>IF(X6=0," ",_xlfn.RANK.AVG(X6,X$5:X$24,1)-COUNTIF(X$5:X$24,0))</f>
        <v xml:space="preserve"> </v>
      </c>
      <c r="Z6" s="93" t="str">
        <f>IF(X6=0," ",IF((RANK(X6,X$5:X$24,1)-COUNTIF(X$5:X$24,0)&gt;6)," ",RANK(X6,X$5:X$24,1)-COUNTIF(X$5:X$24,0)))</f>
        <v xml:space="preserve"> </v>
      </c>
      <c r="AA6" s="94" t="str">
        <f>IF(Table6220273233[[#This Row],[Non-Member]]="X"," ",IF(Z6=" "," ",IFERROR(VLOOKUP(Y6,Points!$A$2:$B$14,2,FALSE)," ")))</f>
        <v xml:space="preserve"> </v>
      </c>
      <c r="AB6" s="92"/>
      <c r="AC6" s="93" t="str">
        <f>IF(AB6=0," ",_xlfn.RANK.AVG(AB6,AB$5:AB$24,1)-COUNTIF(AB$5:AB$24,0))</f>
        <v xml:space="preserve"> </v>
      </c>
      <c r="AD6" s="93" t="str">
        <f>IF(AB6=0," ",IF((RANK(AB6,AB$5:AB$24,1)-COUNTIF(AB$5:AB$24,0)&gt;6)," ",RANK(AB6,AB$5:AB$24,1)-COUNTIF(AB$5:AB$24,0)))</f>
        <v xml:space="preserve"> </v>
      </c>
      <c r="AE6" s="94" t="str">
        <f>IF(Table6220273233[[#This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>IF(OR(AF6=0,AF6=" ")," ",_xlfn.RANK.AVG(AF6,AF$5:AF$24,1)-COUNTIF(AF$5:AF$24,0))</f>
        <v xml:space="preserve"> </v>
      </c>
      <c r="AH6" s="93" t="str">
        <f>IF(OR(AF6=0,AF6=" ")," ",IF((RANK(AF6,AF$5:AF$24,1)-COUNTIF(AF$5:AF$24,0)&gt;6)," ",RANK(AF6,AF$5:AF$24,1)-COUNTIF(AF$5:AF$24,0)))</f>
        <v xml:space="preserve"> </v>
      </c>
      <c r="AI6" s="94" t="str">
        <f>IF(Table6220273233[[#This Row],[Non-Member]]="X"," ",IF(AH6=" "," ",IFERROR(VLOOKUP(AG6,Points!$A$2:$B$14,2,FALSE)," ")))</f>
        <v xml:space="preserve"> </v>
      </c>
      <c r="AJ6" s="93">
        <f>IF(Table6220273233[[#This Row],[Non-Member]]="X"," ",((IF(G6=" ",0,G6))+(IF(K6=" ",0,K6))+(IF(O6=" ",0,O6))+(IF(S6=" ",0,S6))+(IF(W6=" ",0,W6))+(IF(AA6=" ",0,AA6))+(IF(AE6=" ",0,AE6))+(IF(AI6=" ",0,AI6))))</f>
        <v>33</v>
      </c>
      <c r="AK6" s="95">
        <f>IF(AJ6=0," ",AJ6)</f>
        <v>33</v>
      </c>
      <c r="AL6" s="96">
        <f>IF(AK6=" "," ",RANK(AK6,$AK$5:$AK$24))</f>
        <v>2</v>
      </c>
    </row>
    <row r="7" spans="2:38" x14ac:dyDescent="0.3">
      <c r="B7" s="90" t="s">
        <v>278</v>
      </c>
      <c r="C7" s="91"/>
      <c r="D7" s="92"/>
      <c r="E7" s="93" t="str">
        <f>IF(D7=0," ",_xlfn.RANK.AVG(D7,D$5:D$24,1)-COUNTIF(D$5:D$24,0))</f>
        <v xml:space="preserve"> </v>
      </c>
      <c r="F7" s="93" t="str">
        <f>IF(D7=0," ",IF((RANK(D7,D$5:D$24,1)-COUNTIF(D$5:D$24,0)&gt;6)," ",RANK(D7,D$5:D$24,1)-COUNTIF(D$5:D$24,0)))</f>
        <v xml:space="preserve"> </v>
      </c>
      <c r="G7" s="94" t="str">
        <f>IF(Table6220273233[[#This Row],[Non-Member]]="X"," ",IF(F7=" "," ",IFERROR(VLOOKUP(E7,Points!$A$2:$B$14,2,FALSE)," ")))</f>
        <v xml:space="preserve"> </v>
      </c>
      <c r="H7" s="92">
        <v>13.62</v>
      </c>
      <c r="I7" s="93">
        <f>IF(H7=0," ",_xlfn.RANK.AVG(H7,H$5:H$24,1)-COUNTIF(H$5:H$24,0))</f>
        <v>2</v>
      </c>
      <c r="J7" s="93">
        <f>IF(H7=0," ",IF((RANK(H7,H$5:H$24,1)-COUNTIF(H$5:H$24,0)&gt;6)," ",RANK(H7,H$5:H$24,1)-COUNTIF(H$5:H$24,0)))</f>
        <v>2</v>
      </c>
      <c r="K7" s="94">
        <f>IF(Table6220273233[[#This Row],[Non-Member]]="X"," ",IF(J7=" "," ",IFERROR(VLOOKUP(I7,Points!$A$2:$B$14,2,FALSE)," ")))</f>
        <v>15</v>
      </c>
      <c r="L7" s="92">
        <v>13.28</v>
      </c>
      <c r="M7" s="93">
        <f>IF(L7=0," ",_xlfn.RANK.AVG(L7,L$5:L$24,1)-COUNTIF(L$5:L$24,0))</f>
        <v>5</v>
      </c>
      <c r="N7" s="93">
        <f>IF(L7=0," ",IF((RANK(L7,L$5:L$24,1)-COUNTIF(L$5:L$24,0)&gt;6)," ",RANK(L7,L$5:L$24,1)-COUNTIF(L$5:L$24,0)))</f>
        <v>5</v>
      </c>
      <c r="O7" s="94">
        <f>IF(Table6220273233[[#This Row],[Non-Member]]="X"," ",IF(N7=" "," ",IFERROR(VLOOKUP(M7,Points!$A$2:$B$14,2,FALSE)," ")))</f>
        <v>6</v>
      </c>
      <c r="P7" s="135">
        <v>12.58</v>
      </c>
      <c r="Q7" s="93">
        <f>IF(P7=0," ",_xlfn.RANK.AVG(P7,P$5:P$24,1)-COUNTIF(P$5:P$24,0))</f>
        <v>7</v>
      </c>
      <c r="R7" s="93" t="str">
        <f>IF(P7=0," ",IF((RANK(P7,P$5:P$24,1)-COUNTIF(P$5:P$24,0)&gt;6)," ",RANK(P7,P$5:P$24,1)-COUNTIF(P$5:P$24,0)))</f>
        <v xml:space="preserve"> </v>
      </c>
      <c r="S7" s="94" t="str">
        <f>IF(Table6220273233[[#This Row],[Non-Member]]="X"," ",IF(R7=" "," ",IFERROR(VLOOKUP(Q7,Points!$A$2:$B$14,2,FALSE)," ")))</f>
        <v xml:space="preserve"> </v>
      </c>
      <c r="T7" s="92"/>
      <c r="U7" s="93" t="str">
        <f>IF(T7=0," ",_xlfn.RANK.AVG(T7,T$5:T$24,1)-COUNTIF(T$5:T$24,0))</f>
        <v xml:space="preserve"> </v>
      </c>
      <c r="V7" s="93" t="str">
        <f>IF(T7=0," ",IF((RANK(T7,T$5:T$24,1)-COUNTIF(T$5:T$24,0)&gt;6)," ",RANK(T7,T$5:T$24,1)-COUNTIF(T$5:T$24,0)))</f>
        <v xml:space="preserve"> </v>
      </c>
      <c r="W7" s="94" t="str">
        <f>IF(Table6220273233[[#This Row],[Non-Member]]="X"," ",IF(V7=" "," ",IFERROR(VLOOKUP(U7,Points!$A$2:$B$14,2,FALSE)," ")))</f>
        <v xml:space="preserve"> </v>
      </c>
      <c r="X7" s="92"/>
      <c r="Y7" s="93" t="str">
        <f>IF(X7=0," ",_xlfn.RANK.AVG(X7,X$5:X$24,1)-COUNTIF(X$5:X$24,0))</f>
        <v xml:space="preserve"> </v>
      </c>
      <c r="Z7" s="93" t="str">
        <f>IF(X7=0," ",IF((RANK(X7,X$5:X$24,1)-COUNTIF(X$5:X$24,0)&gt;6)," ",RANK(X7,X$5:X$24,1)-COUNTIF(X$5:X$24,0)))</f>
        <v xml:space="preserve"> </v>
      </c>
      <c r="AA7" s="94" t="str">
        <f>IF(Table6220273233[[#This Row],[Non-Member]]="X"," ",IF(Z7=" "," ",IFERROR(VLOOKUP(Y7,Points!$A$2:$B$14,2,FALSE)," ")))</f>
        <v xml:space="preserve"> </v>
      </c>
      <c r="AB7" s="92"/>
      <c r="AC7" s="93" t="str">
        <f>IF(AB7=0," ",_xlfn.RANK.AVG(AB7,AB$5:AB$24,1)-COUNTIF(AB$5:AB$24,0))</f>
        <v xml:space="preserve"> </v>
      </c>
      <c r="AD7" s="93" t="str">
        <f>IF(AB7=0," ",IF((RANK(AB7,AB$5:AB$24,1)-COUNTIF(AB$5:AB$24,0)&gt;6)," ",RANK(AB7,AB$5:AB$24,1)-COUNTIF(AB$5:AB$24,0)))</f>
        <v xml:space="preserve"> </v>
      </c>
      <c r="AE7" s="94" t="str">
        <f>IF(Table6220273233[[#This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IF(Table6220273233[[#This Row],[Non-Member]]="X"," ",IF(AH7=" "," ",IFERROR(VLOOKUP(AG7,Points!$A$2:$B$14,2,FALSE)," ")))</f>
        <v xml:space="preserve"> </v>
      </c>
      <c r="AJ7" s="93">
        <f>IF(Table6220273233[[#This Row],[Non-Member]]="X"," ",((IF(G7=" ",0,G7))+(IF(K7=" ",0,K7))+(IF(O7=" ",0,O7))+(IF(S7=" ",0,S7))+(IF(W7=" ",0,W7))+(IF(AA7=" ",0,AA7))+(IF(AE7=" ",0,AE7))+(IF(AI7=" ",0,AI7))))</f>
        <v>21</v>
      </c>
      <c r="AK7" s="95">
        <f>IF(AJ7=0," ",AJ7)</f>
        <v>21</v>
      </c>
      <c r="AL7" s="96">
        <f>IF(AK7=" "," ",RANK(AK7,$AK$5:$AK$24))</f>
        <v>3</v>
      </c>
    </row>
    <row r="8" spans="2:38" x14ac:dyDescent="0.3">
      <c r="B8" s="90" t="s">
        <v>187</v>
      </c>
      <c r="C8" s="91"/>
      <c r="D8" s="92"/>
      <c r="E8" s="93" t="str">
        <f>IF(D8=0," ",_xlfn.RANK.AVG(D8,D$5:D$24,1)-COUNTIF(D$5:D$24,0))</f>
        <v xml:space="preserve"> </v>
      </c>
      <c r="F8" s="93" t="str">
        <f>IF(D8=0," ",IF((RANK(D8,D$5:D$24,1)-COUNTIF(D$5:D$24,0)&gt;6)," ",RANK(D8,D$5:D$24,1)-COUNTIF(D$5:D$24,0)))</f>
        <v xml:space="preserve"> </v>
      </c>
      <c r="G8" s="94" t="str">
        <f>IF(Table6220273233[[#This Row],[Non-Member]]="X"," ",IF(F8=" "," ",IFERROR(VLOOKUP(E8,Points!$A$2:$B$14,2,FALSE)," ")))</f>
        <v xml:space="preserve"> </v>
      </c>
      <c r="H8" s="92">
        <v>14.5</v>
      </c>
      <c r="I8" s="93">
        <f>IF(H8=0," ",_xlfn.RANK.AVG(H8,H$5:H$24,1)-COUNTIF(H$5:H$24,0))</f>
        <v>7</v>
      </c>
      <c r="J8" s="93" t="str">
        <f>IF(H8=0," ",IF((RANK(H8,H$5:H$24,1)-COUNTIF(H$5:H$24,0)&gt;6)," ",RANK(H8,H$5:H$24,1)-COUNTIF(H$5:H$24,0)))</f>
        <v xml:space="preserve"> </v>
      </c>
      <c r="K8" s="94" t="str">
        <f>IF(Table6220273233[[#This Row],[Non-Member]]="X"," ",IF(J8=" "," ",IFERROR(VLOOKUP(I8,Points!$A$2:$B$14,2,FALSE)," ")))</f>
        <v xml:space="preserve"> </v>
      </c>
      <c r="L8" s="92">
        <v>11.03</v>
      </c>
      <c r="M8" s="93">
        <f>IF(L8=0," ",_xlfn.RANK.AVG(L8,L$5:L$24,1)-COUNTIF(L$5:L$24,0))</f>
        <v>2</v>
      </c>
      <c r="N8" s="93">
        <f>IF(L8=0," ",IF((RANK(L8,L$5:L$24,1)-COUNTIF(L$5:L$24,0)&gt;6)," ",RANK(L8,L$5:L$24,1)-COUNTIF(L$5:L$24,0)))</f>
        <v>2</v>
      </c>
      <c r="O8" s="94">
        <f>IF(Table6220273233[[#This Row],[Non-Member]]="X"," ",IF(N8=" "," ",IFERROR(VLOOKUP(M8,Points!$A$2:$B$14,2,FALSE)," ")))</f>
        <v>15</v>
      </c>
      <c r="P8" s="135">
        <v>13</v>
      </c>
      <c r="Q8" s="93">
        <f>IF(P8=0," ",_xlfn.RANK.AVG(P8,P$5:P$24,1)-COUNTIF(P$5:P$24,0))</f>
        <v>9</v>
      </c>
      <c r="R8" s="93" t="str">
        <f>IF(P8=0," ",IF((RANK(P8,P$5:P$24,1)-COUNTIF(P$5:P$24,0)&gt;6)," ",RANK(P8,P$5:P$24,1)-COUNTIF(P$5:P$24,0)))</f>
        <v xml:space="preserve"> </v>
      </c>
      <c r="S8" s="94" t="str">
        <f>IF(Table6220273233[[#This Row],[Non-Member]]="X"," ",IF(R8=" "," ",IFERROR(VLOOKUP(Q8,Points!$A$2:$B$14,2,FALSE)," ")))</f>
        <v xml:space="preserve"> </v>
      </c>
      <c r="T8" s="92"/>
      <c r="U8" s="93" t="str">
        <f>IF(T8=0," ",_xlfn.RANK.AVG(T8,T$5:T$24,1)-COUNTIF(T$5:T$24,0))</f>
        <v xml:space="preserve"> </v>
      </c>
      <c r="V8" s="93" t="str">
        <f>IF(T8=0," ",IF((RANK(T8,T$5:T$24,1)-COUNTIF(T$5:T$24,0)&gt;6)," ",RANK(T8,T$5:T$24,1)-COUNTIF(T$5:T$24,0)))</f>
        <v xml:space="preserve"> </v>
      </c>
      <c r="W8" s="94" t="str">
        <f>IF(Table6220273233[[#This Row],[Non-Member]]="X"," ",IF(V8=" "," ",IFERROR(VLOOKUP(U8,Points!$A$2:$B$14,2,FALSE)," ")))</f>
        <v xml:space="preserve"> </v>
      </c>
      <c r="X8" s="92"/>
      <c r="Y8" s="93" t="str">
        <f>IF(X8=0," ",_xlfn.RANK.AVG(X8,X$5:X$24,1)-COUNTIF(X$5:X$24,0))</f>
        <v xml:space="preserve"> </v>
      </c>
      <c r="Z8" s="93" t="str">
        <f>IF(X8=0," ",IF((RANK(X8,X$5:X$24,1)-COUNTIF(X$5:X$24,0)&gt;6)," ",RANK(X8,X$5:X$24,1)-COUNTIF(X$5:X$24,0)))</f>
        <v xml:space="preserve"> </v>
      </c>
      <c r="AA8" s="94" t="str">
        <f>IF(Table6220273233[[#This Row],[Non-Member]]="X"," ",IF(Z8=" "," ",IFERROR(VLOOKUP(Y8,Points!$A$2:$B$14,2,FALSE)," ")))</f>
        <v xml:space="preserve"> </v>
      </c>
      <c r="AB8" s="92"/>
      <c r="AC8" s="93" t="str">
        <f>IF(AB8=0," ",_xlfn.RANK.AVG(AB8,AB$5:AB$24,1)-COUNTIF(AB$5:AB$24,0))</f>
        <v xml:space="preserve"> </v>
      </c>
      <c r="AD8" s="93" t="str">
        <f>IF(AB8=0," ",IF((RANK(AB8,AB$5:AB$24,1)-COUNTIF(AB$5:AB$24,0)&gt;6)," ",RANK(AB8,AB$5:AB$24,1)-COUNTIF(AB$5:AB$24,0)))</f>
        <v xml:space="preserve"> </v>
      </c>
      <c r="AE8" s="94" t="str">
        <f>IF(Table6220273233[[#This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IF(Table6220273233[[#This Row],[Non-Member]]="X"," ",IF(AH8=" "," ",IFERROR(VLOOKUP(AG8,Points!$A$2:$B$14,2,FALSE)," ")))</f>
        <v xml:space="preserve"> </v>
      </c>
      <c r="AJ8" s="93">
        <f>IF(Table6220273233[[#This Row],[Non-Member]]="X"," ",((IF(G8=" ",0,G8))+(IF(K8=" ",0,K8))+(IF(O8=" ",0,O8))+(IF(S8=" ",0,S8))+(IF(W8=" ",0,W8))+(IF(AA8=" ",0,AA8))+(IF(AE8=" ",0,AE8))+(IF(AI8=" ",0,AI8))))</f>
        <v>15</v>
      </c>
      <c r="AK8" s="95">
        <f>IF(AJ8=0," ",AJ8)</f>
        <v>15</v>
      </c>
      <c r="AL8" s="96">
        <f>IF(AK8=" "," ",RANK(AK8,$AK$5:$AK$24))</f>
        <v>4</v>
      </c>
    </row>
    <row r="9" spans="2:38" x14ac:dyDescent="0.3">
      <c r="B9" s="90" t="s">
        <v>323</v>
      </c>
      <c r="C9" s="91"/>
      <c r="D9" s="92"/>
      <c r="E9" s="93" t="str">
        <f>IF(D9=0," ",_xlfn.RANK.AVG(D9,D$5:D$24,1)-COUNTIF(D$5:D$24,0))</f>
        <v xml:space="preserve"> </v>
      </c>
      <c r="F9" s="93" t="str">
        <f>IF(D9=0," ",IF((RANK(D9,D$5:D$24,1)-COUNTIF(D$5:D$24,0)&gt;6)," ",RANK(D9,D$5:D$24,1)-COUNTIF(D$5:D$24,0)))</f>
        <v xml:space="preserve"> </v>
      </c>
      <c r="G9" s="94" t="str">
        <f>IF(Table6220273233[[#This Row],[Non-Member]]="X"," ",IF(F9=" "," ",IFERROR(VLOOKUP(E9,Points!$A$2:$B$14,2,FALSE)," ")))</f>
        <v xml:space="preserve"> </v>
      </c>
      <c r="H9" s="92"/>
      <c r="I9" s="93" t="str">
        <f>IF(H9=0," ",_xlfn.RANK.AVG(H9,H$5:H$24,1)-COUNTIF(H$5:H$24,0))</f>
        <v xml:space="preserve"> </v>
      </c>
      <c r="J9" s="93" t="str">
        <f>IF(H9=0," ",IF((RANK(H9,H$5:H$24,1)-COUNTIF(H$5:H$24,0)&gt;6)," ",RANK(H9,H$5:H$24,1)-COUNTIF(H$5:H$24,0)))</f>
        <v xml:space="preserve"> </v>
      </c>
      <c r="K9" s="94" t="str">
        <f>IF(Table6220273233[[#This Row],[Non-Member]]="X"," ",IF(J9=" "," ",IFERROR(VLOOKUP(I9,Points!$A$2:$B$14,2,FALSE)," ")))</f>
        <v xml:space="preserve"> </v>
      </c>
      <c r="L9" s="92">
        <v>14.24</v>
      </c>
      <c r="M9" s="93">
        <f>IF(L9=0," ",_xlfn.RANK.AVG(L9,L$5:L$24,1)-COUNTIF(L$5:L$24,0))</f>
        <v>9</v>
      </c>
      <c r="N9" s="93" t="str">
        <f>IF(L9=0," ",IF((RANK(L9,L$5:L$24,1)-COUNTIF(L$5:L$24,0)&gt;6)," ",RANK(L9,L$5:L$24,1)-COUNTIF(L$5:L$24,0)))</f>
        <v xml:space="preserve"> </v>
      </c>
      <c r="O9" s="94" t="str">
        <f>IF(Table6220273233[[#This Row],[Non-Member]]="X"," ",IF(N9=" "," ",IFERROR(VLOOKUP(M9,Points!$A$2:$B$14,2,FALSE)," ")))</f>
        <v xml:space="preserve"> </v>
      </c>
      <c r="P9" s="92">
        <v>10.68</v>
      </c>
      <c r="Q9" s="93">
        <f>IF(P9=0," ",_xlfn.RANK.AVG(P9,P$5:P$24,1)-COUNTIF(P$5:P$24,0))</f>
        <v>3</v>
      </c>
      <c r="R9" s="93">
        <f>IF(P9=0," ",IF((RANK(P9,P$5:P$24,1)-COUNTIF(P$5:P$24,0)&gt;6)," ",RANK(P9,P$5:P$24,1)-COUNTIF(P$5:P$24,0)))</f>
        <v>3</v>
      </c>
      <c r="S9" s="94">
        <f>IF(Table6220273233[[#This Row],[Non-Member]]="X"," ",IF(R9=" "," ",IFERROR(VLOOKUP(Q9,Points!$A$2:$B$14,2,FALSE)," ")))</f>
        <v>12</v>
      </c>
      <c r="T9" s="92"/>
      <c r="U9" s="93" t="str">
        <f>IF(T9=0," ",_xlfn.RANK.AVG(T9,T$5:T$24,1)-COUNTIF(T$5:T$24,0))</f>
        <v xml:space="preserve"> </v>
      </c>
      <c r="V9" s="93" t="str">
        <f>IF(T9=0," ",IF((RANK(T9,T$5:T$24,1)-COUNTIF(T$5:T$24,0)&gt;6)," ",RANK(T9,T$5:T$24,1)-COUNTIF(T$5:T$24,0)))</f>
        <v xml:space="preserve"> </v>
      </c>
      <c r="W9" s="94" t="str">
        <f>IF(Table6220273233[[#This Row],[Non-Member]]="X"," ",IF(V9=" "," ",IFERROR(VLOOKUP(U9,Points!$A$2:$B$14,2,FALSE)," ")))</f>
        <v xml:space="preserve"> </v>
      </c>
      <c r="X9" s="92"/>
      <c r="Y9" s="93" t="str">
        <f>IF(X9=0," ",_xlfn.RANK.AVG(X9,X$5:X$24,1)-COUNTIF(X$5:X$24,0))</f>
        <v xml:space="preserve"> </v>
      </c>
      <c r="Z9" s="93" t="str">
        <f>IF(X9=0," ",IF((RANK(X9,X$5:X$24,1)-COUNTIF(X$5:X$24,0)&gt;6)," ",RANK(X9,X$5:X$24,1)-COUNTIF(X$5:X$24,0)))</f>
        <v xml:space="preserve"> </v>
      </c>
      <c r="AA9" s="94" t="str">
        <f>IF(Table6220273233[[#This Row],[Non-Member]]="X"," ",IF(Z9=" "," ",IFERROR(VLOOKUP(Y9,Points!$A$2:$B$14,2,FALSE)," ")))</f>
        <v xml:space="preserve"> </v>
      </c>
      <c r="AB9" s="92"/>
      <c r="AC9" s="93" t="str">
        <f>IF(AB9=0," ",_xlfn.RANK.AVG(AB9,AB$5:AB$24,1)-COUNTIF(AB$5:AB$24,0))</f>
        <v xml:space="preserve"> </v>
      </c>
      <c r="AD9" s="93" t="str">
        <f>IF(AB9=0," ",IF((RANK(AB9,AB$5:AB$24,1)-COUNTIF(AB$5:AB$24,0)&gt;6)," ",RANK(AB9,AB$5:AB$24,1)-COUNTIF(AB$5:AB$24,0)))</f>
        <v xml:space="preserve"> </v>
      </c>
      <c r="AE9" s="94" t="str">
        <f>IF(Table6220273233[[#This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>IF(OR(AF9=0,AF9=" ")," ",_xlfn.RANK.AVG(AF9,AF$5:AF$24,1)-COUNTIF(AF$5:AF$24,0))</f>
        <v xml:space="preserve"> 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IF(Table6220273233[[#This Row],[Non-Member]]="X"," ",IF(AH9=" "," ",IFERROR(VLOOKUP(AG9,Points!$A$2:$B$14,2,FALSE)," ")))</f>
        <v xml:space="preserve"> </v>
      </c>
      <c r="AJ9" s="93">
        <f>IF(Table6220273233[[#This Row],[Non-Member]]="X"," ",((IF(G9=" ",0,G9))+(IF(K9=" ",0,K9))+(IF(O9=" ",0,O9))+(IF(S9=" ",0,S9))+(IF(W9=" ",0,W9))+(IF(AA9=" ",0,AA9))+(IF(AE9=" ",0,AE9))+(IF(AI9=" ",0,AI9))))</f>
        <v>12</v>
      </c>
      <c r="AK9" s="95">
        <f>IF(AJ9=0," ",AJ9)</f>
        <v>12</v>
      </c>
      <c r="AL9" s="96">
        <f>IF(AK9=" "," ",RANK(AK9,$AK$5:$AK$24))</f>
        <v>5</v>
      </c>
    </row>
    <row r="10" spans="2:38" x14ac:dyDescent="0.3">
      <c r="B10" s="90" t="s">
        <v>72</v>
      </c>
      <c r="C10" s="91"/>
      <c r="D10" s="92"/>
      <c r="E10" s="93" t="str">
        <f>IF(D10=0," ",_xlfn.RANK.AVG(D10,D$5:D$24,1)-COUNTIF(D$5:D$24,0))</f>
        <v xml:space="preserve"> </v>
      </c>
      <c r="F10" s="93" t="str">
        <f>IF(D10=0," ",IF((RANK(D10,D$5:D$24,1)-COUNTIF(D$5:D$24,0)&gt;6)," ",RANK(D10,D$5:D$24,1)-COUNTIF(D$5:D$24,0)))</f>
        <v xml:space="preserve"> </v>
      </c>
      <c r="G10" s="94" t="str">
        <f>IF(Table6220273233[[#This Row],[Non-Member]]="X"," ",IF(F10=" "," ",IFERROR(VLOOKUP(E10,Points!$A$2:$B$14,2,FALSE)," ")))</f>
        <v xml:space="preserve"> </v>
      </c>
      <c r="H10" s="92">
        <v>14.46</v>
      </c>
      <c r="I10" s="93">
        <f>IF(H10=0," ",_xlfn.RANK.AVG(H10,H$5:H$24,1)-COUNTIF(H$5:H$24,0))</f>
        <v>6</v>
      </c>
      <c r="J10" s="93">
        <f>IF(H10=0," ",IF((RANK(H10,H$5:H$24,1)-COUNTIF(H$5:H$24,0)&gt;6)," ",RANK(H10,H$5:H$24,1)-COUNTIF(H$5:H$24,0)))</f>
        <v>6</v>
      </c>
      <c r="K10" s="94">
        <f>IF(Table6220273233[[#This Row],[Non-Member]]="X"," ",IF(J10=" "," ",IFERROR(VLOOKUP(I10,Points!$A$2:$B$14,2,FALSE)," ")))</f>
        <v>3</v>
      </c>
      <c r="L10" s="92">
        <v>12.28</v>
      </c>
      <c r="M10" s="93">
        <f>IF(L10=0," ",_xlfn.RANK.AVG(L10,L$5:L$24,1)-COUNTIF(L$5:L$24,0))</f>
        <v>4</v>
      </c>
      <c r="N10" s="93">
        <f>IF(L10=0," ",IF((RANK(L10,L$5:L$24,1)-COUNTIF(L$5:L$24,0)&gt;6)," ",RANK(L10,L$5:L$24,1)-COUNTIF(L$5:L$24,0)))</f>
        <v>4</v>
      </c>
      <c r="O10" s="94">
        <f>IF(Table6220273233[[#This Row],[Non-Member]]="X"," ",IF(N10=" "," ",IFERROR(VLOOKUP(M10,Points!$A$2:$B$14,2,FALSE)," ")))</f>
        <v>9</v>
      </c>
      <c r="P10" s="135">
        <v>13.69</v>
      </c>
      <c r="Q10" s="93">
        <f>IF(P10=0," ",_xlfn.RANK.AVG(P10,P$5:P$24,1)-COUNTIF(P$5:P$24,0))</f>
        <v>11</v>
      </c>
      <c r="R10" s="93" t="str">
        <f>IF(P10=0," ",IF((RANK(P10,P$5:P$24,1)-COUNTIF(P$5:P$24,0)&gt;6)," ",RANK(P10,P$5:P$24,1)-COUNTIF(P$5:P$24,0)))</f>
        <v xml:space="preserve"> </v>
      </c>
      <c r="S10" s="94" t="str">
        <f>IF(Table6220273233[[#This Row],[Non-Member]]="X"," ",IF(R10=" "," ",IFERROR(VLOOKUP(Q10,Points!$A$2:$B$14,2,FALSE)," ")))</f>
        <v xml:space="preserve"> </v>
      </c>
      <c r="T10" s="92"/>
      <c r="U10" s="93" t="str">
        <f>IF(T10=0," ",_xlfn.RANK.AVG(T10,T$5:T$24,1)-COUNTIF(T$5:T$24,0))</f>
        <v xml:space="preserve"> </v>
      </c>
      <c r="V10" s="93" t="str">
        <f>IF(T10=0," ",IF((RANK(T10,T$5:T$24,1)-COUNTIF(T$5:T$24,0)&gt;6)," ",RANK(T10,T$5:T$24,1)-COUNTIF(T$5:T$24,0)))</f>
        <v xml:space="preserve"> </v>
      </c>
      <c r="W10" s="94" t="str">
        <f>IF(Table6220273233[[#This Row],[Non-Member]]="X"," ",IF(V10=" "," ",IFERROR(VLOOKUP(U10,Points!$A$2:$B$14,2,FALSE)," ")))</f>
        <v xml:space="preserve"> </v>
      </c>
      <c r="X10" s="92"/>
      <c r="Y10" s="93" t="str">
        <f>IF(X10=0," ",_xlfn.RANK.AVG(X10,X$5:X$24,1)-COUNTIF(X$5:X$24,0))</f>
        <v xml:space="preserve"> </v>
      </c>
      <c r="Z10" s="93" t="str">
        <f>IF(X10=0," ",IF((RANK(X10,X$5:X$24,1)-COUNTIF(X$5:X$24,0)&gt;6)," ",RANK(X10,X$5:X$24,1)-COUNTIF(X$5:X$24,0)))</f>
        <v xml:space="preserve"> </v>
      </c>
      <c r="AA10" s="94" t="str">
        <f>IF(Table6220273233[[#This Row],[Non-Member]]="X"," ",IF(Z10=" "," ",IFERROR(VLOOKUP(Y10,Points!$A$2:$B$14,2,FALSE)," ")))</f>
        <v xml:space="preserve"> </v>
      </c>
      <c r="AB10" s="92"/>
      <c r="AC10" s="93" t="str">
        <f>IF(AB10=0," ",_xlfn.RANK.AVG(AB10,AB$5:AB$24,1)-COUNTIF(AB$5:AB$24,0))</f>
        <v xml:space="preserve"> </v>
      </c>
      <c r="AD10" s="93" t="str">
        <f>IF(AB10=0," ",IF((RANK(AB10,AB$5:AB$24,1)-COUNTIF(AB$5:AB$24,0)&gt;6)," ",RANK(AB10,AB$5:AB$24,1)-COUNTIF(AB$5:AB$24,0)))</f>
        <v xml:space="preserve"> </v>
      </c>
      <c r="AE10" s="94" t="str">
        <f>IF(Table6220273233[[#This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IF(Table6220273233[[#This Row],[Non-Member]]="X"," ",IF(AH10=" "," ",IFERROR(VLOOKUP(AG10,Points!$A$2:$B$14,2,FALSE)," ")))</f>
        <v xml:space="preserve"> </v>
      </c>
      <c r="AJ10" s="93">
        <f>IF(Table6220273233[[#This Row],[Non-Member]]="X"," ",((IF(G10=" ",0,G10))+(IF(K10=" ",0,K10))+(IF(O10=" ",0,O10))+(IF(S10=" ",0,S10))+(IF(W10=" ",0,W10))+(IF(AA10=" ",0,AA10))+(IF(AE10=" ",0,AE10))+(IF(AI10=" ",0,AI10))))</f>
        <v>12</v>
      </c>
      <c r="AK10" s="95">
        <f>IF(AJ10=0," ",AJ10)</f>
        <v>12</v>
      </c>
      <c r="AL10" s="96">
        <f>IF(AK10=" "," ",RANK(AK10,$AK$5:$AK$24))</f>
        <v>5</v>
      </c>
    </row>
    <row r="11" spans="2:38" x14ac:dyDescent="0.3">
      <c r="B11" s="90" t="s">
        <v>274</v>
      </c>
      <c r="C11" s="91"/>
      <c r="D11" s="92"/>
      <c r="E11" s="93" t="str">
        <f>IF(D11=0," ",_xlfn.RANK.AVG(D11,D$5:D$24,1)-COUNTIF(D$5:D$24,0))</f>
        <v xml:space="preserve"> </v>
      </c>
      <c r="F11" s="93" t="str">
        <f>IF(D11=0," ",IF((RANK(D11,D$5:D$24,1)-COUNTIF(D$5:D$24,0)&gt;6)," ",RANK(D11,D$5:D$24,1)-COUNTIF(D$5:D$24,0)))</f>
        <v xml:space="preserve"> </v>
      </c>
      <c r="G11" s="94" t="str">
        <f>IF(Table6220273233[[#This Row],[Non-Member]]="X"," ",IF(F11=" "," ",IFERROR(VLOOKUP(E11,Points!$A$2:$B$14,2,FALSE)," ")))</f>
        <v xml:space="preserve"> </v>
      </c>
      <c r="H11" s="92">
        <v>13.79</v>
      </c>
      <c r="I11" s="93">
        <f>IF(H11=0," ",_xlfn.RANK.AVG(H11,H$5:H$24,1)-COUNTIF(H$5:H$24,0))</f>
        <v>4</v>
      </c>
      <c r="J11" s="93">
        <f>IF(H11=0," ",IF((RANK(H11,H$5:H$24,1)-COUNTIF(H$5:H$24,0)&gt;6)," ",RANK(H11,H$5:H$24,1)-COUNTIF(H$5:H$24,0)))</f>
        <v>4</v>
      </c>
      <c r="K11" s="94">
        <f>IF(Table6220273233[[#This Row],[Non-Member]]="X"," ",IF(J11=" "," ",IFERROR(VLOOKUP(I11,Points!$A$2:$B$14,2,FALSE)," ")))</f>
        <v>9</v>
      </c>
      <c r="L11" s="92">
        <v>14.15</v>
      </c>
      <c r="M11" s="93">
        <f>IF(L11=0," ",_xlfn.RANK.AVG(L11,L$5:L$24,1)-COUNTIF(L$5:L$24,0))</f>
        <v>8</v>
      </c>
      <c r="N11" s="93" t="str">
        <f>IF(L11=0," ",IF((RANK(L11,L$5:L$24,1)-COUNTIF(L$5:L$24,0)&gt;6)," ",RANK(L11,L$5:L$24,1)-COUNTIF(L$5:L$24,0)))</f>
        <v xml:space="preserve"> </v>
      </c>
      <c r="O11" s="94" t="str">
        <f>IF(Table6220273233[[#This Row],[Non-Member]]="X"," ",IF(N11=" "," ",IFERROR(VLOOKUP(M11,Points!$A$2:$B$14,2,FALSE)," ")))</f>
        <v xml:space="preserve"> </v>
      </c>
      <c r="P11" s="135">
        <v>15.2</v>
      </c>
      <c r="Q11" s="93">
        <f>IF(P11=0," ",_xlfn.RANK.AVG(P11,P$5:P$24,1)-COUNTIF(P$5:P$24,0))</f>
        <v>15</v>
      </c>
      <c r="R11" s="93" t="str">
        <f>IF(P11=0," ",IF((RANK(P11,P$5:P$24,1)-COUNTIF(P$5:P$24,0)&gt;6)," ",RANK(P11,P$5:P$24,1)-COUNTIF(P$5:P$24,0)))</f>
        <v xml:space="preserve"> </v>
      </c>
      <c r="S11" s="94" t="str">
        <f>IF(Table6220273233[[#This Row],[Non-Member]]="X"," ",IF(R11=" "," ",IFERROR(VLOOKUP(Q11,Points!$A$2:$B$14,2,FALSE)," ")))</f>
        <v xml:space="preserve"> </v>
      </c>
      <c r="T11" s="92"/>
      <c r="U11" s="93" t="str">
        <f>IF(T11=0," ",_xlfn.RANK.AVG(T11,T$5:T$24,1)-COUNTIF(T$5:T$24,0))</f>
        <v xml:space="preserve"> </v>
      </c>
      <c r="V11" s="93" t="str">
        <f>IF(T11=0," ",IF((RANK(T11,T$5:T$24,1)-COUNTIF(T$5:T$24,0)&gt;6)," ",RANK(T11,T$5:T$24,1)-COUNTIF(T$5:T$24,0)))</f>
        <v xml:space="preserve"> </v>
      </c>
      <c r="W11" s="94" t="str">
        <f>IF(Table6220273233[[#This Row],[Non-Member]]="X"," ",IF(V11=" "," ",IFERROR(VLOOKUP(U11,Points!$A$2:$B$14,2,FALSE)," ")))</f>
        <v xml:space="preserve"> </v>
      </c>
      <c r="X11" s="92"/>
      <c r="Y11" s="93" t="str">
        <f>IF(X11=0," ",_xlfn.RANK.AVG(X11,X$5:X$24,1)-COUNTIF(X$5:X$24,0))</f>
        <v xml:space="preserve"> </v>
      </c>
      <c r="Z11" s="93" t="str">
        <f>IF(X11=0," ",IF((RANK(X11,X$5:X$24,1)-COUNTIF(X$5:X$24,0)&gt;6)," ",RANK(X11,X$5:X$24,1)-COUNTIF(X$5:X$24,0)))</f>
        <v xml:space="preserve"> </v>
      </c>
      <c r="AA11" s="94" t="str">
        <f>IF(Table6220273233[[#This Row],[Non-Member]]="X"," ",IF(Z11=" "," ",IFERROR(VLOOKUP(Y11,Points!$A$2:$B$14,2,FALSE)," ")))</f>
        <v xml:space="preserve"> </v>
      </c>
      <c r="AB11" s="92"/>
      <c r="AC11" s="93" t="str">
        <f>IF(AB11=0," ",_xlfn.RANK.AVG(AB11,AB$5:AB$24,1)-COUNTIF(AB$5:AB$24,0))</f>
        <v xml:space="preserve"> </v>
      </c>
      <c r="AD11" s="93" t="str">
        <f>IF(AB11=0," ",IF((RANK(AB11,AB$5:AB$24,1)-COUNTIF(AB$5:AB$24,0)&gt;6)," ",RANK(AB11,AB$5:AB$24,1)-COUNTIF(AB$5:AB$24,0)))</f>
        <v xml:space="preserve"> </v>
      </c>
      <c r="AE11" s="94" t="str">
        <f>IF(Table6220273233[[#This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>IF(OR(AF11=0,AF11=" ")," ",_xlfn.RANK.AVG(AF11,AF$5:AF$24,1)-COUNTIF(AF$5:AF$24,0))</f>
        <v xml:space="preserve"> </v>
      </c>
      <c r="AH11" s="93" t="str">
        <f>IF(OR(AF11=0,AF11=" ")," ",IF((RANK(AF11,AF$5:AF$24,1)-COUNTIF(AF$5:AF$24,0)&gt;6)," ",RANK(AF11,AF$5:AF$24,1)-COUNTIF(AF$5:AF$24,0)))</f>
        <v xml:space="preserve"> </v>
      </c>
      <c r="AI11" s="94" t="str">
        <f>IF(Table6220273233[[#This Row],[Non-Member]]="X"," ",IF(AH11=" "," ",IFERROR(VLOOKUP(AG11,Points!$A$2:$B$14,2,FALSE)," ")))</f>
        <v xml:space="preserve"> </v>
      </c>
      <c r="AJ11" s="93">
        <f>IF(Table6220273233[[#This Row],[Non-Member]]="X"," ",((IF(G11=" ",0,G11))+(IF(K11=" ",0,K11))+(IF(O11=" ",0,O11))+(IF(S11=" ",0,S11))+(IF(W11=" ",0,W11))+(IF(AA11=" ",0,AA11))+(IF(AE11=" ",0,AE11))+(IF(AI11=" ",0,AI11))))</f>
        <v>9</v>
      </c>
      <c r="AK11" s="95">
        <f>IF(AJ11=0," ",AJ11)</f>
        <v>9</v>
      </c>
      <c r="AL11" s="96">
        <f>IF(AK11=" "," ",RANK(AK11,$AK$5:$AK$24))</f>
        <v>7</v>
      </c>
    </row>
    <row r="12" spans="2:38" x14ac:dyDescent="0.3">
      <c r="B12" s="90" t="s">
        <v>275</v>
      </c>
      <c r="C12" s="91"/>
      <c r="D12" s="92"/>
      <c r="E12" s="93" t="str">
        <f>IF(D12=0," ",_xlfn.RANK.AVG(D12,D$5:D$24,1)-COUNTIF(D$5:D$24,0))</f>
        <v xml:space="preserve"> </v>
      </c>
      <c r="F12" s="93" t="str">
        <f>IF(D12=0," ",IF((RANK(D12,D$5:D$24,1)-COUNTIF(D$5:D$24,0)&gt;6)," ",RANK(D12,D$5:D$24,1)-COUNTIF(D$5:D$24,0)))</f>
        <v xml:space="preserve"> </v>
      </c>
      <c r="G12" s="94" t="str">
        <f>IF(Table6220273233[[#This Row],[Non-Member]]="X"," ",IF(F12=" "," ",IFERROR(VLOOKUP(E12,Points!$A$2:$B$14,2,FALSE)," ")))</f>
        <v xml:space="preserve"> </v>
      </c>
      <c r="H12" s="92">
        <v>23.11</v>
      </c>
      <c r="I12" s="93">
        <f>IF(H12=0," ",_xlfn.RANK.AVG(H12,H$5:H$24,1)-COUNTIF(H$5:H$24,0))</f>
        <v>10</v>
      </c>
      <c r="J12" s="93" t="str">
        <f>IF(H12=0," ",IF((RANK(H12,H$5:H$24,1)-COUNTIF(H$5:H$24,0)&gt;6)," ",RANK(H12,H$5:H$24,1)-COUNTIF(H$5:H$24,0)))</f>
        <v xml:space="preserve"> </v>
      </c>
      <c r="K12" s="94" t="str">
        <f>IF(Table6220273233[[#This Row],[Non-Member]]="X"," ",IF(J12=" "," ",IFERROR(VLOOKUP(I12,Points!$A$2:$B$14,2,FALSE)," ")))</f>
        <v xml:space="preserve"> </v>
      </c>
      <c r="L12" s="92">
        <v>13.54</v>
      </c>
      <c r="M12" s="93">
        <f>IF(L12=0," ",_xlfn.RANK.AVG(L12,L$5:L$24,1)-COUNTIF(L$5:L$24,0))</f>
        <v>7</v>
      </c>
      <c r="N12" s="93" t="str">
        <f>IF(L12=0," ",IF((RANK(L12,L$5:L$24,1)-COUNTIF(L$5:L$24,0)&gt;6)," ",RANK(L12,L$5:L$24,1)-COUNTIF(L$5:L$24,0)))</f>
        <v xml:space="preserve"> </v>
      </c>
      <c r="O12" s="94" t="str">
        <f>IF(Table6220273233[[#This Row],[Non-Member]]="X"," ",IF(N12=" "," ",IFERROR(VLOOKUP(M12,Points!$A$2:$B$14,2,FALSE)," ")))</f>
        <v xml:space="preserve"> </v>
      </c>
      <c r="P12" s="135">
        <v>11.46</v>
      </c>
      <c r="Q12" s="93">
        <f>IF(P12=0," ",_xlfn.RANK.AVG(P12,P$5:P$24,1)-COUNTIF(P$5:P$24,0))</f>
        <v>5</v>
      </c>
      <c r="R12" s="93">
        <f>IF(P12=0," ",IF((RANK(P12,P$5:P$24,1)-COUNTIF(P$5:P$24,0)&gt;6)," ",RANK(P12,P$5:P$24,1)-COUNTIF(P$5:P$24,0)))</f>
        <v>5</v>
      </c>
      <c r="S12" s="94">
        <f>IF(Table6220273233[[#This Row],[Non-Member]]="X"," ",IF(R12=" "," ",IFERROR(VLOOKUP(Q12,Points!$A$2:$B$14,2,FALSE)," ")))</f>
        <v>6</v>
      </c>
      <c r="T12" s="92"/>
      <c r="U12" s="93" t="str">
        <f>IF(T12=0," ",_xlfn.RANK.AVG(T12,T$5:T$24,1)-COUNTIF(T$5:T$24,0))</f>
        <v xml:space="preserve"> </v>
      </c>
      <c r="V12" s="93" t="str">
        <f>IF(T12=0," ",IF((RANK(T12,T$5:T$24,1)-COUNTIF(T$5:T$24,0)&gt;6)," ",RANK(T12,T$5:T$24,1)-COUNTIF(T$5:T$24,0)))</f>
        <v xml:space="preserve"> </v>
      </c>
      <c r="W12" s="94" t="str">
        <f>IF(Table6220273233[[#This Row],[Non-Member]]="X"," ",IF(V12=" "," ",IFERROR(VLOOKUP(U12,Points!$A$2:$B$14,2,FALSE)," ")))</f>
        <v xml:space="preserve"> </v>
      </c>
      <c r="X12" s="92"/>
      <c r="Y12" s="93" t="str">
        <f>IF(X12=0," ",_xlfn.RANK.AVG(X12,X$5:X$24,1)-COUNTIF(X$5:X$24,0))</f>
        <v xml:space="preserve"> </v>
      </c>
      <c r="Z12" s="93" t="str">
        <f>IF(X12=0," ",IF((RANK(X12,X$5:X$24,1)-COUNTIF(X$5:X$24,0)&gt;6)," ",RANK(X12,X$5:X$24,1)-COUNTIF(X$5:X$24,0)))</f>
        <v xml:space="preserve"> </v>
      </c>
      <c r="AA12" s="94" t="str">
        <f>IF(Table6220273233[[#This Row],[Non-Member]]="X"," ",IF(Z12=" "," ",IFERROR(VLOOKUP(Y12,Points!$A$2:$B$14,2,FALSE)," ")))</f>
        <v xml:space="preserve"> </v>
      </c>
      <c r="AB12" s="92"/>
      <c r="AC12" s="93" t="str">
        <f>IF(AB12=0," ",_xlfn.RANK.AVG(AB12,AB$5:AB$24,1)-COUNTIF(AB$5:AB$24,0))</f>
        <v xml:space="preserve"> </v>
      </c>
      <c r="AD12" s="93" t="str">
        <f>IF(AB12=0," ",IF((RANK(AB12,AB$5:AB$24,1)-COUNTIF(AB$5:AB$24,0)&gt;6)," ",RANK(AB12,AB$5:AB$24,1)-COUNTIF(AB$5:AB$24,0)))</f>
        <v xml:space="preserve"> </v>
      </c>
      <c r="AE12" s="94" t="str">
        <f>IF(Table6220273233[[#This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3" t="str">
        <f>IF(OR(AF12=0,AF12=" ")," ",_xlfn.RANK.AVG(AF12,AF$5:AF$24,1)-COUNTIF(AF$5:AF$24,0))</f>
        <v xml:space="preserve"> </v>
      </c>
      <c r="AH12" s="93" t="str">
        <f>IF(OR(AF12=0,AF12=" ")," ",IF((RANK(AF12,AF$5:AF$24,1)-COUNTIF(AF$5:AF$24,0)&gt;6)," ",RANK(AF12,AF$5:AF$24,1)-COUNTIF(AF$5:AF$24,0)))</f>
        <v xml:space="preserve"> </v>
      </c>
      <c r="AI12" s="94" t="str">
        <f>IF(Table6220273233[[#This Row],[Non-Member]]="X"," ",IF(AH12=" "," ",IFERROR(VLOOKUP(AG12,Points!$A$2:$B$14,2,FALSE)," ")))</f>
        <v xml:space="preserve"> </v>
      </c>
      <c r="AJ12" s="93">
        <f>IF(Table6220273233[[#This Row],[Non-Member]]="X"," ",((IF(G12=" ",0,G12))+(IF(K12=" ",0,K12))+(IF(O12=" ",0,O12))+(IF(S12=" ",0,S12))+(IF(W12=" ",0,W12))+(IF(AA12=" ",0,AA12))+(IF(AE12=" ",0,AE12))+(IF(AI12=" ",0,AI12))))</f>
        <v>6</v>
      </c>
      <c r="AK12" s="95">
        <f>IF(AJ12=0," ",AJ12)</f>
        <v>6</v>
      </c>
      <c r="AL12" s="96">
        <f>IF(AK12=" "," ",RANK(AK12,$AK$5:$AK$24))</f>
        <v>8</v>
      </c>
    </row>
    <row r="13" spans="2:38" x14ac:dyDescent="0.3">
      <c r="B13" s="90" t="s">
        <v>273</v>
      </c>
      <c r="C13" s="91"/>
      <c r="D13" s="92"/>
      <c r="E13" s="93" t="str">
        <f>IF(D13=0," ",_xlfn.RANK.AVG(D13,D$5:D$24,1)-COUNTIF(D$5:D$24,0))</f>
        <v xml:space="preserve"> </v>
      </c>
      <c r="F13" s="93" t="str">
        <f>IF(D13=0," ",IF((RANK(D13,D$5:D$24,1)-COUNTIF(D$5:D$24,0)&gt;6)," ",RANK(D13,D$5:D$24,1)-COUNTIF(D$5:D$24,0)))</f>
        <v xml:space="preserve"> </v>
      </c>
      <c r="G13" s="94" t="str">
        <f>IF(Table6220273233[[#This Row],[Non-Member]]="X"," ",IF(F13=" "," ",IFERROR(VLOOKUP(E13,Points!$A$2:$B$14,2,FALSE)," ")))</f>
        <v xml:space="preserve"> </v>
      </c>
      <c r="H13" s="92">
        <v>14.18</v>
      </c>
      <c r="I13" s="93">
        <f>IF(H13=0," ",_xlfn.RANK.AVG(H13,H$5:H$24,1)-COUNTIF(H$5:H$24,0))</f>
        <v>5</v>
      </c>
      <c r="J13" s="93">
        <f>IF(H13=0," ",IF((RANK(H13,H$5:H$24,1)-COUNTIF(H$5:H$24,0)&gt;6)," ",RANK(H13,H$5:H$24,1)-COUNTIF(H$5:H$24,0)))</f>
        <v>5</v>
      </c>
      <c r="K13" s="94">
        <f>IF(Table6220273233[[#This Row],[Non-Member]]="X"," ",IF(J13=" "," ",IFERROR(VLOOKUP(I13,Points!$A$2:$B$14,2,FALSE)," ")))</f>
        <v>6</v>
      </c>
      <c r="L13" s="92">
        <v>14.97</v>
      </c>
      <c r="M13" s="93">
        <f>IF(L13=0," ",_xlfn.RANK.AVG(L13,L$5:L$24,1)-COUNTIF(L$5:L$24,0))</f>
        <v>10</v>
      </c>
      <c r="N13" s="93" t="str">
        <f>IF(L13=0," ",IF((RANK(L13,L$5:L$24,1)-COUNTIF(L$5:L$24,0)&gt;6)," ",RANK(L13,L$5:L$24,1)-COUNTIF(L$5:L$24,0)))</f>
        <v xml:space="preserve"> </v>
      </c>
      <c r="O13" s="94" t="str">
        <f>IF(Table6220273233[[#This Row],[Non-Member]]="X"," ",IF(N13=" "," ",IFERROR(VLOOKUP(M13,Points!$A$2:$B$14,2,FALSE)," ")))</f>
        <v xml:space="preserve"> </v>
      </c>
      <c r="P13" s="135">
        <v>14.25</v>
      </c>
      <c r="Q13" s="93">
        <f>IF(P13=0," ",_xlfn.RANK.AVG(P13,P$5:P$24,1)-COUNTIF(P$5:P$24,0))</f>
        <v>14</v>
      </c>
      <c r="R13" s="93" t="str">
        <f>IF(P13=0," ",IF((RANK(P13,P$5:P$24,1)-COUNTIF(P$5:P$24,0)&gt;6)," ",RANK(P13,P$5:P$24,1)-COUNTIF(P$5:P$24,0)))</f>
        <v xml:space="preserve"> </v>
      </c>
      <c r="S13" s="94" t="str">
        <f>IF(Table6220273233[[#This Row],[Non-Member]]="X"," ",IF(R13=" "," ",IFERROR(VLOOKUP(Q13,Points!$A$2:$B$14,2,FALSE)," ")))</f>
        <v xml:space="preserve"> </v>
      </c>
      <c r="T13" s="92"/>
      <c r="U13" s="93" t="str">
        <f>IF(T13=0," ",_xlfn.RANK.AVG(T13,T$5:T$24,1)-COUNTIF(T$5:T$24,0))</f>
        <v xml:space="preserve"> </v>
      </c>
      <c r="V13" s="93" t="str">
        <f>IF(T13=0," ",IF((RANK(T13,T$5:T$24,1)-COUNTIF(T$5:T$24,0)&gt;6)," ",RANK(T13,T$5:T$24,1)-COUNTIF(T$5:T$24,0)))</f>
        <v xml:space="preserve"> </v>
      </c>
      <c r="W13" s="94" t="str">
        <f>IF(Table6220273233[[#This Row],[Non-Member]]="X"," ",IF(V13=" "," ",IFERROR(VLOOKUP(U13,Points!$A$2:$B$14,2,FALSE)," ")))</f>
        <v xml:space="preserve"> </v>
      </c>
      <c r="X13" s="92"/>
      <c r="Y13" s="93" t="str">
        <f>IF(X13=0," ",_xlfn.RANK.AVG(X13,X$5:X$24,1)-COUNTIF(X$5:X$24,0))</f>
        <v xml:space="preserve"> </v>
      </c>
      <c r="Z13" s="93" t="str">
        <f>IF(X13=0," ",IF((RANK(X13,X$5:X$24,1)-COUNTIF(X$5:X$24,0)&gt;6)," ",RANK(X13,X$5:X$24,1)-COUNTIF(X$5:X$24,0)))</f>
        <v xml:space="preserve"> </v>
      </c>
      <c r="AA13" s="94" t="str">
        <f>IF(Table6220273233[[#This Row],[Non-Member]]="X"," ",IF(Z13=" "," ",IFERROR(VLOOKUP(Y13,Points!$A$2:$B$14,2,FALSE)," ")))</f>
        <v xml:space="preserve"> </v>
      </c>
      <c r="AB13" s="92"/>
      <c r="AC13" s="93" t="str">
        <f>IF(AB13=0," ",_xlfn.RANK.AVG(AB13,AB$5:AB$24,1)-COUNTIF(AB$5:AB$24,0))</f>
        <v xml:space="preserve"> </v>
      </c>
      <c r="AD13" s="93" t="str">
        <f>IF(AB13=0," ",IF((RANK(AB13,AB$5:AB$24,1)-COUNTIF(AB$5:AB$24,0)&gt;6)," ",RANK(AB13,AB$5:AB$24,1)-COUNTIF(AB$5:AB$24,0)))</f>
        <v xml:space="preserve"> </v>
      </c>
      <c r="AE13" s="94" t="str">
        <f>IF(Table6220273233[[#This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>IF(OR(AF13=0,AF13=" ")," ",_xlfn.RANK.AVG(AF13,AF$5:AF$24,1)-COUNTIF(AF$5:AF$24,0))</f>
        <v xml:space="preserve"> </v>
      </c>
      <c r="AH13" s="93" t="str">
        <f>IF(OR(AF13=0,AF13=" ")," ",IF((RANK(AF13,AF$5:AF$24,1)-COUNTIF(AF$5:AF$24,0)&gt;6)," ",RANK(AF13,AF$5:AF$24,1)-COUNTIF(AF$5:AF$24,0)))</f>
        <v xml:space="preserve"> </v>
      </c>
      <c r="AI13" s="94" t="str">
        <f>IF(Table6220273233[[#This Row],[Non-Member]]="X"," ",IF(AH13=" "," ",IFERROR(VLOOKUP(AG13,Points!$A$2:$B$14,2,FALSE)," ")))</f>
        <v xml:space="preserve"> </v>
      </c>
      <c r="AJ13" s="93">
        <f>IF(Table6220273233[[#This Row],[Non-Member]]="X"," ",((IF(G13=" ",0,G13))+(IF(K13=" ",0,K13))+(IF(O13=" ",0,O13))+(IF(S13=" ",0,S13))+(IF(W13=" ",0,W13))+(IF(AA13=" ",0,AA13))+(IF(AE13=" ",0,AE13))+(IF(AI13=" ",0,AI13))))</f>
        <v>6</v>
      </c>
      <c r="AK13" s="95">
        <f>IF(AJ13=0," ",AJ13)</f>
        <v>6</v>
      </c>
      <c r="AL13" s="96">
        <f>IF(AK13=" "," ",RANK(AK13,$AK$5:$AK$24))</f>
        <v>8</v>
      </c>
    </row>
    <row r="14" spans="2:38" x14ac:dyDescent="0.3">
      <c r="B14" s="90" t="s">
        <v>320</v>
      </c>
      <c r="C14" s="91" t="s">
        <v>325</v>
      </c>
      <c r="D14" s="92"/>
      <c r="E14" s="97" t="str">
        <f>IF(D14=0," ",_xlfn.RANK.AVG(D14,D$5:D$24,1)-COUNTIF(D$5:D$24,0))</f>
        <v xml:space="preserve"> </v>
      </c>
      <c r="F14" s="97" t="str">
        <f>IF(D14=0," ",IF((RANK(D14,D$5:D$24,1)-COUNTIF(D$5:D$24,0)&gt;6)," ",RANK(D14,D$5:D$24,1)-COUNTIF(D$5:D$24,0)))</f>
        <v xml:space="preserve"> </v>
      </c>
      <c r="G14" s="94" t="str">
        <f>IF(Table6220273233[[#This Row],[Non-Member]]="X"," ",IF(F14=" "," ",IFERROR(VLOOKUP(E14,Points!$A$2:$B$14,2,FALSE)," ")))</f>
        <v xml:space="preserve"> </v>
      </c>
      <c r="H14" s="92"/>
      <c r="I14" s="97" t="str">
        <f>IF(H14=0," ",_xlfn.RANK.AVG(H14,H$5:H$24,1)-COUNTIF(H$5:H$24,0))</f>
        <v xml:space="preserve"> </v>
      </c>
      <c r="J14" s="97" t="str">
        <f>IF(H14=0," ",IF((RANK(H14,H$5:H$24,1)-COUNTIF(H$5:H$24,0)&gt;6)," ",RANK(H14,H$5:H$24,1)-COUNTIF(H$5:H$24,0)))</f>
        <v xml:space="preserve"> </v>
      </c>
      <c r="K14" s="94" t="str">
        <f>IF(Table6220273233[[#This Row],[Non-Member]]="X"," ",IF(J14=" "," ",IFERROR(VLOOKUP(I14,Points!$A$2:$B$14,2,FALSE)," ")))</f>
        <v xml:space="preserve"> </v>
      </c>
      <c r="L14" s="92">
        <v>45.2</v>
      </c>
      <c r="M14" s="97">
        <f>IF(L14=0," ",_xlfn.RANK.AVG(L14,L$5:L$24,1)-COUNTIF(L$5:L$24,0))</f>
        <v>16</v>
      </c>
      <c r="N14" s="97" t="str">
        <f>IF(L14=0," ",IF((RANK(L14,L$5:L$24,1)-COUNTIF(L$5:L$24,0)&gt;6)," ",RANK(L14,L$5:L$24,1)-COUNTIF(L$5:L$24,0)))</f>
        <v xml:space="preserve"> </v>
      </c>
      <c r="O14" s="94" t="str">
        <f>IF(Table6220273233[[#This Row],[Non-Member]]="X"," ",IF(N14=" "," ",IFERROR(VLOOKUP(M14,Points!$A$2:$B$14,2,FALSE)," ")))</f>
        <v xml:space="preserve"> </v>
      </c>
      <c r="P14" s="92">
        <v>22.77</v>
      </c>
      <c r="Q14" s="97">
        <f>IF(P14=0," ",_xlfn.RANK.AVG(P14,P$5:P$24,1)-COUNTIF(P$5:P$24,0))</f>
        <v>17</v>
      </c>
      <c r="R14" s="97" t="str">
        <f>IF(P14=0," ",IF((RANK(P14,P$5:P$24,1)-COUNTIF(P$5:P$24,0)&gt;6)," ",RANK(P14,P$5:P$24,1)-COUNTIF(P$5:P$24,0)))</f>
        <v xml:space="preserve"> </v>
      </c>
      <c r="S14" s="94" t="str">
        <f>IF(Table6220273233[[#This Row],[Non-Member]]="X"," ",IF(R14=" "," ",IFERROR(VLOOKUP(Q14,Points!$A$2:$B$14,2,FALSE)," ")))</f>
        <v xml:space="preserve"> </v>
      </c>
      <c r="T14" s="92"/>
      <c r="U14" s="97" t="str">
        <f>IF(T14=0," ",_xlfn.RANK.AVG(T14,T$5:T$24,1)-COUNTIF(T$5:T$24,0))</f>
        <v xml:space="preserve"> </v>
      </c>
      <c r="V14" s="97" t="str">
        <f>IF(T14=0," ",IF((RANK(T14,T$5:T$24,1)-COUNTIF(T$5:T$24,0)&gt;6)," ",RANK(T14,T$5:T$24,1)-COUNTIF(T$5:T$24,0)))</f>
        <v xml:space="preserve"> </v>
      </c>
      <c r="W14" s="94" t="str">
        <f>IF(Table6220273233[[#This Row],[Non-Member]]="X"," ",IF(V14=" "," ",IFERROR(VLOOKUP(U14,Points!$A$2:$B$14,2,FALSE)," ")))</f>
        <v xml:space="preserve"> </v>
      </c>
      <c r="X14" s="92"/>
      <c r="Y14" s="97" t="str">
        <f>IF(X14=0," ",_xlfn.RANK.AVG(X14,X$5:X$24,1)-COUNTIF(X$5:X$24,0))</f>
        <v xml:space="preserve"> </v>
      </c>
      <c r="Z14" s="97" t="str">
        <f>IF(X14=0," ",IF((RANK(X14,X$5:X$24,1)-COUNTIF(X$5:X$24,0)&gt;6)," ",RANK(X14,X$5:X$24,1)-COUNTIF(X$5:X$24,0)))</f>
        <v xml:space="preserve"> </v>
      </c>
      <c r="AA14" s="94" t="str">
        <f>IF(Table6220273233[[#This Row],[Non-Member]]="X"," ",IF(Z14=" "," ",IFERROR(VLOOKUP(Y14,Points!$A$2:$B$14,2,FALSE)," ")))</f>
        <v xml:space="preserve"> </v>
      </c>
      <c r="AB14" s="92"/>
      <c r="AC14" s="97" t="str">
        <f>IF(AB14=0," ",_xlfn.RANK.AVG(AB14,AB$5:AB$24,1)-COUNTIF(AB$5:AB$24,0))</f>
        <v xml:space="preserve"> </v>
      </c>
      <c r="AD14" s="97" t="str">
        <f>IF(AB14=0," ",IF((RANK(AB14,AB$5:AB$24,1)-COUNTIF(AB$5:AB$24,0)&gt;6)," ",RANK(AB14,AB$5:AB$24,1)-COUNTIF(AB$5:AB$24,0)))</f>
        <v xml:space="preserve"> </v>
      </c>
      <c r="AE14" s="94" t="str">
        <f>IF(Table6220273233[[#This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7" t="str">
        <f>IF(OR(AF14=0,AF14=" ")," ",_xlfn.RANK.AVG(AF14,AF$5:AF$24,1)-COUNTIF(AF$5:AF$24,0))</f>
        <v xml:space="preserve"> </v>
      </c>
      <c r="AH14" s="97" t="str">
        <f>IF(OR(AF14=0,AF14=" ")," ",IF((RANK(AF14,AF$5:AF$24,1)-COUNTIF(AF$5:AF$24,0)&gt;6)," ",RANK(AF14,AF$5:AF$24,1)-COUNTIF(AF$5:AF$24,0)))</f>
        <v xml:space="preserve"> </v>
      </c>
      <c r="AI14" s="94" t="str">
        <f>IF(Table6220273233[[#This Row],[Non-Member]]="X"," ",IF(AH14=" "," ",IFERROR(VLOOKUP(AG14,Points!$A$2:$B$14,2,FALSE)," ")))</f>
        <v xml:space="preserve"> </v>
      </c>
      <c r="AJ14" s="97" t="str">
        <f>IF(Table6220273233[[#This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>IF(AJ14=0," ",AJ14)</f>
        <v xml:space="preserve"> </v>
      </c>
      <c r="AL14" s="98" t="str">
        <f>IF(AK14=" "," ",RANK(AK14,$AK$5:$AK$24))</f>
        <v xml:space="preserve"> </v>
      </c>
    </row>
    <row r="15" spans="2:38" x14ac:dyDescent="0.3">
      <c r="B15" s="90" t="s">
        <v>322</v>
      </c>
      <c r="C15" s="91"/>
      <c r="D15" s="92"/>
      <c r="E15" s="93" t="str">
        <f>IF(D15=0," ",_xlfn.RANK.AVG(D15,D$5:D$24,1)-COUNTIF(D$5:D$24,0))</f>
        <v xml:space="preserve"> </v>
      </c>
      <c r="F15" s="93" t="str">
        <f>IF(D15=0," ",IF((RANK(D15,D$5:D$24,1)-COUNTIF(D$5:D$24,0)&gt;6)," ",RANK(D15,D$5:D$24,1)-COUNTIF(D$5:D$24,0)))</f>
        <v xml:space="preserve"> </v>
      </c>
      <c r="G15" s="94" t="str">
        <f>IF(Table6220273233[[#This Row],[Non-Member]]="X"," ",IF(F15=" "," ",IFERROR(VLOOKUP(E15,Points!$A$2:$B$14,2,FALSE)," ")))</f>
        <v xml:space="preserve"> </v>
      </c>
      <c r="H15" s="92"/>
      <c r="I15" s="93" t="str">
        <f>IF(H15=0," ",_xlfn.RANK.AVG(H15,H$5:H$24,1)-COUNTIF(H$5:H$24,0))</f>
        <v xml:space="preserve"> </v>
      </c>
      <c r="J15" s="93" t="str">
        <f>IF(H15=0," ",IF((RANK(H15,H$5:H$24,1)-COUNTIF(H$5:H$24,0)&gt;6)," ",RANK(H15,H$5:H$24,1)-COUNTIF(H$5:H$24,0)))</f>
        <v xml:space="preserve"> </v>
      </c>
      <c r="K15" s="94" t="str">
        <f>IF(Table6220273233[[#This Row],[Non-Member]]="X"," ",IF(J15=" "," ",IFERROR(VLOOKUP(I15,Points!$A$2:$B$14,2,FALSE)," ")))</f>
        <v xml:space="preserve"> </v>
      </c>
      <c r="L15" s="92">
        <v>16.02</v>
      </c>
      <c r="M15" s="93">
        <f>IF(L15=0," ",_xlfn.RANK.AVG(L15,L$5:L$24,1)-COUNTIF(L$5:L$24,0))</f>
        <v>11</v>
      </c>
      <c r="N15" s="93" t="str">
        <f>IF(L15=0," ",IF((RANK(L15,L$5:L$24,1)-COUNTIF(L$5:L$24,0)&gt;6)," ",RANK(L15,L$5:L$24,1)-COUNTIF(L$5:L$24,0)))</f>
        <v xml:space="preserve"> </v>
      </c>
      <c r="O15" s="94" t="str">
        <f>IF(Table6220273233[[#This Row],[Non-Member]]="X"," ",IF(N15=" "," ",IFERROR(VLOOKUP(M15,Points!$A$2:$B$14,2,FALSE)," ")))</f>
        <v xml:space="preserve"> </v>
      </c>
      <c r="P15" s="92">
        <v>12.85</v>
      </c>
      <c r="Q15" s="93">
        <f>IF(P15=0," ",_xlfn.RANK.AVG(P15,P$5:P$24,1)-COUNTIF(P$5:P$24,0))</f>
        <v>8</v>
      </c>
      <c r="R15" s="93" t="str">
        <f>IF(P15=0," ",IF((RANK(P15,P$5:P$24,1)-COUNTIF(P$5:P$24,0)&gt;6)," ",RANK(P15,P$5:P$24,1)-COUNTIF(P$5:P$24,0)))</f>
        <v xml:space="preserve"> </v>
      </c>
      <c r="S15" s="94" t="str">
        <f>IF(Table6220273233[[#This Row],[Non-Member]]="X"," ",IF(R15=" "," ",IFERROR(VLOOKUP(Q15,Points!$A$2:$B$14,2,FALSE)," ")))</f>
        <v xml:space="preserve"> </v>
      </c>
      <c r="T15" s="92"/>
      <c r="U15" s="93" t="str">
        <f>IF(T15=0," ",_xlfn.RANK.AVG(T15,T$5:T$24,1)-COUNTIF(T$5:T$24,0))</f>
        <v xml:space="preserve"> </v>
      </c>
      <c r="V15" s="93" t="str">
        <f>IF(T15=0," ",IF((RANK(T15,T$5:T$24,1)-COUNTIF(T$5:T$24,0)&gt;6)," ",RANK(T15,T$5:T$24,1)-COUNTIF(T$5:T$24,0)))</f>
        <v xml:space="preserve"> </v>
      </c>
      <c r="W15" s="94" t="str">
        <f>IF(Table6220273233[[#This Row],[Non-Member]]="X"," ",IF(V15=" "," ",IFERROR(VLOOKUP(U15,Points!$A$2:$B$14,2,FALSE)," ")))</f>
        <v xml:space="preserve"> </v>
      </c>
      <c r="X15" s="92"/>
      <c r="Y15" s="93" t="str">
        <f>IF(X15=0," ",_xlfn.RANK.AVG(X15,X$5:X$24,1)-COUNTIF(X$5:X$24,0))</f>
        <v xml:space="preserve"> </v>
      </c>
      <c r="Z15" s="93" t="str">
        <f>IF(X15=0," ",IF((RANK(X15,X$5:X$24,1)-COUNTIF(X$5:X$24,0)&gt;6)," ",RANK(X15,X$5:X$24,1)-COUNTIF(X$5:X$24,0)))</f>
        <v xml:space="preserve"> </v>
      </c>
      <c r="AA15" s="94" t="str">
        <f>IF(Table6220273233[[#This Row],[Non-Member]]="X"," ",IF(Z15=" "," ",IFERROR(VLOOKUP(Y15,Points!$A$2:$B$14,2,FALSE)," ")))</f>
        <v xml:space="preserve"> </v>
      </c>
      <c r="AB15" s="92"/>
      <c r="AC15" s="93" t="str">
        <f>IF(AB15=0," ",_xlfn.RANK.AVG(AB15,AB$5:AB$24,1)-COUNTIF(AB$5:AB$24,0))</f>
        <v xml:space="preserve"> </v>
      </c>
      <c r="AD15" s="93" t="str">
        <f>IF(AB15=0," ",IF((RANK(AB15,AB$5:AB$24,1)-COUNTIF(AB$5:AB$24,0)&gt;6)," ",RANK(AB15,AB$5:AB$24,1)-COUNTIF(AB$5:AB$24,0)))</f>
        <v xml:space="preserve"> </v>
      </c>
      <c r="AE15" s="94" t="str">
        <f>IF(Table6220273233[[#This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>IF(OR(AF15=0,AF15=" ")," ",_xlfn.RANK.AVG(AF15,AF$5:AF$24,1)-COUNTIF(AF$5:AF$24,0))</f>
        <v xml:space="preserve"> </v>
      </c>
      <c r="AH15" s="93" t="str">
        <f>IF(OR(AF15=0,AF15=" ")," ",IF((RANK(AF15,AF$5:AF$24,1)-COUNTIF(AF$5:AF$24,0)&gt;6)," ",RANK(AF15,AF$5:AF$24,1)-COUNTIF(AF$5:AF$24,0)))</f>
        <v xml:space="preserve"> </v>
      </c>
      <c r="AI15" s="94" t="str">
        <f>IF(Table6220273233[[#This Row],[Non-Member]]="X"," ",IF(AH15=" "," ",IFERROR(VLOOKUP(AG15,Points!$A$2:$B$14,2,FALSE)," ")))</f>
        <v xml:space="preserve"> </v>
      </c>
      <c r="AJ15" s="93">
        <f>IF(Table6220273233[[#This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>IF(AJ15=0," ",AJ15)</f>
        <v xml:space="preserve"> </v>
      </c>
      <c r="AL15" s="96" t="str">
        <f>IF(AK15=" "," ",RANK(AK15,$AK$5:$AK$24))</f>
        <v xml:space="preserve"> </v>
      </c>
    </row>
    <row r="16" spans="2:38" x14ac:dyDescent="0.3">
      <c r="B16" s="90" t="s">
        <v>74</v>
      </c>
      <c r="C16" s="91"/>
      <c r="D16" s="92"/>
      <c r="E16" s="97" t="str">
        <f>IF(D16=0," ",_xlfn.RANK.AVG(D16,D$5:D$24,1)-COUNTIF(D$5:D$24,0))</f>
        <v xml:space="preserve"> </v>
      </c>
      <c r="F16" s="97" t="str">
        <f>IF(D16=0," ",IF((RANK(D16,D$5:D$24,1)-COUNTIF(D$5:D$24,0)&gt;6)," ",RANK(D16,D$5:D$24,1)-COUNTIF(D$5:D$24,0)))</f>
        <v xml:space="preserve"> </v>
      </c>
      <c r="G16" s="94" t="str">
        <f>IF(Table6220273233[[#This Row],[Non-Member]]="X"," ",IF(F16=" "," ",IFERROR(VLOOKUP(E16,Points!$A$2:$B$14,2,FALSE)," ")))</f>
        <v xml:space="preserve"> </v>
      </c>
      <c r="H16" s="92">
        <v>26.09</v>
      </c>
      <c r="I16" s="97">
        <f>IF(H16=0," ",_xlfn.RANK.AVG(H16,H$5:H$24,1)-COUNTIF(H$5:H$24,0))</f>
        <v>11</v>
      </c>
      <c r="J16" s="97" t="str">
        <f>IF(H16=0," ",IF((RANK(H16,H$5:H$24,1)-COUNTIF(H$5:H$24,0)&gt;6)," ",RANK(H16,H$5:H$24,1)-COUNTIF(H$5:H$24,0)))</f>
        <v xml:space="preserve"> </v>
      </c>
      <c r="K16" s="94" t="str">
        <f>IF(Table6220273233[[#This Row],[Non-Member]]="X"," ",IF(J16=" "," ",IFERROR(VLOOKUP(I16,Points!$A$2:$B$14,2,FALSE)," ")))</f>
        <v xml:space="preserve"> </v>
      </c>
      <c r="L16" s="92">
        <v>17.89</v>
      </c>
      <c r="M16" s="97">
        <f>IF(L16=0," ",_xlfn.RANK.AVG(L16,L$5:L$24,1)-COUNTIF(L$5:L$24,0))</f>
        <v>15</v>
      </c>
      <c r="N16" s="97" t="str">
        <f>IF(L16=0," ",IF((RANK(L16,L$5:L$24,1)-COUNTIF(L$5:L$24,0)&gt;6)," ",RANK(L16,L$5:L$24,1)-COUNTIF(L$5:L$24,0)))</f>
        <v xml:space="preserve"> </v>
      </c>
      <c r="O16" s="94" t="str">
        <f>IF(Table6220273233[[#This Row],[Non-Member]]="X"," ",IF(N16=" "," ",IFERROR(VLOOKUP(M16,Points!$A$2:$B$14,2,FALSE)," ")))</f>
        <v xml:space="preserve"> </v>
      </c>
      <c r="P16" s="92">
        <v>14.23</v>
      </c>
      <c r="Q16" s="97">
        <f>IF(P16=0," ",_xlfn.RANK.AVG(P16,P$5:P$24,1)-COUNTIF(P$5:P$24,0))</f>
        <v>13</v>
      </c>
      <c r="R16" s="97" t="str">
        <f>IF(P16=0," ",IF((RANK(P16,P$5:P$24,1)-COUNTIF(P$5:P$24,0)&gt;6)," ",RANK(P16,P$5:P$24,1)-COUNTIF(P$5:P$24,0)))</f>
        <v xml:space="preserve"> </v>
      </c>
      <c r="S16" s="94" t="str">
        <f>IF(Table6220273233[[#This Row],[Non-Member]]="X"," ",IF(R16=" "," ",IFERROR(VLOOKUP(Q16,Points!$A$2:$B$14,2,FALSE)," ")))</f>
        <v xml:space="preserve"> </v>
      </c>
      <c r="T16" s="92"/>
      <c r="U16" s="97" t="str">
        <f>IF(T16=0," ",_xlfn.RANK.AVG(T16,T$5:T$24,1)-COUNTIF(T$5:T$24,0))</f>
        <v xml:space="preserve"> </v>
      </c>
      <c r="V16" s="97" t="str">
        <f>IF(T16=0," ",IF((RANK(T16,T$5:T$24,1)-COUNTIF(T$5:T$24,0)&gt;6)," ",RANK(T16,T$5:T$24,1)-COUNTIF(T$5:T$24,0)))</f>
        <v xml:space="preserve"> </v>
      </c>
      <c r="W16" s="94" t="str">
        <f>IF(Table6220273233[[#This Row],[Non-Member]]="X"," ",IF(V16=" "," ",IFERROR(VLOOKUP(U16,Points!$A$2:$B$14,2,FALSE)," ")))</f>
        <v xml:space="preserve"> </v>
      </c>
      <c r="X16" s="92"/>
      <c r="Y16" s="97" t="str">
        <f>IF(X16=0," ",_xlfn.RANK.AVG(X16,X$5:X$24,1)-COUNTIF(X$5:X$24,0))</f>
        <v xml:space="preserve"> </v>
      </c>
      <c r="Z16" s="97" t="str">
        <f>IF(X16=0," ",IF((RANK(X16,X$5:X$24,1)-COUNTIF(X$5:X$24,0)&gt;6)," ",RANK(X16,X$5:X$24,1)-COUNTIF(X$5:X$24,0)))</f>
        <v xml:space="preserve"> </v>
      </c>
      <c r="AA16" s="94" t="str">
        <f>IF(Table6220273233[[#This Row],[Non-Member]]="X"," ",IF(Z16=" "," ",IFERROR(VLOOKUP(Y16,Points!$A$2:$B$14,2,FALSE)," ")))</f>
        <v xml:space="preserve"> </v>
      </c>
      <c r="AB16" s="92"/>
      <c r="AC16" s="97" t="str">
        <f>IF(AB16=0," ",_xlfn.RANK.AVG(AB16,AB$5:AB$24,1)-COUNTIF(AB$5:AB$24,0))</f>
        <v xml:space="preserve"> </v>
      </c>
      <c r="AD16" s="97" t="str">
        <f>IF(AB16=0," ",IF((RANK(AB16,AB$5:AB$24,1)-COUNTIF(AB$5:AB$24,0)&gt;6)," ",RANK(AB16,AB$5:AB$24,1)-COUNTIF(AB$5:AB$24,0)))</f>
        <v xml:space="preserve"> </v>
      </c>
      <c r="AE16" s="94" t="str">
        <f>IF(Table6220273233[[#This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7" t="str">
        <f>IF(OR(AF16=0,AF16=" ")," ",_xlfn.RANK.AVG(AF16,AF$5:AF$24,1)-COUNTIF(AF$5:AF$24,0))</f>
        <v xml:space="preserve"> </v>
      </c>
      <c r="AH16" s="97" t="str">
        <f>IF(OR(AF16=0,AF16=" ")," ",IF((RANK(AF16,AF$5:AF$24,1)-COUNTIF(AF$5:AF$24,0)&gt;6)," ",RANK(AF16,AF$5:AF$24,1)-COUNTIF(AF$5:AF$24,0)))</f>
        <v xml:space="preserve"> </v>
      </c>
      <c r="AI16" s="94" t="str">
        <f>IF(Table6220273233[[#This Row],[Non-Member]]="X"," ",IF(AH16=" "," ",IFERROR(VLOOKUP(AG16,Points!$A$2:$B$14,2,FALSE)," ")))</f>
        <v xml:space="preserve"> </v>
      </c>
      <c r="AJ16" s="97">
        <f>IF(Table6220273233[[#This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>IF(AJ16=0," ",AJ16)</f>
        <v xml:space="preserve"> </v>
      </c>
      <c r="AL16" s="98" t="str">
        <f>IF(AK16=" "," ",RANK(AK16,$AK$5:$AK$24))</f>
        <v xml:space="preserve"> </v>
      </c>
    </row>
    <row r="17" spans="2:38" x14ac:dyDescent="0.3">
      <c r="B17" s="90" t="s">
        <v>260</v>
      </c>
      <c r="C17" s="91"/>
      <c r="D17" s="92"/>
      <c r="E17" s="93" t="str">
        <f>IF(D17=0," ",_xlfn.RANK.AVG(D17,D$5:D$24,1)-COUNTIF(D$5:D$24,0))</f>
        <v xml:space="preserve"> </v>
      </c>
      <c r="F17" s="93" t="str">
        <f>IF(D17=0," ",IF((RANK(D17,D$5:D$24,1)-COUNTIF(D$5:D$24,0)&gt;6)," ",RANK(D17,D$5:D$24,1)-COUNTIF(D$5:D$24,0)))</f>
        <v xml:space="preserve"> </v>
      </c>
      <c r="G17" s="94" t="str">
        <f>IF(Table6220273233[[#This Row],[Non-Member]]="X"," ",IF(F17=" "," ",IFERROR(VLOOKUP(E17,Points!$A$2:$B$14,2,FALSE)," ")))</f>
        <v xml:space="preserve"> </v>
      </c>
      <c r="H17" s="92">
        <v>18.739999999999998</v>
      </c>
      <c r="I17" s="93">
        <f>IF(H17=0," ",_xlfn.RANK.AVG(H17,H$5:H$24,1)-COUNTIF(H$5:H$24,0))</f>
        <v>8</v>
      </c>
      <c r="J17" s="93" t="str">
        <f>IF(H17=0," ",IF((RANK(H17,H$5:H$24,1)-COUNTIF(H$5:H$24,0)&gt;6)," ",RANK(H17,H$5:H$24,1)-COUNTIF(H$5:H$24,0)))</f>
        <v xml:space="preserve"> </v>
      </c>
      <c r="K17" s="94" t="str">
        <f>IF(Table6220273233[[#This Row],[Non-Member]]="X"," ",IF(J17=" "," ",IFERROR(VLOOKUP(I17,Points!$A$2:$B$14,2,FALSE)," ")))</f>
        <v xml:space="preserve"> </v>
      </c>
      <c r="L17" s="92">
        <v>16.649999999999999</v>
      </c>
      <c r="M17" s="93">
        <f>IF(L17=0," ",_xlfn.RANK.AVG(L17,L$5:L$24,1)-COUNTIF(L$5:L$24,0))</f>
        <v>12</v>
      </c>
      <c r="N17" s="93" t="str">
        <f>IF(L17=0," ",IF((RANK(L17,L$5:L$24,1)-COUNTIF(L$5:L$24,0)&gt;6)," ",RANK(L17,L$5:L$24,1)-COUNTIF(L$5:L$24,0)))</f>
        <v xml:space="preserve"> </v>
      </c>
      <c r="O17" s="94" t="str">
        <f>IF(Table6220273233[[#This Row],[Non-Member]]="X"," ",IF(N17=" "," ",IFERROR(VLOOKUP(M17,Points!$A$2:$B$14,2,FALSE)," ")))</f>
        <v xml:space="preserve"> </v>
      </c>
      <c r="P17" s="135">
        <v>13.64</v>
      </c>
      <c r="Q17" s="93">
        <f>IF(P17=0," ",_xlfn.RANK.AVG(P17,P$5:P$24,1)-COUNTIF(P$5:P$24,0))</f>
        <v>10</v>
      </c>
      <c r="R17" s="93" t="str">
        <f>IF(P17=0," ",IF((RANK(P17,P$5:P$24,1)-COUNTIF(P$5:P$24,0)&gt;6)," ",RANK(P17,P$5:P$24,1)-COUNTIF(P$5:P$24,0)))</f>
        <v xml:space="preserve"> </v>
      </c>
      <c r="S17" s="94" t="str">
        <f>IF(Table6220273233[[#This Row],[Non-Member]]="X"," ",IF(R17=" "," ",IFERROR(VLOOKUP(Q17,Points!$A$2:$B$14,2,FALSE)," ")))</f>
        <v xml:space="preserve"> </v>
      </c>
      <c r="T17" s="92"/>
      <c r="U17" s="93" t="str">
        <f>IF(T17=0," ",_xlfn.RANK.AVG(T17,T$5:T$24,1)-COUNTIF(T$5:T$24,0))</f>
        <v xml:space="preserve"> </v>
      </c>
      <c r="V17" s="93" t="str">
        <f>IF(T17=0," ",IF((RANK(T17,T$5:T$24,1)-COUNTIF(T$5:T$24,0)&gt;6)," ",RANK(T17,T$5:T$24,1)-COUNTIF(T$5:T$24,0)))</f>
        <v xml:space="preserve"> </v>
      </c>
      <c r="W17" s="94" t="str">
        <f>IF(Table6220273233[[#This Row],[Non-Member]]="X"," ",IF(V17=" "," ",IFERROR(VLOOKUP(U17,Points!$A$2:$B$14,2,FALSE)," ")))</f>
        <v xml:space="preserve"> </v>
      </c>
      <c r="X17" s="92"/>
      <c r="Y17" s="93" t="str">
        <f>IF(X17=0," ",_xlfn.RANK.AVG(X17,X$5:X$24,1)-COUNTIF(X$5:X$24,0))</f>
        <v xml:space="preserve"> </v>
      </c>
      <c r="Z17" s="93" t="str">
        <f>IF(X17=0," ",IF((RANK(X17,X$5:X$24,1)-COUNTIF(X$5:X$24,0)&gt;6)," ",RANK(X17,X$5:X$24,1)-COUNTIF(X$5:X$24,0)))</f>
        <v xml:space="preserve"> </v>
      </c>
      <c r="AA17" s="94" t="str">
        <f>IF(Table6220273233[[#This Row],[Non-Member]]="X"," ",IF(Z17=" "," ",IFERROR(VLOOKUP(Y17,Points!$A$2:$B$14,2,FALSE)," ")))</f>
        <v xml:space="preserve"> </v>
      </c>
      <c r="AB17" s="92"/>
      <c r="AC17" s="93" t="str">
        <f>IF(AB17=0," ",_xlfn.RANK.AVG(AB17,AB$5:AB$24,1)-COUNTIF(AB$5:AB$24,0))</f>
        <v xml:space="preserve"> </v>
      </c>
      <c r="AD17" s="93" t="str">
        <f>IF(AB17=0," ",IF((RANK(AB17,AB$5:AB$24,1)-COUNTIF(AB$5:AB$24,0)&gt;6)," ",RANK(AB17,AB$5:AB$24,1)-COUNTIF(AB$5:AB$24,0)))</f>
        <v xml:space="preserve"> </v>
      </c>
      <c r="AE17" s="94" t="str">
        <f>IF(Table6220273233[[#This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>IF(OR(AF17=0,AF17=" ")," ",_xlfn.RANK.AVG(AF17,AF$5:AF$24,1)-COUNTIF(AF$5:AF$24,0))</f>
        <v xml:space="preserve"> </v>
      </c>
      <c r="AH17" s="93" t="str">
        <f>IF(OR(AF17=0,AF17=" ")," ",IF((RANK(AF17,AF$5:AF$24,1)-COUNTIF(AF$5:AF$24,0)&gt;6)," ",RANK(AF17,AF$5:AF$24,1)-COUNTIF(AF$5:AF$24,0)))</f>
        <v xml:space="preserve"> </v>
      </c>
      <c r="AI17" s="94" t="str">
        <f>IF(Table6220273233[[#This Row],[Non-Member]]="X"," ",IF(AH17=" "," ",IFERROR(VLOOKUP(AG17,Points!$A$2:$B$14,2,FALSE)," ")))</f>
        <v xml:space="preserve"> </v>
      </c>
      <c r="AJ17" s="93">
        <f>IF(Table6220273233[[#This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>IF(AJ17=0," ",AJ17)</f>
        <v xml:space="preserve"> </v>
      </c>
      <c r="AL17" s="96" t="str">
        <f>IF(AK17=" "," ",RANK(AK17,$AK$5:$AK$24))</f>
        <v xml:space="preserve"> </v>
      </c>
    </row>
    <row r="18" spans="2:38" x14ac:dyDescent="0.3">
      <c r="B18" s="90" t="s">
        <v>324</v>
      </c>
      <c r="C18" s="91" t="s">
        <v>325</v>
      </c>
      <c r="D18" s="92"/>
      <c r="E18" s="93" t="str">
        <f>IF(D18=0," ",_xlfn.RANK.AVG(D18,D$5:D$24,1)-COUNTIF(D$5:D$24,0))</f>
        <v xml:space="preserve"> </v>
      </c>
      <c r="F18" s="93" t="str">
        <f>IF(D18=0," ",IF((RANK(D18,D$5:D$24,1)-COUNTIF(D$5:D$24,0)&gt;6)," ",RANK(D18,D$5:D$24,1)-COUNTIF(D$5:D$24,0)))</f>
        <v xml:space="preserve"> </v>
      </c>
      <c r="G18" s="94" t="str">
        <f>IF(Table6220273233[[#This Row],[Non-Member]]="X"," ",IF(F18=" "," ",IFERROR(VLOOKUP(E18,Points!$A$2:$B$14,2,FALSE)," ")))</f>
        <v xml:space="preserve"> </v>
      </c>
      <c r="H18" s="92"/>
      <c r="I18" s="93" t="str">
        <f>IF(H18=0," ",_xlfn.RANK.AVG(H18,H$5:H$24,1)-COUNTIF(H$5:H$24,0))</f>
        <v xml:space="preserve"> </v>
      </c>
      <c r="J18" s="93" t="str">
        <f>IF(H18=0," ",IF((RANK(H18,H$5:H$24,1)-COUNTIF(H$5:H$24,0)&gt;6)," ",RANK(H18,H$5:H$24,1)-COUNTIF(H$5:H$24,0)))</f>
        <v xml:space="preserve"> </v>
      </c>
      <c r="K18" s="94" t="str">
        <f>IF(Table6220273233[[#This Row],[Non-Member]]="X"," ",IF(J18=" "," ",IFERROR(VLOOKUP(I18,Points!$A$2:$B$14,2,FALSE)," ")))</f>
        <v xml:space="preserve"> </v>
      </c>
      <c r="L18" s="92"/>
      <c r="M18" s="93" t="str">
        <f>IF(L18=0," ",_xlfn.RANK.AVG(L18,L$5:L$24,1)-COUNTIF(L$5:L$24,0))</f>
        <v xml:space="preserve"> </v>
      </c>
      <c r="N18" s="93" t="str">
        <f>IF(L18=0," ",IF((RANK(L18,L$5:L$24,1)-COUNTIF(L$5:L$24,0)&gt;6)," ",RANK(L18,L$5:L$24,1)-COUNTIF(L$5:L$24,0)))</f>
        <v xml:space="preserve"> </v>
      </c>
      <c r="O18" s="94" t="str">
        <f>IF(Table6220273233[[#This Row],[Non-Member]]="X"," ",IF(N18=" "," ",IFERROR(VLOOKUP(M18,Points!$A$2:$B$14,2,FALSE)," ")))</f>
        <v xml:space="preserve"> </v>
      </c>
      <c r="P18" s="92">
        <v>9.4499999999999993</v>
      </c>
      <c r="Q18" s="93">
        <f>IF(P18=0," ",_xlfn.RANK.AVG(P18,P$5:P$24,1)-COUNTIF(P$5:P$24,0))</f>
        <v>1</v>
      </c>
      <c r="R18" s="93">
        <f>IF(P18=0," ",IF((RANK(P18,P$5:P$24,1)-COUNTIF(P$5:P$24,0)&gt;6)," ",RANK(P18,P$5:P$24,1)-COUNTIF(P$5:P$24,0)))</f>
        <v>1</v>
      </c>
      <c r="S18" s="94" t="str">
        <f>IF(Table6220273233[[#This Row],[Non-Member]]="X"," ",IF(R18=" "," ",IFERROR(VLOOKUP(Q18,Points!$A$2:$B$14,2,FALSE)," ")))</f>
        <v xml:space="preserve"> </v>
      </c>
      <c r="T18" s="92"/>
      <c r="U18" s="93" t="str">
        <f>IF(T18=0," ",_xlfn.RANK.AVG(T18,T$5:T$24,1)-COUNTIF(T$5:T$24,0))</f>
        <v xml:space="preserve"> </v>
      </c>
      <c r="V18" s="93" t="str">
        <f>IF(T18=0," ",IF((RANK(T18,T$5:T$24,1)-COUNTIF(T$5:T$24,0)&gt;6)," ",RANK(T18,T$5:T$24,1)-COUNTIF(T$5:T$24,0)))</f>
        <v xml:space="preserve"> </v>
      </c>
      <c r="W18" s="94" t="str">
        <f>IF(Table6220273233[[#This Row],[Non-Member]]="X"," ",IF(V18=" "," ",IFERROR(VLOOKUP(U18,Points!$A$2:$B$14,2,FALSE)," ")))</f>
        <v xml:space="preserve"> </v>
      </c>
      <c r="X18" s="92"/>
      <c r="Y18" s="93" t="str">
        <f>IF(X18=0," ",_xlfn.RANK.AVG(X18,X$5:X$24,1)-COUNTIF(X$5:X$24,0))</f>
        <v xml:space="preserve"> </v>
      </c>
      <c r="Z18" s="93" t="str">
        <f>IF(X18=0," ",IF((RANK(X18,X$5:X$24,1)-COUNTIF(X$5:X$24,0)&gt;6)," ",RANK(X18,X$5:X$24,1)-COUNTIF(X$5:X$24,0)))</f>
        <v xml:space="preserve"> </v>
      </c>
      <c r="AA18" s="94" t="str">
        <f>IF(Table6220273233[[#This Row],[Non-Member]]="X"," ",IF(Z18=" "," ",IFERROR(VLOOKUP(Y18,Points!$A$2:$B$14,2,FALSE)," ")))</f>
        <v xml:space="preserve"> </v>
      </c>
      <c r="AB18" s="92"/>
      <c r="AC18" s="93" t="str">
        <f>IF(AB18=0," ",_xlfn.RANK.AVG(AB18,AB$5:AB$24,1)-COUNTIF(AB$5:AB$24,0))</f>
        <v xml:space="preserve"> </v>
      </c>
      <c r="AD18" s="93" t="str">
        <f>IF(AB18=0," ",IF((RANK(AB18,AB$5:AB$24,1)-COUNTIF(AB$5:AB$24,0)&gt;6)," ",RANK(AB18,AB$5:AB$24,1)-COUNTIF(AB$5:AB$24,0)))</f>
        <v xml:space="preserve"> </v>
      </c>
      <c r="AE18" s="94" t="str">
        <f>IF(Table6220273233[[#This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>IF(OR(AF18=0,AF18=" ")," ",_xlfn.RANK.AVG(AF18,AF$5:AF$24,1)-COUNTIF(AF$5:AF$24,0))</f>
        <v xml:space="preserve"> </v>
      </c>
      <c r="AH18" s="93" t="str">
        <f>IF(OR(AF18=0,AF18=" ")," ",IF((RANK(AF18,AF$5:AF$24,1)-COUNTIF(AF$5:AF$24,0)&gt;6)," ",RANK(AF18,AF$5:AF$24,1)-COUNTIF(AF$5:AF$24,0)))</f>
        <v xml:space="preserve"> </v>
      </c>
      <c r="AI18" s="94" t="str">
        <f>IF(Table6220273233[[#This Row],[Non-Member]]="X"," ",IF(AH18=" "," ",IFERROR(VLOOKUP(AG18,Points!$A$2:$B$14,2,FALSE)," ")))</f>
        <v xml:space="preserve"> </v>
      </c>
      <c r="AJ18" s="93" t="str">
        <f>IF(Table6220273233[[#This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>IF(AJ18=0," ",AJ18)</f>
        <v xml:space="preserve"> </v>
      </c>
      <c r="AL18" s="96" t="str">
        <f>IF(AK18=" "," ",RANK(AK18,$AK$5:$AK$24))</f>
        <v xml:space="preserve"> </v>
      </c>
    </row>
    <row r="19" spans="2:38" x14ac:dyDescent="0.3">
      <c r="B19" s="90" t="s">
        <v>186</v>
      </c>
      <c r="C19" s="91"/>
      <c r="D19" s="92"/>
      <c r="E19" s="93" t="str">
        <f>IF(D19=0," ",_xlfn.RANK.AVG(D19,D$5:D$24,1)-COUNTIF(D$5:D$24,0))</f>
        <v xml:space="preserve"> </v>
      </c>
      <c r="F19" s="93" t="str">
        <f>IF(D19=0," ",IF((RANK(D19,D$5:D$24,1)-COUNTIF(D$5:D$24,0)&gt;6)," ",RANK(D19,D$5:D$24,1)-COUNTIF(D$5:D$24,0)))</f>
        <v xml:space="preserve"> </v>
      </c>
      <c r="G19" s="94" t="str">
        <f>IF(Table6220273233[[#This Row],[Non-Member]]="X"," ",IF(F19=" "," ",IFERROR(VLOOKUP(E19,Points!$A$2:$B$14,2,FALSE)," ")))</f>
        <v xml:space="preserve"> </v>
      </c>
      <c r="H19" s="92">
        <v>0</v>
      </c>
      <c r="I19" s="93" t="str">
        <f>IF(H19=0," ",_xlfn.RANK.AVG(H19,H$5:H$24,1)-COUNTIF(H$5:H$24,0))</f>
        <v xml:space="preserve"> </v>
      </c>
      <c r="J19" s="93" t="str">
        <f>IF(H19=0," ",IF((RANK(H19,H$5:H$24,1)-COUNTIF(H$5:H$24,0)&gt;6)," ",RANK(H19,H$5:H$24,1)-COUNTIF(H$5:H$24,0)))</f>
        <v xml:space="preserve"> </v>
      </c>
      <c r="K19" s="94" t="str">
        <f>IF(Table6220273233[[#This Row],[Non-Member]]="X"," ",IF(J19=" "," ",IFERROR(VLOOKUP(I19,Points!$A$2:$B$14,2,FALSE)," ")))</f>
        <v xml:space="preserve"> </v>
      </c>
      <c r="L19" s="92"/>
      <c r="M19" s="93" t="str">
        <f>IF(L19=0," ",_xlfn.RANK.AVG(L19,L$5:L$24,1)-COUNTIF(L$5:L$24,0))</f>
        <v xml:space="preserve"> </v>
      </c>
      <c r="N19" s="93" t="str">
        <f>IF(L19=0," ",IF((RANK(L19,L$5:L$24,1)-COUNTIF(L$5:L$24,0)&gt;6)," ",RANK(L19,L$5:L$24,1)-COUNTIF(L$5:L$24,0)))</f>
        <v xml:space="preserve"> </v>
      </c>
      <c r="O19" s="94" t="str">
        <f>IF(Table6220273233[[#This Row],[Non-Member]]="X"," ",IF(N19=" "," ",IFERROR(VLOOKUP(M19,Points!$A$2:$B$14,2,FALSE)," ")))</f>
        <v xml:space="preserve"> </v>
      </c>
      <c r="P19" s="135"/>
      <c r="Q19" s="93" t="str">
        <f>IF(P19=0," ",_xlfn.RANK.AVG(P19,P$5:P$24,1)-COUNTIF(P$5:P$24,0))</f>
        <v xml:space="preserve"> </v>
      </c>
      <c r="R19" s="93" t="str">
        <f>IF(P19=0," ",IF((RANK(P19,P$5:P$24,1)-COUNTIF(P$5:P$24,0)&gt;6)," ",RANK(P19,P$5:P$24,1)-COUNTIF(P$5:P$24,0)))</f>
        <v xml:space="preserve"> </v>
      </c>
      <c r="S19" s="94" t="str">
        <f>IF(Table6220273233[[#This Row],[Non-Member]]="X"," ",IF(R19=" "," ",IFERROR(VLOOKUP(Q19,Points!$A$2:$B$14,2,FALSE)," ")))</f>
        <v xml:space="preserve"> </v>
      </c>
      <c r="T19" s="92"/>
      <c r="U19" s="93" t="str">
        <f>IF(T19=0," ",_xlfn.RANK.AVG(T19,T$5:T$24,1)-COUNTIF(T$5:T$24,0))</f>
        <v xml:space="preserve"> </v>
      </c>
      <c r="V19" s="93" t="str">
        <f>IF(T19=0," ",IF((RANK(T19,T$5:T$24,1)-COUNTIF(T$5:T$24,0)&gt;6)," ",RANK(T19,T$5:T$24,1)-COUNTIF(T$5:T$24,0)))</f>
        <v xml:space="preserve"> </v>
      </c>
      <c r="W19" s="94" t="str">
        <f>IF(Table6220273233[[#This Row],[Non-Member]]="X"," ",IF(V19=" "," ",IFERROR(VLOOKUP(U19,Points!$A$2:$B$14,2,FALSE)," ")))</f>
        <v xml:space="preserve"> </v>
      </c>
      <c r="X19" s="92"/>
      <c r="Y19" s="93" t="str">
        <f>IF(X19=0," ",_xlfn.RANK.AVG(X19,X$5:X$24,1)-COUNTIF(X$5:X$24,0))</f>
        <v xml:space="preserve"> </v>
      </c>
      <c r="Z19" s="93" t="str">
        <f>IF(X19=0," ",IF((RANK(X19,X$5:X$24,1)-COUNTIF(X$5:X$24,0)&gt;6)," ",RANK(X19,X$5:X$24,1)-COUNTIF(X$5:X$24,0)))</f>
        <v xml:space="preserve"> </v>
      </c>
      <c r="AA19" s="94" t="str">
        <f>IF(Table6220273233[[#This Row],[Non-Member]]="X"," ",IF(Z19=" "," ",IFERROR(VLOOKUP(Y19,Points!$A$2:$B$14,2,FALSE)," ")))</f>
        <v xml:space="preserve"> </v>
      </c>
      <c r="AB19" s="92"/>
      <c r="AC19" s="93" t="str">
        <f>IF(AB19=0," ",_xlfn.RANK.AVG(AB19,AB$5:AB$24,1)-COUNTIF(AB$5:AB$24,0))</f>
        <v xml:space="preserve"> </v>
      </c>
      <c r="AD19" s="93" t="str">
        <f>IF(AB19=0," ",IF((RANK(AB19,AB$5:AB$24,1)-COUNTIF(AB$5:AB$24,0)&gt;6)," ",RANK(AB19,AB$5:AB$24,1)-COUNTIF(AB$5:AB$24,0)))</f>
        <v xml:space="preserve"> </v>
      </c>
      <c r="AE19" s="94" t="str">
        <f>IF(Table6220273233[[#This Row],[Non-Member]]="X"," ",IF(AD19=" "," ",IFERROR(VLOOKUP(AC19,Points!$A$2:$B$14,2,FALSE)," ")))</f>
        <v xml:space="preserve"> </v>
      </c>
      <c r="AF19" s="92" t="str">
        <f>IF(OR(X19=0,AB19=0)," ",X19+AB19)</f>
        <v xml:space="preserve"> </v>
      </c>
      <c r="AG19" s="93" t="str">
        <f>IF(OR(AF19=0,AF19=" ")," ",_xlfn.RANK.AVG(AF19,AF$5:AF$24,1)-COUNTIF(AF$5:AF$24,0))</f>
        <v xml:space="preserve"> </v>
      </c>
      <c r="AH19" s="93" t="str">
        <f>IF(OR(AF19=0,AF19=" ")," ",IF((RANK(AF19,AF$5:AF$24,1)-COUNTIF(AF$5:AF$24,0)&gt;6)," ",RANK(AF19,AF$5:AF$24,1)-COUNTIF(AF$5:AF$24,0)))</f>
        <v xml:space="preserve"> </v>
      </c>
      <c r="AI19" s="94" t="str">
        <f>IF(Table6220273233[[#This Row],[Non-Member]]="X"," ",IF(AH19=" "," ",IFERROR(VLOOKUP(AG19,Points!$A$2:$B$14,2,FALSE)," ")))</f>
        <v xml:space="preserve"> </v>
      </c>
      <c r="AJ19" s="93">
        <f>IF(Table6220273233[[#This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>IF(AJ19=0," ",AJ19)</f>
        <v xml:space="preserve"> </v>
      </c>
      <c r="AL19" s="96" t="str">
        <f>IF(AK19=" "," ",RANK(AK19,$AK$5:$AK$24))</f>
        <v xml:space="preserve"> </v>
      </c>
    </row>
    <row r="20" spans="2:38" x14ac:dyDescent="0.3">
      <c r="B20" s="90" t="s">
        <v>188</v>
      </c>
      <c r="C20" s="91"/>
      <c r="D20" s="92"/>
      <c r="E20" s="93" t="str">
        <f>IF(D20=0," ",_xlfn.RANK.AVG(D20,D$5:D$24,1)-COUNTIF(D$5:D$24,0))</f>
        <v xml:space="preserve"> </v>
      </c>
      <c r="F20" s="93" t="str">
        <f>IF(D20=0," ",IF((RANK(D20,D$5:D$24,1)-COUNTIF(D$5:D$24,0)&gt;6)," ",RANK(D20,D$5:D$24,1)-COUNTIF(D$5:D$24,0)))</f>
        <v xml:space="preserve"> </v>
      </c>
      <c r="G20" s="94" t="str">
        <f>IF(Table6220273233[[#This Row],[Non-Member]]="X"," ",IF(F20=" "," ",IFERROR(VLOOKUP(E20,Points!$A$2:$B$14,2,FALSE)," ")))</f>
        <v xml:space="preserve"> </v>
      </c>
      <c r="H20" s="92">
        <v>20.329999999999998</v>
      </c>
      <c r="I20" s="93">
        <f>IF(H20=0," ",_xlfn.RANK.AVG(H20,H$5:H$24,1)-COUNTIF(H$5:H$24,0))</f>
        <v>9</v>
      </c>
      <c r="J20" s="93" t="str">
        <f>IF(H20=0," ",IF((RANK(H20,H$5:H$24,1)-COUNTIF(H$5:H$24,0)&gt;6)," ",RANK(H20,H$5:H$24,1)-COUNTIF(H$5:H$24,0)))</f>
        <v xml:space="preserve"> </v>
      </c>
      <c r="K20" s="94" t="str">
        <f>IF(Table6220273233[[#This Row],[Non-Member]]="X"," ",IF(J20=" "," ",IFERROR(VLOOKUP(I20,Points!$A$2:$B$14,2,FALSE)," ")))</f>
        <v xml:space="preserve"> </v>
      </c>
      <c r="L20" s="92">
        <v>16.7</v>
      </c>
      <c r="M20" s="93">
        <f>IF(L20=0," ",_xlfn.RANK.AVG(L20,L$5:L$24,1)-COUNTIF(L$5:L$24,0))</f>
        <v>13</v>
      </c>
      <c r="N20" s="93" t="str">
        <f>IF(L20=0," ",IF((RANK(L20,L$5:L$24,1)-COUNTIF(L$5:L$24,0)&gt;6)," ",RANK(L20,L$5:L$24,1)-COUNTIF(L$5:L$24,0)))</f>
        <v xml:space="preserve"> </v>
      </c>
      <c r="O20" s="94" t="str">
        <f>IF(Table6220273233[[#This Row],[Non-Member]]="X"," ",IF(N20=" "," ",IFERROR(VLOOKUP(M20,Points!$A$2:$B$14,2,FALSE)," ")))</f>
        <v xml:space="preserve"> </v>
      </c>
      <c r="P20" s="135">
        <v>17.12</v>
      </c>
      <c r="Q20" s="93">
        <f>IF(P20=0," ",_xlfn.RANK.AVG(P20,P$5:P$24,1)-COUNTIF(P$5:P$24,0))</f>
        <v>16</v>
      </c>
      <c r="R20" s="93" t="str">
        <f>IF(P20=0," ",IF((RANK(P20,P$5:P$24,1)-COUNTIF(P$5:P$24,0)&gt;6)," ",RANK(P20,P$5:P$24,1)-COUNTIF(P$5:P$24,0)))</f>
        <v xml:space="preserve"> </v>
      </c>
      <c r="S20" s="94" t="str">
        <f>IF(Table6220273233[[#This Row],[Non-Member]]="X"," ",IF(R20=" "," ",IFERROR(VLOOKUP(Q20,Points!$A$2:$B$14,2,FALSE)," ")))</f>
        <v xml:space="preserve"> </v>
      </c>
      <c r="T20" s="92"/>
      <c r="U20" s="93" t="str">
        <f>IF(T20=0," ",_xlfn.RANK.AVG(T20,T$5:T$24,1)-COUNTIF(T$5:T$24,0))</f>
        <v xml:space="preserve"> </v>
      </c>
      <c r="V20" s="93" t="str">
        <f>IF(T20=0," ",IF((RANK(T20,T$5:T$24,1)-COUNTIF(T$5:T$24,0)&gt;6)," ",RANK(T20,T$5:T$24,1)-COUNTIF(T$5:T$24,0)))</f>
        <v xml:space="preserve"> </v>
      </c>
      <c r="W20" s="94" t="str">
        <f>IF(Table6220273233[[#This Row],[Non-Member]]="X"," ",IF(V20=" "," ",IFERROR(VLOOKUP(U20,Points!$A$2:$B$14,2,FALSE)," ")))</f>
        <v xml:space="preserve"> </v>
      </c>
      <c r="X20" s="92"/>
      <c r="Y20" s="93" t="str">
        <f>IF(X20=0," ",_xlfn.RANK.AVG(X20,X$5:X$24,1)-COUNTIF(X$5:X$24,0))</f>
        <v xml:space="preserve"> </v>
      </c>
      <c r="Z20" s="93" t="str">
        <f>IF(X20=0," ",IF((RANK(X20,X$5:X$24,1)-COUNTIF(X$5:X$24,0)&gt;6)," ",RANK(X20,X$5:X$24,1)-COUNTIF(X$5:X$24,0)))</f>
        <v xml:space="preserve"> </v>
      </c>
      <c r="AA20" s="94" t="str">
        <f>IF(Table6220273233[[#This Row],[Non-Member]]="X"," ",IF(Z20=" "," ",IFERROR(VLOOKUP(Y20,Points!$A$2:$B$14,2,FALSE)," ")))</f>
        <v xml:space="preserve"> </v>
      </c>
      <c r="AB20" s="92"/>
      <c r="AC20" s="93" t="str">
        <f>IF(AB20=0," ",_xlfn.RANK.AVG(AB20,AB$5:AB$24,1)-COUNTIF(AB$5:AB$24,0))</f>
        <v xml:space="preserve"> </v>
      </c>
      <c r="AD20" s="93" t="str">
        <f>IF(AB20=0," ",IF((RANK(AB20,AB$5:AB$24,1)-COUNTIF(AB$5:AB$24,0)&gt;6)," ",RANK(AB20,AB$5:AB$24,1)-COUNTIF(AB$5:AB$24,0)))</f>
        <v xml:space="preserve"> </v>
      </c>
      <c r="AE20" s="94" t="str">
        <f>IF(Table6220273233[[#This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3" t="str">
        <f>IF(OR(AF20=0,AF20=" ")," ",_xlfn.RANK.AVG(AF20,AF$5:AF$24,1)-COUNTIF(AF$5:AF$24,0))</f>
        <v xml:space="preserve"> </v>
      </c>
      <c r="AH20" s="93" t="str">
        <f>IF(OR(AF20=0,AF20=" ")," ",IF((RANK(AF20,AF$5:AF$24,1)-COUNTIF(AF$5:AF$24,0)&gt;6)," ",RANK(AF20,AF$5:AF$24,1)-COUNTIF(AF$5:AF$24,0)))</f>
        <v xml:space="preserve"> </v>
      </c>
      <c r="AI20" s="94" t="str">
        <f>IF(Table6220273233[[#This Row],[Non-Member]]="X"," ",IF(AH20=" "," ",IFERROR(VLOOKUP(AG20,Points!$A$2:$B$14,2,FALSE)," ")))</f>
        <v xml:space="preserve"> </v>
      </c>
      <c r="AJ20" s="93">
        <f>IF(Table6220273233[[#This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>IF(AJ20=0," ",AJ20)</f>
        <v xml:space="preserve"> </v>
      </c>
      <c r="AL20" s="96" t="str">
        <f>IF(AK20=" "," ",RANK(AK20,$AK$5:$AK$24))</f>
        <v xml:space="preserve"> </v>
      </c>
    </row>
    <row r="21" spans="2:38" x14ac:dyDescent="0.3">
      <c r="B21" s="90" t="s">
        <v>319</v>
      </c>
      <c r="C21" s="91" t="s">
        <v>325</v>
      </c>
      <c r="D21" s="92"/>
      <c r="E21" s="97" t="str">
        <f>IF(D21=0," ",_xlfn.RANK.AVG(D21,D$5:D$24,1)-COUNTIF(D$5:D$24,0))</f>
        <v xml:space="preserve"> </v>
      </c>
      <c r="F21" s="97" t="str">
        <f>IF(D21=0," ",IF((RANK(D21,D$5:D$24,1)-COUNTIF(D$5:D$24,0)&gt;6)," ",RANK(D21,D$5:D$24,1)-COUNTIF(D$5:D$24,0)))</f>
        <v xml:space="preserve"> </v>
      </c>
      <c r="G21" s="94" t="str">
        <f>IF(Table6220273233[[#This Row],[Non-Member]]="X"," ",IF(F21=" "," ",IFERROR(VLOOKUP(E21,Points!$A$2:$B$14,2,FALSE)," ")))</f>
        <v xml:space="preserve"> </v>
      </c>
      <c r="H21" s="92"/>
      <c r="I21" s="97" t="str">
        <f>IF(H21=0," ",_xlfn.RANK.AVG(H21,H$5:H$24,1)-COUNTIF(H$5:H$24,0))</f>
        <v xml:space="preserve"> </v>
      </c>
      <c r="J21" s="97" t="str">
        <f>IF(H21=0," ",IF((RANK(H21,H$5:H$24,1)-COUNTIF(H$5:H$24,0)&gt;6)," ",RANK(H21,H$5:H$24,1)-COUNTIF(H$5:H$24,0)))</f>
        <v xml:space="preserve"> </v>
      </c>
      <c r="K21" s="94" t="str">
        <f>IF(Table6220273233[[#This Row],[Non-Member]]="X"," ",IF(J21=" "," ",IFERROR(VLOOKUP(I21,Points!$A$2:$B$14,2,FALSE)," ")))</f>
        <v xml:space="preserve"> </v>
      </c>
      <c r="L21" s="92">
        <v>13.42</v>
      </c>
      <c r="M21" s="97">
        <f>IF(L21=0," ",_xlfn.RANK.AVG(L21,L$5:L$24,1)-COUNTIF(L$5:L$24,0))</f>
        <v>6</v>
      </c>
      <c r="N21" s="97">
        <f>IF(L21=0," ",IF((RANK(L21,L$5:L$24,1)-COUNTIF(L$5:L$24,0)&gt;6)," ",RANK(L21,L$5:L$24,1)-COUNTIF(L$5:L$24,0)))</f>
        <v>6</v>
      </c>
      <c r="O21" s="94" t="str">
        <f>IF(Table6220273233[[#This Row],[Non-Member]]="X"," ",IF(N21=" "," ",IFERROR(VLOOKUP(M21,Points!$A$2:$B$14,2,FALSE)," ")))</f>
        <v xml:space="preserve"> </v>
      </c>
      <c r="P21" s="92">
        <v>10.7</v>
      </c>
      <c r="Q21" s="97">
        <f>IF(P21=0," ",_xlfn.RANK.AVG(P21,P$5:P$24,1)-COUNTIF(P$5:P$24,0))</f>
        <v>4</v>
      </c>
      <c r="R21" s="97">
        <f>IF(P21=0," ",IF((RANK(P21,P$5:P$24,1)-COUNTIF(P$5:P$24,0)&gt;6)," ",RANK(P21,P$5:P$24,1)-COUNTIF(P$5:P$24,0)))</f>
        <v>4</v>
      </c>
      <c r="S21" s="94" t="str">
        <f>IF(Table6220273233[[#This Row],[Non-Member]]="X"," ",IF(R21=" "," ",IFERROR(VLOOKUP(Q21,Points!$A$2:$B$14,2,FALSE)," ")))</f>
        <v xml:space="preserve"> </v>
      </c>
      <c r="T21" s="92"/>
      <c r="U21" s="97" t="str">
        <f>IF(T21=0," ",_xlfn.RANK.AVG(T21,T$5:T$24,1)-COUNTIF(T$5:T$24,0))</f>
        <v xml:space="preserve"> </v>
      </c>
      <c r="V21" s="97" t="str">
        <f>IF(T21=0," ",IF((RANK(T21,T$5:T$24,1)-COUNTIF(T$5:T$24,0)&gt;6)," ",RANK(T21,T$5:T$24,1)-COUNTIF(T$5:T$24,0)))</f>
        <v xml:space="preserve"> </v>
      </c>
      <c r="W21" s="94" t="str">
        <f>IF(Table6220273233[[#This Row],[Non-Member]]="X"," ",IF(V21=" "," ",IFERROR(VLOOKUP(U21,Points!$A$2:$B$14,2,FALSE)," ")))</f>
        <v xml:space="preserve"> </v>
      </c>
      <c r="X21" s="92"/>
      <c r="Y21" s="97" t="str">
        <f>IF(X21=0," ",_xlfn.RANK.AVG(X21,X$5:X$24,1)-COUNTIF(X$5:X$24,0))</f>
        <v xml:space="preserve"> </v>
      </c>
      <c r="Z21" s="97" t="str">
        <f>IF(X21=0," ",IF((RANK(X21,X$5:X$24,1)-COUNTIF(X$5:X$24,0)&gt;6)," ",RANK(X21,X$5:X$24,1)-COUNTIF(X$5:X$24,0)))</f>
        <v xml:space="preserve"> </v>
      </c>
      <c r="AA21" s="94" t="str">
        <f>IF(Table6220273233[[#This Row],[Non-Member]]="X"," ",IF(Z21=" "," ",IFERROR(VLOOKUP(Y21,Points!$A$2:$B$14,2,FALSE)," ")))</f>
        <v xml:space="preserve"> </v>
      </c>
      <c r="AB21" s="92"/>
      <c r="AC21" s="97" t="str">
        <f>IF(AB21=0," ",_xlfn.RANK.AVG(AB21,AB$5:AB$24,1)-COUNTIF(AB$5:AB$24,0))</f>
        <v xml:space="preserve"> </v>
      </c>
      <c r="AD21" s="97" t="str">
        <f>IF(AB21=0," ",IF((RANK(AB21,AB$5:AB$24,1)-COUNTIF(AB$5:AB$24,0)&gt;6)," ",RANK(AB21,AB$5:AB$24,1)-COUNTIF(AB$5:AB$24,0)))</f>
        <v xml:space="preserve"> </v>
      </c>
      <c r="AE21" s="94" t="str">
        <f>IF(Table6220273233[[#This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7" t="str">
        <f>IF(OR(AF21=0,AF21=" ")," ",_xlfn.RANK.AVG(AF21,AF$5:AF$24,1)-COUNTIF(AF$5:AF$24,0))</f>
        <v xml:space="preserve"> </v>
      </c>
      <c r="AH21" s="97" t="str">
        <f>IF(OR(AF21=0,AF21=" ")," ",IF((RANK(AF21,AF$5:AF$24,1)-COUNTIF(AF$5:AF$24,0)&gt;6)," ",RANK(AF21,AF$5:AF$24,1)-COUNTIF(AF$5:AF$24,0)))</f>
        <v xml:space="preserve"> </v>
      </c>
      <c r="AI21" s="94" t="str">
        <f>IF(Table6220273233[[#This Row],[Non-Member]]="X"," ",IF(AH21=" "," ",IFERROR(VLOOKUP(AG21,Points!$A$2:$B$14,2,FALSE)," ")))</f>
        <v xml:space="preserve"> </v>
      </c>
      <c r="AJ21" s="97" t="str">
        <f>IF(Table6220273233[[#This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>IF(AJ21=0," ",AJ21)</f>
        <v xml:space="preserve"> </v>
      </c>
      <c r="AL21" s="98" t="str">
        <f>IF(AK21=" "," ",RANK(AK21,$AK$5:$AK$24))</f>
        <v xml:space="preserve"> </v>
      </c>
    </row>
    <row r="22" spans="2:38" x14ac:dyDescent="0.3">
      <c r="B22" s="90" t="s">
        <v>321</v>
      </c>
      <c r="C22" s="91" t="s">
        <v>325</v>
      </c>
      <c r="D22" s="92"/>
      <c r="E22" s="93" t="str">
        <f>IF(D22=0," ",_xlfn.RANK.AVG(D22,D$5:D$24,1)-COUNTIF(D$5:D$24,0))</f>
        <v xml:space="preserve"> </v>
      </c>
      <c r="F22" s="93" t="str">
        <f>IF(D22=0," ",IF((RANK(D22,D$5:D$24,1)-COUNTIF(D$5:D$24,0)&gt;6)," ",RANK(D22,D$5:D$24,1)-COUNTIF(D$5:D$24,0)))</f>
        <v xml:space="preserve"> </v>
      </c>
      <c r="G22" s="94" t="str">
        <f>IF(Table6220273233[[#This Row],[Non-Member]]="X"," ",IF(F22=" "," ",IFERROR(VLOOKUP(E22,Points!$A$2:$B$14,2,FALSE)," ")))</f>
        <v xml:space="preserve"> </v>
      </c>
      <c r="H22" s="92"/>
      <c r="I22" s="93" t="str">
        <f>IF(H22=0," ",_xlfn.RANK.AVG(H22,H$5:H$24,1)-COUNTIF(H$5:H$24,0))</f>
        <v xml:space="preserve"> </v>
      </c>
      <c r="J22" s="93" t="str">
        <f>IF(H22=0," ",IF((RANK(H22,H$5:H$24,1)-COUNTIF(H$5:H$24,0)&gt;6)," ",RANK(H22,H$5:H$24,1)-COUNTIF(H$5:H$24,0)))</f>
        <v xml:space="preserve"> </v>
      </c>
      <c r="K22" s="94" t="str">
        <f>IF(Table6220273233[[#This Row],[Non-Member]]="X"," ",IF(J22=" "," ",IFERROR(VLOOKUP(I22,Points!$A$2:$B$14,2,FALSE)," ")))</f>
        <v xml:space="preserve"> </v>
      </c>
      <c r="L22" s="92">
        <v>17.420000000000002</v>
      </c>
      <c r="M22" s="93">
        <f>IF(L22=0," ",_xlfn.RANK.AVG(L22,L$5:L$24,1)-COUNTIF(L$5:L$24,0))</f>
        <v>14</v>
      </c>
      <c r="N22" s="93" t="str">
        <f>IF(L22=0," ",IF((RANK(L22,L$5:L$24,1)-COUNTIF(L$5:L$24,0)&gt;6)," ",RANK(L22,L$5:L$24,1)-COUNTIF(L$5:L$24,0)))</f>
        <v xml:space="preserve"> </v>
      </c>
      <c r="O22" s="94" t="str">
        <f>IF(Table6220273233[[#This Row],[Non-Member]]="X"," ",IF(N22=" "," ",IFERROR(VLOOKUP(M22,Points!$A$2:$B$14,2,FALSE)," ")))</f>
        <v xml:space="preserve"> </v>
      </c>
      <c r="P22" s="92">
        <v>13.77</v>
      </c>
      <c r="Q22" s="93">
        <f>IF(P22=0," ",_xlfn.RANK.AVG(P22,P$5:P$24,1)-COUNTIF(P$5:P$24,0))</f>
        <v>12</v>
      </c>
      <c r="R22" s="93" t="str">
        <f>IF(P22=0," ",IF((RANK(P22,P$5:P$24,1)-COUNTIF(P$5:P$24,0)&gt;6)," ",RANK(P22,P$5:P$24,1)-COUNTIF(P$5:P$24,0)))</f>
        <v xml:space="preserve"> </v>
      </c>
      <c r="S22" s="94" t="str">
        <f>IF(Table6220273233[[#This Row],[Non-Member]]="X"," ",IF(R22=" "," ",IFERROR(VLOOKUP(Q22,Points!$A$2:$B$14,2,FALSE)," ")))</f>
        <v xml:space="preserve"> </v>
      </c>
      <c r="T22" s="92"/>
      <c r="U22" s="93" t="str">
        <f>IF(T22=0," ",_xlfn.RANK.AVG(T22,T$5:T$24,1)-COUNTIF(T$5:T$24,0))</f>
        <v xml:space="preserve"> </v>
      </c>
      <c r="V22" s="93" t="str">
        <f>IF(T22=0," ",IF((RANK(T22,T$5:T$24,1)-COUNTIF(T$5:T$24,0)&gt;6)," ",RANK(T22,T$5:T$24,1)-COUNTIF(T$5:T$24,0)))</f>
        <v xml:space="preserve"> </v>
      </c>
      <c r="W22" s="94" t="str">
        <f>IF(Table6220273233[[#This Row],[Non-Member]]="X"," ",IF(V22=" "," ",IFERROR(VLOOKUP(U22,Points!$A$2:$B$14,2,FALSE)," ")))</f>
        <v xml:space="preserve"> </v>
      </c>
      <c r="X22" s="92"/>
      <c r="Y22" s="93" t="str">
        <f>IF(X22=0," ",_xlfn.RANK.AVG(X22,X$5:X$24,1)-COUNTIF(X$5:X$24,0))</f>
        <v xml:space="preserve"> </v>
      </c>
      <c r="Z22" s="93" t="str">
        <f>IF(X22=0," ",IF((RANK(X22,X$5:X$24,1)-COUNTIF(X$5:X$24,0)&gt;6)," ",RANK(X22,X$5:X$24,1)-COUNTIF(X$5:X$24,0)))</f>
        <v xml:space="preserve"> </v>
      </c>
      <c r="AA22" s="94" t="str">
        <f>IF(Table6220273233[[#This Row],[Non-Member]]="X"," ",IF(Z22=" "," ",IFERROR(VLOOKUP(Y22,Points!$A$2:$B$14,2,FALSE)," ")))</f>
        <v xml:space="preserve"> </v>
      </c>
      <c r="AB22" s="92"/>
      <c r="AC22" s="93" t="str">
        <f>IF(AB22=0," ",_xlfn.RANK.AVG(AB22,AB$5:AB$24,1)-COUNTIF(AB$5:AB$24,0))</f>
        <v xml:space="preserve"> </v>
      </c>
      <c r="AD22" s="93" t="str">
        <f>IF(AB22=0," ",IF((RANK(AB22,AB$5:AB$24,1)-COUNTIF(AB$5:AB$24,0)&gt;6)," ",RANK(AB22,AB$5:AB$24,1)-COUNTIF(AB$5:AB$24,0)))</f>
        <v xml:space="preserve"> </v>
      </c>
      <c r="AE22" s="94" t="str">
        <f>IF(Table6220273233[[#This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>IF(OR(AF22=0,AF22=" ")," ",IF((RANK(AF22,AF$5:AF$24,1)-COUNTIF(AF$5:AF$24,0)&gt;6)," ",RANK(AF22,AF$5:AF$24,1)-COUNTIF(AF$5:AF$24,0)))</f>
        <v xml:space="preserve"> </v>
      </c>
      <c r="AI22" s="94" t="str">
        <f>IF(Table6220273233[[#This Row],[Non-Member]]="X"," ",IF(AH22=" "," ",IFERROR(VLOOKUP(AG22,Points!$A$2:$B$14,2,FALSE)," ")))</f>
        <v xml:space="preserve"> </v>
      </c>
      <c r="AJ22" s="93" t="str">
        <f>IF(Table6220273233[[#This Row],[Non-Member]]="X"," ",((IF(G22=" ",0,G22))+(IF(K22=" ",0,K22))+(IF(O22=" ",0,O22))+(IF(S22=" ",0,S22))+(IF(W22=" ",0,W22))+(IF(AA22=" ",0,AA22))+(IF(AE22=" ",0,AE22))+(IF(AI22=" ",0,AI22))))</f>
        <v xml:space="preserve"> </v>
      </c>
      <c r="AK22" s="95" t="str">
        <f>IF(AJ22=0," ",AJ22)</f>
        <v xml:space="preserve"> </v>
      </c>
      <c r="AL22" s="96" t="str">
        <f>IF(AK22=" "," ",RANK(AK22,$AK$5:$AK$24))</f>
        <v xml:space="preserve"> </v>
      </c>
    </row>
    <row r="23" spans="2:38" x14ac:dyDescent="0.3">
      <c r="B23" s="90"/>
      <c r="C23" s="91"/>
      <c r="D23" s="92"/>
      <c r="E23" s="93" t="str">
        <f>IF(D23=0," ",_xlfn.RANK.AVG(D23,D$5:D$24,1)-COUNTIF(D$5:D$24,0))</f>
        <v xml:space="preserve"> </v>
      </c>
      <c r="F23" s="93" t="str">
        <f>IF(D23=0," ",IF((RANK(D23,D$5:D$24,1)-COUNTIF(D$5:D$24,0)&gt;6)," ",RANK(D23,D$5:D$24,1)-COUNTIF(D$5:D$24,0)))</f>
        <v xml:space="preserve"> </v>
      </c>
      <c r="G23" s="94" t="str">
        <f>IF(Table6220273233[[#This Row],[Non-Member]]="X"," ",IF(F23=" "," ",IFERROR(VLOOKUP(E23,Points!$A$2:$B$14,2,FALSE)," ")))</f>
        <v xml:space="preserve"> </v>
      </c>
      <c r="H23" s="92"/>
      <c r="I23" s="93" t="str">
        <f>IF(H23=0," ",_xlfn.RANK.AVG(H23,H$5:H$24,1)-COUNTIF(H$5:H$24,0))</f>
        <v xml:space="preserve"> </v>
      </c>
      <c r="J23" s="93" t="str">
        <f>IF(H23=0," ",IF((RANK(H23,H$5:H$24,1)-COUNTIF(H$5:H$24,0)&gt;6)," ",RANK(H23,H$5:H$24,1)-COUNTIF(H$5:H$24,0)))</f>
        <v xml:space="preserve"> </v>
      </c>
      <c r="K23" s="94" t="str">
        <f>IF(Table6220273233[[#This Row],[Non-Member]]="X"," ",IF(J23=" "," ",IFERROR(VLOOKUP(I23,Points!$A$2:$B$14,2,FALSE)," ")))</f>
        <v xml:space="preserve"> </v>
      </c>
      <c r="L23" s="92"/>
      <c r="M23" s="93" t="str">
        <f>IF(L23=0," ",_xlfn.RANK.AVG(L23,L$5:L$24,1)-COUNTIF(L$5:L$24,0))</f>
        <v xml:space="preserve"> </v>
      </c>
      <c r="N23" s="93" t="str">
        <f>IF(L23=0," ",IF((RANK(L23,L$5:L$24,1)-COUNTIF(L$5:L$24,0)&gt;6)," ",RANK(L23,L$5:L$24,1)-COUNTIF(L$5:L$24,0)))</f>
        <v xml:space="preserve"> </v>
      </c>
      <c r="O23" s="94" t="str">
        <f>IF(Table6220273233[[#This Row],[Non-Member]]="X"," ",IF(N23=" "," ",IFERROR(VLOOKUP(M23,Points!$A$2:$B$14,2,FALSE)," ")))</f>
        <v xml:space="preserve"> </v>
      </c>
      <c r="P23" s="92"/>
      <c r="Q23" s="93" t="str">
        <f>IF(P23=0," ",_xlfn.RANK.AVG(P23,P$5:P$24,1)-COUNTIF(P$5:P$24,0))</f>
        <v xml:space="preserve"> </v>
      </c>
      <c r="R23" s="93" t="str">
        <f>IF(P23=0," ",IF((RANK(P23,P$5:P$24,1)-COUNTIF(P$5:P$24,0)&gt;6)," ",RANK(P23,P$5:P$24,1)-COUNTIF(P$5:P$24,0)))</f>
        <v xml:space="preserve"> </v>
      </c>
      <c r="S23" s="94" t="str">
        <f>IF(Table6220273233[[#This Row],[Non-Member]]="X"," ",IF(R23=" "," ",IFERROR(VLOOKUP(Q23,Points!$A$2:$B$14,2,FALSE)," ")))</f>
        <v xml:space="preserve"> </v>
      </c>
      <c r="T23" s="92"/>
      <c r="U23" s="93" t="str">
        <f>IF(T23=0," ",_xlfn.RANK.AVG(T23,T$5:T$24,1)-COUNTIF(T$5:T$24,0))</f>
        <v xml:space="preserve"> </v>
      </c>
      <c r="V23" s="93" t="str">
        <f>IF(T23=0," ",IF((RANK(T23,T$5:T$24,1)-COUNTIF(T$5:T$24,0)&gt;6)," ",RANK(T23,T$5:T$24,1)-COUNTIF(T$5:T$24,0)))</f>
        <v xml:space="preserve"> </v>
      </c>
      <c r="W23" s="94" t="str">
        <f>IF(Table6220273233[[#This Row],[Non-Member]]="X"," ",IF(V23=" "," ",IFERROR(VLOOKUP(U23,Points!$A$2:$B$14,2,FALSE)," ")))</f>
        <v xml:space="preserve"> </v>
      </c>
      <c r="X23" s="92"/>
      <c r="Y23" s="93" t="str">
        <f>IF(X23=0," ",_xlfn.RANK.AVG(X23,X$5:X$24,1)-COUNTIF(X$5:X$24,0))</f>
        <v xml:space="preserve"> </v>
      </c>
      <c r="Z23" s="93" t="str">
        <f>IF(X23=0," ",IF((RANK(X23,X$5:X$24,1)-COUNTIF(X$5:X$24,0)&gt;6)," ",RANK(X23,X$5:X$24,1)-COUNTIF(X$5:X$24,0)))</f>
        <v xml:space="preserve"> </v>
      </c>
      <c r="AA23" s="94" t="str">
        <f>IF(Table6220273233[[#This Row],[Non-Member]]="X"," ",IF(Z23=" "," ",IFERROR(VLOOKUP(Y23,Points!$A$2:$B$14,2,FALSE)," ")))</f>
        <v xml:space="preserve"> </v>
      </c>
      <c r="AB23" s="92"/>
      <c r="AC23" s="93" t="str">
        <f>IF(AB23=0," ",_xlfn.RANK.AVG(AB23,AB$5:AB$24,1)-COUNTIF(AB$5:AB$24,0))</f>
        <v xml:space="preserve"> </v>
      </c>
      <c r="AD23" s="93" t="str">
        <f>IF(AB23=0," ",IF((RANK(AB23,AB$5:AB$24,1)-COUNTIF(AB$5:AB$24,0)&gt;6)," ",RANK(AB23,AB$5:AB$24,1)-COUNTIF(AB$5:AB$24,0)))</f>
        <v xml:space="preserve"> </v>
      </c>
      <c r="AE23" s="94" t="str">
        <f>IF(Table6220273233[[#This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>IF(OR(AF23=0,AF23=" ")," ",IF((RANK(AF23,AF$5:AF$24,1)-COUNTIF(AF$5:AF$24,0)&gt;6)," ",RANK(AF23,AF$5:AF$24,1)-COUNTIF(AF$5:AF$24,0)))</f>
        <v xml:space="preserve"> </v>
      </c>
      <c r="AI23" s="94" t="str">
        <f>IF(Table6220273233[[#This Row],[Non-Member]]="X"," ",IF(AH23=" "," ",IFERROR(VLOOKUP(AG23,Points!$A$2:$B$14,2,FALSE)," ")))</f>
        <v xml:space="preserve"> </v>
      </c>
      <c r="AJ23" s="93">
        <f>IF(Table6220273233[[#This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>IF(AJ23=0," ",AJ23)</f>
        <v xml:space="preserve"> </v>
      </c>
      <c r="AL23" s="96" t="str">
        <f>IF(AK23=" "," ",RANK(AK23,$AK$5:$AK$24))</f>
        <v xml:space="preserve"> </v>
      </c>
    </row>
    <row r="24" spans="2:38" ht="14.5" thickBot="1" x14ac:dyDescent="0.35">
      <c r="B24" s="100"/>
      <c r="C24" s="101"/>
      <c r="D24" s="102"/>
      <c r="E24" s="103" t="str">
        <f>IF(D24=0," ",_xlfn.RANK.AVG(D24,D$5:D$24,1)-COUNTIF(D$5:D$24,0))</f>
        <v xml:space="preserve"> </v>
      </c>
      <c r="F24" s="103" t="str">
        <f>IF(D24=0," ",IF((RANK(D24,D$5:D$24,1)-COUNTIF(D$5:D$24,0)&gt;6)," ",RANK(D24,D$5:D$24,1)-COUNTIF(D$5:D$24,0)))</f>
        <v xml:space="preserve"> </v>
      </c>
      <c r="G24" s="104" t="str">
        <f>IF(Table6220273233[[#This Row],[Non-Member]]="X"," ",IF(F24=" "," ",IFERROR(VLOOKUP(E24,Points!$A$2:$B$14,2,FALSE)," ")))</f>
        <v xml:space="preserve"> </v>
      </c>
      <c r="H24" s="102"/>
      <c r="I24" s="103" t="str">
        <f>IF(H24=0," ",_xlfn.RANK.AVG(H24,H$5:H$24,1)-COUNTIF(H$5:H$24,0))</f>
        <v xml:space="preserve"> </v>
      </c>
      <c r="J24" s="103" t="str">
        <f>IF(H24=0," ",IF((RANK(H24,H$5:H$24,1)-COUNTIF(H$5:H$24,0)&gt;6)," ",RANK(H24,H$5:H$24,1)-COUNTIF(H$5:H$24,0)))</f>
        <v xml:space="preserve"> </v>
      </c>
      <c r="K24" s="104" t="str">
        <f>IF(Table6220273233[[#This Row],[Non-Member]]="X"," ",IF(J24=" "," ",IFERROR(VLOOKUP(I24,Points!$A$2:$B$14,2,FALSE)," ")))</f>
        <v xml:space="preserve"> </v>
      </c>
      <c r="L24" s="102"/>
      <c r="M24" s="103" t="str">
        <f>IF(L24=0," ",_xlfn.RANK.AVG(L24,L$5:L$24,1)-COUNTIF(L$5:L$24,0))</f>
        <v xml:space="preserve"> </v>
      </c>
      <c r="N24" s="103" t="str">
        <f>IF(L24=0," ",IF((RANK(L24,L$5:L$24,1)-COUNTIF(L$5:L$24,0)&gt;6)," ",RANK(L24,L$5:L$24,1)-COUNTIF(L$5:L$24,0)))</f>
        <v xml:space="preserve"> </v>
      </c>
      <c r="O24" s="104" t="str">
        <f>IF(Table6220273233[[#This Row],[Non-Member]]="X"," ",IF(N24=" "," ",IFERROR(VLOOKUP(M24,Points!$A$2:$B$14,2,FALSE)," ")))</f>
        <v xml:space="preserve"> </v>
      </c>
      <c r="P24" s="102"/>
      <c r="Q24" s="103" t="str">
        <f>IF(P24=0," ",_xlfn.RANK.AVG(P24,P$5:P$24,1)-COUNTIF(P$5:P$24,0))</f>
        <v xml:space="preserve"> </v>
      </c>
      <c r="R24" s="103" t="str">
        <f>IF(P24=0," ",IF((RANK(P24,P$5:P$24,1)-COUNTIF(P$5:P$24,0)&gt;6)," ",RANK(P24,P$5:P$24,1)-COUNTIF(P$5:P$24,0)))</f>
        <v xml:space="preserve"> </v>
      </c>
      <c r="S24" s="104" t="str">
        <f>IF(Table6220273233[[#This Row],[Non-Member]]="X"," ",IF(R24=" "," ",IFERROR(VLOOKUP(Q24,Points!$A$2:$B$14,2,FALSE)," ")))</f>
        <v xml:space="preserve"> </v>
      </c>
      <c r="T24" s="102"/>
      <c r="U24" s="103" t="str">
        <f>IF(T24=0," ",_xlfn.RANK.AVG(T24,T$5:T$24,1)-COUNTIF(T$5:T$24,0))</f>
        <v xml:space="preserve"> </v>
      </c>
      <c r="V24" s="103" t="str">
        <f>IF(T24=0," ",IF((RANK(T24,T$5:T$24,1)-COUNTIF(T$5:T$24,0)&gt;6)," ",RANK(T24,T$5:T$24,1)-COUNTIF(T$5:T$24,0)))</f>
        <v xml:space="preserve"> </v>
      </c>
      <c r="W24" s="104" t="str">
        <f>IF(Table6220273233[[#This Row],[Non-Member]]="X"," ",IF(V24=" "," ",IFERROR(VLOOKUP(U24,Points!$A$2:$B$14,2,FALSE)," ")))</f>
        <v xml:space="preserve"> </v>
      </c>
      <c r="X24" s="102"/>
      <c r="Y24" s="103" t="str">
        <f>IF(X24=0," ",_xlfn.RANK.AVG(X24,X$5:X$24,1)-COUNTIF(X$5:X$24,0))</f>
        <v xml:space="preserve"> </v>
      </c>
      <c r="Z24" s="103" t="str">
        <f>IF(X24=0," ",IF((RANK(X24,X$5:X$24,1)-COUNTIF(X$5:X$24,0)&gt;6)," ",RANK(X24,X$5:X$24,1)-COUNTIF(X$5:X$24,0)))</f>
        <v xml:space="preserve"> </v>
      </c>
      <c r="AA24" s="104" t="str">
        <f>IF(Table6220273233[[#This Row],[Non-Member]]="X"," ",IF(Z24=" "," ",IFERROR(VLOOKUP(Y24,Points!$A$2:$B$14,2,FALSE)," ")))</f>
        <v xml:space="preserve"> </v>
      </c>
      <c r="AB24" s="102"/>
      <c r="AC24" s="103" t="str">
        <f>IF(AB24=0," ",_xlfn.RANK.AVG(AB24,AB$5:AB$24,1)-COUNTIF(AB$5:AB$24,0))</f>
        <v xml:space="preserve"> </v>
      </c>
      <c r="AD24" s="103" t="str">
        <f>IF(AB24=0," ",IF((RANK(AB24,AB$5:AB$24,1)-COUNTIF(AB$5:AB$24,0)&gt;6)," ",RANK(AB24,AB$5:AB$24,1)-COUNTIF(AB$5:AB$24,0)))</f>
        <v xml:space="preserve"> </v>
      </c>
      <c r="AE24" s="104" t="str">
        <f>IF(Table6220273233[[#This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>IF(OR(AF24=0,AF24=" ")," ",IF((RANK(AF24,AF$5:AF$24,1)-COUNTIF(AF$5:AF$24,0)&gt;6)," ",RANK(AF24,AF$5:AF$24,1)-COUNTIF(AF$5:AF$24,0)))</f>
        <v xml:space="preserve"> </v>
      </c>
      <c r="AI24" s="104" t="str">
        <f>IF(Table6220273233[[#This Row],[Non-Member]]="X"," ",IF(AH24=" "," ",IFERROR(VLOOKUP(AG24,Points!$A$2:$B$14,2,FALSE)," ")))</f>
        <v xml:space="preserve"> </v>
      </c>
      <c r="AJ24" s="93">
        <f>IF(Table6220273233[[#This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>IF(AJ24=0," ",AJ24)</f>
        <v xml:space="preserve"> </v>
      </c>
      <c r="AL24" s="96" t="str">
        <f>IF(AK24=" "," ",RANK(AK24,$AK$5:$AK$24))</f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S9hchuGrn4wj5j6qFALHmXBbAjiAZJWs7I7/tPzz0oYu6iXLwVcCwKo6vwN/sB0ra1QKmPnKNKkxSdb/8djbmw==" saltValue="l1Ga++bpBbdNughK3Tly9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61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187</v>
      </c>
      <c r="C5" s="84"/>
      <c r="D5" s="85"/>
      <c r="E5" s="86" t="str">
        <f>IF(D5=0," ",_xlfn.RANK.AVG(D5,D$5:D$24,1)-COUNTIF(D$5:D$24,0))</f>
        <v xml:space="preserve"> </v>
      </c>
      <c r="F5" s="86" t="str">
        <f>IF(D5=0," ",IF((RANK(D5,D$5:D$24,1)-COUNTIF(D$5:D$24,0)&gt;6)," ",RANK(D5,D$5:D$24,1)-COUNTIF(D$5:D$24,0)))</f>
        <v xml:space="preserve"> </v>
      </c>
      <c r="G5" s="87" t="str">
        <f>IF(Table622027323334[[#This Row],[Non-Member]]="X"," ",IF(F5=" "," ",IFERROR(VLOOKUP(E5,Points!$A$2:$B$14,2,FALSE)," ")))</f>
        <v xml:space="preserve"> </v>
      </c>
      <c r="H5" s="85">
        <v>17.518000000000001</v>
      </c>
      <c r="I5" s="86">
        <f>IF(H5=0," ",_xlfn.RANK.AVG(H5,H$5:H$24,1)-COUNTIF(H$5:H$24,0))</f>
        <v>4</v>
      </c>
      <c r="J5" s="86">
        <f>IF(H5=0," ",IF((RANK(H5,H$5:H$24,1)-COUNTIF(H$5:H$24,0)&gt;6)," ",RANK(H5,H$5:H$24,1)-COUNTIF(H$5:H$24,0)))</f>
        <v>4</v>
      </c>
      <c r="K5" s="87">
        <f>IF(Table622027323334[[#This Row],[Non-Member]]="X"," ",IF(J5=" "," ",IFERROR(VLOOKUP(I5,Points!$A$2:$B$14,2,FALSE)," ")))</f>
        <v>9</v>
      </c>
      <c r="L5" s="85">
        <v>16.652999999999999</v>
      </c>
      <c r="M5" s="86">
        <f>IF(L5=0," ",_xlfn.RANK.AVG(L5,L$5:L$24,1)-COUNTIF(L$5:L$24,0))</f>
        <v>2</v>
      </c>
      <c r="N5" s="86">
        <f>IF(L5=0," ",IF((RANK(L5,L$5:L$24,1)-COUNTIF(L$5:L$24,0)&gt;6)," ",RANK(L5,L$5:L$24,1)-COUNTIF(L$5:L$24,0)))</f>
        <v>2</v>
      </c>
      <c r="O5" s="87">
        <f>IF(Table622027323334[[#This Row],[Non-Member]]="X"," ",IF(N5=" "," ",IFERROR(VLOOKUP(M5,Points!$A$2:$B$14,2,FALSE)," ")))</f>
        <v>15</v>
      </c>
      <c r="P5" s="85">
        <v>13.228</v>
      </c>
      <c r="Q5" s="86">
        <f>IF(P5=0," ",_xlfn.RANK.AVG(P5,P$5:P$24,1)-COUNTIF(P$5:P$24,0))</f>
        <v>1</v>
      </c>
      <c r="R5" s="86">
        <f>IF(P5=0," ",IF((RANK(P5,P$5:P$24,1)-COUNTIF(P$5:P$24,0)&gt;6)," ",RANK(P5,P$5:P$24,1)-COUNTIF(P$5:P$24,0)))</f>
        <v>1</v>
      </c>
      <c r="S5" s="87">
        <f>IF(Table622027323334[[#This Row],[Non-Member]]="X"," ",IF(R5=" "," ",IFERROR(VLOOKUP(Q5,Points!$A$2:$B$14,2,FALSE)," ")))</f>
        <v>18</v>
      </c>
      <c r="T5" s="85"/>
      <c r="U5" s="86" t="str">
        <f>IF(T5=0," ",_xlfn.RANK.AVG(T5,T$5:T$24,1)-COUNTIF(T$5:T$24,0))</f>
        <v xml:space="preserve"> </v>
      </c>
      <c r="V5" s="86" t="str">
        <f>IF(T5=0," ",IF((RANK(T5,T$5:T$24,1)-COUNTIF(T$5:T$24,0)&gt;6)," ",RANK(T5,T$5:T$24,1)-COUNTIF(T$5:T$24,0)))</f>
        <v xml:space="preserve"> </v>
      </c>
      <c r="W5" s="87" t="str">
        <f>IF(Table622027323334[[#This Row],[Non-Member]]="X"," ",IF(V5=" "," ",IFERROR(VLOOKUP(U5,Points!$A$2:$B$14,2,FALSE)," ")))</f>
        <v xml:space="preserve"> </v>
      </c>
      <c r="X5" s="85"/>
      <c r="Y5" s="86" t="str">
        <f>IF(X5=0," ",_xlfn.RANK.AVG(X5,X$5:X$24,1)-COUNTIF(X$5:X$24,0))</f>
        <v xml:space="preserve"> </v>
      </c>
      <c r="Z5" s="86" t="str">
        <f>IF(X5=0," ",IF((RANK(X5,X$5:X$24,1)-COUNTIF(X$5:X$24,0)&gt;6)," ",RANK(X5,X$5:X$24,1)-COUNTIF(X$5:X$24,0)))</f>
        <v xml:space="preserve"> </v>
      </c>
      <c r="AA5" s="87" t="str">
        <f>IF(Table622027323334[[#This Row],[Non-Member]]="X"," ",IF(Z5=" "," ",IFERROR(VLOOKUP(Y5,Points!$A$2:$B$14,2,FALSE)," ")))</f>
        <v xml:space="preserve"> </v>
      </c>
      <c r="AB5" s="85"/>
      <c r="AC5" s="86" t="str">
        <f>IF(AB5=0," ",_xlfn.RANK.AVG(AB5,AB$5:AB$24,1)-COUNTIF(AB$5:AB$24,0))</f>
        <v xml:space="preserve"> </v>
      </c>
      <c r="AD5" s="86" t="str">
        <f>IF(AB5=0," ",IF((RANK(AB5,AB$5:AB$24,1)-COUNTIF(AB$5:AB$24,0)&gt;6)," ",RANK(AB5,AB$5:AB$24,1)-COUNTIF(AB$5:AB$24,0)))</f>
        <v xml:space="preserve"> </v>
      </c>
      <c r="AE5" s="87" t="str">
        <f>IF(Table622027323334[[#This Row],[Non-Member]]="X"," ",IF(AD5=" "," ",IFERROR(VLOOKUP(AC5,Points!$A$2:$B$14,2,FALSE)," ")))</f>
        <v xml:space="preserve"> </v>
      </c>
      <c r="AF5" s="85"/>
      <c r="AG5" s="86" t="str">
        <f>IF(OR(AF5=0,AF5=" ")," ",_xlfn.RANK.AVG(AF5,AF$5:AF$24,1)-COUNTIF(AF$5:AF$24,0))</f>
        <v xml:space="preserve"> </v>
      </c>
      <c r="AH5" s="86" t="str">
        <f>IF(OR(AF5=0,AF5=" ")," ",IF((RANK(AF5,AF$5:AF$24,1)-COUNTIF(AF$5:AF$24,0)&gt;6)," ",RANK(AF5,AF$5:AF$24,1)-COUNTIF(AF$5:AF$24,0)))</f>
        <v xml:space="preserve"> </v>
      </c>
      <c r="AI5" s="87" t="str">
        <f>IF(Table622027323334[[#This Row],[Non-Member]]="X"," ",IF(AH5=" "," ",IFERROR(VLOOKUP(AG5,Points!$A$2:$B$14,2,FALSE)," ")))</f>
        <v xml:space="preserve"> </v>
      </c>
      <c r="AJ5" s="86">
        <f>IF(Table622027323334[[#This Row],[Non-Member]]="X"," ",((IF(G5=" ",0,G5))+(IF(K5=" ",0,K5))+(IF(O5=" ",0,O5))+(IF(S5=" ",0,S5))+(IF(W5=" ",0,W5))+(IF(AA5=" ",0,AA5))+(IF(AE5=" ",0,AE5))+(IF(AI5=" ",0,AI5))))</f>
        <v>42</v>
      </c>
      <c r="AK5" s="88">
        <f>IF(AJ5=0," ",AJ5)</f>
        <v>42</v>
      </c>
      <c r="AL5" s="89">
        <f>IF(AK5=" "," ",RANK(AK5,$AK$5:$AK$24))</f>
        <v>1</v>
      </c>
    </row>
    <row r="6" spans="2:38" x14ac:dyDescent="0.3">
      <c r="B6" s="90" t="s">
        <v>275</v>
      </c>
      <c r="C6" s="91"/>
      <c r="D6" s="92"/>
      <c r="E6" s="93" t="str">
        <f>IF(D6=0," ",_xlfn.RANK.AVG(D6,D$5:D$24,1)-COUNTIF(D$5:D$24,0))</f>
        <v xml:space="preserve"> </v>
      </c>
      <c r="F6" s="93" t="str">
        <f>IF(D6=0," ",IF((RANK(D6,D$5:D$24,1)-COUNTIF(D$5:D$24,0)&gt;6)," ",RANK(D6,D$5:D$24,1)-COUNTIF(D$5:D$24,0)))</f>
        <v xml:space="preserve"> </v>
      </c>
      <c r="G6" s="94" t="str">
        <f>IF(Table622027323334[[#This Row],[Non-Member]]="X"," ",IF(F6=" "," ",IFERROR(VLOOKUP(E6,Points!$A$2:$B$14,2,FALSE)," ")))</f>
        <v xml:space="preserve"> </v>
      </c>
      <c r="H6" s="92">
        <v>16.821000000000002</v>
      </c>
      <c r="I6" s="93">
        <f>IF(H6=0," ",_xlfn.RANK.AVG(H6,H$5:H$24,1)-COUNTIF(H$5:H$24,0))</f>
        <v>3</v>
      </c>
      <c r="J6" s="93">
        <f>IF(H6=0," ",IF((RANK(H6,H$5:H$24,1)-COUNTIF(H$5:H$24,0)&gt;6)," ",RANK(H6,H$5:H$24,1)-COUNTIF(H$5:H$24,0)))</f>
        <v>3</v>
      </c>
      <c r="K6" s="94">
        <f>IF(Table622027323334[[#This Row],[Non-Member]]="X"," ",IF(J6=" "," ",IFERROR(VLOOKUP(I6,Points!$A$2:$B$14,2,FALSE)," ")))</f>
        <v>12</v>
      </c>
      <c r="L6" s="92">
        <v>22.751999999999999</v>
      </c>
      <c r="M6" s="93">
        <f>IF(L6=0," ",_xlfn.RANK.AVG(L6,L$5:L$24,1)-COUNTIF(L$5:L$24,0))</f>
        <v>5</v>
      </c>
      <c r="N6" s="93">
        <f>IF(L6=0," ",IF((RANK(L6,L$5:L$24,1)-COUNTIF(L$5:L$24,0)&gt;6)," ",RANK(L6,L$5:L$24,1)-COUNTIF(L$5:L$24,0)))</f>
        <v>5</v>
      </c>
      <c r="O6" s="94">
        <f>IF(Table622027323334[[#This Row],[Non-Member]]="X"," ",IF(N6=" "," ",IFERROR(VLOOKUP(M6,Points!$A$2:$B$14,2,FALSE)," ")))</f>
        <v>6</v>
      </c>
      <c r="P6" s="92">
        <v>14.115</v>
      </c>
      <c r="Q6" s="93">
        <f>IF(P6=0," ",_xlfn.RANK.AVG(P6,P$5:P$24,1)-COUNTIF(P$5:P$24,0))</f>
        <v>3</v>
      </c>
      <c r="R6" s="93">
        <f>IF(P6=0," ",IF((RANK(P6,P$5:P$24,1)-COUNTIF(P$5:P$24,0)&gt;6)," ",RANK(P6,P$5:P$24,1)-COUNTIF(P$5:P$24,0)))</f>
        <v>3</v>
      </c>
      <c r="S6" s="94">
        <f>IF(Table622027323334[[#This Row],[Non-Member]]="X"," ",IF(R6=" "," ",IFERROR(VLOOKUP(Q6,Points!$A$2:$B$14,2,FALSE)," ")))</f>
        <v>12</v>
      </c>
      <c r="T6" s="92"/>
      <c r="U6" s="93" t="str">
        <f>IF(T6=0," ",_xlfn.RANK.AVG(T6,T$5:T$24,1)-COUNTIF(T$5:T$24,0))</f>
        <v xml:space="preserve"> </v>
      </c>
      <c r="V6" s="93" t="str">
        <f>IF(T6=0," ",IF((RANK(T6,T$5:T$24,1)-COUNTIF(T$5:T$24,0)&gt;6)," ",RANK(T6,T$5:T$24,1)-COUNTIF(T$5:T$24,0)))</f>
        <v xml:space="preserve"> </v>
      </c>
      <c r="W6" s="94" t="str">
        <f>IF(Table622027323334[[#This Row],[Non-Member]]="X"," ",IF(V6=" "," ",IFERROR(VLOOKUP(U6,Points!$A$2:$B$14,2,FALSE)," ")))</f>
        <v xml:space="preserve"> </v>
      </c>
      <c r="X6" s="92"/>
      <c r="Y6" s="93" t="str">
        <f>IF(X6=0," ",_xlfn.RANK.AVG(X6,X$5:X$24,1)-COUNTIF(X$5:X$24,0))</f>
        <v xml:space="preserve"> </v>
      </c>
      <c r="Z6" s="93" t="str">
        <f>IF(X6=0," ",IF((RANK(X6,X$5:X$24,1)-COUNTIF(X$5:X$24,0)&gt;6)," ",RANK(X6,X$5:X$24,1)-COUNTIF(X$5:X$24,0)))</f>
        <v xml:space="preserve"> </v>
      </c>
      <c r="AA6" s="94" t="str">
        <f>IF(Table622027323334[[#This Row],[Non-Member]]="X"," ",IF(Z6=" "," ",IFERROR(VLOOKUP(Y6,Points!$A$2:$B$14,2,FALSE)," ")))</f>
        <v xml:space="preserve"> </v>
      </c>
      <c r="AB6" s="92"/>
      <c r="AC6" s="93" t="str">
        <f>IF(AB6=0," ",_xlfn.RANK.AVG(AB6,AB$5:AB$24,1)-COUNTIF(AB$5:AB$24,0))</f>
        <v xml:space="preserve"> </v>
      </c>
      <c r="AD6" s="93" t="str">
        <f>IF(AB6=0," ",IF((RANK(AB6,AB$5:AB$24,1)-COUNTIF(AB$5:AB$24,0)&gt;6)," ",RANK(AB6,AB$5:AB$24,1)-COUNTIF(AB$5:AB$24,0)))</f>
        <v xml:space="preserve"> </v>
      </c>
      <c r="AE6" s="94" t="str">
        <f>IF(Table622027323334[[#This Row],[Non-Member]]="X"," ",IF(AD6=" "," ",IFERROR(VLOOKUP(AC6,Points!$A$2:$B$14,2,FALSE)," ")))</f>
        <v xml:space="preserve"> </v>
      </c>
      <c r="AF6" s="92"/>
      <c r="AG6" s="93" t="str">
        <f>IF(OR(AF6=0,AF6=" ")," ",_xlfn.RANK.AVG(AF6,AF$5:AF$24,1)-COUNTIF(AF$5:AF$24,0))</f>
        <v xml:space="preserve"> </v>
      </c>
      <c r="AH6" s="93" t="str">
        <f>IF(OR(AF6=0,AF6=" ")," ",IF((RANK(AF6,AF$5:AF$24,1)-COUNTIF(AF$5:AF$24,0)&gt;6)," ",RANK(AF6,AF$5:AF$24,1)-COUNTIF(AF$5:AF$24,0)))</f>
        <v xml:space="preserve"> </v>
      </c>
      <c r="AI6" s="94" t="str">
        <f>IF(Table622027323334[[#This Row],[Non-Member]]="X"," ",IF(AH6=" "," ",IFERROR(VLOOKUP(AG6,Points!$A$2:$B$14,2,FALSE)," ")))</f>
        <v xml:space="preserve"> </v>
      </c>
      <c r="AJ6" s="93">
        <f>IF(Table622027323334[[#This Row],[Non-Member]]="X"," ",((IF(G6=" ",0,G6))+(IF(K6=" ",0,K6))+(IF(O6=" ",0,O6))+(IF(S6=" ",0,S6))+(IF(W6=" ",0,W6))+(IF(AA6=" ",0,AA6))+(IF(AE6=" ",0,AE6))+(IF(AI6=" ",0,AI6))))</f>
        <v>30</v>
      </c>
      <c r="AK6" s="95">
        <f>IF(AJ6=0," ",AJ6)</f>
        <v>30</v>
      </c>
      <c r="AL6" s="96">
        <f>IF(AK6=" "," ",RANK(AK6,$AK$5:$AK$24))</f>
        <v>2</v>
      </c>
    </row>
    <row r="7" spans="2:38" x14ac:dyDescent="0.3">
      <c r="B7" s="90" t="s">
        <v>67</v>
      </c>
      <c r="C7" s="91"/>
      <c r="D7" s="92"/>
      <c r="E7" s="93" t="str">
        <f>IF(D7=0," ",_xlfn.RANK.AVG(D7,D$5:D$24,1)-COUNTIF(D$5:D$24,0))</f>
        <v xml:space="preserve"> </v>
      </c>
      <c r="F7" s="93" t="str">
        <f>IF(D7=0," ",IF((RANK(D7,D$5:D$24,1)-COUNTIF(D$5:D$24,0)&gt;6)," ",RANK(D7,D$5:D$24,1)-COUNTIF(D$5:D$24,0)))</f>
        <v xml:space="preserve"> </v>
      </c>
      <c r="G7" s="94" t="str">
        <f>IF(Table622027323334[[#This Row],[Non-Member]]="X"," ",IF(F7=" "," ",IFERROR(VLOOKUP(E7,Points!$A$2:$B$14,2,FALSE)," ")))</f>
        <v xml:space="preserve"> </v>
      </c>
      <c r="H7" s="92">
        <v>15.898</v>
      </c>
      <c r="I7" s="93">
        <f>IF(H7=0," ",_xlfn.RANK.AVG(H7,H$5:H$24,1)-COUNTIF(H$5:H$24,0))</f>
        <v>2</v>
      </c>
      <c r="J7" s="93">
        <f>IF(H7=0," ",IF((RANK(H7,H$5:H$24,1)-COUNTIF(H$5:H$24,0)&gt;6)," ",RANK(H7,H$5:H$24,1)-COUNTIF(H$5:H$24,0)))</f>
        <v>2</v>
      </c>
      <c r="K7" s="94">
        <f>IF(Table622027323334[[#This Row],[Non-Member]]="X"," ",IF(J7=" "," ",IFERROR(VLOOKUP(I7,Points!$A$2:$B$14,2,FALSE)," ")))</f>
        <v>15</v>
      </c>
      <c r="L7" s="92">
        <v>0</v>
      </c>
      <c r="M7" s="93" t="str">
        <f>IF(L7=0," ",_xlfn.RANK.AVG(L7,L$5:L$24,1)-COUNTIF(L$5:L$24,0))</f>
        <v xml:space="preserve"> </v>
      </c>
      <c r="N7" s="93" t="str">
        <f>IF(L7=0," ",IF((RANK(L7,L$5:L$24,1)-COUNTIF(L$5:L$24,0)&gt;6)," ",RANK(L7,L$5:L$24,1)-COUNTIF(L$5:L$24,0)))</f>
        <v xml:space="preserve"> </v>
      </c>
      <c r="O7" s="94" t="str">
        <f>IF(Table622027323334[[#This Row],[Non-Member]]="X"," ",IF(N7=" "," ",IFERROR(VLOOKUP(M7,Points!$A$2:$B$14,2,FALSE)," ")))</f>
        <v xml:space="preserve"> </v>
      </c>
      <c r="P7" s="92">
        <v>13.456</v>
      </c>
      <c r="Q7" s="93">
        <f>IF(P7=0," ",_xlfn.RANK.AVG(P7,P$5:P$24,1)-COUNTIF(P$5:P$24,0))</f>
        <v>2</v>
      </c>
      <c r="R7" s="93">
        <f>IF(P7=0," ",IF((RANK(P7,P$5:P$24,1)-COUNTIF(P$5:P$24,0)&gt;6)," ",RANK(P7,P$5:P$24,1)-COUNTIF(P$5:P$24,0)))</f>
        <v>2</v>
      </c>
      <c r="S7" s="94">
        <f>IF(Table622027323334[[#This Row],[Non-Member]]="X"," ",IF(R7=" "," ",IFERROR(VLOOKUP(Q7,Points!$A$2:$B$14,2,FALSE)," ")))</f>
        <v>15</v>
      </c>
      <c r="T7" s="92"/>
      <c r="U7" s="93" t="str">
        <f>IF(T7=0," ",_xlfn.RANK.AVG(T7,T$5:T$24,1)-COUNTIF(T$5:T$24,0))</f>
        <v xml:space="preserve"> </v>
      </c>
      <c r="V7" s="93" t="str">
        <f>IF(T7=0," ",IF((RANK(T7,T$5:T$24,1)-COUNTIF(T$5:T$24,0)&gt;6)," ",RANK(T7,T$5:T$24,1)-COUNTIF(T$5:T$24,0)))</f>
        <v xml:space="preserve"> </v>
      </c>
      <c r="W7" s="94" t="str">
        <f>IF(Table622027323334[[#This Row],[Non-Member]]="X"," ",IF(V7=" "," ",IFERROR(VLOOKUP(U7,Points!$A$2:$B$14,2,FALSE)," ")))</f>
        <v xml:space="preserve"> </v>
      </c>
      <c r="X7" s="92"/>
      <c r="Y7" s="93" t="str">
        <f>IF(X7=0," ",_xlfn.RANK.AVG(X7,X$5:X$24,1)-COUNTIF(X$5:X$24,0))</f>
        <v xml:space="preserve"> </v>
      </c>
      <c r="Z7" s="93" t="str">
        <f>IF(X7=0," ",IF((RANK(X7,X$5:X$24,1)-COUNTIF(X$5:X$24,0)&gt;6)," ",RANK(X7,X$5:X$24,1)-COUNTIF(X$5:X$24,0)))</f>
        <v xml:space="preserve"> </v>
      </c>
      <c r="AA7" s="94" t="str">
        <f>IF(Table622027323334[[#This Row],[Non-Member]]="X"," ",IF(Z7=" "," ",IFERROR(VLOOKUP(Y7,Points!$A$2:$B$14,2,FALSE)," ")))</f>
        <v xml:space="preserve"> </v>
      </c>
      <c r="AB7" s="92"/>
      <c r="AC7" s="93" t="str">
        <f>IF(AB7=0," ",_xlfn.RANK.AVG(AB7,AB$5:AB$24,1)-COUNTIF(AB$5:AB$24,0))</f>
        <v xml:space="preserve"> </v>
      </c>
      <c r="AD7" s="93" t="str">
        <f>IF(AB7=0," ",IF((RANK(AB7,AB$5:AB$24,1)-COUNTIF(AB$5:AB$24,0)&gt;6)," ",RANK(AB7,AB$5:AB$24,1)-COUNTIF(AB$5:AB$24,0)))</f>
        <v xml:space="preserve"> </v>
      </c>
      <c r="AE7" s="94" t="str">
        <f>IF(Table622027323334[[#This Row],[Non-Member]]="X"," ",IF(AD7=" "," ",IFERROR(VLOOKUP(AC7,Points!$A$2:$B$14,2,FALSE)," ")))</f>
        <v xml:space="preserve"> </v>
      </c>
      <c r="AF7" s="92"/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IF(Table622027323334[[#This Row],[Non-Member]]="X"," ",IF(AH7=" "," ",IFERROR(VLOOKUP(AG7,Points!$A$2:$B$14,2,FALSE)," ")))</f>
        <v xml:space="preserve"> </v>
      </c>
      <c r="AJ7" s="93">
        <f>IF(Table622027323334[[#This Row],[Non-Member]]="X"," ",((IF(G7=" ",0,G7))+(IF(K7=" ",0,K7))+(IF(O7=" ",0,O7))+(IF(S7=" ",0,S7))+(IF(W7=" ",0,W7))+(IF(AA7=" ",0,AA7))+(IF(AE7=" ",0,AE7))+(IF(AI7=" ",0,AI7))))</f>
        <v>30</v>
      </c>
      <c r="AK7" s="95">
        <f>IF(AJ7=0," ",AJ7)</f>
        <v>30</v>
      </c>
      <c r="AL7" s="96">
        <f>IF(AK7=" "," ",RANK(AK7,$AK$5:$AK$24))</f>
        <v>2</v>
      </c>
    </row>
    <row r="8" spans="2:38" x14ac:dyDescent="0.3">
      <c r="B8" s="90" t="s">
        <v>72</v>
      </c>
      <c r="C8" s="91"/>
      <c r="D8" s="92"/>
      <c r="E8" s="93" t="str">
        <f>IF(D8=0," ",_xlfn.RANK.AVG(D8,D$5:D$24,1)-COUNTIF(D$5:D$24,0))</f>
        <v xml:space="preserve"> </v>
      </c>
      <c r="F8" s="93" t="str">
        <f>IF(D8=0," ",IF((RANK(D8,D$5:D$24,1)-COUNTIF(D$5:D$24,0)&gt;6)," ",RANK(D8,D$5:D$24,1)-COUNTIF(D$5:D$24,0)))</f>
        <v xml:space="preserve"> </v>
      </c>
      <c r="G8" s="94" t="str">
        <f>IF(Table622027323334[[#This Row],[Non-Member]]="X"," ",IF(F8=" "," ",IFERROR(VLOOKUP(E8,Points!$A$2:$B$14,2,FALSE)," ")))</f>
        <v xml:space="preserve"> </v>
      </c>
      <c r="H8" s="92">
        <v>14.086</v>
      </c>
      <c r="I8" s="93">
        <f>IF(H8=0," ",_xlfn.RANK.AVG(H8,H$5:H$24,1)-COUNTIF(H$5:H$24,0))</f>
        <v>1</v>
      </c>
      <c r="J8" s="93">
        <f>IF(H8=0," ",IF((RANK(H8,H$5:H$24,1)-COUNTIF(H$5:H$24,0)&gt;6)," ",RANK(H8,H$5:H$24,1)-COUNTIF(H$5:H$24,0)))</f>
        <v>1</v>
      </c>
      <c r="K8" s="94">
        <f>IF(Table622027323334[[#This Row],[Non-Member]]="X"," ",IF(J8=" "," ",IFERROR(VLOOKUP(I8,Points!$A$2:$B$14,2,FALSE)," ")))</f>
        <v>18</v>
      </c>
      <c r="L8" s="92">
        <v>0</v>
      </c>
      <c r="M8" s="93" t="str">
        <f>IF(L8=0," ",_xlfn.RANK.AVG(L8,L$5:L$24,1)-COUNTIF(L$5:L$24,0))</f>
        <v xml:space="preserve"> </v>
      </c>
      <c r="N8" s="93" t="str">
        <f>IF(L8=0," ",IF((RANK(L8,L$5:L$24,1)-COUNTIF(L$5:L$24,0)&gt;6)," ",RANK(L8,L$5:L$24,1)-COUNTIF(L$5:L$24,0)))</f>
        <v xml:space="preserve"> </v>
      </c>
      <c r="O8" s="94" t="str">
        <f>IF(Table622027323334[[#This Row],[Non-Member]]="X"," ",IF(N8=" "," ",IFERROR(VLOOKUP(M8,Points!$A$2:$B$14,2,FALSE)," ")))</f>
        <v xml:space="preserve"> </v>
      </c>
      <c r="P8" s="92">
        <v>16.158999999999999</v>
      </c>
      <c r="Q8" s="93">
        <f>IF(P8=0," ",_xlfn.RANK.AVG(P8,P$5:P$24,1)-COUNTIF(P$5:P$24,0))</f>
        <v>5</v>
      </c>
      <c r="R8" s="93">
        <f>IF(P8=0," ",IF((RANK(P8,P$5:P$24,1)-COUNTIF(P$5:P$24,0)&gt;6)," ",RANK(P8,P$5:P$24,1)-COUNTIF(P$5:P$24,0)))</f>
        <v>5</v>
      </c>
      <c r="S8" s="94">
        <f>IF(Table622027323334[[#This Row],[Non-Member]]="X"," ",IF(R8=" "," ",IFERROR(VLOOKUP(Q8,Points!$A$2:$B$14,2,FALSE)," ")))</f>
        <v>6</v>
      </c>
      <c r="T8" s="92"/>
      <c r="U8" s="93" t="str">
        <f>IF(T8=0," ",_xlfn.RANK.AVG(T8,T$5:T$24,1)-COUNTIF(T$5:T$24,0))</f>
        <v xml:space="preserve"> </v>
      </c>
      <c r="V8" s="93" t="str">
        <f>IF(T8=0," ",IF((RANK(T8,T$5:T$24,1)-COUNTIF(T$5:T$24,0)&gt;6)," ",RANK(T8,T$5:T$24,1)-COUNTIF(T$5:T$24,0)))</f>
        <v xml:space="preserve"> </v>
      </c>
      <c r="W8" s="94" t="str">
        <f>IF(Table622027323334[[#This Row],[Non-Member]]="X"," ",IF(V8=" "," ",IFERROR(VLOOKUP(U8,Points!$A$2:$B$14,2,FALSE)," ")))</f>
        <v xml:space="preserve"> </v>
      </c>
      <c r="X8" s="92"/>
      <c r="Y8" s="93" t="str">
        <f>IF(X8=0," ",_xlfn.RANK.AVG(X8,X$5:X$24,1)-COUNTIF(X$5:X$24,0))</f>
        <v xml:space="preserve"> </v>
      </c>
      <c r="Z8" s="93" t="str">
        <f>IF(X8=0," ",IF((RANK(X8,X$5:X$24,1)-COUNTIF(X$5:X$24,0)&gt;6)," ",RANK(X8,X$5:X$24,1)-COUNTIF(X$5:X$24,0)))</f>
        <v xml:space="preserve"> </v>
      </c>
      <c r="AA8" s="94" t="str">
        <f>IF(Table622027323334[[#This Row],[Non-Member]]="X"," ",IF(Z8=" "," ",IFERROR(VLOOKUP(Y8,Points!$A$2:$B$14,2,FALSE)," ")))</f>
        <v xml:space="preserve"> </v>
      </c>
      <c r="AB8" s="92"/>
      <c r="AC8" s="93" t="str">
        <f>IF(AB8=0," ",_xlfn.RANK.AVG(AB8,AB$5:AB$24,1)-COUNTIF(AB$5:AB$24,0))</f>
        <v xml:space="preserve"> </v>
      </c>
      <c r="AD8" s="93" t="str">
        <f>IF(AB8=0," ",IF((RANK(AB8,AB$5:AB$24,1)-COUNTIF(AB$5:AB$24,0)&gt;6)," ",RANK(AB8,AB$5:AB$24,1)-COUNTIF(AB$5:AB$24,0)))</f>
        <v xml:space="preserve"> </v>
      </c>
      <c r="AE8" s="94" t="str">
        <f>IF(Table622027323334[[#This Row],[Non-Member]]="X"," ",IF(AD8=" "," ",IFERROR(VLOOKUP(AC8,Points!$A$2:$B$14,2,FALSE)," ")))</f>
        <v xml:space="preserve"> </v>
      </c>
      <c r="AF8" s="92"/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IF(Table622027323334[[#This Row],[Non-Member]]="X"," ",IF(AH8=" "," ",IFERROR(VLOOKUP(AG8,Points!$A$2:$B$14,2,FALSE)," ")))</f>
        <v xml:space="preserve"> </v>
      </c>
      <c r="AJ8" s="93">
        <f>IF(Table622027323334[[#This Row],[Non-Member]]="X"," ",((IF(G8=" ",0,G8))+(IF(K8=" ",0,K8))+(IF(O8=" ",0,O8))+(IF(S8=" ",0,S8))+(IF(W8=" ",0,W8))+(IF(AA8=" ",0,AA8))+(IF(AE8=" ",0,AE8))+(IF(AI8=" ",0,AI8))))</f>
        <v>24</v>
      </c>
      <c r="AK8" s="95">
        <f>IF(AJ8=0," ",AJ8)</f>
        <v>24</v>
      </c>
      <c r="AL8" s="96">
        <f>IF(AK8=" "," ",RANK(AK8,$AK$5:$AK$24))</f>
        <v>4</v>
      </c>
    </row>
    <row r="9" spans="2:38" x14ac:dyDescent="0.3">
      <c r="B9" s="90" t="s">
        <v>70</v>
      </c>
      <c r="C9" s="91"/>
      <c r="D9" s="92"/>
      <c r="E9" s="93" t="str">
        <f>IF(D9=0," ",_xlfn.RANK.AVG(D9,D$5:D$24,1)-COUNTIF(D$5:D$24,0))</f>
        <v xml:space="preserve"> </v>
      </c>
      <c r="F9" s="93" t="str">
        <f>IF(D9=0," ",IF((RANK(D9,D$5:D$24,1)-COUNTIF(D$5:D$24,0)&gt;6)," ",RANK(D9,D$5:D$24,1)-COUNTIF(D$5:D$24,0)))</f>
        <v xml:space="preserve"> </v>
      </c>
      <c r="G9" s="94" t="str">
        <f>IF(Table622027323334[[#This Row],[Non-Member]]="X"," ",IF(F9=" "," ",IFERROR(VLOOKUP(E9,Points!$A$2:$B$14,2,FALSE)," ")))</f>
        <v xml:space="preserve"> </v>
      </c>
      <c r="H9" s="92">
        <v>17.856999999999999</v>
      </c>
      <c r="I9" s="93">
        <f>IF(H9=0," ",_xlfn.RANK.AVG(H9,H$5:H$24,1)-COUNTIF(H$5:H$24,0))</f>
        <v>6</v>
      </c>
      <c r="J9" s="93">
        <f>IF(H9=0," ",IF((RANK(H9,H$5:H$24,1)-COUNTIF(H$5:H$24,0)&gt;6)," ",RANK(H9,H$5:H$24,1)-COUNTIF(H$5:H$24,0)))</f>
        <v>6</v>
      </c>
      <c r="K9" s="94">
        <f>IF(Table622027323334[[#This Row],[Non-Member]]="X"," ",IF(J9=" "," ",IFERROR(VLOOKUP(I9,Points!$A$2:$B$14,2,FALSE)," ")))</f>
        <v>3</v>
      </c>
      <c r="L9" s="92">
        <v>16.238</v>
      </c>
      <c r="M9" s="93">
        <f>IF(L9=0," ",_xlfn.RANK.AVG(L9,L$5:L$24,1)-COUNTIF(L$5:L$24,0))</f>
        <v>1</v>
      </c>
      <c r="N9" s="93">
        <f>IF(L9=0," ",IF((RANK(L9,L$5:L$24,1)-COUNTIF(L$5:L$24,0)&gt;6)," ",RANK(L9,L$5:L$24,1)-COUNTIF(L$5:L$24,0)))</f>
        <v>1</v>
      </c>
      <c r="O9" s="94">
        <f>IF(Table622027323334[[#This Row],[Non-Member]]="X"," ",IF(N9=" "," ",IFERROR(VLOOKUP(M9,Points!$A$2:$B$14,2,FALSE)," ")))</f>
        <v>18</v>
      </c>
      <c r="P9" s="92">
        <v>0</v>
      </c>
      <c r="Q9" s="93" t="str">
        <f>IF(P9=0," ",_xlfn.RANK.AVG(P9,P$5:P$24,1)-COUNTIF(P$5:P$24,0))</f>
        <v xml:space="preserve"> </v>
      </c>
      <c r="R9" s="93" t="str">
        <f>IF(P9=0," ",IF((RANK(P9,P$5:P$24,1)-COUNTIF(P$5:P$24,0)&gt;6)," ",RANK(P9,P$5:P$24,1)-COUNTIF(P$5:P$24,0)))</f>
        <v xml:space="preserve"> </v>
      </c>
      <c r="S9" s="94" t="str">
        <f>IF(Table622027323334[[#This Row],[Non-Member]]="X"," ",IF(R9=" "," ",IFERROR(VLOOKUP(Q9,Points!$A$2:$B$14,2,FALSE)," ")))</f>
        <v xml:space="preserve"> </v>
      </c>
      <c r="T9" s="92"/>
      <c r="U9" s="93" t="str">
        <f>IF(T9=0," ",_xlfn.RANK.AVG(T9,T$5:T$24,1)-COUNTIF(T$5:T$24,0))</f>
        <v xml:space="preserve"> </v>
      </c>
      <c r="V9" s="93" t="str">
        <f>IF(T9=0," ",IF((RANK(T9,T$5:T$24,1)-COUNTIF(T$5:T$24,0)&gt;6)," ",RANK(T9,T$5:T$24,1)-COUNTIF(T$5:T$24,0)))</f>
        <v xml:space="preserve"> </v>
      </c>
      <c r="W9" s="94" t="str">
        <f>IF(Table622027323334[[#This Row],[Non-Member]]="X"," ",IF(V9=" "," ",IFERROR(VLOOKUP(U9,Points!$A$2:$B$14,2,FALSE)," ")))</f>
        <v xml:space="preserve"> </v>
      </c>
      <c r="X9" s="92"/>
      <c r="Y9" s="93" t="str">
        <f>IF(X9=0," ",_xlfn.RANK.AVG(X9,X$5:X$24,1)-COUNTIF(X$5:X$24,0))</f>
        <v xml:space="preserve"> </v>
      </c>
      <c r="Z9" s="93" t="str">
        <f>IF(X9=0," ",IF((RANK(X9,X$5:X$24,1)-COUNTIF(X$5:X$24,0)&gt;6)," ",RANK(X9,X$5:X$24,1)-COUNTIF(X$5:X$24,0)))</f>
        <v xml:space="preserve"> </v>
      </c>
      <c r="AA9" s="94" t="str">
        <f>IF(Table622027323334[[#This Row],[Non-Member]]="X"," ",IF(Z9=" "," ",IFERROR(VLOOKUP(Y9,Points!$A$2:$B$14,2,FALSE)," ")))</f>
        <v xml:space="preserve"> </v>
      </c>
      <c r="AB9" s="92"/>
      <c r="AC9" s="93" t="str">
        <f>IF(AB9=0," ",_xlfn.RANK.AVG(AB9,AB$5:AB$24,1)-COUNTIF(AB$5:AB$24,0))</f>
        <v xml:space="preserve"> </v>
      </c>
      <c r="AD9" s="93" t="str">
        <f>IF(AB9=0," ",IF((RANK(AB9,AB$5:AB$24,1)-COUNTIF(AB$5:AB$24,0)&gt;6)," ",RANK(AB9,AB$5:AB$24,1)-COUNTIF(AB$5:AB$24,0)))</f>
        <v xml:space="preserve"> </v>
      </c>
      <c r="AE9" s="94" t="str">
        <f>IF(Table622027323334[[#This Row],[Non-Member]]="X"," ",IF(AD9=" "," ",IFERROR(VLOOKUP(AC9,Points!$A$2:$B$14,2,FALSE)," ")))</f>
        <v xml:space="preserve"> </v>
      </c>
      <c r="AF9" s="92"/>
      <c r="AG9" s="93" t="str">
        <f>IF(OR(AF9=0,AF9=" ")," ",_xlfn.RANK.AVG(AF9,AF$5:AF$24,1)-COUNTIF(AF$5:AF$24,0))</f>
        <v xml:space="preserve"> 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IF(Table622027323334[[#This Row],[Non-Member]]="X"," ",IF(AH9=" "," ",IFERROR(VLOOKUP(AG9,Points!$A$2:$B$14,2,FALSE)," ")))</f>
        <v xml:space="preserve"> </v>
      </c>
      <c r="AJ9" s="93">
        <f>IF(Table622027323334[[#This Row],[Non-Member]]="X"," ",((IF(G9=" ",0,G9))+(IF(K9=" ",0,K9))+(IF(O9=" ",0,O9))+(IF(S9=" ",0,S9))+(IF(W9=" ",0,W9))+(IF(AA9=" ",0,AA9))+(IF(AE9=" ",0,AE9))+(IF(AI9=" ",0,AI9))))</f>
        <v>21</v>
      </c>
      <c r="AK9" s="95">
        <f>IF(AJ9=0," ",AJ9)</f>
        <v>21</v>
      </c>
      <c r="AL9" s="96">
        <f>IF(AK9=" "," ",RANK(AK9,$AK$5:$AK$24))</f>
        <v>5</v>
      </c>
    </row>
    <row r="10" spans="2:38" x14ac:dyDescent="0.3">
      <c r="B10" s="90" t="s">
        <v>260</v>
      </c>
      <c r="C10" s="91"/>
      <c r="D10" s="92"/>
      <c r="E10" s="93" t="str">
        <f>IF(D10=0," ",_xlfn.RANK.AVG(D10,D$5:D$24,1)-COUNTIF(D$5:D$24,0))</f>
        <v xml:space="preserve"> </v>
      </c>
      <c r="F10" s="93" t="str">
        <f>IF(D10=0," ",IF((RANK(D10,D$5:D$24,1)-COUNTIF(D$5:D$24,0)&gt;6)," ",RANK(D10,D$5:D$24,1)-COUNTIF(D$5:D$24,0)))</f>
        <v xml:space="preserve"> </v>
      </c>
      <c r="G10" s="94" t="str">
        <f>IF(Table622027323334[[#This Row],[Non-Member]]="X"," ",IF(F10=" "," ",IFERROR(VLOOKUP(E10,Points!$A$2:$B$14,2,FALSE)," ")))</f>
        <v xml:space="preserve"> </v>
      </c>
      <c r="H10" s="92">
        <v>17.626000000000001</v>
      </c>
      <c r="I10" s="93">
        <f>IF(H10=0," ",_xlfn.RANK.AVG(H10,H$5:H$24,1)-COUNTIF(H$5:H$24,0))</f>
        <v>5</v>
      </c>
      <c r="J10" s="93">
        <f>IF(H10=0," ",IF((RANK(H10,H$5:H$24,1)-COUNTIF(H$5:H$24,0)&gt;6)," ",RANK(H10,H$5:H$24,1)-COUNTIF(H$5:H$24,0)))</f>
        <v>5</v>
      </c>
      <c r="K10" s="94">
        <f>IF(Table622027323334[[#This Row],[Non-Member]]="X"," ",IF(J10=" "," ",IFERROR(VLOOKUP(I10,Points!$A$2:$B$14,2,FALSE)," ")))</f>
        <v>6</v>
      </c>
      <c r="L10" s="92">
        <v>23.814</v>
      </c>
      <c r="M10" s="93">
        <f>IF(L10=0," ",_xlfn.RANK.AVG(L10,L$5:L$24,1)-COUNTIF(L$5:L$24,0))</f>
        <v>6</v>
      </c>
      <c r="N10" s="93">
        <f>IF(L10=0," ",IF((RANK(L10,L$5:L$24,1)-COUNTIF(L$5:L$24,0)&gt;6)," ",RANK(L10,L$5:L$24,1)-COUNTIF(L$5:L$24,0)))</f>
        <v>6</v>
      </c>
      <c r="O10" s="94">
        <f>IF(Table622027323334[[#This Row],[Non-Member]]="X"," ",IF(N10=" "," ",IFERROR(VLOOKUP(M10,Points!$A$2:$B$14,2,FALSE)," ")))</f>
        <v>3</v>
      </c>
      <c r="P10" s="92">
        <v>14.824999999999999</v>
      </c>
      <c r="Q10" s="93">
        <f>IF(P10=0," ",_xlfn.RANK.AVG(P10,P$5:P$24,1)-COUNTIF(P$5:P$24,0))</f>
        <v>4</v>
      </c>
      <c r="R10" s="93">
        <f>IF(P10=0," ",IF((RANK(P10,P$5:P$24,1)-COUNTIF(P$5:P$24,0)&gt;6)," ",RANK(P10,P$5:P$24,1)-COUNTIF(P$5:P$24,0)))</f>
        <v>4</v>
      </c>
      <c r="S10" s="94">
        <f>IF(Table622027323334[[#This Row],[Non-Member]]="X"," ",IF(R10=" "," ",IFERROR(VLOOKUP(Q10,Points!$A$2:$B$14,2,FALSE)," ")))</f>
        <v>9</v>
      </c>
      <c r="T10" s="92"/>
      <c r="U10" s="93" t="str">
        <f>IF(T10=0," ",_xlfn.RANK.AVG(T10,T$5:T$24,1)-COUNTIF(T$5:T$24,0))</f>
        <v xml:space="preserve"> </v>
      </c>
      <c r="V10" s="93" t="str">
        <f>IF(T10=0," ",IF((RANK(T10,T$5:T$24,1)-COUNTIF(T$5:T$24,0)&gt;6)," ",RANK(T10,T$5:T$24,1)-COUNTIF(T$5:T$24,0)))</f>
        <v xml:space="preserve"> </v>
      </c>
      <c r="W10" s="94" t="str">
        <f>IF(Table622027323334[[#This Row],[Non-Member]]="X"," ",IF(V10=" "," ",IFERROR(VLOOKUP(U10,Points!$A$2:$B$14,2,FALSE)," ")))</f>
        <v xml:space="preserve"> </v>
      </c>
      <c r="X10" s="92"/>
      <c r="Y10" s="93" t="str">
        <f>IF(X10=0," ",_xlfn.RANK.AVG(X10,X$5:X$24,1)-COUNTIF(X$5:X$24,0))</f>
        <v xml:space="preserve"> </v>
      </c>
      <c r="Z10" s="93" t="str">
        <f>IF(X10=0," ",IF((RANK(X10,X$5:X$24,1)-COUNTIF(X$5:X$24,0)&gt;6)," ",RANK(X10,X$5:X$24,1)-COUNTIF(X$5:X$24,0)))</f>
        <v xml:space="preserve"> </v>
      </c>
      <c r="AA10" s="94" t="str">
        <f>IF(Table622027323334[[#This Row],[Non-Member]]="X"," ",IF(Z10=" "," ",IFERROR(VLOOKUP(Y10,Points!$A$2:$B$14,2,FALSE)," ")))</f>
        <v xml:space="preserve"> </v>
      </c>
      <c r="AB10" s="92"/>
      <c r="AC10" s="93" t="str">
        <f>IF(AB10=0," ",_xlfn.RANK.AVG(AB10,AB$5:AB$24,1)-COUNTIF(AB$5:AB$24,0))</f>
        <v xml:space="preserve"> </v>
      </c>
      <c r="AD10" s="93" t="str">
        <f>IF(AB10=0," ",IF((RANK(AB10,AB$5:AB$24,1)-COUNTIF(AB$5:AB$24,0)&gt;6)," ",RANK(AB10,AB$5:AB$24,1)-COUNTIF(AB$5:AB$24,0)))</f>
        <v xml:space="preserve"> </v>
      </c>
      <c r="AE10" s="94" t="str">
        <f>IF(Table622027323334[[#This Row],[Non-Member]]="X"," ",IF(AD10=" "," ",IFERROR(VLOOKUP(AC10,Points!$A$2:$B$14,2,FALSE)," ")))</f>
        <v xml:space="preserve"> </v>
      </c>
      <c r="AF10" s="92"/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IF(Table622027323334[[#This Row],[Non-Member]]="X"," ",IF(AH10=" "," ",IFERROR(VLOOKUP(AG10,Points!$A$2:$B$14,2,FALSE)," ")))</f>
        <v xml:space="preserve"> </v>
      </c>
      <c r="AJ10" s="93">
        <f>IF(Table622027323334[[#This Row],[Non-Member]]="X"," ",((IF(G10=" ",0,G10))+(IF(K10=" ",0,K10))+(IF(O10=" ",0,O10))+(IF(S10=" ",0,S10))+(IF(W10=" ",0,W10))+(IF(AA10=" ",0,AA10))+(IF(AE10=" ",0,AE10))+(IF(AI10=" ",0,AI10))))</f>
        <v>18</v>
      </c>
      <c r="AK10" s="95">
        <f>IF(AJ10=0," ",AJ10)</f>
        <v>18</v>
      </c>
      <c r="AL10" s="96">
        <f>IF(AK10=" "," ",RANK(AK10,$AK$5:$AK$24))</f>
        <v>6</v>
      </c>
    </row>
    <row r="11" spans="2:38" x14ac:dyDescent="0.3">
      <c r="B11" s="90" t="s">
        <v>323</v>
      </c>
      <c r="C11" s="91"/>
      <c r="D11" s="92"/>
      <c r="E11" s="93" t="str">
        <f>IF(D11=0," ",_xlfn.RANK.AVG(D11,D$5:D$24,1)-COUNTIF(D$5:D$24,0))</f>
        <v xml:space="preserve"> </v>
      </c>
      <c r="F11" s="93" t="str">
        <f>IF(D11=0," ",IF((RANK(D11,D$5:D$24,1)-COUNTIF(D$5:D$24,0)&gt;6)," ",RANK(D11,D$5:D$24,1)-COUNTIF(D$5:D$24,0)))</f>
        <v xml:space="preserve"> </v>
      </c>
      <c r="G11" s="94" t="str">
        <f>IF(Table622027323334[[#This Row],[Non-Member]]="X"," ",IF(F11=" "," ",IFERROR(VLOOKUP(E11,Points!$A$2:$B$14,2,FALSE)," ")))</f>
        <v xml:space="preserve"> </v>
      </c>
      <c r="H11" s="92"/>
      <c r="I11" s="93" t="str">
        <f>IF(H11=0," ",_xlfn.RANK.AVG(H11,H$5:H$24,1)-COUNTIF(H$5:H$24,0))</f>
        <v xml:space="preserve"> </v>
      </c>
      <c r="J11" s="93" t="str">
        <f>IF(H11=0," ",IF((RANK(H11,H$5:H$24,1)-COUNTIF(H$5:H$24,0)&gt;6)," ",RANK(H11,H$5:H$24,1)-COUNTIF(H$5:H$24,0)))</f>
        <v xml:space="preserve"> </v>
      </c>
      <c r="K11" s="94" t="str">
        <f>IF(Table622027323334[[#This Row],[Non-Member]]="X"," ",IF(J11=" "," ",IFERROR(VLOOKUP(I11,Points!$A$2:$B$14,2,FALSE)," ")))</f>
        <v xml:space="preserve"> </v>
      </c>
      <c r="L11" s="92">
        <v>20.388999999999999</v>
      </c>
      <c r="M11" s="93">
        <f>IF(L11=0," ",_xlfn.RANK.AVG(L11,L$5:L$24,1)-COUNTIF(L$5:L$24,0))</f>
        <v>3</v>
      </c>
      <c r="N11" s="93">
        <f>IF(L11=0," ",IF((RANK(L11,L$5:L$24,1)-COUNTIF(L$5:L$24,0)&gt;6)," ",RANK(L11,L$5:L$24,1)-COUNTIF(L$5:L$24,0)))</f>
        <v>3</v>
      </c>
      <c r="O11" s="94">
        <f>IF(Table622027323334[[#This Row],[Non-Member]]="X"," ",IF(N11=" "," ",IFERROR(VLOOKUP(M11,Points!$A$2:$B$14,2,FALSE)," ")))</f>
        <v>12</v>
      </c>
      <c r="P11" s="92">
        <v>0</v>
      </c>
      <c r="Q11" s="93" t="str">
        <f>IF(P11=0," ",_xlfn.RANK.AVG(P11,P$5:P$24,1)-COUNTIF(P$5:P$24,0))</f>
        <v xml:space="preserve"> </v>
      </c>
      <c r="R11" s="93" t="str">
        <f>IF(P11=0," ",IF((RANK(P11,P$5:P$24,1)-COUNTIF(P$5:P$24,0)&gt;6)," ",RANK(P11,P$5:P$24,1)-COUNTIF(P$5:P$24,0)))</f>
        <v xml:space="preserve"> </v>
      </c>
      <c r="S11" s="94" t="str">
        <f>IF(Table622027323334[[#This Row],[Non-Member]]="X"," ",IF(R11=" "," ",IFERROR(VLOOKUP(Q11,Points!$A$2:$B$14,2,FALSE)," ")))</f>
        <v xml:space="preserve"> </v>
      </c>
      <c r="T11" s="92"/>
      <c r="U11" s="93" t="str">
        <f>IF(T11=0," ",_xlfn.RANK.AVG(T11,T$5:T$24,1)-COUNTIF(T$5:T$24,0))</f>
        <v xml:space="preserve"> </v>
      </c>
      <c r="V11" s="93" t="str">
        <f>IF(T11=0," ",IF((RANK(T11,T$5:T$24,1)-COUNTIF(T$5:T$24,0)&gt;6)," ",RANK(T11,T$5:T$24,1)-COUNTIF(T$5:T$24,0)))</f>
        <v xml:space="preserve"> </v>
      </c>
      <c r="W11" s="94" t="str">
        <f>IF(Table622027323334[[#This Row],[Non-Member]]="X"," ",IF(V11=" "," ",IFERROR(VLOOKUP(U11,Points!$A$2:$B$14,2,FALSE)," ")))</f>
        <v xml:space="preserve"> </v>
      </c>
      <c r="X11" s="92"/>
      <c r="Y11" s="93" t="str">
        <f>IF(X11=0," ",_xlfn.RANK.AVG(X11,X$5:X$24,1)-COUNTIF(X$5:X$24,0))</f>
        <v xml:space="preserve"> </v>
      </c>
      <c r="Z11" s="93" t="str">
        <f>IF(X11=0," ",IF((RANK(X11,X$5:X$24,1)-COUNTIF(X$5:X$24,0)&gt;6)," ",RANK(X11,X$5:X$24,1)-COUNTIF(X$5:X$24,0)))</f>
        <v xml:space="preserve"> </v>
      </c>
      <c r="AA11" s="94" t="str">
        <f>IF(Table622027323334[[#This Row],[Non-Member]]="X"," ",IF(Z11=" "," ",IFERROR(VLOOKUP(Y11,Points!$A$2:$B$14,2,FALSE)," ")))</f>
        <v xml:space="preserve"> </v>
      </c>
      <c r="AB11" s="92"/>
      <c r="AC11" s="93" t="str">
        <f>IF(AB11=0," ",_xlfn.RANK.AVG(AB11,AB$5:AB$24,1)-COUNTIF(AB$5:AB$24,0))</f>
        <v xml:space="preserve"> </v>
      </c>
      <c r="AD11" s="93" t="str">
        <f>IF(AB11=0," ",IF((RANK(AB11,AB$5:AB$24,1)-COUNTIF(AB$5:AB$24,0)&gt;6)," ",RANK(AB11,AB$5:AB$24,1)-COUNTIF(AB$5:AB$24,0)))</f>
        <v xml:space="preserve"> </v>
      </c>
      <c r="AE11" s="94" t="str">
        <f>IF(Table622027323334[[#This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>IF(OR(AF11=0,AF11=" ")," ",_xlfn.RANK.AVG(AF11,AF$5:AF$24,1)-COUNTIF(AF$5:AF$24,0))</f>
        <v xml:space="preserve"> </v>
      </c>
      <c r="AH11" s="93" t="str">
        <f>IF(OR(AF11=0,AF11=" ")," ",IF((RANK(AF11,AF$5:AF$24,1)-COUNTIF(AF$5:AF$24,0)&gt;6)," ",RANK(AF11,AF$5:AF$24,1)-COUNTIF(AF$5:AF$24,0)))</f>
        <v xml:space="preserve"> </v>
      </c>
      <c r="AI11" s="94" t="str">
        <f>IF(Table622027323334[[#This Row],[Non-Member]]="X"," ",IF(AH11=" "," ",IFERROR(VLOOKUP(AG11,Points!$A$2:$B$14,2,FALSE)," ")))</f>
        <v xml:space="preserve"> </v>
      </c>
      <c r="AJ11" s="93">
        <f>IF(Table622027323334[[#This Row],[Non-Member]]="X"," ",((IF(G11=" ",0,G11))+(IF(K11=" ",0,K11))+(IF(O11=" ",0,O11))+(IF(S11=" ",0,S11))+(IF(W11=" ",0,W11))+(IF(AA11=" ",0,AA11))+(IF(AE11=" ",0,AE11))+(IF(AI11=" ",0,AI11))))</f>
        <v>12</v>
      </c>
      <c r="AK11" s="95">
        <f>IF(AJ11=0," ",AJ11)</f>
        <v>12</v>
      </c>
      <c r="AL11" s="96">
        <f>IF(AK11=" "," ",RANK(AK11,$AK$5:$AK$24))</f>
        <v>7</v>
      </c>
    </row>
    <row r="12" spans="2:38" x14ac:dyDescent="0.3">
      <c r="B12" s="90" t="s">
        <v>274</v>
      </c>
      <c r="C12" s="91"/>
      <c r="D12" s="92"/>
      <c r="E12" s="93" t="str">
        <f>IF(D12=0," ",_xlfn.RANK.AVG(D12,D$5:D$24,1)-COUNTIF(D$5:D$24,0))</f>
        <v xml:space="preserve"> </v>
      </c>
      <c r="F12" s="93" t="str">
        <f>IF(D12=0," ",IF((RANK(D12,D$5:D$24,1)-COUNTIF(D$5:D$24,0)&gt;6)," ",RANK(D12,D$5:D$24,1)-COUNTIF(D$5:D$24,0)))</f>
        <v xml:space="preserve"> </v>
      </c>
      <c r="G12" s="94" t="str">
        <f>IF(Table622027323334[[#This Row],[Non-Member]]="X"," ",IF(F12=" "," ",IFERROR(VLOOKUP(E12,Points!$A$2:$B$14,2,FALSE)," ")))</f>
        <v xml:space="preserve"> </v>
      </c>
      <c r="H12" s="92">
        <v>0</v>
      </c>
      <c r="I12" s="93" t="str">
        <f>IF(H12=0," ",_xlfn.RANK.AVG(H12,H$5:H$24,1)-COUNTIF(H$5:H$24,0))</f>
        <v xml:space="preserve"> </v>
      </c>
      <c r="J12" s="93" t="str">
        <f>IF(H12=0," ",IF((RANK(H12,H$5:H$24,1)-COUNTIF(H$5:H$24,0)&gt;6)," ",RANK(H12,H$5:H$24,1)-COUNTIF(H$5:H$24,0)))</f>
        <v xml:space="preserve"> </v>
      </c>
      <c r="K12" s="94" t="str">
        <f>IF(Table622027323334[[#This Row],[Non-Member]]="X"," ",IF(J12=" "," ",IFERROR(VLOOKUP(I12,Points!$A$2:$B$14,2,FALSE)," ")))</f>
        <v xml:space="preserve"> </v>
      </c>
      <c r="L12" s="92">
        <v>33.99</v>
      </c>
      <c r="M12" s="93">
        <f>IF(L12=0," ",_xlfn.RANK.AVG(L12,L$5:L$24,1)-COUNTIF(L$5:L$24,0))</f>
        <v>11</v>
      </c>
      <c r="N12" s="93" t="str">
        <f>IF(L12=0," ",IF((RANK(L12,L$5:L$24,1)-COUNTIF(L$5:L$24,0)&gt;6)," ",RANK(L12,L$5:L$24,1)-COUNTIF(L$5:L$24,0)))</f>
        <v xml:space="preserve"> </v>
      </c>
      <c r="O12" s="94" t="str">
        <f>IF(Table622027323334[[#This Row],[Non-Member]]="X"," ",IF(N12=" "," ",IFERROR(VLOOKUP(M12,Points!$A$2:$B$14,2,FALSE)," ")))</f>
        <v xml:space="preserve"> </v>
      </c>
      <c r="P12" s="92">
        <v>16.853999999999999</v>
      </c>
      <c r="Q12" s="93">
        <f>IF(P12=0," ",_xlfn.RANK.AVG(P12,P$5:P$24,1)-COUNTIF(P$5:P$24,0))</f>
        <v>6</v>
      </c>
      <c r="R12" s="93">
        <f>IF(P12=0," ",IF((RANK(P12,P$5:P$24,1)-COUNTIF(P$5:P$24,0)&gt;6)," ",RANK(P12,P$5:P$24,1)-COUNTIF(P$5:P$24,0)))</f>
        <v>6</v>
      </c>
      <c r="S12" s="94">
        <f>IF(Table622027323334[[#This Row],[Non-Member]]="X"," ",IF(R12=" "," ",IFERROR(VLOOKUP(Q12,Points!$A$2:$B$14,2,FALSE)," ")))</f>
        <v>3</v>
      </c>
      <c r="T12" s="92"/>
      <c r="U12" s="93" t="str">
        <f>IF(T12=0," ",_xlfn.RANK.AVG(T12,T$5:T$24,1)-COUNTIF(T$5:T$24,0))</f>
        <v xml:space="preserve"> </v>
      </c>
      <c r="V12" s="93" t="str">
        <f>IF(T12=0," ",IF((RANK(T12,T$5:T$24,1)-COUNTIF(T$5:T$24,0)&gt;6)," ",RANK(T12,T$5:T$24,1)-COUNTIF(T$5:T$24,0)))</f>
        <v xml:space="preserve"> </v>
      </c>
      <c r="W12" s="94" t="str">
        <f>IF(Table622027323334[[#This Row],[Non-Member]]="X"," ",IF(V12=" "," ",IFERROR(VLOOKUP(U12,Points!$A$2:$B$14,2,FALSE)," ")))</f>
        <v xml:space="preserve"> </v>
      </c>
      <c r="X12" s="92"/>
      <c r="Y12" s="93" t="str">
        <f>IF(X12=0," ",_xlfn.RANK.AVG(X12,X$5:X$24,1)-COUNTIF(X$5:X$24,0))</f>
        <v xml:space="preserve"> </v>
      </c>
      <c r="Z12" s="93" t="str">
        <f>IF(X12=0," ",IF((RANK(X12,X$5:X$24,1)-COUNTIF(X$5:X$24,0)&gt;6)," ",RANK(X12,X$5:X$24,1)-COUNTIF(X$5:X$24,0)))</f>
        <v xml:space="preserve"> </v>
      </c>
      <c r="AA12" s="94" t="str">
        <f>IF(Table622027323334[[#This Row],[Non-Member]]="X"," ",IF(Z12=" "," ",IFERROR(VLOOKUP(Y12,Points!$A$2:$B$14,2,FALSE)," ")))</f>
        <v xml:space="preserve"> </v>
      </c>
      <c r="AB12" s="92"/>
      <c r="AC12" s="93" t="str">
        <f>IF(AB12=0," ",_xlfn.RANK.AVG(AB12,AB$5:AB$24,1)-COUNTIF(AB$5:AB$24,0))</f>
        <v xml:space="preserve"> </v>
      </c>
      <c r="AD12" s="93" t="str">
        <f>IF(AB12=0," ",IF((RANK(AB12,AB$5:AB$24,1)-COUNTIF(AB$5:AB$24,0)&gt;6)," ",RANK(AB12,AB$5:AB$24,1)-COUNTIF(AB$5:AB$24,0)))</f>
        <v xml:space="preserve"> </v>
      </c>
      <c r="AE12" s="94" t="str">
        <f>IF(Table622027323334[[#This Row],[Non-Member]]="X"," ",IF(AD12=" "," ",IFERROR(VLOOKUP(AC12,Points!$A$2:$B$14,2,FALSE)," ")))</f>
        <v xml:space="preserve"> </v>
      </c>
      <c r="AF12" s="92"/>
      <c r="AG12" s="93" t="str">
        <f>IF(OR(AF12=0,AF12=" ")," ",_xlfn.RANK.AVG(AF12,AF$5:AF$24,1)-COUNTIF(AF$5:AF$24,0))</f>
        <v xml:space="preserve"> </v>
      </c>
      <c r="AH12" s="93" t="str">
        <f>IF(OR(AF12=0,AF12=" ")," ",IF((RANK(AF12,AF$5:AF$24,1)-COUNTIF(AF$5:AF$24,0)&gt;6)," ",RANK(AF12,AF$5:AF$24,1)-COUNTIF(AF$5:AF$24,0)))</f>
        <v xml:space="preserve"> </v>
      </c>
      <c r="AI12" s="94" t="str">
        <f>IF(Table622027323334[[#This Row],[Non-Member]]="X"," ",IF(AH12=" "," ",IFERROR(VLOOKUP(AG12,Points!$A$2:$B$14,2,FALSE)," ")))</f>
        <v xml:space="preserve"> </v>
      </c>
      <c r="AJ12" s="93">
        <f>IF(Table622027323334[[#This Row],[Non-Member]]="X"," ",((IF(G12=" ",0,G12))+(IF(K12=" ",0,K12))+(IF(O12=" ",0,O12))+(IF(S12=" ",0,S12))+(IF(W12=" ",0,W12))+(IF(AA12=" ",0,AA12))+(IF(AE12=" ",0,AE12))+(IF(AI12=" ",0,AI12))))</f>
        <v>3</v>
      </c>
      <c r="AK12" s="95">
        <f>IF(AJ12=0," ",AJ12)</f>
        <v>3</v>
      </c>
      <c r="AL12" s="96">
        <f>IF(AK12=" "," ",RANK(AK12,$AK$5:$AK$24))</f>
        <v>8</v>
      </c>
    </row>
    <row r="13" spans="2:38" x14ac:dyDescent="0.3">
      <c r="B13" s="90" t="s">
        <v>322</v>
      </c>
      <c r="C13" s="91"/>
      <c r="D13" s="92"/>
      <c r="E13" s="93" t="str">
        <f>IF(D13=0," ",_xlfn.RANK.AVG(D13,D$5:D$24,1)-COUNTIF(D$5:D$24,0))</f>
        <v xml:space="preserve"> </v>
      </c>
      <c r="F13" s="93" t="str">
        <f>IF(D13=0," ",IF((RANK(D13,D$5:D$24,1)-COUNTIF(D$5:D$24,0)&gt;6)," ",RANK(D13,D$5:D$24,1)-COUNTIF(D$5:D$24,0)))</f>
        <v xml:space="preserve"> </v>
      </c>
      <c r="G13" s="94" t="str">
        <f>IF(Table622027323334[[#This Row],[Non-Member]]="X"," ",IF(F13=" "," ",IFERROR(VLOOKUP(E13,Points!$A$2:$B$14,2,FALSE)," ")))</f>
        <v xml:space="preserve"> </v>
      </c>
      <c r="H13" s="92"/>
      <c r="I13" s="93" t="str">
        <f>IF(H13=0," ",_xlfn.RANK.AVG(H13,H$5:H$24,1)-COUNTIF(H$5:H$24,0))</f>
        <v xml:space="preserve"> </v>
      </c>
      <c r="J13" s="93" t="str">
        <f>IF(H13=0," ",IF((RANK(H13,H$5:H$24,1)-COUNTIF(H$5:H$24,0)&gt;6)," ",RANK(H13,H$5:H$24,1)-COUNTIF(H$5:H$24,0)))</f>
        <v xml:space="preserve"> </v>
      </c>
      <c r="K13" s="94" t="str">
        <f>IF(Table622027323334[[#This Row],[Non-Member]]="X"," ",IF(J13=" "," ",IFERROR(VLOOKUP(I13,Points!$A$2:$B$14,2,FALSE)," ")))</f>
        <v xml:space="preserve"> </v>
      </c>
      <c r="L13" s="92">
        <v>0</v>
      </c>
      <c r="M13" s="93" t="str">
        <f>IF(L13=0," ",_xlfn.RANK.AVG(L13,L$5:L$24,1)-COUNTIF(L$5:L$24,0))</f>
        <v xml:space="preserve"> </v>
      </c>
      <c r="N13" s="93" t="str">
        <f>IF(L13=0," ",IF((RANK(L13,L$5:L$24,1)-COUNTIF(L$5:L$24,0)&gt;6)," ",RANK(L13,L$5:L$24,1)-COUNTIF(L$5:L$24,0)))</f>
        <v xml:space="preserve"> </v>
      </c>
      <c r="O13" s="94" t="str">
        <f>IF(Table622027323334[[#This Row],[Non-Member]]="X"," ",IF(N13=" "," ",IFERROR(VLOOKUP(M13,Points!$A$2:$B$14,2,FALSE)," ")))</f>
        <v xml:space="preserve"> </v>
      </c>
      <c r="P13" s="92">
        <v>0</v>
      </c>
      <c r="Q13" s="93" t="str">
        <f>IF(P13=0," ",_xlfn.RANK.AVG(P13,P$5:P$24,1)-COUNTIF(P$5:P$24,0))</f>
        <v xml:space="preserve"> </v>
      </c>
      <c r="R13" s="93" t="str">
        <f>IF(P13=0," ",IF((RANK(P13,P$5:P$24,1)-COUNTIF(P$5:P$24,0)&gt;6)," ",RANK(P13,P$5:P$24,1)-COUNTIF(P$5:P$24,0)))</f>
        <v xml:space="preserve"> </v>
      </c>
      <c r="S13" s="94" t="str">
        <f>IF(Table622027323334[[#This Row],[Non-Member]]="X"," ",IF(R13=" "," ",IFERROR(VLOOKUP(Q13,Points!$A$2:$B$14,2,FALSE)," ")))</f>
        <v xml:space="preserve"> </v>
      </c>
      <c r="T13" s="92"/>
      <c r="U13" s="93" t="str">
        <f>IF(T13=0," ",_xlfn.RANK.AVG(T13,T$5:T$24,1)-COUNTIF(T$5:T$24,0))</f>
        <v xml:space="preserve"> </v>
      </c>
      <c r="V13" s="93" t="str">
        <f>IF(T13=0," ",IF((RANK(T13,T$5:T$24,1)-COUNTIF(T$5:T$24,0)&gt;6)," ",RANK(T13,T$5:T$24,1)-COUNTIF(T$5:T$24,0)))</f>
        <v xml:space="preserve"> </v>
      </c>
      <c r="W13" s="94" t="str">
        <f>IF(Table622027323334[[#This Row],[Non-Member]]="X"," ",IF(V13=" "," ",IFERROR(VLOOKUP(U13,Points!$A$2:$B$14,2,FALSE)," ")))</f>
        <v xml:space="preserve"> </v>
      </c>
      <c r="X13" s="92"/>
      <c r="Y13" s="93" t="str">
        <f>IF(X13=0," ",_xlfn.RANK.AVG(X13,X$5:X$24,1)-COUNTIF(X$5:X$24,0))</f>
        <v xml:space="preserve"> </v>
      </c>
      <c r="Z13" s="93" t="str">
        <f>IF(X13=0," ",IF((RANK(X13,X$5:X$24,1)-COUNTIF(X$5:X$24,0)&gt;6)," ",RANK(X13,X$5:X$24,1)-COUNTIF(X$5:X$24,0)))</f>
        <v xml:space="preserve"> </v>
      </c>
      <c r="AA13" s="94" t="str">
        <f>IF(Table622027323334[[#This Row],[Non-Member]]="X"," ",IF(Z13=" "," ",IFERROR(VLOOKUP(Y13,Points!$A$2:$B$14,2,FALSE)," ")))</f>
        <v xml:space="preserve"> </v>
      </c>
      <c r="AB13" s="92"/>
      <c r="AC13" s="93" t="str">
        <f>IF(AB13=0," ",_xlfn.RANK.AVG(AB13,AB$5:AB$24,1)-COUNTIF(AB$5:AB$24,0))</f>
        <v xml:space="preserve"> </v>
      </c>
      <c r="AD13" s="93" t="str">
        <f>IF(AB13=0," ",IF((RANK(AB13,AB$5:AB$24,1)-COUNTIF(AB$5:AB$24,0)&gt;6)," ",RANK(AB13,AB$5:AB$24,1)-COUNTIF(AB$5:AB$24,0)))</f>
        <v xml:space="preserve"> </v>
      </c>
      <c r="AE13" s="94" t="str">
        <f>IF(Table622027323334[[#This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>IF(OR(AF13=0,AF13=" ")," ",_xlfn.RANK.AVG(AF13,AF$5:AF$24,1)-COUNTIF(AF$5:AF$24,0))</f>
        <v xml:space="preserve"> </v>
      </c>
      <c r="AH13" s="93" t="str">
        <f>IF(OR(AF13=0,AF13=" ")," ",IF((RANK(AF13,AF$5:AF$24,1)-COUNTIF(AF$5:AF$24,0)&gt;6)," ",RANK(AF13,AF$5:AF$24,1)-COUNTIF(AF$5:AF$24,0)))</f>
        <v xml:space="preserve"> </v>
      </c>
      <c r="AI13" s="94" t="str">
        <f>IF(Table622027323334[[#This Row],[Non-Member]]="X"," ",IF(AH13=" "," ",IFERROR(VLOOKUP(AG13,Points!$A$2:$B$14,2,FALSE)," ")))</f>
        <v xml:space="preserve"> </v>
      </c>
      <c r="AJ13" s="93">
        <f>IF(Table622027323334[[#This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>IF(AJ13=0," ",AJ13)</f>
        <v xml:space="preserve"> </v>
      </c>
      <c r="AL13" s="96" t="str">
        <f>IF(AK13=" "," ",RANK(AK13,$AK$5:$AK$24))</f>
        <v xml:space="preserve"> </v>
      </c>
    </row>
    <row r="14" spans="2:38" x14ac:dyDescent="0.3">
      <c r="B14" s="90" t="s">
        <v>74</v>
      </c>
      <c r="C14" s="91"/>
      <c r="D14" s="92"/>
      <c r="E14" s="93" t="str">
        <f>IF(D14=0," ",_xlfn.RANK.AVG(D14,D$5:D$24,1)-COUNTIF(D$5:D$24,0))</f>
        <v xml:space="preserve"> </v>
      </c>
      <c r="F14" s="93" t="str">
        <f>IF(D14=0," ",IF((RANK(D14,D$5:D$24,1)-COUNTIF(D$5:D$24,0)&gt;6)," ",RANK(D14,D$5:D$24,1)-COUNTIF(D$5:D$24,0)))</f>
        <v xml:space="preserve"> </v>
      </c>
      <c r="G14" s="94" t="str">
        <f>IF(Table622027323334[[#This Row],[Non-Member]]="X"," ",IF(F14=" "," ",IFERROR(VLOOKUP(E14,Points!$A$2:$B$14,2,FALSE)," ")))</f>
        <v xml:space="preserve"> </v>
      </c>
      <c r="H14" s="92">
        <v>0</v>
      </c>
      <c r="I14" s="93" t="str">
        <f>IF(H14=0," ",_xlfn.RANK.AVG(H14,H$5:H$24,1)-COUNTIF(H$5:H$24,0))</f>
        <v xml:space="preserve"> </v>
      </c>
      <c r="J14" s="93" t="str">
        <f>IF(H14=0," ",IF((RANK(H14,H$5:H$24,1)-COUNTIF(H$5:H$24,0)&gt;6)," ",RANK(H14,H$5:H$24,1)-COUNTIF(H$5:H$24,0)))</f>
        <v xml:space="preserve"> </v>
      </c>
      <c r="K14" s="94" t="str">
        <f>IF(Table622027323334[[#This Row],[Non-Member]]="X"," ",IF(J14=" "," ",IFERROR(VLOOKUP(I14,Points!$A$2:$B$14,2,FALSE)," ")))</f>
        <v xml:space="preserve"> </v>
      </c>
      <c r="L14" s="92">
        <v>24.036000000000001</v>
      </c>
      <c r="M14" s="93">
        <f>IF(L14=0," ",_xlfn.RANK.AVG(L14,L$5:L$24,1)-COUNTIF(L$5:L$24,0))</f>
        <v>7</v>
      </c>
      <c r="N14" s="93" t="str">
        <f>IF(L14=0," ",IF((RANK(L14,L$5:L$24,1)-COUNTIF(L$5:L$24,0)&gt;6)," ",RANK(L14,L$5:L$24,1)-COUNTIF(L$5:L$24,0)))</f>
        <v xml:space="preserve"> </v>
      </c>
      <c r="O14" s="94" t="str">
        <f>IF(Table622027323334[[#This Row],[Non-Member]]="X"," ",IF(N14=" "," ",IFERROR(VLOOKUP(M14,Points!$A$2:$B$14,2,FALSE)," ")))</f>
        <v xml:space="preserve"> </v>
      </c>
      <c r="P14" s="92">
        <v>25.282</v>
      </c>
      <c r="Q14" s="93">
        <f>IF(P14=0," ",_xlfn.RANK.AVG(P14,P$5:P$24,1)-COUNTIF(P$5:P$24,0))</f>
        <v>11</v>
      </c>
      <c r="R14" s="93" t="str">
        <f>IF(P14=0," ",IF((RANK(P14,P$5:P$24,1)-COUNTIF(P$5:P$24,0)&gt;6)," ",RANK(P14,P$5:P$24,1)-COUNTIF(P$5:P$24,0)))</f>
        <v xml:space="preserve"> </v>
      </c>
      <c r="S14" s="94" t="str">
        <f>IF(Table622027323334[[#This Row],[Non-Member]]="X"," ",IF(R14=" "," ",IFERROR(VLOOKUP(Q14,Points!$A$2:$B$14,2,FALSE)," ")))</f>
        <v xml:space="preserve"> </v>
      </c>
      <c r="T14" s="92"/>
      <c r="U14" s="93" t="str">
        <f>IF(T14=0," ",_xlfn.RANK.AVG(T14,T$5:T$24,1)-COUNTIF(T$5:T$24,0))</f>
        <v xml:space="preserve"> </v>
      </c>
      <c r="V14" s="93" t="str">
        <f>IF(T14=0," ",IF((RANK(T14,T$5:T$24,1)-COUNTIF(T$5:T$24,0)&gt;6)," ",RANK(T14,T$5:T$24,1)-COUNTIF(T$5:T$24,0)))</f>
        <v xml:space="preserve"> </v>
      </c>
      <c r="W14" s="94" t="str">
        <f>IF(Table622027323334[[#This Row],[Non-Member]]="X"," ",IF(V14=" "," ",IFERROR(VLOOKUP(U14,Points!$A$2:$B$14,2,FALSE)," ")))</f>
        <v xml:space="preserve"> </v>
      </c>
      <c r="X14" s="92"/>
      <c r="Y14" s="93" t="str">
        <f>IF(X14=0," ",_xlfn.RANK.AVG(X14,X$5:X$24,1)-COUNTIF(X$5:X$24,0))</f>
        <v xml:space="preserve"> </v>
      </c>
      <c r="Z14" s="93" t="str">
        <f>IF(X14=0," ",IF((RANK(X14,X$5:X$24,1)-COUNTIF(X$5:X$24,0)&gt;6)," ",RANK(X14,X$5:X$24,1)-COUNTIF(X$5:X$24,0)))</f>
        <v xml:space="preserve"> </v>
      </c>
      <c r="AA14" s="94" t="str">
        <f>IF(Table622027323334[[#This Row],[Non-Member]]="X"," ",IF(Z14=" "," ",IFERROR(VLOOKUP(Y14,Points!$A$2:$B$14,2,FALSE)," ")))</f>
        <v xml:space="preserve"> </v>
      </c>
      <c r="AB14" s="92"/>
      <c r="AC14" s="93" t="str">
        <f>IF(AB14=0," ",_xlfn.RANK.AVG(AB14,AB$5:AB$24,1)-COUNTIF(AB$5:AB$24,0))</f>
        <v xml:space="preserve"> </v>
      </c>
      <c r="AD14" s="93" t="str">
        <f>IF(AB14=0," ",IF((RANK(AB14,AB$5:AB$24,1)-COUNTIF(AB$5:AB$24,0)&gt;6)," ",RANK(AB14,AB$5:AB$24,1)-COUNTIF(AB$5:AB$24,0)))</f>
        <v xml:space="preserve"> </v>
      </c>
      <c r="AE14" s="94" t="str">
        <f>IF(Table622027323334[[#This Row],[Non-Member]]="X"," ",IF(AD14=" "," ",IFERROR(VLOOKUP(AC14,Points!$A$2:$B$14,2,FALSE)," ")))</f>
        <v xml:space="preserve"> </v>
      </c>
      <c r="AF14" s="92"/>
      <c r="AG14" s="93" t="str">
        <f>IF(OR(AF14=0,AF14=" ")," ",_xlfn.RANK.AVG(AF14,AF$5:AF$24,1)-COUNTIF(AF$5:AF$24,0))</f>
        <v xml:space="preserve"> </v>
      </c>
      <c r="AH14" s="93" t="str">
        <f>IF(OR(AF14=0,AF14=" ")," ",IF((RANK(AF14,AF$5:AF$24,1)-COUNTIF(AF$5:AF$24,0)&gt;6)," ",RANK(AF14,AF$5:AF$24,1)-COUNTIF(AF$5:AF$24,0)))</f>
        <v xml:space="preserve"> </v>
      </c>
      <c r="AI14" s="94" t="str">
        <f>IF(Table622027323334[[#This Row],[Non-Member]]="X"," ",IF(AH14=" "," ",IFERROR(VLOOKUP(AG14,Points!$A$2:$B$14,2,FALSE)," ")))</f>
        <v xml:space="preserve"> </v>
      </c>
      <c r="AJ14" s="93">
        <f>IF(Table622027323334[[#This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>IF(AJ14=0," ",AJ14)</f>
        <v xml:space="preserve"> </v>
      </c>
      <c r="AL14" s="96" t="str">
        <f>IF(AK14=" "," ",RANK(AK14,$AK$5:$AK$24))</f>
        <v xml:space="preserve"> </v>
      </c>
    </row>
    <row r="15" spans="2:38" x14ac:dyDescent="0.3">
      <c r="B15" s="90" t="s">
        <v>273</v>
      </c>
      <c r="C15" s="91"/>
      <c r="D15" s="92"/>
      <c r="E15" s="93" t="str">
        <f>IF(D15=0," ",_xlfn.RANK.AVG(D15,D$5:D$24,1)-COUNTIF(D$5:D$24,0))</f>
        <v xml:space="preserve"> </v>
      </c>
      <c r="F15" s="93" t="str">
        <f>IF(D15=0," ",IF((RANK(D15,D$5:D$24,1)-COUNTIF(D$5:D$24,0)&gt;6)," ",RANK(D15,D$5:D$24,1)-COUNTIF(D$5:D$24,0)))</f>
        <v xml:space="preserve"> </v>
      </c>
      <c r="G15" s="94" t="str">
        <f>IF(Table622027323334[[#This Row],[Non-Member]]="X"," ",IF(F15=" "," ",IFERROR(VLOOKUP(E15,Points!$A$2:$B$14,2,FALSE)," ")))</f>
        <v xml:space="preserve"> </v>
      </c>
      <c r="H15" s="92">
        <v>24.754000000000001</v>
      </c>
      <c r="I15" s="93">
        <f>IF(H15=0," ",_xlfn.RANK.AVG(H15,H$5:H$24,1)-COUNTIF(H$5:H$24,0))</f>
        <v>7</v>
      </c>
      <c r="J15" s="93" t="str">
        <f>IF(H15=0," ",IF((RANK(H15,H$5:H$24,1)-COUNTIF(H$5:H$24,0)&gt;6)," ",RANK(H15,H$5:H$24,1)-COUNTIF(H$5:H$24,0)))</f>
        <v xml:space="preserve"> </v>
      </c>
      <c r="K15" s="94" t="str">
        <f>IF(Table622027323334[[#This Row],[Non-Member]]="X"," ",IF(J15=" "," ",IFERROR(VLOOKUP(I15,Points!$A$2:$B$14,2,FALSE)," ")))</f>
        <v xml:space="preserve"> </v>
      </c>
      <c r="L15" s="92">
        <v>29.507000000000001</v>
      </c>
      <c r="M15" s="93">
        <f>IF(L15=0," ",_xlfn.RANK.AVG(L15,L$5:L$24,1)-COUNTIF(L$5:L$24,0))</f>
        <v>9</v>
      </c>
      <c r="N15" s="93" t="str">
        <f>IF(L15=0," ",IF((RANK(L15,L$5:L$24,1)-COUNTIF(L$5:L$24,0)&gt;6)," ",RANK(L15,L$5:L$24,1)-COUNTIF(L$5:L$24,0)))</f>
        <v xml:space="preserve"> </v>
      </c>
      <c r="O15" s="94" t="str">
        <f>IF(Table622027323334[[#This Row],[Non-Member]]="X"," ",IF(N15=" "," ",IFERROR(VLOOKUP(M15,Points!$A$2:$B$14,2,FALSE)," ")))</f>
        <v xml:space="preserve"> </v>
      </c>
      <c r="P15" s="92">
        <v>0</v>
      </c>
      <c r="Q15" s="93" t="str">
        <f>IF(P15=0," ",_xlfn.RANK.AVG(P15,P$5:P$24,1)-COUNTIF(P$5:P$24,0))</f>
        <v xml:space="preserve"> </v>
      </c>
      <c r="R15" s="93" t="str">
        <f>IF(P15=0," ",IF((RANK(P15,P$5:P$24,1)-COUNTIF(P$5:P$24,0)&gt;6)," ",RANK(P15,P$5:P$24,1)-COUNTIF(P$5:P$24,0)))</f>
        <v xml:space="preserve"> </v>
      </c>
      <c r="S15" s="94" t="str">
        <f>IF(Table622027323334[[#This Row],[Non-Member]]="X"," ",IF(R15=" "," ",IFERROR(VLOOKUP(Q15,Points!$A$2:$B$14,2,FALSE)," ")))</f>
        <v xml:space="preserve"> </v>
      </c>
      <c r="T15" s="92"/>
      <c r="U15" s="93" t="str">
        <f>IF(T15=0," ",_xlfn.RANK.AVG(T15,T$5:T$24,1)-COUNTIF(T$5:T$24,0))</f>
        <v xml:space="preserve"> </v>
      </c>
      <c r="V15" s="93" t="str">
        <f>IF(T15=0," ",IF((RANK(T15,T$5:T$24,1)-COUNTIF(T$5:T$24,0)&gt;6)," ",RANK(T15,T$5:T$24,1)-COUNTIF(T$5:T$24,0)))</f>
        <v xml:space="preserve"> </v>
      </c>
      <c r="W15" s="94" t="str">
        <f>IF(Table622027323334[[#This Row],[Non-Member]]="X"," ",IF(V15=" "," ",IFERROR(VLOOKUP(U15,Points!$A$2:$B$14,2,FALSE)," ")))</f>
        <v xml:space="preserve"> </v>
      </c>
      <c r="X15" s="92"/>
      <c r="Y15" s="93" t="str">
        <f>IF(X15=0," ",_xlfn.RANK.AVG(X15,X$5:X$24,1)-COUNTIF(X$5:X$24,0))</f>
        <v xml:space="preserve"> </v>
      </c>
      <c r="Z15" s="93" t="str">
        <f>IF(X15=0," ",IF((RANK(X15,X$5:X$24,1)-COUNTIF(X$5:X$24,0)&gt;6)," ",RANK(X15,X$5:X$24,1)-COUNTIF(X$5:X$24,0)))</f>
        <v xml:space="preserve"> </v>
      </c>
      <c r="AA15" s="94" t="str">
        <f>IF(Table622027323334[[#This Row],[Non-Member]]="X"," ",IF(Z15=" "," ",IFERROR(VLOOKUP(Y15,Points!$A$2:$B$14,2,FALSE)," ")))</f>
        <v xml:space="preserve"> </v>
      </c>
      <c r="AB15" s="92"/>
      <c r="AC15" s="93" t="str">
        <f>IF(AB15=0," ",_xlfn.RANK.AVG(AB15,AB$5:AB$24,1)-COUNTIF(AB$5:AB$24,0))</f>
        <v xml:space="preserve"> </v>
      </c>
      <c r="AD15" s="93" t="str">
        <f>IF(AB15=0," ",IF((RANK(AB15,AB$5:AB$24,1)-COUNTIF(AB$5:AB$24,0)&gt;6)," ",RANK(AB15,AB$5:AB$24,1)-COUNTIF(AB$5:AB$24,0)))</f>
        <v xml:space="preserve"> </v>
      </c>
      <c r="AE15" s="94" t="str">
        <f>IF(Table622027323334[[#This Row],[Non-Member]]="X"," ",IF(AD15=" "," ",IFERROR(VLOOKUP(AC15,Points!$A$2:$B$14,2,FALSE)," ")))</f>
        <v xml:space="preserve"> </v>
      </c>
      <c r="AF15" s="160"/>
      <c r="AG15" s="93">
        <v>6</v>
      </c>
      <c r="AH15" s="93" t="str">
        <f>IF(OR(AF15=0,AF15=" ")," ",IF((RANK(AF15,AF$5:AF$24,1)-COUNTIF(AF$5:AF$24,0)&gt;6)," ",RANK(AF15,AF$5:AF$24,1)-COUNTIF(AF$5:AF$24,0)))</f>
        <v xml:space="preserve"> </v>
      </c>
      <c r="AI15" s="94" t="str">
        <f>IF(Table622027323334[[#This Row],[Non-Member]]="X"," ",IF(AH15=" "," ",IFERROR(VLOOKUP(AG15,Points!$A$2:$B$14,2,FALSE)," ")))</f>
        <v xml:space="preserve"> </v>
      </c>
      <c r="AJ15" s="93">
        <f>IF(Table622027323334[[#This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>IF(AJ15=0," ",AJ15)</f>
        <v xml:space="preserve"> </v>
      </c>
      <c r="AL15" s="96" t="str">
        <f>IF(AK15=" "," ",RANK(AK15,$AK$5:$AK$24))</f>
        <v xml:space="preserve"> </v>
      </c>
    </row>
    <row r="16" spans="2:38" x14ac:dyDescent="0.3">
      <c r="B16" s="90" t="s">
        <v>324</v>
      </c>
      <c r="C16" s="91" t="s">
        <v>325</v>
      </c>
      <c r="D16" s="92"/>
      <c r="E16" s="93" t="str">
        <f>IF(D16=0," ",_xlfn.RANK.AVG(D16,D$5:D$24,1)-COUNTIF(D$5:D$24,0))</f>
        <v xml:space="preserve"> </v>
      </c>
      <c r="F16" s="93" t="str">
        <f>IF(D16=0," ",IF((RANK(D16,D$5:D$24,1)-COUNTIF(D$5:D$24,0)&gt;6)," ",RANK(D16,D$5:D$24,1)-COUNTIF(D$5:D$24,0)))</f>
        <v xml:space="preserve"> </v>
      </c>
      <c r="G16" s="94" t="str">
        <f>IF(Table622027323334[[#This Row],[Non-Member]]="X"," ",IF(F16=" "," ",IFERROR(VLOOKUP(E16,Points!$A$2:$B$14,2,FALSE)," ")))</f>
        <v xml:space="preserve"> </v>
      </c>
      <c r="H16" s="92"/>
      <c r="I16" s="93" t="str">
        <f>IF(H16=0," ",_xlfn.RANK.AVG(H16,H$5:H$24,1)-COUNTIF(H$5:H$24,0))</f>
        <v xml:space="preserve"> </v>
      </c>
      <c r="J16" s="93" t="str">
        <f>IF(H16=0," ",IF((RANK(H16,H$5:H$24,1)-COUNTIF(H$5:H$24,0)&gt;6)," ",RANK(H16,H$5:H$24,1)-COUNTIF(H$5:H$24,0)))</f>
        <v xml:space="preserve"> </v>
      </c>
      <c r="K16" s="94" t="str">
        <f>IF(Table622027323334[[#This Row],[Non-Member]]="X"," ",IF(J16=" "," ",IFERROR(VLOOKUP(I16,Points!$A$2:$B$14,2,FALSE)," ")))</f>
        <v xml:space="preserve"> </v>
      </c>
      <c r="L16" s="92"/>
      <c r="M16" s="93" t="str">
        <f>IF(L16=0," ",_xlfn.RANK.AVG(L16,L$5:L$24,1)-COUNTIF(L$5:L$24,0))</f>
        <v xml:space="preserve"> </v>
      </c>
      <c r="N16" s="93" t="str">
        <f>IF(L16=0," ",IF((RANK(L16,L$5:L$24,1)-COUNTIF(L$5:L$24,0)&gt;6)," ",RANK(L16,L$5:L$24,1)-COUNTIF(L$5:L$24,0)))</f>
        <v xml:space="preserve"> </v>
      </c>
      <c r="O16" s="94" t="str">
        <f>IF(Table622027323334[[#This Row],[Non-Member]]="X"," ",IF(N16=" "," ",IFERROR(VLOOKUP(M16,Points!$A$2:$B$14,2,FALSE)," ")))</f>
        <v xml:space="preserve"> </v>
      </c>
      <c r="P16" s="92">
        <v>19.119</v>
      </c>
      <c r="Q16" s="93">
        <f>IF(P16=0," ",_xlfn.RANK.AVG(P16,P$5:P$24,1)-COUNTIF(P$5:P$24,0))</f>
        <v>10</v>
      </c>
      <c r="R16" s="93" t="str">
        <f>IF(P16=0," ",IF((RANK(P16,P$5:P$24,1)-COUNTIF(P$5:P$24,0)&gt;6)," ",RANK(P16,P$5:P$24,1)-COUNTIF(P$5:P$24,0)))</f>
        <v xml:space="preserve"> </v>
      </c>
      <c r="S16" s="94" t="str">
        <f>IF(Table622027323334[[#This Row],[Non-Member]]="X"," ",IF(R16=" "," ",IFERROR(VLOOKUP(Q16,Points!$A$2:$B$14,2,FALSE)," ")))</f>
        <v xml:space="preserve"> </v>
      </c>
      <c r="T16" s="92"/>
      <c r="U16" s="93" t="str">
        <f>IF(T16=0," ",_xlfn.RANK.AVG(T16,T$5:T$24,1)-COUNTIF(T$5:T$24,0))</f>
        <v xml:space="preserve"> </v>
      </c>
      <c r="V16" s="93" t="str">
        <f>IF(T16=0," ",IF((RANK(T16,T$5:T$24,1)-COUNTIF(T$5:T$24,0)&gt;6)," ",RANK(T16,T$5:T$24,1)-COUNTIF(T$5:T$24,0)))</f>
        <v xml:space="preserve"> </v>
      </c>
      <c r="W16" s="94" t="str">
        <f>IF(Table622027323334[[#This Row],[Non-Member]]="X"," ",IF(V16=" "," ",IFERROR(VLOOKUP(U16,Points!$A$2:$B$14,2,FALSE)," ")))</f>
        <v xml:space="preserve"> </v>
      </c>
      <c r="X16" s="92"/>
      <c r="Y16" s="93" t="str">
        <f>IF(X16=0," ",_xlfn.RANK.AVG(X16,X$5:X$24,1)-COUNTIF(X$5:X$24,0))</f>
        <v xml:space="preserve"> </v>
      </c>
      <c r="Z16" s="93" t="str">
        <f>IF(X16=0," ",IF((RANK(X16,X$5:X$24,1)-COUNTIF(X$5:X$24,0)&gt;6)," ",RANK(X16,X$5:X$24,1)-COUNTIF(X$5:X$24,0)))</f>
        <v xml:space="preserve"> </v>
      </c>
      <c r="AA16" s="94" t="str">
        <f>IF(Table622027323334[[#This Row],[Non-Member]]="X"," ",IF(Z16=" "," ",IFERROR(VLOOKUP(Y16,Points!$A$2:$B$14,2,FALSE)," ")))</f>
        <v xml:space="preserve"> </v>
      </c>
      <c r="AB16" s="92"/>
      <c r="AC16" s="93" t="str">
        <f>IF(AB16=0," ",_xlfn.RANK.AVG(AB16,AB$5:AB$24,1)-COUNTIF(AB$5:AB$24,0))</f>
        <v xml:space="preserve"> </v>
      </c>
      <c r="AD16" s="93" t="str">
        <f>IF(AB16=0," ",IF((RANK(AB16,AB$5:AB$24,1)-COUNTIF(AB$5:AB$24,0)&gt;6)," ",RANK(AB16,AB$5:AB$24,1)-COUNTIF(AB$5:AB$24,0)))</f>
        <v xml:space="preserve"> </v>
      </c>
      <c r="AE16" s="94" t="str">
        <f>IF(Table622027323334[[#This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>IF(OR(AF16=0,AF16=" ")," ",_xlfn.RANK.AVG(AF16,AF$5:AF$24,1)-COUNTIF(AF$5:AF$24,0))</f>
        <v xml:space="preserve"> </v>
      </c>
      <c r="AH16" s="93" t="str">
        <f>IF(OR(AF16=0,AF16=" ")," ",IF((RANK(AF16,AF$5:AF$24,1)-COUNTIF(AF$5:AF$24,0)&gt;6)," ",RANK(AF16,AF$5:AF$24,1)-COUNTIF(AF$5:AF$24,0)))</f>
        <v xml:space="preserve"> </v>
      </c>
      <c r="AI16" s="94" t="str">
        <f>IF(Table622027323334[[#This Row],[Non-Member]]="X"," ",IF(AH16=" "," ",IFERROR(VLOOKUP(AG16,Points!$A$2:$B$14,2,FALSE)," ")))</f>
        <v xml:space="preserve"> </v>
      </c>
      <c r="AJ16" s="93" t="str">
        <f>IF(Table622027323334[[#This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>IF(AJ16=0," ",AJ16)</f>
        <v xml:space="preserve"> </v>
      </c>
      <c r="AL16" s="96" t="str">
        <f>IF(AK16=" "," ",RANK(AK16,$AK$5:$AK$24))</f>
        <v xml:space="preserve"> </v>
      </c>
    </row>
    <row r="17" spans="2:38" x14ac:dyDescent="0.3">
      <c r="B17" s="90" t="s">
        <v>278</v>
      </c>
      <c r="C17" s="91"/>
      <c r="D17" s="92"/>
      <c r="E17" s="93" t="str">
        <f>IF(D17=0," ",_xlfn.RANK.AVG(D17,D$5:D$24,1)-COUNTIF(D$5:D$24,0))</f>
        <v xml:space="preserve"> </v>
      </c>
      <c r="F17" s="93" t="str">
        <f>IF(D17=0," ",IF((RANK(D17,D$5:D$24,1)-COUNTIF(D$5:D$24,0)&gt;6)," ",RANK(D17,D$5:D$24,1)-COUNTIF(D$5:D$24,0)))</f>
        <v xml:space="preserve"> </v>
      </c>
      <c r="G17" s="94" t="str">
        <f>IF(Table622027323334[[#This Row],[Non-Member]]="X"," ",IF(F17=" "," ",IFERROR(VLOOKUP(E17,Points!$A$2:$B$14,2,FALSE)," ")))</f>
        <v xml:space="preserve"> </v>
      </c>
      <c r="H17" s="92">
        <v>0</v>
      </c>
      <c r="I17" s="93" t="str">
        <f>IF(H17=0," ",_xlfn.RANK.AVG(H17,H$5:H$24,1)-COUNTIF(H$5:H$24,0))</f>
        <v xml:space="preserve"> </v>
      </c>
      <c r="J17" s="93" t="str">
        <f>IF(H17=0," ",IF((RANK(H17,H$5:H$24,1)-COUNTIF(H$5:H$24,0)&gt;6)," ",RANK(H17,H$5:H$24,1)-COUNTIF(H$5:H$24,0)))</f>
        <v xml:space="preserve"> </v>
      </c>
      <c r="K17" s="94" t="str">
        <f>IF(Table622027323334[[#This Row],[Non-Member]]="X"," ",IF(J17=" "," ",IFERROR(VLOOKUP(I17,Points!$A$2:$B$14,2,FALSE)," ")))</f>
        <v xml:space="preserve"> </v>
      </c>
      <c r="L17" s="92">
        <v>0</v>
      </c>
      <c r="M17" s="93" t="str">
        <f>IF(L17=0," ",_xlfn.RANK.AVG(L17,L$5:L$24,1)-COUNTIF(L$5:L$24,0))</f>
        <v xml:space="preserve"> </v>
      </c>
      <c r="N17" s="93" t="str">
        <f>IF(L17=0," ",IF((RANK(L17,L$5:L$24,1)-COUNTIF(L$5:L$24,0)&gt;6)," ",RANK(L17,L$5:L$24,1)-COUNTIF(L$5:L$24,0)))</f>
        <v xml:space="preserve"> </v>
      </c>
      <c r="O17" s="94" t="str">
        <f>IF(Table622027323334[[#This Row],[Non-Member]]="X"," ",IF(N17=" "," ",IFERROR(VLOOKUP(M17,Points!$A$2:$B$14,2,FALSE)," ")))</f>
        <v xml:space="preserve"> </v>
      </c>
      <c r="P17" s="92">
        <v>19.010000000000002</v>
      </c>
      <c r="Q17" s="93">
        <f>IF(P17=0," ",_xlfn.RANK.AVG(P17,P$5:P$24,1)-COUNTIF(P$5:P$24,0))</f>
        <v>9</v>
      </c>
      <c r="R17" s="93" t="str">
        <f>IF(P17=0," ",IF((RANK(P17,P$5:P$24,1)-COUNTIF(P$5:P$24,0)&gt;6)," ",RANK(P17,P$5:P$24,1)-COUNTIF(P$5:P$24,0)))</f>
        <v xml:space="preserve"> </v>
      </c>
      <c r="S17" s="94" t="str">
        <f>IF(Table622027323334[[#This Row],[Non-Member]]="X"," ",IF(R17=" "," ",IFERROR(VLOOKUP(Q17,Points!$A$2:$B$14,2,FALSE)," ")))</f>
        <v xml:space="preserve"> </v>
      </c>
      <c r="T17" s="92"/>
      <c r="U17" s="93" t="str">
        <f>IF(T17=0," ",_xlfn.RANK.AVG(T17,T$5:T$24,1)-COUNTIF(T$5:T$24,0))</f>
        <v xml:space="preserve"> </v>
      </c>
      <c r="V17" s="93" t="str">
        <f>IF(T17=0," ",IF((RANK(T17,T$5:T$24,1)-COUNTIF(T$5:T$24,0)&gt;6)," ",RANK(T17,T$5:T$24,1)-COUNTIF(T$5:T$24,0)))</f>
        <v xml:space="preserve"> </v>
      </c>
      <c r="W17" s="94" t="str">
        <f>IF(Table622027323334[[#This Row],[Non-Member]]="X"," ",IF(V17=" "," ",IFERROR(VLOOKUP(U17,Points!$A$2:$B$14,2,FALSE)," ")))</f>
        <v xml:space="preserve"> </v>
      </c>
      <c r="X17" s="92"/>
      <c r="Y17" s="93" t="str">
        <f>IF(X17=0," ",_xlfn.RANK.AVG(X17,X$5:X$24,1)-COUNTIF(X$5:X$24,0))</f>
        <v xml:space="preserve"> </v>
      </c>
      <c r="Z17" s="93" t="str">
        <f>IF(X17=0," ",IF((RANK(X17,X$5:X$24,1)-COUNTIF(X$5:X$24,0)&gt;6)," ",RANK(X17,X$5:X$24,1)-COUNTIF(X$5:X$24,0)))</f>
        <v xml:space="preserve"> </v>
      </c>
      <c r="AA17" s="94" t="str">
        <f>IF(Table622027323334[[#This Row],[Non-Member]]="X"," ",IF(Z17=" "," ",IFERROR(VLOOKUP(Y17,Points!$A$2:$B$14,2,FALSE)," ")))</f>
        <v xml:space="preserve"> </v>
      </c>
      <c r="AB17" s="92"/>
      <c r="AC17" s="93" t="str">
        <f>IF(AB17=0," ",_xlfn.RANK.AVG(AB17,AB$5:AB$24,1)-COUNTIF(AB$5:AB$24,0))</f>
        <v xml:space="preserve"> </v>
      </c>
      <c r="AD17" s="93" t="str">
        <f>IF(AB17=0," ",IF((RANK(AB17,AB$5:AB$24,1)-COUNTIF(AB$5:AB$24,0)&gt;6)," ",RANK(AB17,AB$5:AB$24,1)-COUNTIF(AB$5:AB$24,0)))</f>
        <v xml:space="preserve"> </v>
      </c>
      <c r="AE17" s="94" t="str">
        <f>IF(Table622027323334[[#This Row],[Non-Member]]="X"," ",IF(AD17=" "," ",IFERROR(VLOOKUP(AC17,Points!$A$2:$B$14,2,FALSE)," ")))</f>
        <v xml:space="preserve"> </v>
      </c>
      <c r="AF17" s="160"/>
      <c r="AG17" s="93">
        <v>5</v>
      </c>
      <c r="AH17" s="93" t="str">
        <f>IF(OR(AF17=0,AF17=" ")," ",IF((RANK(AF17,AF$5:AF$24,1)-COUNTIF(AF$5:AF$24,0)&gt;6)," ",RANK(AF17,AF$5:AF$24,1)-COUNTIF(AF$5:AF$24,0)))</f>
        <v xml:space="preserve"> </v>
      </c>
      <c r="AI17" s="94" t="str">
        <f>IF(Table622027323334[[#This Row],[Non-Member]]="X"," ",IF(AH17=" "," ",IFERROR(VLOOKUP(AG17,Points!$A$2:$B$14,2,FALSE)," ")))</f>
        <v xml:space="preserve"> </v>
      </c>
      <c r="AJ17" s="93">
        <f>IF(Table622027323334[[#This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>IF(AJ17=0," ",AJ17)</f>
        <v xml:space="preserve"> </v>
      </c>
      <c r="AL17" s="96" t="str">
        <f>IF(AK17=" "," ",RANK(AK17,$AK$5:$AK$24))</f>
        <v xml:space="preserve"> </v>
      </c>
    </row>
    <row r="18" spans="2:38" x14ac:dyDescent="0.3">
      <c r="B18" s="90" t="s">
        <v>188</v>
      </c>
      <c r="C18" s="91"/>
      <c r="D18" s="92"/>
      <c r="E18" s="93" t="str">
        <f>IF(D18=0," ",_xlfn.RANK.AVG(D18,D$5:D$24,1)-COUNTIF(D$5:D$24,0))</f>
        <v xml:space="preserve"> </v>
      </c>
      <c r="F18" s="93" t="str">
        <f>IF(D18=0," ",IF((RANK(D18,D$5:D$24,1)-COUNTIF(D$5:D$24,0)&gt;6)," ",RANK(D18,D$5:D$24,1)-COUNTIF(D$5:D$24,0)))</f>
        <v xml:space="preserve"> </v>
      </c>
      <c r="G18" s="94" t="str">
        <f>IF(Table622027323334[[#This Row],[Non-Member]]="X"," ",IF(F18=" "," ",IFERROR(VLOOKUP(E18,Points!$A$2:$B$14,2,FALSE)," ")))</f>
        <v xml:space="preserve"> </v>
      </c>
      <c r="H18" s="92">
        <v>33.545999999999999</v>
      </c>
      <c r="I18" s="93">
        <f>IF(H18=0," ",_xlfn.RANK.AVG(H18,H$5:H$24,1)-COUNTIF(H$5:H$24,0))</f>
        <v>8</v>
      </c>
      <c r="J18" s="93" t="str">
        <f>IF(H18=0," ",IF((RANK(H18,H$5:H$24,1)-COUNTIF(H$5:H$24,0)&gt;6)," ",RANK(H18,H$5:H$24,1)-COUNTIF(H$5:H$24,0)))</f>
        <v xml:space="preserve"> </v>
      </c>
      <c r="K18" s="94" t="str">
        <f>IF(Table622027323334[[#This Row],[Non-Member]]="X"," ",IF(J18=" "," ",IFERROR(VLOOKUP(I18,Points!$A$2:$B$14,2,FALSE)," ")))</f>
        <v xml:space="preserve"> </v>
      </c>
      <c r="L18" s="92">
        <v>30.100999999999999</v>
      </c>
      <c r="M18" s="93">
        <f>IF(L18=0," ",_xlfn.RANK.AVG(L18,L$5:L$24,1)-COUNTIF(L$5:L$24,0))</f>
        <v>10</v>
      </c>
      <c r="N18" s="93" t="str">
        <f>IF(L18=0," ",IF((RANK(L18,L$5:L$24,1)-COUNTIF(L$5:L$24,0)&gt;6)," ",RANK(L18,L$5:L$24,1)-COUNTIF(L$5:L$24,0)))</f>
        <v xml:space="preserve"> </v>
      </c>
      <c r="O18" s="94" t="str">
        <f>IF(Table622027323334[[#This Row],[Non-Member]]="X"," ",IF(N18=" "," ",IFERROR(VLOOKUP(M18,Points!$A$2:$B$14,2,FALSE)," ")))</f>
        <v xml:space="preserve"> </v>
      </c>
      <c r="P18" s="92">
        <v>18.222999999999999</v>
      </c>
      <c r="Q18" s="93">
        <f>IF(P18=0," ",_xlfn.RANK.AVG(P18,P$5:P$24,1)-COUNTIF(P$5:P$24,0))</f>
        <v>7</v>
      </c>
      <c r="R18" s="93" t="str">
        <f>IF(P18=0," ",IF((RANK(P18,P$5:P$24,1)-COUNTIF(P$5:P$24,0)&gt;6)," ",RANK(P18,P$5:P$24,1)-COUNTIF(P$5:P$24,0)))</f>
        <v xml:space="preserve"> </v>
      </c>
      <c r="S18" s="94" t="str">
        <f>IF(Table622027323334[[#This Row],[Non-Member]]="X"," ",IF(R18=" "," ",IFERROR(VLOOKUP(Q18,Points!$A$2:$B$14,2,FALSE)," ")))</f>
        <v xml:space="preserve"> </v>
      </c>
      <c r="T18" s="92"/>
      <c r="U18" s="93" t="str">
        <f>IF(T18=0," ",_xlfn.RANK.AVG(T18,T$5:T$24,1)-COUNTIF(T$5:T$24,0))</f>
        <v xml:space="preserve"> </v>
      </c>
      <c r="V18" s="93" t="str">
        <f>IF(T18=0," ",IF((RANK(T18,T$5:T$24,1)-COUNTIF(T$5:T$24,0)&gt;6)," ",RANK(T18,T$5:T$24,1)-COUNTIF(T$5:T$24,0)))</f>
        <v xml:space="preserve"> </v>
      </c>
      <c r="W18" s="94" t="str">
        <f>IF(Table622027323334[[#This Row],[Non-Member]]="X"," ",IF(V18=" "," ",IFERROR(VLOOKUP(U18,Points!$A$2:$B$14,2,FALSE)," ")))</f>
        <v xml:space="preserve"> </v>
      </c>
      <c r="X18" s="92"/>
      <c r="Y18" s="93" t="str">
        <f>IF(X18=0," ",_xlfn.RANK.AVG(X18,X$5:X$24,1)-COUNTIF(X$5:X$24,0))</f>
        <v xml:space="preserve"> </v>
      </c>
      <c r="Z18" s="93" t="str">
        <f>IF(X18=0," ",IF((RANK(X18,X$5:X$24,1)-COUNTIF(X$5:X$24,0)&gt;6)," ",RANK(X18,X$5:X$24,1)-COUNTIF(X$5:X$24,0)))</f>
        <v xml:space="preserve"> </v>
      </c>
      <c r="AA18" s="94" t="str">
        <f>IF(Table622027323334[[#This Row],[Non-Member]]="X"," ",IF(Z18=" "," ",IFERROR(VLOOKUP(Y18,Points!$A$2:$B$14,2,FALSE)," ")))</f>
        <v xml:space="preserve"> </v>
      </c>
      <c r="AB18" s="92"/>
      <c r="AC18" s="93" t="str">
        <f>IF(AB18=0," ",_xlfn.RANK.AVG(AB18,AB$5:AB$24,1)-COUNTIF(AB$5:AB$24,0))</f>
        <v xml:space="preserve"> </v>
      </c>
      <c r="AD18" s="93" t="str">
        <f>IF(AB18=0," ",IF((RANK(AB18,AB$5:AB$24,1)-COUNTIF(AB$5:AB$24,0)&gt;6)," ",RANK(AB18,AB$5:AB$24,1)-COUNTIF(AB$5:AB$24,0)))</f>
        <v xml:space="preserve"> </v>
      </c>
      <c r="AE18" s="94" t="str">
        <f>IF(Table622027323334[[#This Row],[Non-Member]]="X"," ",IF(AD18=" "," ",IFERROR(VLOOKUP(AC18,Points!$A$2:$B$14,2,FALSE)," ")))</f>
        <v xml:space="preserve"> </v>
      </c>
      <c r="AF18" s="92"/>
      <c r="AG18" s="93" t="str">
        <f>IF(OR(AF18=0,AF18=" ")," ",_xlfn.RANK.AVG(AF18,AF$5:AF$24,1)-COUNTIF(AF$5:AF$24,0))</f>
        <v xml:space="preserve"> </v>
      </c>
      <c r="AH18" s="93" t="str">
        <f>IF(OR(AF18=0,AF18=" ")," ",IF((RANK(AF18,AF$5:AF$24,1)-COUNTIF(AF$5:AF$24,0)&gt;6)," ",RANK(AF18,AF$5:AF$24,1)-COUNTIF(AF$5:AF$24,0)))</f>
        <v xml:space="preserve"> </v>
      </c>
      <c r="AI18" s="94" t="str">
        <f>IF(Table622027323334[[#This Row],[Non-Member]]="X"," ",IF(AH18=" "," ",IFERROR(VLOOKUP(AG18,Points!$A$2:$B$14,2,FALSE)," ")))</f>
        <v xml:space="preserve"> </v>
      </c>
      <c r="AJ18" s="93">
        <f>IF(Table622027323334[[#This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>IF(AJ18=0," ",AJ18)</f>
        <v xml:space="preserve"> </v>
      </c>
      <c r="AL18" s="96" t="str">
        <f>IF(AK18=" "," ",RANK(AK18,$AK$5:$AK$24))</f>
        <v xml:space="preserve"> </v>
      </c>
    </row>
    <row r="19" spans="2:38" x14ac:dyDescent="0.3">
      <c r="B19" s="90" t="s">
        <v>319</v>
      </c>
      <c r="C19" s="91" t="s">
        <v>325</v>
      </c>
      <c r="D19" s="92"/>
      <c r="E19" s="97" t="str">
        <f>IF(D19=0," ",_xlfn.RANK.AVG(D19,D$5:D$24,1)-COUNTIF(D$5:D$24,0))</f>
        <v xml:space="preserve"> </v>
      </c>
      <c r="F19" s="97" t="str">
        <f>IF(D19=0," ",IF((RANK(D19,D$5:D$24,1)-COUNTIF(D$5:D$24,0)&gt;6)," ",RANK(D19,D$5:D$24,1)-COUNTIF(D$5:D$24,0)))</f>
        <v xml:space="preserve"> </v>
      </c>
      <c r="G19" s="94" t="str">
        <f>IF(Table622027323334[[#This Row],[Non-Member]]="X"," ",IF(F19=" "," ",IFERROR(VLOOKUP(E19,Points!$A$2:$B$14,2,FALSE)," ")))</f>
        <v xml:space="preserve"> </v>
      </c>
      <c r="H19" s="92"/>
      <c r="I19" s="97" t="str">
        <f>IF(H19=0," ",_xlfn.RANK.AVG(H19,H$5:H$24,1)-COUNTIF(H$5:H$24,0))</f>
        <v xml:space="preserve"> </v>
      </c>
      <c r="J19" s="97" t="str">
        <f>IF(H19=0," ",IF((RANK(H19,H$5:H$24,1)-COUNTIF(H$5:H$24,0)&gt;6)," ",RANK(H19,H$5:H$24,1)-COUNTIF(H$5:H$24,0)))</f>
        <v xml:space="preserve"> </v>
      </c>
      <c r="K19" s="94" t="str">
        <f>IF(Table622027323334[[#This Row],[Non-Member]]="X"," ",IF(J19=" "," ",IFERROR(VLOOKUP(I19,Points!$A$2:$B$14,2,FALSE)," ")))</f>
        <v xml:space="preserve"> </v>
      </c>
      <c r="L19" s="92">
        <v>21.32</v>
      </c>
      <c r="M19" s="97">
        <f>IF(L19=0," ",_xlfn.RANK.AVG(L19,L$5:L$24,1)-COUNTIF(L$5:L$24,0))</f>
        <v>4</v>
      </c>
      <c r="N19" s="97">
        <f>IF(L19=0," ",IF((RANK(L19,L$5:L$24,1)-COUNTIF(L$5:L$24,0)&gt;6)," ",RANK(L19,L$5:L$24,1)-COUNTIF(L$5:L$24,0)))</f>
        <v>4</v>
      </c>
      <c r="O19" s="94" t="str">
        <f>IF(Table622027323334[[#This Row],[Non-Member]]="X"," ",IF(N19=" "," ",IFERROR(VLOOKUP(M19,Points!$A$2:$B$14,2,FALSE)," ")))</f>
        <v xml:space="preserve"> </v>
      </c>
      <c r="P19" s="92">
        <v>18.523</v>
      </c>
      <c r="Q19" s="97">
        <f>IF(P19=0," ",_xlfn.RANK.AVG(P19,P$5:P$24,1)-COUNTIF(P$5:P$24,0))</f>
        <v>8</v>
      </c>
      <c r="R19" s="97" t="str">
        <f>IF(P19=0," ",IF((RANK(P19,P$5:P$24,1)-COUNTIF(P$5:P$24,0)&gt;6)," ",RANK(P19,P$5:P$24,1)-COUNTIF(P$5:P$24,0)))</f>
        <v xml:space="preserve"> </v>
      </c>
      <c r="S19" s="94" t="str">
        <f>IF(Table622027323334[[#This Row],[Non-Member]]="X"," ",IF(R19=" "," ",IFERROR(VLOOKUP(Q19,Points!$A$2:$B$14,2,FALSE)," ")))</f>
        <v xml:space="preserve"> </v>
      </c>
      <c r="T19" s="92"/>
      <c r="U19" s="97" t="str">
        <f>IF(T19=0," ",_xlfn.RANK.AVG(T19,T$5:T$24,1)-COUNTIF(T$5:T$24,0))</f>
        <v xml:space="preserve"> </v>
      </c>
      <c r="V19" s="97" t="str">
        <f>IF(T19=0," ",IF((RANK(T19,T$5:T$24,1)-COUNTIF(T$5:T$24,0)&gt;6)," ",RANK(T19,T$5:T$24,1)-COUNTIF(T$5:T$24,0)))</f>
        <v xml:space="preserve"> </v>
      </c>
      <c r="W19" s="94" t="str">
        <f>IF(Table622027323334[[#This Row],[Non-Member]]="X"," ",IF(V19=" "," ",IFERROR(VLOOKUP(U19,Points!$A$2:$B$14,2,FALSE)," ")))</f>
        <v xml:space="preserve"> </v>
      </c>
      <c r="X19" s="92"/>
      <c r="Y19" s="97" t="str">
        <f>IF(X19=0," ",_xlfn.RANK.AVG(X19,X$5:X$24,1)-COUNTIF(X$5:X$24,0))</f>
        <v xml:space="preserve"> </v>
      </c>
      <c r="Z19" s="97" t="str">
        <f>IF(X19=0," ",IF((RANK(X19,X$5:X$24,1)-COUNTIF(X$5:X$24,0)&gt;6)," ",RANK(X19,X$5:X$24,1)-COUNTIF(X$5:X$24,0)))</f>
        <v xml:space="preserve"> </v>
      </c>
      <c r="AA19" s="94" t="str">
        <f>IF(Table622027323334[[#This Row],[Non-Member]]="X"," ",IF(Z19=" "," ",IFERROR(VLOOKUP(Y19,Points!$A$2:$B$14,2,FALSE)," ")))</f>
        <v xml:space="preserve"> </v>
      </c>
      <c r="AB19" s="92"/>
      <c r="AC19" s="97" t="str">
        <f>IF(AB19=0," ",_xlfn.RANK.AVG(AB19,AB$5:AB$24,1)-COUNTIF(AB$5:AB$24,0))</f>
        <v xml:space="preserve"> </v>
      </c>
      <c r="AD19" s="97" t="str">
        <f>IF(AB19=0," ",IF((RANK(AB19,AB$5:AB$24,1)-COUNTIF(AB$5:AB$24,0)&gt;6)," ",RANK(AB19,AB$5:AB$24,1)-COUNTIF(AB$5:AB$24,0)))</f>
        <v xml:space="preserve"> </v>
      </c>
      <c r="AE19" s="94" t="str">
        <f>IF(Table622027323334[[#This Row],[Non-Member]]="X"," ",IF(AD19=" "," ",IFERROR(VLOOKUP(AC19,Points!$A$2:$B$14,2,FALSE)," ")))</f>
        <v xml:space="preserve"> </v>
      </c>
      <c r="AF19" s="92"/>
      <c r="AG19" s="97" t="str">
        <f>IF(OR(AF19=0,AF19=" ")," ",_xlfn.RANK.AVG(AF19,AF$5:AF$24,1)-COUNTIF(AF$5:AF$24,0))</f>
        <v xml:space="preserve"> </v>
      </c>
      <c r="AH19" s="97" t="str">
        <f>IF(OR(AF19=0,AF19=" ")," ",IF((RANK(AF19,AF$5:AF$24,1)-COUNTIF(AF$5:AF$24,0)&gt;6)," ",RANK(AF19,AF$5:AF$24,1)-COUNTIF(AF$5:AF$24,0)))</f>
        <v xml:space="preserve"> </v>
      </c>
      <c r="AI19" s="94" t="str">
        <f>IF(Table622027323334[[#This Row],[Non-Member]]="X"," ",IF(AH19=" "," ",IFERROR(VLOOKUP(AG19,Points!$A$2:$B$14,2,FALSE)," ")))</f>
        <v xml:space="preserve"> </v>
      </c>
      <c r="AJ19" s="97" t="str">
        <f>IF(Table622027323334[[#This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>IF(AJ19=0," ",AJ19)</f>
        <v xml:space="preserve"> </v>
      </c>
      <c r="AL19" s="98" t="str">
        <f>IF(AK19=" "," ",RANK(AK19,$AK$5:$AK$24))</f>
        <v xml:space="preserve"> </v>
      </c>
    </row>
    <row r="20" spans="2:38" x14ac:dyDescent="0.3">
      <c r="B20" s="90" t="s">
        <v>321</v>
      </c>
      <c r="C20" s="91" t="s">
        <v>325</v>
      </c>
      <c r="D20" s="92"/>
      <c r="E20" s="97" t="str">
        <f>IF(D20=0," ",_xlfn.RANK.AVG(D20,D$5:D$24,1)-COUNTIF(D$5:D$24,0))</f>
        <v xml:space="preserve"> </v>
      </c>
      <c r="F20" s="97" t="str">
        <f>IF(D20=0," ",IF((RANK(D20,D$5:D$24,1)-COUNTIF(D$5:D$24,0)&gt;6)," ",RANK(D20,D$5:D$24,1)-COUNTIF(D$5:D$24,0)))</f>
        <v xml:space="preserve"> </v>
      </c>
      <c r="G20" s="94" t="str">
        <f>IF(Table622027323334[[#This Row],[Non-Member]]="X"," ",IF(F20=" "," ",IFERROR(VLOOKUP(E20,Points!$A$2:$B$14,2,FALSE)," ")))</f>
        <v xml:space="preserve"> </v>
      </c>
      <c r="H20" s="92"/>
      <c r="I20" s="97" t="str">
        <f>IF(H20=0," ",_xlfn.RANK.AVG(H20,H$5:H$24,1)-COUNTIF(H$5:H$24,0))</f>
        <v xml:space="preserve"> </v>
      </c>
      <c r="J20" s="97" t="str">
        <f>IF(H20=0," ",IF((RANK(H20,H$5:H$24,1)-COUNTIF(H$5:H$24,0)&gt;6)," ",RANK(H20,H$5:H$24,1)-COUNTIF(H$5:H$24,0)))</f>
        <v xml:space="preserve"> </v>
      </c>
      <c r="K20" s="94" t="str">
        <f>IF(Table622027323334[[#This Row],[Non-Member]]="X"," ",IF(J20=" "," ",IFERROR(VLOOKUP(I20,Points!$A$2:$B$14,2,FALSE)," ")))</f>
        <v xml:space="preserve"> </v>
      </c>
      <c r="L20" s="92">
        <v>28.41</v>
      </c>
      <c r="M20" s="97">
        <f>IF(L20=0," ",_xlfn.RANK.AVG(L20,L$5:L$24,1)-COUNTIF(L$5:L$24,0))</f>
        <v>8</v>
      </c>
      <c r="N20" s="97" t="str">
        <f>IF(L20=0," ",IF((RANK(L20,L$5:L$24,1)-COUNTIF(L$5:L$24,0)&gt;6)," ",RANK(L20,L$5:L$24,1)-COUNTIF(L$5:L$24,0)))</f>
        <v xml:space="preserve"> </v>
      </c>
      <c r="O20" s="94" t="str">
        <f>IF(Table622027323334[[#This Row],[Non-Member]]="X"," ",IF(N20=" "," ",IFERROR(VLOOKUP(M20,Points!$A$2:$B$14,2,FALSE)," ")))</f>
        <v xml:space="preserve"> </v>
      </c>
      <c r="P20" s="92">
        <v>28.544</v>
      </c>
      <c r="Q20" s="97">
        <f>IF(P20=0," ",_xlfn.RANK.AVG(P20,P$5:P$24,1)-COUNTIF(P$5:P$24,0))</f>
        <v>12</v>
      </c>
      <c r="R20" s="97" t="str">
        <f>IF(P20=0," ",IF((RANK(P20,P$5:P$24,1)-COUNTIF(P$5:P$24,0)&gt;6)," ",RANK(P20,P$5:P$24,1)-COUNTIF(P$5:P$24,0)))</f>
        <v xml:space="preserve"> </v>
      </c>
      <c r="S20" s="94" t="str">
        <f>IF(Table622027323334[[#This Row],[Non-Member]]="X"," ",IF(R20=" "," ",IFERROR(VLOOKUP(Q20,Points!$A$2:$B$14,2,FALSE)," ")))</f>
        <v xml:space="preserve"> </v>
      </c>
      <c r="T20" s="92"/>
      <c r="U20" s="97" t="str">
        <f>IF(T20=0," ",_xlfn.RANK.AVG(T20,T$5:T$24,1)-COUNTIF(T$5:T$24,0))</f>
        <v xml:space="preserve"> </v>
      </c>
      <c r="V20" s="97" t="str">
        <f>IF(T20=0," ",IF((RANK(T20,T$5:T$24,1)-COUNTIF(T$5:T$24,0)&gt;6)," ",RANK(T20,T$5:T$24,1)-COUNTIF(T$5:T$24,0)))</f>
        <v xml:space="preserve"> </v>
      </c>
      <c r="W20" s="94" t="str">
        <f>IF(Table622027323334[[#This Row],[Non-Member]]="X"," ",IF(V20=" "," ",IFERROR(VLOOKUP(U20,Points!$A$2:$B$14,2,FALSE)," ")))</f>
        <v xml:space="preserve"> </v>
      </c>
      <c r="X20" s="92"/>
      <c r="Y20" s="97" t="str">
        <f>IF(X20=0," ",_xlfn.RANK.AVG(X20,X$5:X$24,1)-COUNTIF(X$5:X$24,0))</f>
        <v xml:space="preserve"> </v>
      </c>
      <c r="Z20" s="97" t="str">
        <f>IF(X20=0," ",IF((RANK(X20,X$5:X$24,1)-COUNTIF(X$5:X$24,0)&gt;6)," ",RANK(X20,X$5:X$24,1)-COUNTIF(X$5:X$24,0)))</f>
        <v xml:space="preserve"> </v>
      </c>
      <c r="AA20" s="94" t="str">
        <f>IF(Table622027323334[[#This Row],[Non-Member]]="X"," ",IF(Z20=" "," ",IFERROR(VLOOKUP(Y20,Points!$A$2:$B$14,2,FALSE)," ")))</f>
        <v xml:space="preserve"> </v>
      </c>
      <c r="AB20" s="92"/>
      <c r="AC20" s="97" t="str">
        <f>IF(AB20=0," ",_xlfn.RANK.AVG(AB20,AB$5:AB$24,1)-COUNTIF(AB$5:AB$24,0))</f>
        <v xml:space="preserve"> </v>
      </c>
      <c r="AD20" s="97" t="str">
        <f>IF(AB20=0," ",IF((RANK(AB20,AB$5:AB$24,1)-COUNTIF(AB$5:AB$24,0)&gt;6)," ",RANK(AB20,AB$5:AB$24,1)-COUNTIF(AB$5:AB$24,0)))</f>
        <v xml:space="preserve"> </v>
      </c>
      <c r="AE20" s="94" t="str">
        <f>IF(Table622027323334[[#This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7" t="str">
        <f>IF(OR(AF20=0,AF20=" ")," ",_xlfn.RANK.AVG(AF20,AF$5:AF$24,1)-COUNTIF(AF$5:AF$24,0))</f>
        <v xml:space="preserve"> </v>
      </c>
      <c r="AH20" s="97" t="str">
        <f>IF(OR(AF20=0,AF20=" ")," ",IF((RANK(AF20,AF$5:AF$24,1)-COUNTIF(AF$5:AF$24,0)&gt;6)," ",RANK(AF20,AF$5:AF$24,1)-COUNTIF(AF$5:AF$24,0)))</f>
        <v xml:space="preserve"> </v>
      </c>
      <c r="AI20" s="94" t="str">
        <f>IF(Table622027323334[[#This Row],[Non-Member]]="X"," ",IF(AH20=" "," ",IFERROR(VLOOKUP(AG20,Points!$A$2:$B$14,2,FALSE)," ")))</f>
        <v xml:space="preserve"> </v>
      </c>
      <c r="AJ20" s="97" t="str">
        <f>IF(Table622027323334[[#This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>IF(AJ20=0," ",AJ20)</f>
        <v xml:space="preserve"> </v>
      </c>
      <c r="AL20" s="98" t="str">
        <f>IF(AK20=" "," ",RANK(AK20,$AK$5:$AK$24))</f>
        <v xml:space="preserve"> </v>
      </c>
    </row>
    <row r="21" spans="2:38" x14ac:dyDescent="0.3">
      <c r="B21" s="90"/>
      <c r="C21" s="91"/>
      <c r="D21" s="92"/>
      <c r="E21" s="97" t="str">
        <f>IF(D21=0," ",_xlfn.RANK.AVG(D21,D$5:D$24,1)-COUNTIF(D$5:D$24,0))</f>
        <v xml:space="preserve"> </v>
      </c>
      <c r="F21" s="97" t="str">
        <f>IF(D21=0," ",IF((RANK(D21,D$5:D$24,1)-COUNTIF(D$5:D$24,0)&gt;6)," ",RANK(D21,D$5:D$24,1)-COUNTIF(D$5:D$24,0)))</f>
        <v xml:space="preserve"> </v>
      </c>
      <c r="G21" s="94" t="str">
        <f>IF(Table622027323334[[#This Row],[Non-Member]]="X"," ",IF(F21=" "," ",IFERROR(VLOOKUP(E21,Points!$A$2:$B$14,2,FALSE)," ")))</f>
        <v xml:space="preserve"> </v>
      </c>
      <c r="H21" s="92"/>
      <c r="I21" s="97" t="str">
        <f>IF(H21=0," ",_xlfn.RANK.AVG(H21,H$5:H$24,1)-COUNTIF(H$5:H$24,0))</f>
        <v xml:space="preserve"> </v>
      </c>
      <c r="J21" s="97" t="str">
        <f>IF(H21=0," ",IF((RANK(H21,H$5:H$24,1)-COUNTIF(H$5:H$24,0)&gt;6)," ",RANK(H21,H$5:H$24,1)-COUNTIF(H$5:H$24,0)))</f>
        <v xml:space="preserve"> </v>
      </c>
      <c r="K21" s="94" t="str">
        <f>IF(Table622027323334[[#This Row],[Non-Member]]="X"," ",IF(J21=" "," ",IFERROR(VLOOKUP(I21,Points!$A$2:$B$14,2,FALSE)," ")))</f>
        <v xml:space="preserve"> </v>
      </c>
      <c r="L21" s="92"/>
      <c r="M21" s="97" t="str">
        <f>IF(L21=0," ",_xlfn.RANK.AVG(L21,L$5:L$24,1)-COUNTIF(L$5:L$24,0))</f>
        <v xml:space="preserve"> </v>
      </c>
      <c r="N21" s="97" t="str">
        <f>IF(L21=0," ",IF((RANK(L21,L$5:L$24,1)-COUNTIF(L$5:L$24,0)&gt;6)," ",RANK(L21,L$5:L$24,1)-COUNTIF(L$5:L$24,0)))</f>
        <v xml:space="preserve"> </v>
      </c>
      <c r="O21" s="94" t="str">
        <f>IF(Table622027323334[[#This Row],[Non-Member]]="X"," ",IF(N21=" "," ",IFERROR(VLOOKUP(M21,Points!$A$2:$B$14,2,FALSE)," ")))</f>
        <v xml:space="preserve"> </v>
      </c>
      <c r="P21" s="92"/>
      <c r="Q21" s="97" t="str">
        <f>IF(P21=0," ",_xlfn.RANK.AVG(P21,P$5:P$24,1)-COUNTIF(P$5:P$24,0))</f>
        <v xml:space="preserve"> </v>
      </c>
      <c r="R21" s="97" t="str">
        <f>IF(P21=0," ",IF((RANK(P21,P$5:P$24,1)-COUNTIF(P$5:P$24,0)&gt;6)," ",RANK(P21,P$5:P$24,1)-COUNTIF(P$5:P$24,0)))</f>
        <v xml:space="preserve"> </v>
      </c>
      <c r="S21" s="94" t="str">
        <f>IF(Table622027323334[[#This Row],[Non-Member]]="X"," ",IF(R21=" "," ",IFERROR(VLOOKUP(Q21,Points!$A$2:$B$14,2,FALSE)," ")))</f>
        <v xml:space="preserve"> </v>
      </c>
      <c r="T21" s="92"/>
      <c r="U21" s="97" t="str">
        <f>IF(T21=0," ",_xlfn.RANK.AVG(T21,T$5:T$24,1)-COUNTIF(T$5:T$24,0))</f>
        <v xml:space="preserve"> </v>
      </c>
      <c r="V21" s="97" t="str">
        <f>IF(T21=0," ",IF((RANK(T21,T$5:T$24,1)-COUNTIF(T$5:T$24,0)&gt;6)," ",RANK(T21,T$5:T$24,1)-COUNTIF(T$5:T$24,0)))</f>
        <v xml:space="preserve"> </v>
      </c>
      <c r="W21" s="94" t="str">
        <f>IF(Table622027323334[[#This Row],[Non-Member]]="X"," ",IF(V21=" "," ",IFERROR(VLOOKUP(U21,Points!$A$2:$B$14,2,FALSE)," ")))</f>
        <v xml:space="preserve"> </v>
      </c>
      <c r="X21" s="92"/>
      <c r="Y21" s="97" t="str">
        <f>IF(X21=0," ",_xlfn.RANK.AVG(X21,X$5:X$24,1)-COUNTIF(X$5:X$24,0))</f>
        <v xml:space="preserve"> </v>
      </c>
      <c r="Z21" s="97" t="str">
        <f>IF(X21=0," ",IF((RANK(X21,X$5:X$24,1)-COUNTIF(X$5:X$24,0)&gt;6)," ",RANK(X21,X$5:X$24,1)-COUNTIF(X$5:X$24,0)))</f>
        <v xml:space="preserve"> </v>
      </c>
      <c r="AA21" s="94" t="str">
        <f>IF(Table622027323334[[#This Row],[Non-Member]]="X"," ",IF(Z21=" "," ",IFERROR(VLOOKUP(Y21,Points!$A$2:$B$14,2,FALSE)," ")))</f>
        <v xml:space="preserve"> </v>
      </c>
      <c r="AB21" s="92"/>
      <c r="AC21" s="97" t="str">
        <f>IF(AB21=0," ",_xlfn.RANK.AVG(AB21,AB$5:AB$24,1)-COUNTIF(AB$5:AB$24,0))</f>
        <v xml:space="preserve"> </v>
      </c>
      <c r="AD21" s="97" t="str">
        <f>IF(AB21=0," ",IF((RANK(AB21,AB$5:AB$24,1)-COUNTIF(AB$5:AB$24,0)&gt;6)," ",RANK(AB21,AB$5:AB$24,1)-COUNTIF(AB$5:AB$24,0)))</f>
        <v xml:space="preserve"> </v>
      </c>
      <c r="AE21" s="94" t="str">
        <f>IF(Table622027323334[[#This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7" t="str">
        <f>IF(OR(AF21=0,AF21=" ")," ",_xlfn.RANK.AVG(AF21,AF$5:AF$24,1)-COUNTIF(AF$5:AF$24,0))</f>
        <v xml:space="preserve"> </v>
      </c>
      <c r="AH21" s="97" t="str">
        <f>IF(OR(AF21=0,AF21=" ")," ",IF((RANK(AF21,AF$5:AF$24,1)-COUNTIF(AF$5:AF$24,0)&gt;6)," ",RANK(AF21,AF$5:AF$24,1)-COUNTIF(AF$5:AF$24,0)))</f>
        <v xml:space="preserve"> </v>
      </c>
      <c r="AI21" s="94" t="str">
        <f>IF(Table622027323334[[#This Row],[Non-Member]]="X"," ",IF(AH21=" "," ",IFERROR(VLOOKUP(AG21,Points!$A$2:$B$14,2,FALSE)," ")))</f>
        <v xml:space="preserve"> </v>
      </c>
      <c r="AJ21" s="97">
        <f>IF(Table622027323334[[#This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>IF(AJ21=0," ",AJ21)</f>
        <v xml:space="preserve"> </v>
      </c>
      <c r="AL21" s="98" t="str">
        <f>IF(AK21=" "," ",RANK(AK21,$AK$5:$AK$24))</f>
        <v xml:space="preserve"> </v>
      </c>
    </row>
    <row r="22" spans="2:38" x14ac:dyDescent="0.3">
      <c r="B22" s="90"/>
      <c r="C22" s="91"/>
      <c r="D22" s="92"/>
      <c r="E22" s="93" t="str">
        <f>IF(D22=0," ",_xlfn.RANK.AVG(D22,D$5:D$24,1)-COUNTIF(D$5:D$24,0))</f>
        <v xml:space="preserve"> </v>
      </c>
      <c r="F22" s="93" t="str">
        <f>IF(D22=0," ",IF((RANK(D22,D$5:D$24,1)-COUNTIF(D$5:D$24,0)&gt;6)," ",RANK(D22,D$5:D$24,1)-COUNTIF(D$5:D$24,0)))</f>
        <v xml:space="preserve"> </v>
      </c>
      <c r="G22" s="94" t="str">
        <f>IF(Table622027323334[[#This Row],[Non-Member]]="X"," ",IF(F22=" "," ",IFERROR(VLOOKUP(E22,Points!$A$2:$B$14,2,FALSE)," ")))</f>
        <v xml:space="preserve"> </v>
      </c>
      <c r="H22" s="92"/>
      <c r="I22" s="93" t="str">
        <f>IF(H22=0," ",_xlfn.RANK.AVG(H22,H$5:H$24,1)-COUNTIF(H$5:H$24,0))</f>
        <v xml:space="preserve"> </v>
      </c>
      <c r="J22" s="93" t="str">
        <f>IF(H22=0," ",IF((RANK(H22,H$5:H$24,1)-COUNTIF(H$5:H$24,0)&gt;6)," ",RANK(H22,H$5:H$24,1)-COUNTIF(H$5:H$24,0)))</f>
        <v xml:space="preserve"> </v>
      </c>
      <c r="K22" s="94" t="str">
        <f>IF(Table622027323334[[#This Row],[Non-Member]]="X"," ",IF(J22=" "," ",IFERROR(VLOOKUP(I22,Points!$A$2:$B$14,2,FALSE)," ")))</f>
        <v xml:space="preserve"> </v>
      </c>
      <c r="L22" s="92"/>
      <c r="M22" s="93" t="str">
        <f>IF(L22=0," ",_xlfn.RANK.AVG(L22,L$5:L$24,1)-COUNTIF(L$5:L$24,0))</f>
        <v xml:space="preserve"> </v>
      </c>
      <c r="N22" s="93" t="str">
        <f>IF(L22=0," ",IF((RANK(L22,L$5:L$24,1)-COUNTIF(L$5:L$24,0)&gt;6)," ",RANK(L22,L$5:L$24,1)-COUNTIF(L$5:L$24,0)))</f>
        <v xml:space="preserve"> </v>
      </c>
      <c r="O22" s="94" t="str">
        <f>IF(Table622027323334[[#This Row],[Non-Member]]="X"," ",IF(N22=" "," ",IFERROR(VLOOKUP(M22,Points!$A$2:$B$14,2,FALSE)," ")))</f>
        <v xml:space="preserve"> </v>
      </c>
      <c r="P22" s="92"/>
      <c r="Q22" s="93" t="str">
        <f>IF(P22=0," ",_xlfn.RANK.AVG(P22,P$5:P$24,1)-COUNTIF(P$5:P$24,0))</f>
        <v xml:space="preserve"> </v>
      </c>
      <c r="R22" s="93" t="str">
        <f>IF(P22=0," ",IF((RANK(P22,P$5:P$24,1)-COUNTIF(P$5:P$24,0)&gt;6)," ",RANK(P22,P$5:P$24,1)-COUNTIF(P$5:P$24,0)))</f>
        <v xml:space="preserve"> </v>
      </c>
      <c r="S22" s="94" t="str">
        <f>IF(Table622027323334[[#This Row],[Non-Member]]="X"," ",IF(R22=" "," ",IFERROR(VLOOKUP(Q22,Points!$A$2:$B$14,2,FALSE)," ")))</f>
        <v xml:space="preserve"> </v>
      </c>
      <c r="T22" s="92"/>
      <c r="U22" s="93" t="str">
        <f>IF(T22=0," ",_xlfn.RANK.AVG(T22,T$5:T$24,1)-COUNTIF(T$5:T$24,0))</f>
        <v xml:space="preserve"> </v>
      </c>
      <c r="V22" s="93" t="str">
        <f>IF(T22=0," ",IF((RANK(T22,T$5:T$24,1)-COUNTIF(T$5:T$24,0)&gt;6)," ",RANK(T22,T$5:T$24,1)-COUNTIF(T$5:T$24,0)))</f>
        <v xml:space="preserve"> </v>
      </c>
      <c r="W22" s="94" t="str">
        <f>IF(Table622027323334[[#This Row],[Non-Member]]="X"," ",IF(V22=" "," ",IFERROR(VLOOKUP(U22,Points!$A$2:$B$14,2,FALSE)," ")))</f>
        <v xml:space="preserve"> </v>
      </c>
      <c r="X22" s="92"/>
      <c r="Y22" s="93" t="str">
        <f>IF(X22=0," ",_xlfn.RANK.AVG(X22,X$5:X$24,1)-COUNTIF(X$5:X$24,0))</f>
        <v xml:space="preserve"> </v>
      </c>
      <c r="Z22" s="93" t="str">
        <f>IF(X22=0," ",IF((RANK(X22,X$5:X$24,1)-COUNTIF(X$5:X$24,0)&gt;6)," ",RANK(X22,X$5:X$24,1)-COUNTIF(X$5:X$24,0)))</f>
        <v xml:space="preserve"> </v>
      </c>
      <c r="AA22" s="94" t="str">
        <f>IF(Table622027323334[[#This Row],[Non-Member]]="X"," ",IF(Z22=" "," ",IFERROR(VLOOKUP(Y22,Points!$A$2:$B$14,2,FALSE)," ")))</f>
        <v xml:space="preserve"> </v>
      </c>
      <c r="AB22" s="92"/>
      <c r="AC22" s="93" t="str">
        <f>IF(AB22=0," ",_xlfn.RANK.AVG(AB22,AB$5:AB$24,1)-COUNTIF(AB$5:AB$24,0))</f>
        <v xml:space="preserve"> </v>
      </c>
      <c r="AD22" s="93" t="str">
        <f>IF(AB22=0," ",IF((RANK(AB22,AB$5:AB$24,1)-COUNTIF(AB$5:AB$24,0)&gt;6)," ",RANK(AB22,AB$5:AB$24,1)-COUNTIF(AB$5:AB$24,0)))</f>
        <v xml:space="preserve"> </v>
      </c>
      <c r="AE22" s="94" t="str">
        <f>IF(Table622027323334[[#This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>IF(OR(AF22=0,AF22=" ")," ",IF((RANK(AF22,AF$5:AF$24,1)-COUNTIF(AF$5:AF$24,0)&gt;6)," ",RANK(AF22,AF$5:AF$24,1)-COUNTIF(AF$5:AF$24,0)))</f>
        <v xml:space="preserve"> </v>
      </c>
      <c r="AI22" s="94" t="str">
        <f>IF(Table622027323334[[#This Row],[Non-Member]]="X"," ",IF(AH22=" "," ",IFERROR(VLOOKUP(AG22,Points!$A$2:$B$14,2,FALSE)," ")))</f>
        <v xml:space="preserve"> </v>
      </c>
      <c r="AJ22" s="93">
        <f>IF(Table622027323334[[#This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>IF(AJ22=0," ",AJ22)</f>
        <v xml:space="preserve"> </v>
      </c>
      <c r="AL22" s="96" t="str">
        <f>IF(AK22=" "," ",RANK(AK22,$AK$5:$AK$24))</f>
        <v xml:space="preserve"> </v>
      </c>
    </row>
    <row r="23" spans="2:38" x14ac:dyDescent="0.3">
      <c r="B23" s="90"/>
      <c r="C23" s="91"/>
      <c r="D23" s="92"/>
      <c r="E23" s="93" t="str">
        <f>IF(D23=0," ",_xlfn.RANK.AVG(D23,D$5:D$24,1)-COUNTIF(D$5:D$24,0))</f>
        <v xml:space="preserve"> </v>
      </c>
      <c r="F23" s="93" t="str">
        <f>IF(D23=0," ",IF((RANK(D23,D$5:D$24,1)-COUNTIF(D$5:D$24,0)&gt;6)," ",RANK(D23,D$5:D$24,1)-COUNTIF(D$5:D$24,0)))</f>
        <v xml:space="preserve"> </v>
      </c>
      <c r="G23" s="94" t="str">
        <f>IF(Table622027323334[[#This Row],[Non-Member]]="X"," ",IF(F23=" "," ",IFERROR(VLOOKUP(E23,Points!$A$2:$B$14,2,FALSE)," ")))</f>
        <v xml:space="preserve"> </v>
      </c>
      <c r="H23" s="92"/>
      <c r="I23" s="93" t="str">
        <f>IF(H23=0," ",_xlfn.RANK.AVG(H23,H$5:H$24,1)-COUNTIF(H$5:H$24,0))</f>
        <v xml:space="preserve"> </v>
      </c>
      <c r="J23" s="93" t="str">
        <f>IF(H23=0," ",IF((RANK(H23,H$5:H$24,1)-COUNTIF(H$5:H$24,0)&gt;6)," ",RANK(H23,H$5:H$24,1)-COUNTIF(H$5:H$24,0)))</f>
        <v xml:space="preserve"> </v>
      </c>
      <c r="K23" s="94" t="str">
        <f>IF(Table622027323334[[#This Row],[Non-Member]]="X"," ",IF(J23=" "," ",IFERROR(VLOOKUP(I23,Points!$A$2:$B$14,2,FALSE)," ")))</f>
        <v xml:space="preserve"> </v>
      </c>
      <c r="L23" s="92"/>
      <c r="M23" s="93" t="str">
        <f>IF(L23=0," ",_xlfn.RANK.AVG(L23,L$5:L$24,1)-COUNTIF(L$5:L$24,0))</f>
        <v xml:space="preserve"> </v>
      </c>
      <c r="N23" s="93" t="str">
        <f>IF(L23=0," ",IF((RANK(L23,L$5:L$24,1)-COUNTIF(L$5:L$24,0)&gt;6)," ",RANK(L23,L$5:L$24,1)-COUNTIF(L$5:L$24,0)))</f>
        <v xml:space="preserve"> </v>
      </c>
      <c r="O23" s="94" t="str">
        <f>IF(Table622027323334[[#This Row],[Non-Member]]="X"," ",IF(N23=" "," ",IFERROR(VLOOKUP(M23,Points!$A$2:$B$14,2,FALSE)," ")))</f>
        <v xml:space="preserve"> </v>
      </c>
      <c r="P23" s="92"/>
      <c r="Q23" s="93" t="str">
        <f>IF(P23=0," ",_xlfn.RANK.AVG(P23,P$5:P$24,1)-COUNTIF(P$5:P$24,0))</f>
        <v xml:space="preserve"> </v>
      </c>
      <c r="R23" s="93" t="str">
        <f>IF(P23=0," ",IF((RANK(P23,P$5:P$24,1)-COUNTIF(P$5:P$24,0)&gt;6)," ",RANK(P23,P$5:P$24,1)-COUNTIF(P$5:P$24,0)))</f>
        <v xml:space="preserve"> </v>
      </c>
      <c r="S23" s="94" t="str">
        <f>IF(Table622027323334[[#This Row],[Non-Member]]="X"," ",IF(R23=" "," ",IFERROR(VLOOKUP(Q23,Points!$A$2:$B$14,2,FALSE)," ")))</f>
        <v xml:space="preserve"> </v>
      </c>
      <c r="T23" s="92"/>
      <c r="U23" s="93" t="str">
        <f>IF(T23=0," ",_xlfn.RANK.AVG(T23,T$5:T$24,1)-COUNTIF(T$5:T$24,0))</f>
        <v xml:space="preserve"> </v>
      </c>
      <c r="V23" s="93" t="str">
        <f>IF(T23=0," ",IF((RANK(T23,T$5:T$24,1)-COUNTIF(T$5:T$24,0)&gt;6)," ",RANK(T23,T$5:T$24,1)-COUNTIF(T$5:T$24,0)))</f>
        <v xml:space="preserve"> </v>
      </c>
      <c r="W23" s="94" t="str">
        <f>IF(Table622027323334[[#This Row],[Non-Member]]="X"," ",IF(V23=" "," ",IFERROR(VLOOKUP(U23,Points!$A$2:$B$14,2,FALSE)," ")))</f>
        <v xml:space="preserve"> </v>
      </c>
      <c r="X23" s="92"/>
      <c r="Y23" s="93" t="str">
        <f>IF(X23=0," ",_xlfn.RANK.AVG(X23,X$5:X$24,1)-COUNTIF(X$5:X$24,0))</f>
        <v xml:space="preserve"> </v>
      </c>
      <c r="Z23" s="93" t="str">
        <f>IF(X23=0," ",IF((RANK(X23,X$5:X$24,1)-COUNTIF(X$5:X$24,0)&gt;6)," ",RANK(X23,X$5:X$24,1)-COUNTIF(X$5:X$24,0)))</f>
        <v xml:space="preserve"> </v>
      </c>
      <c r="AA23" s="94" t="str">
        <f>IF(Table622027323334[[#This Row],[Non-Member]]="X"," ",IF(Z23=" "," ",IFERROR(VLOOKUP(Y23,Points!$A$2:$B$14,2,FALSE)," ")))</f>
        <v xml:space="preserve"> </v>
      </c>
      <c r="AB23" s="92"/>
      <c r="AC23" s="93" t="str">
        <f>IF(AB23=0," ",_xlfn.RANK.AVG(AB23,AB$5:AB$24,1)-COUNTIF(AB$5:AB$24,0))</f>
        <v xml:space="preserve"> </v>
      </c>
      <c r="AD23" s="93" t="str">
        <f>IF(AB23=0," ",IF((RANK(AB23,AB$5:AB$24,1)-COUNTIF(AB$5:AB$24,0)&gt;6)," ",RANK(AB23,AB$5:AB$24,1)-COUNTIF(AB$5:AB$24,0)))</f>
        <v xml:space="preserve"> </v>
      </c>
      <c r="AE23" s="94" t="str">
        <f>IF(Table622027323334[[#This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>IF(OR(AF23=0,AF23=" ")," ",IF((RANK(AF23,AF$5:AF$24,1)-COUNTIF(AF$5:AF$24,0)&gt;6)," ",RANK(AF23,AF$5:AF$24,1)-COUNTIF(AF$5:AF$24,0)))</f>
        <v xml:space="preserve"> </v>
      </c>
      <c r="AI23" s="94" t="str">
        <f>IF(Table622027323334[[#This Row],[Non-Member]]="X"," ",IF(AH23=" "," ",IFERROR(VLOOKUP(AG23,Points!$A$2:$B$14,2,FALSE)," ")))</f>
        <v xml:space="preserve"> </v>
      </c>
      <c r="AJ23" s="93">
        <f>IF(Table622027323334[[#This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>IF(AJ23=0," ",AJ23)</f>
        <v xml:space="preserve"> </v>
      </c>
      <c r="AL23" s="96" t="str">
        <f>IF(AK23=" "," ",RANK(AK23,$AK$5:$AK$24))</f>
        <v xml:space="preserve"> </v>
      </c>
    </row>
    <row r="24" spans="2:38" ht="14.5" thickBot="1" x14ac:dyDescent="0.35">
      <c r="B24" s="100"/>
      <c r="C24" s="101"/>
      <c r="D24" s="102"/>
      <c r="E24" s="103" t="str">
        <f>IF(D24=0," ",_xlfn.RANK.AVG(D24,D$5:D$24,1)-COUNTIF(D$5:D$24,0))</f>
        <v xml:space="preserve"> </v>
      </c>
      <c r="F24" s="103" t="str">
        <f>IF(D24=0," ",IF((RANK(D24,D$5:D$24,1)-COUNTIF(D$5:D$24,0)&gt;6)," ",RANK(D24,D$5:D$24,1)-COUNTIF(D$5:D$24,0)))</f>
        <v xml:space="preserve"> </v>
      </c>
      <c r="G24" s="104" t="str">
        <f>IF(Table622027323334[[#This Row],[Non-Member]]="X"," ",IF(F24=" "," ",IFERROR(VLOOKUP(E24,Points!$A$2:$B$14,2,FALSE)," ")))</f>
        <v xml:space="preserve"> </v>
      </c>
      <c r="H24" s="102"/>
      <c r="I24" s="103" t="str">
        <f>IF(H24=0," ",_xlfn.RANK.AVG(H24,H$5:H$24,1)-COUNTIF(H$5:H$24,0))</f>
        <v xml:space="preserve"> </v>
      </c>
      <c r="J24" s="103" t="str">
        <f>IF(H24=0," ",IF((RANK(H24,H$5:H$24,1)-COUNTIF(H$5:H$24,0)&gt;6)," ",RANK(H24,H$5:H$24,1)-COUNTIF(H$5:H$24,0)))</f>
        <v xml:space="preserve"> </v>
      </c>
      <c r="K24" s="104" t="str">
        <f>IF(Table622027323334[[#This Row],[Non-Member]]="X"," ",IF(J24=" "," ",IFERROR(VLOOKUP(I24,Points!$A$2:$B$14,2,FALSE)," ")))</f>
        <v xml:space="preserve"> </v>
      </c>
      <c r="L24" s="102"/>
      <c r="M24" s="103" t="str">
        <f>IF(L24=0," ",_xlfn.RANK.AVG(L24,L$5:L$24,1)-COUNTIF(L$5:L$24,0))</f>
        <v xml:space="preserve"> </v>
      </c>
      <c r="N24" s="103" t="str">
        <f>IF(L24=0," ",IF((RANK(L24,L$5:L$24,1)-COUNTIF(L$5:L$24,0)&gt;6)," ",RANK(L24,L$5:L$24,1)-COUNTIF(L$5:L$24,0)))</f>
        <v xml:space="preserve"> </v>
      </c>
      <c r="O24" s="104" t="str">
        <f>IF(Table622027323334[[#This Row],[Non-Member]]="X"," ",IF(N24=" "," ",IFERROR(VLOOKUP(M24,Points!$A$2:$B$14,2,FALSE)," ")))</f>
        <v xml:space="preserve"> </v>
      </c>
      <c r="P24" s="102"/>
      <c r="Q24" s="103" t="str">
        <f>IF(P24=0," ",_xlfn.RANK.AVG(P24,P$5:P$24,1)-COUNTIF(P$5:P$24,0))</f>
        <v xml:space="preserve"> </v>
      </c>
      <c r="R24" s="103" t="str">
        <f>IF(P24=0," ",IF((RANK(P24,P$5:P$24,1)-COUNTIF(P$5:P$24,0)&gt;6)," ",RANK(P24,P$5:P$24,1)-COUNTIF(P$5:P$24,0)))</f>
        <v xml:space="preserve"> </v>
      </c>
      <c r="S24" s="104" t="str">
        <f>IF(Table622027323334[[#This Row],[Non-Member]]="X"," ",IF(R24=" "," ",IFERROR(VLOOKUP(Q24,Points!$A$2:$B$14,2,FALSE)," ")))</f>
        <v xml:space="preserve"> </v>
      </c>
      <c r="T24" s="102"/>
      <c r="U24" s="103" t="str">
        <f>IF(T24=0," ",_xlfn.RANK.AVG(T24,T$5:T$24,1)-COUNTIF(T$5:T$24,0))</f>
        <v xml:space="preserve"> </v>
      </c>
      <c r="V24" s="103" t="str">
        <f>IF(T24=0," ",IF((RANK(T24,T$5:T$24,1)-COUNTIF(T$5:T$24,0)&gt;6)," ",RANK(T24,T$5:T$24,1)-COUNTIF(T$5:T$24,0)))</f>
        <v xml:space="preserve"> </v>
      </c>
      <c r="W24" s="104" t="str">
        <f>IF(Table622027323334[[#This Row],[Non-Member]]="X"," ",IF(V24=" "," ",IFERROR(VLOOKUP(U24,Points!$A$2:$B$14,2,FALSE)," ")))</f>
        <v xml:space="preserve"> </v>
      </c>
      <c r="X24" s="102"/>
      <c r="Y24" s="103" t="str">
        <f>IF(X24=0," ",_xlfn.RANK.AVG(X24,X$5:X$24,1)-COUNTIF(X$5:X$24,0))</f>
        <v xml:space="preserve"> </v>
      </c>
      <c r="Z24" s="103" t="str">
        <f>IF(X24=0," ",IF((RANK(X24,X$5:X$24,1)-COUNTIF(X$5:X$24,0)&gt;6)," ",RANK(X24,X$5:X$24,1)-COUNTIF(X$5:X$24,0)))</f>
        <v xml:space="preserve"> </v>
      </c>
      <c r="AA24" s="104" t="str">
        <f>IF(Table622027323334[[#This Row],[Non-Member]]="X"," ",IF(Z24=" "," ",IFERROR(VLOOKUP(Y24,Points!$A$2:$B$14,2,FALSE)," ")))</f>
        <v xml:space="preserve"> </v>
      </c>
      <c r="AB24" s="102"/>
      <c r="AC24" s="103" t="str">
        <f>IF(AB24=0," ",_xlfn.RANK.AVG(AB24,AB$5:AB$24,1)-COUNTIF(AB$5:AB$24,0))</f>
        <v xml:space="preserve"> </v>
      </c>
      <c r="AD24" s="103" t="str">
        <f>IF(AB24=0," ",IF((RANK(AB24,AB$5:AB$24,1)-COUNTIF(AB$5:AB$24,0)&gt;6)," ",RANK(AB24,AB$5:AB$24,1)-COUNTIF(AB$5:AB$24,0)))</f>
        <v xml:space="preserve"> </v>
      </c>
      <c r="AE24" s="104" t="str">
        <f>IF(Table622027323334[[#This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>IF(OR(AF24=0,AF24=" ")," ",IF((RANK(AF24,AF$5:AF$24,1)-COUNTIF(AF$5:AF$24,0)&gt;6)," ",RANK(AF24,AF$5:AF$24,1)-COUNTIF(AF$5:AF$24,0)))</f>
        <v xml:space="preserve"> </v>
      </c>
      <c r="AI24" s="104" t="str">
        <f>IF(Table622027323334[[#This Row],[Non-Member]]="X"," ",IF(AH24=" "," ",IFERROR(VLOOKUP(AG24,Points!$A$2:$B$14,2,FALSE)," ")))</f>
        <v xml:space="preserve"> </v>
      </c>
      <c r="AJ24" s="93">
        <f>IF(Table622027323334[[#This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>IF(AJ24=0," ",AJ24)</f>
        <v xml:space="preserve"> </v>
      </c>
      <c r="AL24" s="96" t="str">
        <f>IF(AK24=" "," ",RANK(AK24,$AK$5:$AK$24))</f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FPGLh74d/gG6VKL/zYFz6P7bkXGtXOiKVZRF7zW3FNcmTjornmoBQ4qhlTEUlt5IFLvPbm6gukfAPQuBFHfmnQ==" saltValue="TC2nz/zj9biNvbr450sXg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2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H33" sqref="H33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121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282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IF(Table622027323337383923244450[[#This Row],[Non-Member]]="X"," ",IF(F5=" "," ",IFERROR(VLOOKUP(E5,Points!$A$2:$B$14,2,FALSE)," ")))</f>
        <v xml:space="preserve"> </v>
      </c>
      <c r="H5" s="85"/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IF(Table622027323337383923244450[[#This Row],[Non-Member]]="X"," ",IF(J5=" "," ",IFERROR(VLOOKUP(I5,Points!$A$2:$B$14,2,FALSE)," ")))</f>
        <v xml:space="preserve"> 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IF(Table622027323337383923244450[[#This Row],[Non-Member]]="X"," ",IF(N5=" "," ",IFERROR(VLOOKUP(M5,Points!$A$2:$B$14,2,FALSE)," ")))</f>
        <v xml:space="preserve"> </v>
      </c>
      <c r="P5" s="85">
        <v>5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IF(Table622027323337383923244450[[#This Row],[Non-Member]]="X"," ",IF(R5=" "," ",IFERROR(VLOOKUP(Q5,Points!$A$2:$B$14,2,FALSE)," ")))</f>
        <v>18</v>
      </c>
      <c r="T5" s="85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IF(Table622027323337383923244450[[#This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IF(Table622027323337383923244450[[#This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IF(Table622027323337383923244450[[#This Row],[Non-Member]]="X"," ",IF(AD5=" "," ",IFERROR(VLOOKUP(AC5,Points!$A$2:$B$14,2,FALSE)," ")))</f>
        <v xml:space="preserve"> </v>
      </c>
      <c r="AF5" s="85"/>
      <c r="AG5" s="86" t="str">
        <f t="shared" ref="AG5:AG24" si="14"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IF(Table622027323337383923244450[[#This Row],[Non-Member]]="X"," ",IF(AH5=" "," ",IFERROR(VLOOKUP(AG5,Points!$A$2:$B$14,2,FALSE)," ")))</f>
        <v xml:space="preserve"> </v>
      </c>
      <c r="AJ5" s="86">
        <f>IF(Table622027323337383923244450[[#This Row],[Non-Member]]="X"," ",((IF(G5=" ",0,G5))+(IF(K5=" ",0,K5))+(IF(O5=" ",0,O5))+(IF(S5=" ",0,S5))+(IF(W5=" ",0,W5))+(IF(AA5=" ",0,AA5))+(IF(AE5=" ",0,AE5))+(IF(AI5=" ",0,AI5))))</f>
        <v>18</v>
      </c>
      <c r="AK5" s="88">
        <f t="shared" ref="AK5:AK24" si="16">IF(AJ5=0," ",AJ5)</f>
        <v>18</v>
      </c>
      <c r="AL5" s="89">
        <f t="shared" ref="AL5:AL24" si="17">IF(AK5=" "," ",RANK(AK5,$AK$5:$AK$24))</f>
        <v>1</v>
      </c>
    </row>
    <row r="6" spans="2:38" x14ac:dyDescent="0.3">
      <c r="B6" s="90" t="s">
        <v>279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IF(Table622027323337383923244450[[#This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IF(Table622027323337383923244450[[#This Row],[Non-Member]]="X"," ",IF(J6=" "," ",IFERROR(VLOOKUP(I6,Points!$A$2:$B$14,2,FALSE)," ")))</f>
        <v xml:space="preserve"> </v>
      </c>
      <c r="L6" s="92">
        <v>3.86</v>
      </c>
      <c r="M6" s="93">
        <f t="shared" si="4"/>
        <v>1</v>
      </c>
      <c r="N6" s="93">
        <f t="shared" si="5"/>
        <v>1</v>
      </c>
      <c r="O6" s="94">
        <f>IF(Table622027323337383923244450[[#This Row],[Non-Member]]="X"," ",IF(N6=" "," ",IFERROR(VLOOKUP(M6,Points!$A$2:$B$14,2,FALSE)," ")))</f>
        <v>18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IF(Table622027323337383923244450[[#This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IF(Table622027323337383923244450[[#This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IF(Table622027323337383923244450[[#This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IF(Table622027323337383923244450[[#This Row],[Non-Member]]="X"," ",IF(AD6=" "," ",IFERROR(VLOOKUP(AC6,Points!$A$2:$B$14,2,FALSE)," ")))</f>
        <v xml:space="preserve"> </v>
      </c>
      <c r="AF6" s="92"/>
      <c r="AG6" s="93" t="str">
        <f t="shared" si="14"/>
        <v xml:space="preserve"> </v>
      </c>
      <c r="AH6" s="93" t="str">
        <f t="shared" si="15"/>
        <v xml:space="preserve"> </v>
      </c>
      <c r="AI6" s="94" t="str">
        <f>IF(Table622027323337383923244450[[#This Row],[Non-Member]]="X"," ",IF(AH6=" "," ",IFERROR(VLOOKUP(AG6,Points!$A$2:$B$14,2,FALSE)," ")))</f>
        <v xml:space="preserve"> </v>
      </c>
      <c r="AJ6" s="93">
        <f>IF(Table622027323337383923244450[[#This Row],[Non-Member]]="X"," ",((IF(G6=" ",0,G6))+(IF(K6=" ",0,K6))+(IF(O6=" ",0,O6))+(IF(S6=" ",0,S6))+(IF(W6=" ",0,W6))+(IF(AA6=" ",0,AA6))+(IF(AE6=" ",0,AE6))+(IF(AI6=" ",0,AI6))))</f>
        <v>18</v>
      </c>
      <c r="AK6" s="95">
        <f t="shared" si="16"/>
        <v>18</v>
      </c>
      <c r="AL6" s="96">
        <f t="shared" si="17"/>
        <v>1</v>
      </c>
    </row>
    <row r="7" spans="2:38" x14ac:dyDescent="0.3">
      <c r="B7" s="90" t="s">
        <v>152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IF(Table622027323337383923244450[[#This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IF(Table622027323337383923244450[[#This Row],[Non-Member]]="X"," ",IF(J7=" "," ",IFERROR(VLOOKUP(I7,Points!$A$2:$B$14,2,FALSE)," ")))</f>
        <v xml:space="preserve"> </v>
      </c>
      <c r="L7" s="92">
        <v>6.92</v>
      </c>
      <c r="M7" s="93">
        <f t="shared" si="4"/>
        <v>2</v>
      </c>
      <c r="N7" s="93">
        <f t="shared" si="5"/>
        <v>2</v>
      </c>
      <c r="O7" s="94">
        <f>IF(Table622027323337383923244450[[#This Row],[Non-Member]]="X"," ",IF(N7=" "," ",IFERROR(VLOOKUP(M7,Points!$A$2:$B$14,2,FALSE)," ")))</f>
        <v>15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IF(Table622027323337383923244450[[#This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IF(Table622027323337383923244450[[#This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IF(Table622027323337383923244450[[#This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IF(Table622027323337383923244450[[#This Row],[Non-Member]]="X"," ",IF(AD7=" "," ",IFERROR(VLOOKUP(AC7,Points!$A$2:$B$14,2,FALSE)," ")))</f>
        <v xml:space="preserve"> </v>
      </c>
      <c r="AF7" s="160"/>
      <c r="AG7" s="93" t="str">
        <f t="shared" si="14"/>
        <v xml:space="preserve"> </v>
      </c>
      <c r="AH7" s="93" t="str">
        <f t="shared" si="15"/>
        <v xml:space="preserve"> </v>
      </c>
      <c r="AI7" s="94" t="str">
        <f>IF(Table622027323337383923244450[[#This Row],[Non-Member]]="X"," ",IF(AH7=" "," ",IFERROR(VLOOKUP(AG7,Points!$A$2:$B$14,2,FALSE)," ")))</f>
        <v xml:space="preserve"> </v>
      </c>
      <c r="AJ7" s="93">
        <f>IF(Table622027323337383923244450[[#This Row],[Non-Member]]="X"," ",((IF(G7=" ",0,G7))+(IF(K7=" ",0,K7))+(IF(O7=" ",0,O7))+(IF(S7=" ",0,S7))+(IF(W7=" ",0,W7))+(IF(AA7=" ",0,AA7))+(IF(AE7=" ",0,AE7))+(IF(AI7=" ",0,AI7))))</f>
        <v>15</v>
      </c>
      <c r="AK7" s="95">
        <f t="shared" si="16"/>
        <v>15</v>
      </c>
      <c r="AL7" s="96">
        <f t="shared" si="17"/>
        <v>3</v>
      </c>
    </row>
    <row r="8" spans="2:38" x14ac:dyDescent="0.3">
      <c r="B8" s="90" t="s">
        <v>280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IF(Table622027323337383923244450[[#This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IF(Table622027323337383923244450[[#This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IF(Table622027323337383923244450[[#This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IF(Table622027323337383923244450[[#This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IF(Table622027323337383923244450[[#This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IF(Table622027323337383923244450[[#This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IF(Table622027323337383923244450[[#This Row],[Non-Member]]="X"," ",IF(AD8=" "," ",IFERROR(VLOOKUP(AC8,Points!$A$2:$B$14,2,FALSE)," ")))</f>
        <v xml:space="preserve"> </v>
      </c>
      <c r="AF8" s="160"/>
      <c r="AG8" s="93" t="str">
        <f t="shared" si="14"/>
        <v xml:space="preserve"> </v>
      </c>
      <c r="AH8" s="93" t="str">
        <f t="shared" si="15"/>
        <v xml:space="preserve"> </v>
      </c>
      <c r="AI8" s="94" t="str">
        <f>IF(Table622027323337383923244450[[#This Row],[Non-Member]]="X"," ",IF(AH8=" "," ",IFERROR(VLOOKUP(AG8,Points!$A$2:$B$14,2,FALSE)," ")))</f>
        <v xml:space="preserve"> </v>
      </c>
      <c r="AJ8" s="93">
        <f>IF(Table622027323337383923244450[[#This Row],[Non-Member]]="X"," ",((IF(G8=" ",0,G8))+(IF(K8=" ",0,K8))+(IF(O8=" ",0,O8))+(IF(S8=" ",0,S8))+(IF(W8=" ",0,W8))+(IF(AA8=" ",0,AA8))+(IF(AE8=" ",0,AE8))+(IF(AI8=" ",0,AI8))))</f>
        <v>0</v>
      </c>
      <c r="AK8" s="95" t="str">
        <f t="shared" si="16"/>
        <v xml:space="preserve"> </v>
      </c>
      <c r="AL8" s="96" t="str">
        <f t="shared" si="17"/>
        <v xml:space="preserve"> </v>
      </c>
    </row>
    <row r="9" spans="2:38" x14ac:dyDescent="0.3">
      <c r="B9" s="90" t="s">
        <v>167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IF(Table622027323337383923244450[[#This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IF(Table622027323337383923244450[[#This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IF(Table622027323337383923244450[[#This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IF(Table622027323337383923244450[[#This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IF(Table622027323337383923244450[[#This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IF(Table622027323337383923244450[[#This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IF(Table622027323337383923244450[[#This Row],[Non-Member]]="X"," ",IF(AD9=" "," ",IFERROR(VLOOKUP(AC9,Points!$A$2:$B$14,2,FALSE)," ")))</f>
        <v xml:space="preserve"> </v>
      </c>
      <c r="AF9" s="160"/>
      <c r="AG9" s="93" t="str">
        <f t="shared" si="14"/>
        <v xml:space="preserve"> </v>
      </c>
      <c r="AH9" s="93" t="str">
        <f t="shared" si="15"/>
        <v xml:space="preserve"> </v>
      </c>
      <c r="AI9" s="94" t="str">
        <f>IF(Table622027323337383923244450[[#This Row],[Non-Member]]="X"," ",IF(AH9=" "," ",IFERROR(VLOOKUP(AG9,Points!$A$2:$B$14,2,FALSE)," ")))</f>
        <v xml:space="preserve"> </v>
      </c>
      <c r="AJ9" s="93">
        <f>IF(Table622027323337383923244450[[#This Row],[Non-Member]]="X"," ",((IF(G9=" ",0,G9))+(IF(K9=" ",0,K9))+(IF(O9=" ",0,O9))+(IF(S9=" ",0,S9))+(IF(W9=" ",0,W9))+(IF(AA9=" ",0,AA9))+(IF(AE9=" ",0,AE9))+(IF(AI9=" ",0,AI9))))</f>
        <v>0</v>
      </c>
      <c r="AK9" s="95" t="str">
        <f t="shared" si="16"/>
        <v xml:space="preserve"> </v>
      </c>
      <c r="AL9" s="96" t="str">
        <f t="shared" si="17"/>
        <v xml:space="preserve"> </v>
      </c>
    </row>
    <row r="10" spans="2:38" x14ac:dyDescent="0.3">
      <c r="B10" s="90" t="s">
        <v>209</v>
      </c>
      <c r="C10" s="91" t="s">
        <v>325</v>
      </c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IF(Table622027323337383923244450[[#This Row],[Non-Member]]="X"," ",IF(F10=" "," ",IFERROR(VLOOKUP(E10,Points!$A$2:$B$14,2,FALSE)," ")))</f>
        <v xml:space="preserve"> </v>
      </c>
      <c r="H10" s="92">
        <v>0</v>
      </c>
      <c r="I10" s="97" t="str">
        <f t="shared" si="2"/>
        <v xml:space="preserve"> </v>
      </c>
      <c r="J10" s="97" t="str">
        <f t="shared" si="3"/>
        <v xml:space="preserve"> </v>
      </c>
      <c r="K10" s="94" t="str">
        <f>IF(Table622027323337383923244450[[#This Row],[Non-Member]]="X"," ",IF(J10=" "," ",IFERROR(VLOOKUP(I10,Points!$A$2:$B$14,2,FALSE)," ")))</f>
        <v xml:space="preserve"> </v>
      </c>
      <c r="L10" s="92"/>
      <c r="M10" s="97" t="str">
        <f t="shared" si="4"/>
        <v xml:space="preserve"> </v>
      </c>
      <c r="N10" s="97" t="str">
        <f t="shared" si="5"/>
        <v xml:space="preserve"> </v>
      </c>
      <c r="O10" s="94" t="str">
        <f>IF(Table622027323337383923244450[[#This Row],[Non-Member]]="X"," ",IF(N10=" "," ",IFERROR(VLOOKUP(M10,Points!$A$2:$B$14,2,FALSE)," ")))</f>
        <v xml:space="preserve"> </v>
      </c>
      <c r="P10" s="92"/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IF(Table622027323337383923244450[[#This Row],[Non-Member]]="X"," ",IF(R10=" "," ",IFERROR(VLOOKUP(Q10,Points!$A$2:$B$14,2,FALSE)," ")))</f>
        <v xml:space="preserve"> </v>
      </c>
      <c r="T10" s="92"/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IF(Table622027323337383923244450[[#This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IF(Table622027323337383923244450[[#This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IF(Table622027323337383923244450[[#This Row],[Non-Member]]="X"," ",IF(AD10=" "," ",IFERROR(VLOOKUP(AC10,Points!$A$2:$B$14,2,FALSE)," ")))</f>
        <v xml:space="preserve"> </v>
      </c>
      <c r="AF10" s="160"/>
      <c r="AG10" s="97" t="str">
        <f t="shared" si="14"/>
        <v xml:space="preserve"> </v>
      </c>
      <c r="AH10" s="97" t="str">
        <f t="shared" si="15"/>
        <v xml:space="preserve"> </v>
      </c>
      <c r="AI10" s="94" t="str">
        <f>IF(Table622027323337383923244450[[#This Row],[Non-Member]]="X"," ",IF(AH10=" "," ",IFERROR(VLOOKUP(AG10,Points!$A$2:$B$14,2,FALSE)," ")))</f>
        <v xml:space="preserve"> </v>
      </c>
      <c r="AJ10" s="97" t="str">
        <f>IF(Table622027323337383923244450[[#This Row],[Non-Member]]="X"," ",((IF(G10=" ",0,G10))+(IF(K10=" ",0,K10))+(IF(O10=" ",0,O10))+(IF(S10=" ",0,S10))+(IF(W10=" ",0,W10))+(IF(AA10=" ",0,AA10))+(IF(AE10=" ",0,AE10))+(IF(AI10=" ",0,AI10))))</f>
        <v xml:space="preserve"> </v>
      </c>
      <c r="AK10" s="95" t="str">
        <f t="shared" si="16"/>
        <v xml:space="preserve"> </v>
      </c>
      <c r="AL10" s="98" t="str">
        <f t="shared" si="17"/>
        <v xml:space="preserve"> </v>
      </c>
    </row>
    <row r="11" spans="2:38" x14ac:dyDescent="0.3">
      <c r="B11" s="90" t="s">
        <v>164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IF(Table622027323337383923244450[[#This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IF(Table622027323337383923244450[[#This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IF(Table622027323337383923244450[[#This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IF(Table622027323337383923244450[[#This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IF(Table622027323337383923244450[[#This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IF(Table622027323337383923244450[[#This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IF(Table622027323337383923244450[[#This Row],[Non-Member]]="X"," ",IF(AD11=" "," ",IFERROR(VLOOKUP(AC11,Points!$A$2:$B$14,2,FALSE)," ")))</f>
        <v xml:space="preserve"> </v>
      </c>
      <c r="AF11" s="160"/>
      <c r="AG11" s="93" t="str">
        <f t="shared" si="14"/>
        <v xml:space="preserve"> </v>
      </c>
      <c r="AH11" s="93" t="str">
        <f t="shared" si="15"/>
        <v xml:space="preserve"> </v>
      </c>
      <c r="AI11" s="94" t="str">
        <f>IF(Table622027323337383923244450[[#This Row],[Non-Member]]="X"," ",IF(AH11=" "," ",IFERROR(VLOOKUP(AG11,Points!$A$2:$B$14,2,FALSE)," ")))</f>
        <v xml:space="preserve"> </v>
      </c>
      <c r="AJ11" s="93">
        <f>IF(Table622027323337383923244450[[#This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6"/>
        <v xml:space="preserve"> </v>
      </c>
      <c r="AL11" s="96" t="str">
        <f t="shared" si="17"/>
        <v xml:space="preserve"> </v>
      </c>
    </row>
    <row r="12" spans="2:38" x14ac:dyDescent="0.3">
      <c r="B12" s="90" t="s">
        <v>210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IF(Table622027323337383923244450[[#This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IF(Table622027323337383923244450[[#This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IF(Table622027323337383923244450[[#This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IF(Table622027323337383923244450[[#This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IF(Table622027323337383923244450[[#This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IF(Table622027323337383923244450[[#This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IF(Table622027323337383923244450[[#This Row],[Non-Member]]="X"," ",IF(AD12=" "," ",IFERROR(VLOOKUP(AC12,Points!$A$2:$B$14,2,FALSE)," ")))</f>
        <v xml:space="preserve"> </v>
      </c>
      <c r="AF12" s="160"/>
      <c r="AG12" s="93" t="str">
        <f t="shared" si="14"/>
        <v xml:space="preserve"> </v>
      </c>
      <c r="AH12" s="93" t="str">
        <f t="shared" si="15"/>
        <v xml:space="preserve"> </v>
      </c>
      <c r="AI12" s="94" t="str">
        <f>IF(Table622027323337383923244450[[#This Row],[Non-Member]]="X"," ",IF(AH12=" "," ",IFERROR(VLOOKUP(AG12,Points!$A$2:$B$14,2,FALSE)," ")))</f>
        <v xml:space="preserve"> </v>
      </c>
      <c r="AJ12" s="93">
        <f>IF(Table622027323337383923244450[[#This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6"/>
        <v xml:space="preserve"> </v>
      </c>
      <c r="AL12" s="96" t="str">
        <f t="shared" si="17"/>
        <v xml:space="preserve"> </v>
      </c>
    </row>
    <row r="13" spans="2:38" x14ac:dyDescent="0.3">
      <c r="B13" s="90"/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IF(Table622027323337383923244450[[#This Row],[Non-Member]]="X"," ",IF(F13=" "," ",IFERROR(VLOOKUP(E13,Points!$A$2:$B$14,2,FALSE)," ")))</f>
        <v xml:space="preserve"> </v>
      </c>
      <c r="H13" s="92"/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IF(Table622027323337383923244450[[#This Row],[Non-Member]]="X"," ",IF(J13=" "," ",IFERROR(VLOOKUP(I13,Points!$A$2:$B$14,2,FALSE)," ")))</f>
        <v xml:space="preserve"> </v>
      </c>
      <c r="L13" s="92"/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IF(Table622027323337383923244450[[#This Row],[Non-Member]]="X"," ",IF(N13=" "," ",IFERROR(VLOOKUP(M13,Points!$A$2:$B$14,2,FALSE)," ")))</f>
        <v xml:space="preserve"> </v>
      </c>
      <c r="P13" s="92"/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IF(Table622027323337383923244450[[#This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IF(Table622027323337383923244450[[#This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IF(Table622027323337383923244450[[#This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IF(Table622027323337383923244450[[#This Row],[Non-Member]]="X"," ",IF(AD13=" "," ",IFERROR(VLOOKUP(AC13,Points!$A$2:$B$14,2,FALSE)," ")))</f>
        <v xml:space="preserve"> </v>
      </c>
      <c r="AF13" s="92"/>
      <c r="AG13" s="97" t="str">
        <f t="shared" si="14"/>
        <v xml:space="preserve"> </v>
      </c>
      <c r="AH13" s="97" t="str">
        <f t="shared" si="15"/>
        <v xml:space="preserve"> </v>
      </c>
      <c r="AI13" s="94" t="str">
        <f>IF(Table622027323337383923244450[[#This Row],[Non-Member]]="X"," ",IF(AH13=" "," ",IFERROR(VLOOKUP(AG13,Points!$A$2:$B$14,2,FALSE)," ")))</f>
        <v xml:space="preserve"> </v>
      </c>
      <c r="AJ13" s="97">
        <f>IF(Table622027323337383923244450[[#This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6"/>
        <v xml:space="preserve"> </v>
      </c>
      <c r="AL13" s="98" t="str">
        <f t="shared" si="17"/>
        <v xml:space="preserve"> </v>
      </c>
    </row>
    <row r="14" spans="2:38" x14ac:dyDescent="0.3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IF(Table622027323337383923244450[[#This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IF(Table622027323337383923244450[[#This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IF(Table622027323337383923244450[[#This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IF(Table622027323337383923244450[[#This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IF(Table622027323337383923244450[[#This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IF(Table622027323337383923244450[[#This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IF(Table622027323337383923244450[[#This Row],[Non-Member]]="X"," ",IF(AD14=" "," ",IFERROR(VLOOKUP(AC14,Points!$A$2:$B$14,2,FALSE)," ")))</f>
        <v xml:space="preserve"> </v>
      </c>
      <c r="AF14" s="92" t="str">
        <f t="shared" ref="AF14:AF24" si="18">IF(OR(X14=0,AB14=0)," ",X14+AB14)</f>
        <v xml:space="preserve"> </v>
      </c>
      <c r="AG14" s="93" t="str">
        <f t="shared" si="14"/>
        <v xml:space="preserve"> </v>
      </c>
      <c r="AH14" s="93" t="str">
        <f t="shared" si="15"/>
        <v xml:space="preserve"> </v>
      </c>
      <c r="AI14" s="94" t="str">
        <f>IF(Table622027323337383923244450[[#This Row],[Non-Member]]="X"," ",IF(AH14=" "," ",IFERROR(VLOOKUP(AG14,Points!$A$2:$B$14,2,FALSE)," ")))</f>
        <v xml:space="preserve"> </v>
      </c>
      <c r="AJ14" s="93">
        <f>IF(Table622027323337383923244450[[#This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6"/>
        <v xml:space="preserve"> </v>
      </c>
      <c r="AL14" s="96" t="str">
        <f t="shared" si="17"/>
        <v xml:space="preserve"> </v>
      </c>
    </row>
    <row r="15" spans="2:38" x14ac:dyDescent="0.3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IF(Table622027323337383923244450[[#This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IF(Table622027323337383923244450[[#This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IF(Table622027323337383923244450[[#This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IF(Table622027323337383923244450[[#This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IF(Table622027323337383923244450[[#This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IF(Table622027323337383923244450[[#This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IF(Table622027323337383923244450[[#This Row],[Non-Member]]="X"," ",IF(AD15=" "," ",IFERROR(VLOOKUP(AC15,Points!$A$2:$B$14,2,FALSE)," ")))</f>
        <v xml:space="preserve"> </v>
      </c>
      <c r="AF15" s="92" t="str">
        <f t="shared" si="18"/>
        <v xml:space="preserve"> </v>
      </c>
      <c r="AG15" s="97" t="str">
        <f t="shared" si="14"/>
        <v xml:space="preserve"> </v>
      </c>
      <c r="AH15" s="97" t="str">
        <f t="shared" si="15"/>
        <v xml:space="preserve"> </v>
      </c>
      <c r="AI15" s="94" t="str">
        <f>IF(Table622027323337383923244450[[#This Row],[Non-Member]]="X"," ",IF(AH15=" "," ",IFERROR(VLOOKUP(AG15,Points!$A$2:$B$14,2,FALSE)," ")))</f>
        <v xml:space="preserve"> </v>
      </c>
      <c r="AJ15" s="97">
        <f>IF(Table622027323337383923244450[[#This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6"/>
        <v xml:space="preserve"> </v>
      </c>
      <c r="AL15" s="98" t="str">
        <f t="shared" si="17"/>
        <v xml:space="preserve"> </v>
      </c>
    </row>
    <row r="16" spans="2:38" x14ac:dyDescent="0.3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IF(Table622027323337383923244450[[#This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IF(Table622027323337383923244450[[#This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IF(Table622027323337383923244450[[#This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IF(Table622027323337383923244450[[#This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IF(Table622027323337383923244450[[#This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IF(Table622027323337383923244450[[#This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IF(Table622027323337383923244450[[#This Row],[Non-Member]]="X"," ",IF(AD16=" "," ",IFERROR(VLOOKUP(AC16,Points!$A$2:$B$14,2,FALSE)," ")))</f>
        <v xml:space="preserve"> </v>
      </c>
      <c r="AF16" s="92" t="str">
        <f t="shared" si="18"/>
        <v xml:space="preserve"> </v>
      </c>
      <c r="AG16" s="93" t="str">
        <f t="shared" si="14"/>
        <v xml:space="preserve"> </v>
      </c>
      <c r="AH16" s="93" t="str">
        <f t="shared" si="15"/>
        <v xml:space="preserve"> </v>
      </c>
      <c r="AI16" s="94" t="str">
        <f>IF(Table622027323337383923244450[[#This Row],[Non-Member]]="X"," ",IF(AH16=" "," ",IFERROR(VLOOKUP(AG16,Points!$A$2:$B$14,2,FALSE)," ")))</f>
        <v xml:space="preserve"> </v>
      </c>
      <c r="AJ16" s="93">
        <f>IF(Table622027323337383923244450[[#This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6"/>
        <v xml:space="preserve"> </v>
      </c>
      <c r="AL16" s="96" t="str">
        <f t="shared" si="17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IF(Table622027323337383923244450[[#This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IF(Table622027323337383923244450[[#This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IF(Table622027323337383923244450[[#This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IF(Table622027323337383923244450[[#This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IF(Table622027323337383923244450[[#This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IF(Table622027323337383923244450[[#This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IF(Table622027323337383923244450[[#This Row],[Non-Member]]="X"," ",IF(AD17=" "," ",IFERROR(VLOOKUP(AC17,Points!$A$2:$B$14,2,FALSE)," ")))</f>
        <v xml:space="preserve"> </v>
      </c>
      <c r="AF17" s="92" t="str">
        <f t="shared" si="18"/>
        <v xml:space="preserve"> </v>
      </c>
      <c r="AG17" s="93" t="str">
        <f t="shared" si="14"/>
        <v xml:space="preserve"> </v>
      </c>
      <c r="AH17" s="93" t="str">
        <f t="shared" si="15"/>
        <v xml:space="preserve"> </v>
      </c>
      <c r="AI17" s="94" t="str">
        <f>IF(Table622027323337383923244450[[#This Row],[Non-Member]]="X"," ",IF(AH17=" "," ",IFERROR(VLOOKUP(AG17,Points!$A$2:$B$14,2,FALSE)," ")))</f>
        <v xml:space="preserve"> </v>
      </c>
      <c r="AJ17" s="93">
        <f>IF(Table622027323337383923244450[[#This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6"/>
        <v xml:space="preserve"> </v>
      </c>
      <c r="AL17" s="96" t="str">
        <f t="shared" si="17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IF(Table622027323337383923244450[[#This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IF(Table622027323337383923244450[[#This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IF(Table622027323337383923244450[[#This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IF(Table622027323337383923244450[[#This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IF(Table622027323337383923244450[[#This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IF(Table622027323337383923244450[[#This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IF(Table622027323337383923244450[[#This Row],[Non-Member]]="X"," ",IF(AD18=" "," ",IFERROR(VLOOKUP(AC18,Points!$A$2:$B$14,2,FALSE)," ")))</f>
        <v xml:space="preserve"> </v>
      </c>
      <c r="AF18" s="92" t="str">
        <f t="shared" si="18"/>
        <v xml:space="preserve"> </v>
      </c>
      <c r="AG18" s="93" t="str">
        <f t="shared" si="14"/>
        <v xml:space="preserve"> </v>
      </c>
      <c r="AH18" s="93" t="str">
        <f t="shared" si="15"/>
        <v xml:space="preserve"> </v>
      </c>
      <c r="AI18" s="94" t="str">
        <f>IF(Table622027323337383923244450[[#This Row],[Non-Member]]="X"," ",IF(AH18=" "," ",IFERROR(VLOOKUP(AG18,Points!$A$2:$B$14,2,FALSE)," ")))</f>
        <v xml:space="preserve"> </v>
      </c>
      <c r="AJ18" s="93">
        <f>IF(Table622027323337383923244450[[#This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6"/>
        <v xml:space="preserve"> </v>
      </c>
      <c r="AL18" s="96" t="str">
        <f t="shared" si="17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IF(Table622027323337383923244450[[#This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IF(Table622027323337383923244450[[#This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IF(Table622027323337383923244450[[#This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IF(Table622027323337383923244450[[#This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IF(Table622027323337383923244450[[#This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IF(Table622027323337383923244450[[#This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IF(Table622027323337383923244450[[#This Row],[Non-Member]]="X"," ",IF(AD19=" "," ",IFERROR(VLOOKUP(AC19,Points!$A$2:$B$14,2,FALSE)," ")))</f>
        <v xml:space="preserve"> </v>
      </c>
      <c r="AF19" s="92" t="str">
        <f t="shared" si="18"/>
        <v xml:space="preserve"> </v>
      </c>
      <c r="AG19" s="93" t="str">
        <f t="shared" si="14"/>
        <v xml:space="preserve"> </v>
      </c>
      <c r="AH19" s="93" t="str">
        <f t="shared" si="15"/>
        <v xml:space="preserve"> </v>
      </c>
      <c r="AI19" s="94" t="str">
        <f>IF(Table622027323337383923244450[[#This Row],[Non-Member]]="X"," ",IF(AH19=" "," ",IFERROR(VLOOKUP(AG19,Points!$A$2:$B$14,2,FALSE)," ")))</f>
        <v xml:space="preserve"> </v>
      </c>
      <c r="AJ19" s="93">
        <f>IF(Table622027323337383923244450[[#This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6"/>
        <v xml:space="preserve"> </v>
      </c>
      <c r="AL19" s="96" t="str">
        <f t="shared" si="17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IF(Table622027323337383923244450[[#This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IF(Table622027323337383923244450[[#This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IF(Table622027323337383923244450[[#This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IF(Table622027323337383923244450[[#This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IF(Table622027323337383923244450[[#This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IF(Table622027323337383923244450[[#This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IF(Table622027323337383923244450[[#This Row],[Non-Member]]="X"," ",IF(AD20=" "," ",IFERROR(VLOOKUP(AC20,Points!$A$2:$B$14,2,FALSE)," ")))</f>
        <v xml:space="preserve"> </v>
      </c>
      <c r="AF20" s="92" t="str">
        <f t="shared" si="18"/>
        <v xml:space="preserve"> </v>
      </c>
      <c r="AG20" s="93" t="str">
        <f t="shared" si="14"/>
        <v xml:space="preserve"> </v>
      </c>
      <c r="AH20" s="93" t="str">
        <f t="shared" si="15"/>
        <v xml:space="preserve"> </v>
      </c>
      <c r="AI20" s="94" t="str">
        <f>IF(Table622027323337383923244450[[#This Row],[Non-Member]]="X"," ",IF(AH20=" "," ",IFERROR(VLOOKUP(AG20,Points!$A$2:$B$14,2,FALSE)," ")))</f>
        <v xml:space="preserve"> </v>
      </c>
      <c r="AJ20" s="93">
        <f>IF(Table622027323337383923244450[[#This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IF(Table622027323337383923244450[[#This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IF(Table622027323337383923244450[[#This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IF(Table622027323337383923244450[[#This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IF(Table622027323337383923244450[[#This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IF(Table622027323337383923244450[[#This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IF(Table622027323337383923244450[[#This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IF(Table622027323337383923244450[[#This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4"/>
        <v xml:space="preserve"> </v>
      </c>
      <c r="AH21" s="93" t="str">
        <f t="shared" si="15"/>
        <v xml:space="preserve"> </v>
      </c>
      <c r="AI21" s="94" t="str">
        <f>IF(Table622027323337383923244450[[#This Row],[Non-Member]]="X"," ",IF(AH21=" "," ",IFERROR(VLOOKUP(AG21,Points!$A$2:$B$14,2,FALSE)," ")))</f>
        <v xml:space="preserve"> </v>
      </c>
      <c r="AJ21" s="93">
        <f>IF(Table622027323337383923244450[[#This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IF(Table622027323337383923244450[[#This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IF(Table622027323337383923244450[[#This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IF(Table622027323337383923244450[[#This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IF(Table622027323337383923244450[[#This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IF(Table622027323337383923244450[[#This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IF(Table622027323337383923244450[[#This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IF(Table622027323337383923244450[[#This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4"/>
        <v xml:space="preserve"> </v>
      </c>
      <c r="AH22" s="93" t="str">
        <f t="shared" si="15"/>
        <v xml:space="preserve"> </v>
      </c>
      <c r="AI22" s="94" t="str">
        <f>IF(Table622027323337383923244450[[#This Row],[Non-Member]]="X"," ",IF(AH22=" "," ",IFERROR(VLOOKUP(AG22,Points!$A$2:$B$14,2,FALSE)," ")))</f>
        <v xml:space="preserve"> </v>
      </c>
      <c r="AJ22" s="93">
        <f>IF(Table622027323337383923244450[[#This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IF(Table622027323337383923244450[[#This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IF(Table622027323337383923244450[[#This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IF(Table622027323337383923244450[[#This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IF(Table622027323337383923244450[[#This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IF(Table622027323337383923244450[[#This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IF(Table622027323337383923244450[[#This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IF(Table622027323337383923244450[[#This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4"/>
        <v xml:space="preserve"> </v>
      </c>
      <c r="AH23" s="93" t="str">
        <f t="shared" si="15"/>
        <v xml:space="preserve"> </v>
      </c>
      <c r="AI23" s="94" t="str">
        <f>IF(Table622027323337383923244450[[#This Row],[Non-Member]]="X"," ",IF(AH23=" "," ",IFERROR(VLOOKUP(AG23,Points!$A$2:$B$14,2,FALSE)," ")))</f>
        <v xml:space="preserve"> </v>
      </c>
      <c r="AJ23" s="93">
        <f>IF(Table622027323337383923244450[[#This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IF(Table622027323337383923244450[[#This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IF(Table622027323337383923244450[[#This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IF(Table622027323337383923244450[[#This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IF(Table622027323337383923244450[[#This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IF(Table622027323337383923244450[[#This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IF(Table622027323337383923244450[[#This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IF(Table622027323337383923244450[[#This Row],[Non-Member]]="X"," ",IF(AD24=" "," ",IFERROR(VLOOKUP(AC24,Points!$A$2:$B$14,2,FALSE)," ")))</f>
        <v xml:space="preserve"> </v>
      </c>
      <c r="AF24" s="102" t="str">
        <f t="shared" si="18"/>
        <v xml:space="preserve"> </v>
      </c>
      <c r="AG24" s="103" t="str">
        <f t="shared" si="14"/>
        <v xml:space="preserve"> </v>
      </c>
      <c r="AH24" s="103" t="str">
        <f t="shared" si="15"/>
        <v xml:space="preserve"> </v>
      </c>
      <c r="AI24" s="104" t="str">
        <f>IF(Table622027323337383923244450[[#This Row],[Non-Member]]="X"," ",IF(AH24=" "," ",IFERROR(VLOOKUP(AG24,Points!$A$2:$B$14,2,FALSE)," ")))</f>
        <v xml:space="preserve"> </v>
      </c>
      <c r="AJ24" s="93">
        <f>IF(Table622027323337383923244450[[#This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TDHP34qNg7RYerAv+HYccbyIGouraxp4V955DXJU9ckvTOZRylOtb+ynqQmNB/BOD/fDKhyczOEuL+80sgn61Q==" saltValue="ppLO8eWLUMAHJb1TrRIbn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11.7265625" style="56" customWidth="1"/>
    <col min="5" max="5" width="11.7265625" style="57" hidden="1" customWidth="1"/>
    <col min="6" max="6" width="11.7265625" style="57" customWidth="1"/>
    <col min="7" max="7" width="11.7265625" style="58" customWidth="1"/>
    <col min="8" max="8" width="11.7265625" style="59" customWidth="1"/>
    <col min="9" max="9" width="11.7265625" style="57" hidden="1" customWidth="1"/>
    <col min="10" max="10" width="11.7265625" style="57" customWidth="1"/>
    <col min="11" max="11" width="11.7265625" style="60" customWidth="1"/>
    <col min="12" max="12" width="12" style="59" customWidth="1"/>
    <col min="13" max="13" width="11.7265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7265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7265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7265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7265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796875" style="62"/>
  </cols>
  <sheetData>
    <row r="1" spans="2:38" ht="18.5" thickBot="1" x14ac:dyDescent="0.45">
      <c r="B1" s="54"/>
      <c r="C1" s="55"/>
    </row>
    <row r="2" spans="2:38" s="64" customFormat="1" ht="18" x14ac:dyDescent="0.4">
      <c r="B2" s="175" t="s">
        <v>62</v>
      </c>
      <c r="C2" s="176"/>
      <c r="D2" s="177">
        <v>43954</v>
      </c>
      <c r="E2" s="177"/>
      <c r="F2" s="177"/>
      <c r="G2" s="178"/>
      <c r="H2" s="172">
        <v>43996</v>
      </c>
      <c r="I2" s="173"/>
      <c r="J2" s="173"/>
      <c r="K2" s="174"/>
      <c r="L2" s="172">
        <v>44023</v>
      </c>
      <c r="M2" s="173"/>
      <c r="N2" s="173"/>
      <c r="O2" s="174"/>
      <c r="P2" s="172">
        <v>44024</v>
      </c>
      <c r="Q2" s="173"/>
      <c r="R2" s="173"/>
      <c r="S2" s="174"/>
      <c r="T2" s="172">
        <v>44045</v>
      </c>
      <c r="U2" s="173"/>
      <c r="V2" s="173"/>
      <c r="W2" s="174"/>
      <c r="X2" s="172" t="s">
        <v>203</v>
      </c>
      <c r="Y2" s="173"/>
      <c r="Z2" s="173"/>
      <c r="AA2" s="174"/>
      <c r="AB2" s="172" t="s">
        <v>204</v>
      </c>
      <c r="AC2" s="173"/>
      <c r="AD2" s="173"/>
      <c r="AE2" s="174"/>
      <c r="AF2" s="172" t="s">
        <v>3</v>
      </c>
      <c r="AG2" s="173"/>
      <c r="AH2" s="173"/>
      <c r="AI2" s="174"/>
      <c r="AJ2" s="163"/>
      <c r="AK2" s="173" t="s">
        <v>4</v>
      </c>
      <c r="AL2" s="174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275</v>
      </c>
      <c r="C5" s="84"/>
      <c r="D5" s="85"/>
      <c r="E5" s="86" t="str">
        <f>IF(D5=0," ",_xlfn.RANK.AVG(D5,D$5:D$24,1)-COUNTIF(D$5:D$24,0))</f>
        <v xml:space="preserve"> </v>
      </c>
      <c r="F5" s="86" t="str">
        <f>IF(D5=0," ",IF((RANK(D5,D$5:D$24,1)-COUNTIF(D$5:D$24,0)&gt;6)," ",RANK(D5,D$5:D$24,1)-COUNTIF(D$5:D$24,0)))</f>
        <v xml:space="preserve"> </v>
      </c>
      <c r="G5" s="87" t="str">
        <f>IF(Table62202732333435[[#This Row],[Non-Member]]="X"," ",IF(F5=" "," ",IFERROR(VLOOKUP(E5,Points!$A$2:$B$14,2,FALSE)," ")))</f>
        <v xml:space="preserve"> </v>
      </c>
      <c r="H5" s="85">
        <v>15.936999999999999</v>
      </c>
      <c r="I5" s="86">
        <f>IF(H5=0," ",_xlfn.RANK.AVG(H5,H$5:H$24,1)-COUNTIF(H$5:H$24,0))</f>
        <v>4</v>
      </c>
      <c r="J5" s="86">
        <f>IF(H5=0," ",IF((RANK(H5,H$5:H$24,1)-COUNTIF(H$5:H$24,0)&gt;6)," ",RANK(H5,H$5:H$24,1)-COUNTIF(H$5:H$24,0)))</f>
        <v>4</v>
      </c>
      <c r="K5" s="87">
        <f>IF(Table62202732333435[[#This Row],[Non-Member]]="X"," ",IF(J5=" "," ",IFERROR(VLOOKUP(I5,Points!$A$2:$B$14,2,FALSE)," ")))</f>
        <v>9</v>
      </c>
      <c r="L5" s="85">
        <v>13.95</v>
      </c>
      <c r="M5" s="86">
        <f>IF(L5=0," ",_xlfn.RANK.AVG(L5,L$5:L$24,1)-COUNTIF(L$5:L$24,0))</f>
        <v>1</v>
      </c>
      <c r="N5" s="86">
        <f>IF(L5=0," ",IF((RANK(L5,L$5:L$24,1)-COUNTIF(L$5:L$24,0)&gt;6)," ",RANK(L5,L$5:L$24,1)-COUNTIF(L$5:L$24,0)))</f>
        <v>1</v>
      </c>
      <c r="O5" s="87">
        <f>IF(Table62202732333435[[#This Row],[Non-Member]]="X"," ",IF(N5=" "," ",IFERROR(VLOOKUP(M5,Points!$A$2:$B$14,2,FALSE)," ")))</f>
        <v>18</v>
      </c>
      <c r="P5" s="85">
        <v>13.88</v>
      </c>
      <c r="Q5" s="86">
        <f>IF(P5=0," ",_xlfn.RANK.AVG(P5,P$5:P$24,1)-COUNTIF(P$5:P$24,0))</f>
        <v>1</v>
      </c>
      <c r="R5" s="86">
        <f>IF(P5=0," ",IF((RANK(P5,P$5:P$24,1)-COUNTIF(P$5:P$24,0)&gt;6)," ",RANK(P5,P$5:P$24,1)-COUNTIF(P$5:P$24,0)))</f>
        <v>1</v>
      </c>
      <c r="S5" s="87">
        <f>IF(Table62202732333435[[#This Row],[Non-Member]]="X"," ",IF(R5=" "," ",IFERROR(VLOOKUP(Q5,Points!$A$2:$B$14,2,FALSE)," ")))</f>
        <v>18</v>
      </c>
      <c r="T5" s="136"/>
      <c r="U5" s="86" t="str">
        <f>IF(T5=0," ",_xlfn.RANK.AVG(T5,T$5:T$24,1)-COUNTIF(T$5:T$24,0))</f>
        <v xml:space="preserve"> </v>
      </c>
      <c r="V5" s="86" t="str">
        <f>IF(T5=0," ",IF((RANK(T5,T$5:T$24,1)-COUNTIF(T$5:T$24,0)&gt;6)," ",RANK(T5,T$5:T$24,1)-COUNTIF(T$5:T$24,0)))</f>
        <v xml:space="preserve"> </v>
      </c>
      <c r="W5" s="87" t="str">
        <f>IF(Table62202732333435[[#This Row],[Non-Member]]="X"," ",IF(V5=" "," ",IFERROR(VLOOKUP(U5,Points!$A$2:$B$14,2,FALSE)," ")))</f>
        <v xml:space="preserve"> </v>
      </c>
      <c r="X5" s="85"/>
      <c r="Y5" s="86" t="str">
        <f>IF(X5=0," ",_xlfn.RANK.AVG(X5,X$5:X$24,1)-COUNTIF(X$5:X$24,0))</f>
        <v xml:space="preserve"> </v>
      </c>
      <c r="Z5" s="86" t="str">
        <f>IF(X5=0," ",IF((RANK(X5,X$5:X$24,1)-COUNTIF(X$5:X$24,0)&gt;6)," ",RANK(X5,X$5:X$24,1)-COUNTIF(X$5:X$24,0)))</f>
        <v xml:space="preserve"> </v>
      </c>
      <c r="AA5" s="87" t="str">
        <f>IF(Table62202732333435[[#This Row],[Non-Member]]="X"," ",IF(Z5=" "," ",IFERROR(VLOOKUP(Y5,Points!$A$2:$B$14,2,FALSE)," ")))</f>
        <v xml:space="preserve"> </v>
      </c>
      <c r="AB5" s="85"/>
      <c r="AC5" s="86" t="str">
        <f>IF(AB5=0," ",_xlfn.RANK.AVG(AB5,AB$5:AB$24,1)-COUNTIF(AB$5:AB$24,0))</f>
        <v xml:space="preserve"> </v>
      </c>
      <c r="AD5" s="86" t="str">
        <f>IF(AB5=0," ",IF((RANK(AB5,AB$5:AB$24,1)-COUNTIF(AB$5:AB$24,0)&gt;6)," ",RANK(AB5,AB$5:AB$24,1)-COUNTIF(AB$5:AB$24,0)))</f>
        <v xml:space="preserve"> </v>
      </c>
      <c r="AE5" s="87" t="str">
        <f>IF(Table62202732333435[[#This Row],[Non-Member]]="X"," ",IF(AD5=" "," ",IFERROR(VLOOKUP(AC5,Points!$A$2:$B$14,2,FALSE)," ")))</f>
        <v xml:space="preserve"> </v>
      </c>
      <c r="AF5" s="85" t="str">
        <f>IF(OR(X5=0,AB5=0)," ",X5+AB5)</f>
        <v xml:space="preserve"> </v>
      </c>
      <c r="AG5" s="86" t="str">
        <f>IF(OR(AF5=0,AF5=" ")," ",_xlfn.RANK.AVG(AF5,AF$5:AF$24,1)-COUNTIF(AF$5:AF$24,0))</f>
        <v xml:space="preserve"> </v>
      </c>
      <c r="AH5" s="86" t="str">
        <f>IF(OR(AF5=0,AF5=" ")," ",IF((RANK(AF5,AF$5:AF$24,1)-COUNTIF(AF$5:AF$24,0)&gt;6)," ",RANK(AF5,AF$5:AF$24,1)-COUNTIF(AF$5:AF$24,0)))</f>
        <v xml:space="preserve"> </v>
      </c>
      <c r="AI5" s="87" t="str">
        <f>IF(Table62202732333435[[#This Row],[Non-Member]]="X"," ",IF(AH5=" "," ",IFERROR(VLOOKUP(AG5,Points!$A$2:$B$14,2,FALSE)," ")))</f>
        <v xml:space="preserve"> </v>
      </c>
      <c r="AJ5" s="86">
        <f>IF(Table62202732333435[[#This Row],[Non-Member]]="X"," ",((IF(G5=" ",0,G5))+(IF(K5=" ",0,K5))+(IF(O5=" ",0,O5))+(IF(S5=" ",0,S5))+(IF(W5=" ",0,W5))+(IF(AA5=" ",0,AA5))+(IF(AE5=" ",0,AE5))+(IF(AI5=" ",0,AI5))))</f>
        <v>45</v>
      </c>
      <c r="AK5" s="88">
        <f>IF(AJ5=0," ",AJ5)</f>
        <v>45</v>
      </c>
      <c r="AL5" s="89">
        <f>IF(AK5=" "," ",RANK(AK5,$AK$5:$AK$24))</f>
        <v>1</v>
      </c>
    </row>
    <row r="6" spans="2:38" x14ac:dyDescent="0.3">
      <c r="B6" s="90" t="s">
        <v>260</v>
      </c>
      <c r="C6" s="91"/>
      <c r="D6" s="92"/>
      <c r="E6" s="93" t="str">
        <f>IF(D6=0," ",_xlfn.RANK.AVG(D6,D$5:D$24,1)-COUNTIF(D$5:D$24,0))</f>
        <v xml:space="preserve"> </v>
      </c>
      <c r="F6" s="93" t="str">
        <f>IF(D6=0," ",IF((RANK(D6,D$5:D$24,1)-COUNTIF(D$5:D$24,0)&gt;6)," ",RANK(D6,D$5:D$24,1)-COUNTIF(D$5:D$24,0)))</f>
        <v xml:space="preserve"> </v>
      </c>
      <c r="G6" s="94" t="str">
        <f>IF(Table62202732333435[[#This Row],[Non-Member]]="X"," ",IF(F6=" "," ",IFERROR(VLOOKUP(E6,Points!$A$2:$B$14,2,FALSE)," ")))</f>
        <v xml:space="preserve"> </v>
      </c>
      <c r="H6" s="92">
        <v>15.451000000000001</v>
      </c>
      <c r="I6" s="93">
        <f>IF(H6=0," ",_xlfn.RANK.AVG(H6,H$5:H$24,1)-COUNTIF(H$5:H$24,0))</f>
        <v>1</v>
      </c>
      <c r="J6" s="93">
        <f>IF(H6=0," ",IF((RANK(H6,H$5:H$24,1)-COUNTIF(H$5:H$24,0)&gt;6)," ",RANK(H6,H$5:H$24,1)-COUNTIF(H$5:H$24,0)))</f>
        <v>1</v>
      </c>
      <c r="K6" s="94">
        <f>IF(Table62202732333435[[#This Row],[Non-Member]]="X"," ",IF(J6=" "," ",IFERROR(VLOOKUP(I6,Points!$A$2:$B$14,2,FALSE)," ")))</f>
        <v>18</v>
      </c>
      <c r="L6" s="92">
        <v>16.34</v>
      </c>
      <c r="M6" s="93">
        <f>IF(L6=0," ",_xlfn.RANK.AVG(L6,L$5:L$24,1)-COUNTIF(L$5:L$24,0))</f>
        <v>4</v>
      </c>
      <c r="N6" s="93">
        <f>IF(L6=0," ",IF((RANK(L6,L$5:L$24,1)-COUNTIF(L$5:L$24,0)&gt;6)," ",RANK(L6,L$5:L$24,1)-COUNTIF(L$5:L$24,0)))</f>
        <v>4</v>
      </c>
      <c r="O6" s="94">
        <f>IF(Table62202732333435[[#This Row],[Non-Member]]="X"," ",IF(N6=" "," ",IFERROR(VLOOKUP(M6,Points!$A$2:$B$14,2,FALSE)," ")))</f>
        <v>9</v>
      </c>
      <c r="P6" s="92">
        <v>15.66</v>
      </c>
      <c r="Q6" s="93">
        <f>IF(P6=0," ",_xlfn.RANK.AVG(P6,P$5:P$24,1)-COUNTIF(P$5:P$24,0))</f>
        <v>3</v>
      </c>
      <c r="R6" s="93">
        <f>IF(P6=0," ",IF((RANK(P6,P$5:P$24,1)-COUNTIF(P$5:P$24,0)&gt;6)," ",RANK(P6,P$5:P$24,1)-COUNTIF(P$5:P$24,0)))</f>
        <v>3</v>
      </c>
      <c r="S6" s="94">
        <f>IF(Table62202732333435[[#This Row],[Non-Member]]="X"," ",IF(R6=" "," ",IFERROR(VLOOKUP(Q6,Points!$A$2:$B$14,2,FALSE)," ")))</f>
        <v>12</v>
      </c>
      <c r="T6" s="135"/>
      <c r="U6" s="93" t="str">
        <f>IF(T6=0," ",_xlfn.RANK.AVG(T6,T$5:T$24,1)-COUNTIF(T$5:T$24,0))</f>
        <v xml:space="preserve"> </v>
      </c>
      <c r="V6" s="93" t="str">
        <f>IF(T6=0," ",IF((RANK(T6,T$5:T$24,1)-COUNTIF(T$5:T$24,0)&gt;6)," ",RANK(T6,T$5:T$24,1)-COUNTIF(T$5:T$24,0)))</f>
        <v xml:space="preserve"> </v>
      </c>
      <c r="W6" s="94" t="str">
        <f>IF(Table62202732333435[[#This Row],[Non-Member]]="X"," ",IF(V6=" "," ",IFERROR(VLOOKUP(U6,Points!$A$2:$B$14,2,FALSE)," ")))</f>
        <v xml:space="preserve"> </v>
      </c>
      <c r="X6" s="92"/>
      <c r="Y6" s="93" t="str">
        <f>IF(X6=0," ",_xlfn.RANK.AVG(X6,X$5:X$24,1)-COUNTIF(X$5:X$24,0))</f>
        <v xml:space="preserve"> </v>
      </c>
      <c r="Z6" s="93" t="str">
        <f>IF(X6=0," ",IF((RANK(X6,X$5:X$24,1)-COUNTIF(X$5:X$24,0)&gt;6)," ",RANK(X6,X$5:X$24,1)-COUNTIF(X$5:X$24,0)))</f>
        <v xml:space="preserve"> </v>
      </c>
      <c r="AA6" s="94" t="str">
        <f>IF(Table62202732333435[[#This Row],[Non-Member]]="X"," ",IF(Z6=" "," ",IFERROR(VLOOKUP(Y6,Points!$A$2:$B$14,2,FALSE)," ")))</f>
        <v xml:space="preserve"> </v>
      </c>
      <c r="AB6" s="92"/>
      <c r="AC6" s="93" t="str">
        <f>IF(AB6=0," ",_xlfn.RANK.AVG(AB6,AB$5:AB$24,1)-COUNTIF(AB$5:AB$24,0))</f>
        <v xml:space="preserve"> </v>
      </c>
      <c r="AD6" s="93" t="str">
        <f>IF(AB6=0," ",IF((RANK(AB6,AB$5:AB$24,1)-COUNTIF(AB$5:AB$24,0)&gt;6)," ",RANK(AB6,AB$5:AB$24,1)-COUNTIF(AB$5:AB$24,0)))</f>
        <v xml:space="preserve"> </v>
      </c>
      <c r="AE6" s="94" t="str">
        <f>IF(Table62202732333435[[#This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>IF(OR(AF6=0,AF6=" ")," ",_xlfn.RANK.AVG(AF6,AF$5:AF$24,1)-COUNTIF(AF$5:AF$24,0))</f>
        <v xml:space="preserve"> </v>
      </c>
      <c r="AH6" s="93" t="str">
        <f>IF(OR(AF6=0,AF6=" ")," ",IF((RANK(AF6,AF$5:AF$24,1)-COUNTIF(AF$5:AF$24,0)&gt;6)," ",RANK(AF6,AF$5:AF$24,1)-COUNTIF(AF$5:AF$24,0)))</f>
        <v xml:space="preserve"> </v>
      </c>
      <c r="AI6" s="94" t="str">
        <f>IF(Table62202732333435[[#This Row],[Non-Member]]="X"," ",IF(AH6=" "," ",IFERROR(VLOOKUP(AG6,Points!$A$2:$B$14,2,FALSE)," ")))</f>
        <v xml:space="preserve"> </v>
      </c>
      <c r="AJ6" s="93">
        <f>IF(Table62202732333435[[#This Row],[Non-Member]]="X"," ",((IF(G6=" ",0,G6))+(IF(K6=" ",0,K6))+(IF(O6=" ",0,O6))+(IF(S6=" ",0,S6))+(IF(W6=" ",0,W6))+(IF(AA6=" ",0,AA6))+(IF(AE6=" ",0,AE6))+(IF(AI6=" ",0,AI6))))</f>
        <v>39</v>
      </c>
      <c r="AK6" s="95">
        <f>IF(AJ6=0," ",AJ6)</f>
        <v>39</v>
      </c>
      <c r="AL6" s="96">
        <f>IF(AK6=" "," ",RANK(AK6,$AK$5:$AK$24))</f>
        <v>2</v>
      </c>
    </row>
    <row r="7" spans="2:38" x14ac:dyDescent="0.3">
      <c r="B7" s="90" t="s">
        <v>70</v>
      </c>
      <c r="C7" s="91"/>
      <c r="D7" s="92"/>
      <c r="E7" s="93" t="str">
        <f>IF(D7=0," ",_xlfn.RANK.AVG(D7,D$5:D$24,1)-COUNTIF(D$5:D$24,0))</f>
        <v xml:space="preserve"> </v>
      </c>
      <c r="F7" s="93" t="str">
        <f>IF(D7=0," ",IF((RANK(D7,D$5:D$24,1)-COUNTIF(D$5:D$24,0)&gt;6)," ",RANK(D7,D$5:D$24,1)-COUNTIF(D$5:D$24,0)))</f>
        <v xml:space="preserve"> </v>
      </c>
      <c r="G7" s="94" t="str">
        <f>IF(Table62202732333435[[#This Row],[Non-Member]]="X"," ",IF(F7=" "," ",IFERROR(VLOOKUP(E7,Points!$A$2:$B$14,2,FALSE)," ")))</f>
        <v xml:space="preserve"> </v>
      </c>
      <c r="H7" s="92">
        <v>16.404</v>
      </c>
      <c r="I7" s="93">
        <f>IF(H7=0," ",_xlfn.RANK.AVG(H7,H$5:H$24,1)-COUNTIF(H$5:H$24,0))</f>
        <v>7</v>
      </c>
      <c r="J7" s="93" t="str">
        <f>IF(H7=0," ",IF((RANK(H7,H$5:H$24,1)-COUNTIF(H$5:H$24,0)&gt;6)," ",RANK(H7,H$5:H$24,1)-COUNTIF(H$5:H$24,0)))</f>
        <v xml:space="preserve"> </v>
      </c>
      <c r="K7" s="94" t="str">
        <f>IF(Table62202732333435[[#This Row],[Non-Member]]="X"," ",IF(J7=" "," ",IFERROR(VLOOKUP(I7,Points!$A$2:$B$14,2,FALSE)," ")))</f>
        <v xml:space="preserve"> </v>
      </c>
      <c r="L7" s="92">
        <v>15.1</v>
      </c>
      <c r="M7" s="93">
        <f>IF(L7=0," ",_xlfn.RANK.AVG(L7,L$5:L$24,1)-COUNTIF(L$5:L$24,0))</f>
        <v>2</v>
      </c>
      <c r="N7" s="93">
        <f>IF(L7=0," ",IF((RANK(L7,L$5:L$24,1)-COUNTIF(L$5:L$24,0)&gt;6)," ",RANK(L7,L$5:L$24,1)-COUNTIF(L$5:L$24,0)))</f>
        <v>2</v>
      </c>
      <c r="O7" s="94">
        <f>IF(Table62202732333435[[#This Row],[Non-Member]]="X"," ",IF(N7=" "," ",IFERROR(VLOOKUP(M7,Points!$A$2:$B$14,2,FALSE)," ")))</f>
        <v>15</v>
      </c>
      <c r="P7" s="92">
        <v>15.18</v>
      </c>
      <c r="Q7" s="93">
        <f>IF(P7=0," ",_xlfn.RANK.AVG(P7,P$5:P$24,1)-COUNTIF(P$5:P$24,0))</f>
        <v>2</v>
      </c>
      <c r="R7" s="93">
        <f>IF(P7=0," ",IF((RANK(P7,P$5:P$24,1)-COUNTIF(P$5:P$24,0)&gt;6)," ",RANK(P7,P$5:P$24,1)-COUNTIF(P$5:P$24,0)))</f>
        <v>2</v>
      </c>
      <c r="S7" s="94">
        <f>IF(Table62202732333435[[#This Row],[Non-Member]]="X"," ",IF(R7=" "," ",IFERROR(VLOOKUP(Q7,Points!$A$2:$B$14,2,FALSE)," ")))</f>
        <v>15</v>
      </c>
      <c r="T7" s="135"/>
      <c r="U7" s="93" t="str">
        <f>IF(T7=0," ",_xlfn.RANK.AVG(T7,T$5:T$24,1)-COUNTIF(T$5:T$24,0))</f>
        <v xml:space="preserve"> </v>
      </c>
      <c r="V7" s="93" t="str">
        <f>IF(T7=0," ",IF((RANK(T7,T$5:T$24,1)-COUNTIF(T$5:T$24,0)&gt;6)," ",RANK(T7,T$5:T$24,1)-COUNTIF(T$5:T$24,0)))</f>
        <v xml:space="preserve"> </v>
      </c>
      <c r="W7" s="94" t="str">
        <f>IF(Table62202732333435[[#This Row],[Non-Member]]="X"," ",IF(V7=" "," ",IFERROR(VLOOKUP(U7,Points!$A$2:$B$14,2,FALSE)," ")))</f>
        <v xml:space="preserve"> </v>
      </c>
      <c r="X7" s="92"/>
      <c r="Y7" s="93" t="str">
        <f>IF(X7=0," ",_xlfn.RANK.AVG(X7,X$5:X$24,1)-COUNTIF(X$5:X$24,0))</f>
        <v xml:space="preserve"> </v>
      </c>
      <c r="Z7" s="93" t="str">
        <f>IF(X7=0," ",IF((RANK(X7,X$5:X$24,1)-COUNTIF(X$5:X$24,0)&gt;6)," ",RANK(X7,X$5:X$24,1)-COUNTIF(X$5:X$24,0)))</f>
        <v xml:space="preserve"> </v>
      </c>
      <c r="AA7" s="94" t="str">
        <f>IF(Table62202732333435[[#This Row],[Non-Member]]="X"," ",IF(Z7=" "," ",IFERROR(VLOOKUP(Y7,Points!$A$2:$B$14,2,FALSE)," ")))</f>
        <v xml:space="preserve"> </v>
      </c>
      <c r="AB7" s="92"/>
      <c r="AC7" s="93" t="str">
        <f>IF(AB7=0," ",_xlfn.RANK.AVG(AB7,AB$5:AB$24,1)-COUNTIF(AB$5:AB$24,0))</f>
        <v xml:space="preserve"> </v>
      </c>
      <c r="AD7" s="93" t="str">
        <f>IF(AB7=0," ",IF((RANK(AB7,AB$5:AB$24,1)-COUNTIF(AB$5:AB$24,0)&gt;6)," ",RANK(AB7,AB$5:AB$24,1)-COUNTIF(AB$5:AB$24,0)))</f>
        <v xml:space="preserve"> </v>
      </c>
      <c r="AE7" s="94" t="str">
        <f>IF(Table62202732333435[[#This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IF(Table62202732333435[[#This Row],[Non-Member]]="X"," ",IF(AH7=" "," ",IFERROR(VLOOKUP(AG7,Points!$A$2:$B$14,2,FALSE)," ")))</f>
        <v xml:space="preserve"> </v>
      </c>
      <c r="AJ7" s="93">
        <f>IF(Table62202732333435[[#This Row],[Non-Member]]="X"," ",((IF(G7=" ",0,G7))+(IF(K7=" ",0,K7))+(IF(O7=" ",0,O7))+(IF(S7=" ",0,S7))+(IF(W7=" ",0,W7))+(IF(AA7=" ",0,AA7))+(IF(AE7=" ",0,AE7))+(IF(AI7=" ",0,AI7))))</f>
        <v>30</v>
      </c>
      <c r="AK7" s="95">
        <f>IF(AJ7=0," ",AJ7)</f>
        <v>30</v>
      </c>
      <c r="AL7" s="96">
        <f>IF(AK7=" "," ",RANK(AK7,$AK$5:$AK$24))</f>
        <v>3</v>
      </c>
    </row>
    <row r="8" spans="2:38" x14ac:dyDescent="0.3">
      <c r="B8" s="90" t="s">
        <v>187</v>
      </c>
      <c r="C8" s="91"/>
      <c r="D8" s="92"/>
      <c r="E8" s="93" t="str">
        <f>IF(D8=0," ",_xlfn.RANK.AVG(D8,D$5:D$24,1)-COUNTIF(D$5:D$24,0))</f>
        <v xml:space="preserve"> </v>
      </c>
      <c r="F8" s="93" t="str">
        <f>IF(D8=0," ",IF((RANK(D8,D$5:D$24,1)-COUNTIF(D$5:D$24,0)&gt;6)," ",RANK(D8,D$5:D$24,1)-COUNTIF(D$5:D$24,0)))</f>
        <v xml:space="preserve"> </v>
      </c>
      <c r="G8" s="94" t="str">
        <f>IF(Table62202732333435[[#This Row],[Non-Member]]="X"," ",IF(F8=" "," ",IFERROR(VLOOKUP(E8,Points!$A$2:$B$14,2,FALSE)," ")))</f>
        <v xml:space="preserve"> </v>
      </c>
      <c r="H8" s="92">
        <v>15.917999999999999</v>
      </c>
      <c r="I8" s="93">
        <f>IF(H8=0," ",_xlfn.RANK.AVG(H8,H$5:H$24,1)-COUNTIF(H$5:H$24,0))</f>
        <v>3</v>
      </c>
      <c r="J8" s="93">
        <f>IF(H8=0," ",IF((RANK(H8,H$5:H$24,1)-COUNTIF(H$5:H$24,0)&gt;6)," ",RANK(H8,H$5:H$24,1)-COUNTIF(H$5:H$24,0)))</f>
        <v>3</v>
      </c>
      <c r="K8" s="94">
        <f>IF(Table62202732333435[[#This Row],[Non-Member]]="X"," ",IF(J8=" "," ",IFERROR(VLOOKUP(I8,Points!$A$2:$B$14,2,FALSE)," ")))</f>
        <v>12</v>
      </c>
      <c r="L8" s="92">
        <v>17</v>
      </c>
      <c r="M8" s="93">
        <f>IF(L8=0," ",_xlfn.RANK.AVG(L8,L$5:L$24,1)-COUNTIF(L$5:L$24,0))</f>
        <v>6</v>
      </c>
      <c r="N8" s="93">
        <f>IF(L8=0," ",IF((RANK(L8,L$5:L$24,1)-COUNTIF(L$5:L$24,0)&gt;6)," ",RANK(L8,L$5:L$24,1)-COUNTIF(L$5:L$24,0)))</f>
        <v>6</v>
      </c>
      <c r="O8" s="94">
        <f>IF(Table62202732333435[[#This Row],[Non-Member]]="X"," ",IF(N8=" "," ",IFERROR(VLOOKUP(M8,Points!$A$2:$B$14,2,FALSE)," ")))</f>
        <v>3</v>
      </c>
      <c r="P8" s="92">
        <v>17.39</v>
      </c>
      <c r="Q8" s="93">
        <f>IF(P8=0," ",_xlfn.RANK.AVG(P8,P$5:P$24,1)-COUNTIF(P$5:P$24,0))</f>
        <v>8</v>
      </c>
      <c r="R8" s="93" t="str">
        <f>IF(P8=0," ",IF((RANK(P8,P$5:P$24,1)-COUNTIF(P$5:P$24,0)&gt;6)," ",RANK(P8,P$5:P$24,1)-COUNTIF(P$5:P$24,0)))</f>
        <v xml:space="preserve"> </v>
      </c>
      <c r="S8" s="94" t="str">
        <f>IF(Table62202732333435[[#This Row],[Non-Member]]="X"," ",IF(R8=" "," ",IFERROR(VLOOKUP(Q8,Points!$A$2:$B$14,2,FALSE)," ")))</f>
        <v xml:space="preserve"> </v>
      </c>
      <c r="T8" s="135"/>
      <c r="U8" s="93" t="str">
        <f>IF(T8=0," ",_xlfn.RANK.AVG(T8,T$5:T$24,1)-COUNTIF(T$5:T$24,0))</f>
        <v xml:space="preserve"> </v>
      </c>
      <c r="V8" s="93" t="str">
        <f>IF(T8=0," ",IF((RANK(T8,T$5:T$24,1)-COUNTIF(T$5:T$24,0)&gt;6)," ",RANK(T8,T$5:T$24,1)-COUNTIF(T$5:T$24,0)))</f>
        <v xml:space="preserve"> </v>
      </c>
      <c r="W8" s="94" t="str">
        <f>IF(Table62202732333435[[#This Row],[Non-Member]]="X"," ",IF(V8=" "," ",IFERROR(VLOOKUP(U8,Points!$A$2:$B$14,2,FALSE)," ")))</f>
        <v xml:space="preserve"> </v>
      </c>
      <c r="X8" s="92"/>
      <c r="Y8" s="93" t="str">
        <f>IF(X8=0," ",_xlfn.RANK.AVG(X8,X$5:X$24,1)-COUNTIF(X$5:X$24,0))</f>
        <v xml:space="preserve"> </v>
      </c>
      <c r="Z8" s="93" t="str">
        <f>IF(X8=0," ",IF((RANK(X8,X$5:X$24,1)-COUNTIF(X$5:X$24,0)&gt;6)," ",RANK(X8,X$5:X$24,1)-COUNTIF(X$5:X$24,0)))</f>
        <v xml:space="preserve"> </v>
      </c>
      <c r="AA8" s="94" t="str">
        <f>IF(Table62202732333435[[#This Row],[Non-Member]]="X"," ",IF(Z8=" "," ",IFERROR(VLOOKUP(Y8,Points!$A$2:$B$14,2,FALSE)," ")))</f>
        <v xml:space="preserve"> </v>
      </c>
      <c r="AB8" s="92"/>
      <c r="AC8" s="93" t="str">
        <f>IF(AB8=0," ",_xlfn.RANK.AVG(AB8,AB$5:AB$24,1)-COUNTIF(AB$5:AB$24,0))</f>
        <v xml:space="preserve"> </v>
      </c>
      <c r="AD8" s="93" t="str">
        <f>IF(AB8=0," ",IF((RANK(AB8,AB$5:AB$24,1)-COUNTIF(AB$5:AB$24,0)&gt;6)," ",RANK(AB8,AB$5:AB$24,1)-COUNTIF(AB$5:AB$24,0)))</f>
        <v xml:space="preserve"> </v>
      </c>
      <c r="AE8" s="94" t="str">
        <f>IF(Table62202732333435[[#This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IF(Table62202732333435[[#This Row],[Non-Member]]="X"," ",IF(AH8=" "," ",IFERROR(VLOOKUP(AG8,Points!$A$2:$B$14,2,FALSE)," ")))</f>
        <v xml:space="preserve"> </v>
      </c>
      <c r="AJ8" s="93">
        <f>IF(Table62202732333435[[#This Row],[Non-Member]]="X"," ",((IF(G8=" ",0,G8))+(IF(K8=" ",0,K8))+(IF(O8=" ",0,O8))+(IF(S8=" ",0,S8))+(IF(W8=" ",0,W8))+(IF(AA8=" ",0,AA8))+(IF(AE8=" ",0,AE8))+(IF(AI8=" ",0,AI8))))</f>
        <v>15</v>
      </c>
      <c r="AK8" s="95">
        <f>IF(AJ8=0," ",AJ8)</f>
        <v>15</v>
      </c>
      <c r="AL8" s="96">
        <f>IF(AK8=" "," ",RANK(AK8,$AK$5:$AK$24))</f>
        <v>4</v>
      </c>
    </row>
    <row r="9" spans="2:38" x14ac:dyDescent="0.3">
      <c r="B9" s="90" t="s">
        <v>274</v>
      </c>
      <c r="C9" s="91"/>
      <c r="D9" s="92"/>
      <c r="E9" s="93" t="str">
        <f>IF(D9=0," ",_xlfn.RANK.AVG(D9,D$5:D$24,1)-COUNTIF(D$5:D$24,0))</f>
        <v xml:space="preserve"> </v>
      </c>
      <c r="F9" s="93" t="str">
        <f>IF(D9=0," ",IF((RANK(D9,D$5:D$24,1)-COUNTIF(D$5:D$24,0)&gt;6)," ",RANK(D9,D$5:D$24,1)-COUNTIF(D$5:D$24,0)))</f>
        <v xml:space="preserve"> </v>
      </c>
      <c r="G9" s="94" t="str">
        <f>IF(Table62202732333435[[#This Row],[Non-Member]]="X"," ",IF(F9=" "," ",IFERROR(VLOOKUP(E9,Points!$A$2:$B$14,2,FALSE)," ")))</f>
        <v xml:space="preserve"> </v>
      </c>
      <c r="H9" s="92">
        <v>15.823</v>
      </c>
      <c r="I9" s="93">
        <f>IF(H9=0," ",_xlfn.RANK.AVG(H9,H$5:H$24,1)-COUNTIF(H$5:H$24,0))</f>
        <v>2</v>
      </c>
      <c r="J9" s="93">
        <f>IF(H9=0," ",IF((RANK(H9,H$5:H$24,1)-COUNTIF(H$5:H$24,0)&gt;6)," ",RANK(H9,H$5:H$24,1)-COUNTIF(H$5:H$24,0)))</f>
        <v>2</v>
      </c>
      <c r="K9" s="94">
        <f>IF(Table62202732333435[[#This Row],[Non-Member]]="X"," ",IF(J9=" "," ",IFERROR(VLOOKUP(I9,Points!$A$2:$B$14,2,FALSE)," ")))</f>
        <v>15</v>
      </c>
      <c r="L9" s="92">
        <v>18.82</v>
      </c>
      <c r="M9" s="93">
        <f>IF(L9=0," ",_xlfn.RANK.AVG(L9,L$5:L$24,1)-COUNTIF(L$5:L$24,0))</f>
        <v>12</v>
      </c>
      <c r="N9" s="93" t="str">
        <f>IF(L9=0," ",IF((RANK(L9,L$5:L$24,1)-COUNTIF(L$5:L$24,0)&gt;6)," ",RANK(L9,L$5:L$24,1)-COUNTIF(L$5:L$24,0)))</f>
        <v xml:space="preserve"> </v>
      </c>
      <c r="O9" s="94" t="str">
        <f>IF(Table62202732333435[[#This Row],[Non-Member]]="X"," ",IF(N9=" "," ",IFERROR(VLOOKUP(M9,Points!$A$2:$B$14,2,FALSE)," ")))</f>
        <v xml:space="preserve"> </v>
      </c>
      <c r="P9" s="92">
        <v>21.27</v>
      </c>
      <c r="Q9" s="93">
        <f>IF(P9=0," ",_xlfn.RANK.AVG(P9,P$5:P$24,1)-COUNTIF(P$5:P$24,0))</f>
        <v>15</v>
      </c>
      <c r="R9" s="93" t="str">
        <f>IF(P9=0," ",IF((RANK(P9,P$5:P$24,1)-COUNTIF(P$5:P$24,0)&gt;6)," ",RANK(P9,P$5:P$24,1)-COUNTIF(P$5:P$24,0)))</f>
        <v xml:space="preserve"> </v>
      </c>
      <c r="S9" s="94" t="str">
        <f>IF(Table62202732333435[[#This Row],[Non-Member]]="X"," ",IF(R9=" "," ",IFERROR(VLOOKUP(Q9,Points!$A$2:$B$14,2,FALSE)," ")))</f>
        <v xml:space="preserve"> </v>
      </c>
      <c r="T9" s="135"/>
      <c r="U9" s="93" t="str">
        <f>IF(T9=0," ",_xlfn.RANK.AVG(T9,T$5:T$24,1)-COUNTIF(T$5:T$24,0))</f>
        <v xml:space="preserve"> </v>
      </c>
      <c r="V9" s="93" t="str">
        <f>IF(T9=0," ",IF((RANK(T9,T$5:T$24,1)-COUNTIF(T$5:T$24,0)&gt;6)," ",RANK(T9,T$5:T$24,1)-COUNTIF(T$5:T$24,0)))</f>
        <v xml:space="preserve"> </v>
      </c>
      <c r="W9" s="94" t="str">
        <f>IF(Table62202732333435[[#This Row],[Non-Member]]="X"," ",IF(V9=" "," ",IFERROR(VLOOKUP(U9,Points!$A$2:$B$14,2,FALSE)," ")))</f>
        <v xml:space="preserve"> </v>
      </c>
      <c r="X9" s="92"/>
      <c r="Y9" s="93" t="str">
        <f>IF(X9=0," ",_xlfn.RANK.AVG(X9,X$5:X$24,1)-COUNTIF(X$5:X$24,0))</f>
        <v xml:space="preserve"> </v>
      </c>
      <c r="Z9" s="93" t="str">
        <f>IF(X9=0," ",IF((RANK(X9,X$5:X$24,1)-COUNTIF(X$5:X$24,0)&gt;6)," ",RANK(X9,X$5:X$24,1)-COUNTIF(X$5:X$24,0)))</f>
        <v xml:space="preserve"> </v>
      </c>
      <c r="AA9" s="94" t="str">
        <f>IF(Table62202732333435[[#This Row],[Non-Member]]="X"," ",IF(Z9=" "," ",IFERROR(VLOOKUP(Y9,Points!$A$2:$B$14,2,FALSE)," ")))</f>
        <v xml:space="preserve"> </v>
      </c>
      <c r="AB9" s="92"/>
      <c r="AC9" s="93" t="str">
        <f>IF(AB9=0," ",_xlfn.RANK.AVG(AB9,AB$5:AB$24,1)-COUNTIF(AB$5:AB$24,0))</f>
        <v xml:space="preserve"> </v>
      </c>
      <c r="AD9" s="93" t="str">
        <f>IF(AB9=0," ",IF((RANK(AB9,AB$5:AB$24,1)-COUNTIF(AB$5:AB$24,0)&gt;6)," ",RANK(AB9,AB$5:AB$24,1)-COUNTIF(AB$5:AB$24,0)))</f>
        <v xml:space="preserve"> </v>
      </c>
      <c r="AE9" s="94" t="str">
        <f>IF(Table62202732333435[[#This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>IF(OR(AF9=0,AF9=" ")," ",_xlfn.RANK.AVG(AF9,AF$5:AF$24,1)-COUNTIF(AF$5:AF$24,0))</f>
        <v xml:space="preserve"> 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IF(Table62202732333435[[#This Row],[Non-Member]]="X"," ",IF(AH9=" "," ",IFERROR(VLOOKUP(AG9,Points!$A$2:$B$14,2,FALSE)," ")))</f>
        <v xml:space="preserve"> </v>
      </c>
      <c r="AJ9" s="93">
        <f>IF(Table62202732333435[[#This Row],[Non-Member]]="X"," ",((IF(G9=" ",0,G9))+(IF(K9=" ",0,K9))+(IF(O9=" ",0,O9))+(IF(S9=" ",0,S9))+(IF(W9=" ",0,W9))+(IF(AA9=" ",0,AA9))+(IF(AE9=" ",0,AE9))+(IF(AI9=" ",0,AI9))))</f>
        <v>15</v>
      </c>
      <c r="AK9" s="95">
        <f>IF(AJ9=0," ",AJ9)</f>
        <v>15</v>
      </c>
      <c r="AL9" s="96">
        <f>IF(AK9=" "," ",RANK(AK9,$AK$5:$AK$24))</f>
        <v>4</v>
      </c>
    </row>
    <row r="10" spans="2:38" x14ac:dyDescent="0.3">
      <c r="B10" s="90" t="s">
        <v>72</v>
      </c>
      <c r="C10" s="91"/>
      <c r="D10" s="92"/>
      <c r="E10" s="93" t="str">
        <f>IF(D10=0," ",_xlfn.RANK.AVG(D10,D$5:D$24,1)-COUNTIF(D$5:D$24,0))</f>
        <v xml:space="preserve"> </v>
      </c>
      <c r="F10" s="93" t="str">
        <f>IF(D10=0," ",IF((RANK(D10,D$5:D$24,1)-COUNTIF(D$5:D$24,0)&gt;6)," ",RANK(D10,D$5:D$24,1)-COUNTIF(D$5:D$24,0)))</f>
        <v xml:space="preserve"> </v>
      </c>
      <c r="G10" s="94" t="str">
        <f>IF(Table62202732333435[[#This Row],[Non-Member]]="X"," ",IF(F10=" "," ",IFERROR(VLOOKUP(E10,Points!$A$2:$B$14,2,FALSE)," ")))</f>
        <v xml:space="preserve"> </v>
      </c>
      <c r="H10" s="92">
        <v>16.001999999999999</v>
      </c>
      <c r="I10" s="93">
        <f>IF(H10=0," ",_xlfn.RANK.AVG(H10,H$5:H$24,1)-COUNTIF(H$5:H$24,0))</f>
        <v>5</v>
      </c>
      <c r="J10" s="93">
        <f>IF(H10=0," ",IF((RANK(H10,H$5:H$24,1)-COUNTIF(H$5:H$24,0)&gt;6)," ",RANK(H10,H$5:H$24,1)-COUNTIF(H$5:H$24,0)))</f>
        <v>5</v>
      </c>
      <c r="K10" s="94">
        <f>IF(Table62202732333435[[#This Row],[Non-Member]]="X"," ",IF(J10=" "," ",IFERROR(VLOOKUP(I10,Points!$A$2:$B$14,2,FALSE)," ")))</f>
        <v>6</v>
      </c>
      <c r="L10" s="92">
        <v>18.600000000000001</v>
      </c>
      <c r="M10" s="93">
        <f>IF(L10=0," ",_xlfn.RANK.AVG(L10,L$5:L$24,1)-COUNTIF(L$5:L$24,0))</f>
        <v>11</v>
      </c>
      <c r="N10" s="93" t="str">
        <f>IF(L10=0," ",IF((RANK(L10,L$5:L$24,1)-COUNTIF(L$5:L$24,0)&gt;6)," ",RANK(L10,L$5:L$24,1)-COUNTIF(L$5:L$24,0)))</f>
        <v xml:space="preserve"> </v>
      </c>
      <c r="O10" s="94" t="str">
        <f>IF(Table62202732333435[[#This Row],[Non-Member]]="X"," ",IF(N10=" "," ",IFERROR(VLOOKUP(M10,Points!$A$2:$B$14,2,FALSE)," ")))</f>
        <v xml:space="preserve"> </v>
      </c>
      <c r="P10" s="92">
        <v>17.02</v>
      </c>
      <c r="Q10" s="93">
        <f>IF(P10=0," ",_xlfn.RANK.AVG(P10,P$5:P$24,1)-COUNTIF(P$5:P$24,0))</f>
        <v>6</v>
      </c>
      <c r="R10" s="93">
        <f>IF(P10=0," ",IF((RANK(P10,P$5:P$24,1)-COUNTIF(P$5:P$24,0)&gt;6)," ",RANK(P10,P$5:P$24,1)-COUNTIF(P$5:P$24,0)))</f>
        <v>6</v>
      </c>
      <c r="S10" s="94">
        <f>IF(Table62202732333435[[#This Row],[Non-Member]]="X"," ",IF(R10=" "," ",IFERROR(VLOOKUP(Q10,Points!$A$2:$B$14,2,FALSE)," ")))</f>
        <v>3</v>
      </c>
      <c r="T10" s="135"/>
      <c r="U10" s="93" t="str">
        <f>IF(T10=0," ",_xlfn.RANK.AVG(T10,T$5:T$24,1)-COUNTIF(T$5:T$24,0))</f>
        <v xml:space="preserve"> </v>
      </c>
      <c r="V10" s="93" t="str">
        <f>IF(T10=0," ",IF((RANK(T10,T$5:T$24,1)-COUNTIF(T$5:T$24,0)&gt;6)," ",RANK(T10,T$5:T$24,1)-COUNTIF(T$5:T$24,0)))</f>
        <v xml:space="preserve"> </v>
      </c>
      <c r="W10" s="94" t="str">
        <f>IF(Table62202732333435[[#This Row],[Non-Member]]="X"," ",IF(V10=" "," ",IFERROR(VLOOKUP(U10,Points!$A$2:$B$14,2,FALSE)," ")))</f>
        <v xml:space="preserve"> </v>
      </c>
      <c r="X10" s="92"/>
      <c r="Y10" s="93" t="str">
        <f>IF(X10=0," ",_xlfn.RANK.AVG(X10,X$5:X$24,1)-COUNTIF(X$5:X$24,0))</f>
        <v xml:space="preserve"> </v>
      </c>
      <c r="Z10" s="93" t="str">
        <f>IF(X10=0," ",IF((RANK(X10,X$5:X$24,1)-COUNTIF(X$5:X$24,0)&gt;6)," ",RANK(X10,X$5:X$24,1)-COUNTIF(X$5:X$24,0)))</f>
        <v xml:space="preserve"> </v>
      </c>
      <c r="AA10" s="94" t="str">
        <f>IF(Table62202732333435[[#This Row],[Non-Member]]="X"," ",IF(Z10=" "," ",IFERROR(VLOOKUP(Y10,Points!$A$2:$B$14,2,FALSE)," ")))</f>
        <v xml:space="preserve"> </v>
      </c>
      <c r="AB10" s="92"/>
      <c r="AC10" s="93" t="str">
        <f>IF(AB10=0," ",_xlfn.RANK.AVG(AB10,AB$5:AB$24,1)-COUNTIF(AB$5:AB$24,0))</f>
        <v xml:space="preserve"> </v>
      </c>
      <c r="AD10" s="93" t="str">
        <f>IF(AB10=0," ",IF((RANK(AB10,AB$5:AB$24,1)-COUNTIF(AB$5:AB$24,0)&gt;6)," ",RANK(AB10,AB$5:AB$24,1)-COUNTIF(AB$5:AB$24,0)))</f>
        <v xml:space="preserve"> </v>
      </c>
      <c r="AE10" s="94" t="str">
        <f>IF(Table62202732333435[[#This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IF(Table62202732333435[[#This Row],[Non-Member]]="X"," ",IF(AH10=" "," ",IFERROR(VLOOKUP(AG10,Points!$A$2:$B$14,2,FALSE)," ")))</f>
        <v xml:space="preserve"> </v>
      </c>
      <c r="AJ10" s="93">
        <f>IF(Table62202732333435[[#This Row],[Non-Member]]="X"," ",((IF(G10=" ",0,G10))+(IF(K10=" ",0,K10))+(IF(O10=" ",0,O10))+(IF(S10=" ",0,S10))+(IF(W10=" ",0,W10))+(IF(AA10=" ",0,AA10))+(IF(AE10=" ",0,AE10))+(IF(AI10=" ",0,AI10))))</f>
        <v>9</v>
      </c>
      <c r="AK10" s="95">
        <f>IF(AJ10=0," ",AJ10)</f>
        <v>9</v>
      </c>
      <c r="AL10" s="96">
        <f>IF(AK10=" "," ",RANK(AK10,$AK$5:$AK$24))</f>
        <v>6</v>
      </c>
    </row>
    <row r="11" spans="2:38" x14ac:dyDescent="0.3">
      <c r="B11" s="90" t="s">
        <v>67</v>
      </c>
      <c r="C11" s="91"/>
      <c r="D11" s="92"/>
      <c r="E11" s="93" t="str">
        <f>IF(D11=0," ",_xlfn.RANK.AVG(D11,D$5:D$24,1)-COUNTIF(D$5:D$24,0))</f>
        <v xml:space="preserve"> </v>
      </c>
      <c r="F11" s="93" t="str">
        <f>IF(D11=0," ",IF((RANK(D11,D$5:D$24,1)-COUNTIF(D$5:D$24,0)&gt;6)," ",RANK(D11,D$5:D$24,1)-COUNTIF(D$5:D$24,0)))</f>
        <v xml:space="preserve"> </v>
      </c>
      <c r="G11" s="94" t="str">
        <f>IF(Table62202732333435[[#This Row],[Non-Member]]="X"," ",IF(F11=" "," ",IFERROR(VLOOKUP(E11,Points!$A$2:$B$14,2,FALSE)," ")))</f>
        <v xml:space="preserve"> </v>
      </c>
      <c r="H11" s="92">
        <v>16.09</v>
      </c>
      <c r="I11" s="93">
        <f>IF(H11=0," ",_xlfn.RANK.AVG(H11,H$5:H$24,1)-COUNTIF(H$5:H$24,0))</f>
        <v>6</v>
      </c>
      <c r="J11" s="93">
        <f>IF(H11=0," ",IF((RANK(H11,H$5:H$24,1)-COUNTIF(H$5:H$24,0)&gt;6)," ",RANK(H11,H$5:H$24,1)-COUNTIF(H$5:H$24,0)))</f>
        <v>6</v>
      </c>
      <c r="K11" s="94">
        <f>IF(Table62202732333435[[#This Row],[Non-Member]]="X"," ",IF(J11=" "," ",IFERROR(VLOOKUP(I11,Points!$A$2:$B$14,2,FALSE)," ")))</f>
        <v>3</v>
      </c>
      <c r="L11" s="92">
        <v>17.21</v>
      </c>
      <c r="M11" s="93">
        <f>IF(L11=0," ",_xlfn.RANK.AVG(L11,L$5:L$24,1)-COUNTIF(L$5:L$24,0))</f>
        <v>8</v>
      </c>
      <c r="N11" s="93" t="str">
        <f>IF(L11=0," ",IF((RANK(L11,L$5:L$24,1)-COUNTIF(L$5:L$24,0)&gt;6)," ",RANK(L11,L$5:L$24,1)-COUNTIF(L$5:L$24,0)))</f>
        <v xml:space="preserve"> </v>
      </c>
      <c r="O11" s="94" t="str">
        <f>IF(Table62202732333435[[#This Row],[Non-Member]]="X"," ",IF(N11=" "," ",IFERROR(VLOOKUP(M11,Points!$A$2:$B$14,2,FALSE)," ")))</f>
        <v xml:space="preserve"> </v>
      </c>
      <c r="P11" s="92">
        <v>16.34</v>
      </c>
      <c r="Q11" s="93">
        <f>IF(P11=0," ",_xlfn.RANK.AVG(P11,P$5:P$24,1)-COUNTIF(P$5:P$24,0))</f>
        <v>5</v>
      </c>
      <c r="R11" s="93">
        <f>IF(P11=0," ",IF((RANK(P11,P$5:P$24,1)-COUNTIF(P$5:P$24,0)&gt;6)," ",RANK(P11,P$5:P$24,1)-COUNTIF(P$5:P$24,0)))</f>
        <v>5</v>
      </c>
      <c r="S11" s="94">
        <f>IF(Table62202732333435[[#This Row],[Non-Member]]="X"," ",IF(R11=" "," ",IFERROR(VLOOKUP(Q11,Points!$A$2:$B$14,2,FALSE)," ")))</f>
        <v>6</v>
      </c>
      <c r="T11" s="135"/>
      <c r="U11" s="93" t="str">
        <f>IF(T11=0," ",_xlfn.RANK.AVG(T11,T$5:T$24,1)-COUNTIF(T$5:T$24,0))</f>
        <v xml:space="preserve"> </v>
      </c>
      <c r="V11" s="93" t="str">
        <f>IF(T11=0," ",IF((RANK(T11,T$5:T$24,1)-COUNTIF(T$5:T$24,0)&gt;6)," ",RANK(T11,T$5:T$24,1)-COUNTIF(T$5:T$24,0)))</f>
        <v xml:space="preserve"> </v>
      </c>
      <c r="W11" s="94" t="str">
        <f>IF(Table62202732333435[[#This Row],[Non-Member]]="X"," ",IF(V11=" "," ",IFERROR(VLOOKUP(U11,Points!$A$2:$B$14,2,FALSE)," ")))</f>
        <v xml:space="preserve"> </v>
      </c>
      <c r="X11" s="92"/>
      <c r="Y11" s="93" t="str">
        <f>IF(X11=0," ",_xlfn.RANK.AVG(X11,X$5:X$24,1)-COUNTIF(X$5:X$24,0))</f>
        <v xml:space="preserve"> </v>
      </c>
      <c r="Z11" s="93" t="str">
        <f>IF(X11=0," ",IF((RANK(X11,X$5:X$24,1)-COUNTIF(X$5:X$24,0)&gt;6)," ",RANK(X11,X$5:X$24,1)-COUNTIF(X$5:X$24,0)))</f>
        <v xml:space="preserve"> </v>
      </c>
      <c r="AA11" s="94" t="str">
        <f>IF(Table62202732333435[[#This Row],[Non-Member]]="X"," ",IF(Z11=" "," ",IFERROR(VLOOKUP(Y11,Points!$A$2:$B$14,2,FALSE)," ")))</f>
        <v xml:space="preserve"> </v>
      </c>
      <c r="AB11" s="92"/>
      <c r="AC11" s="93" t="str">
        <f>IF(AB11=0," ",_xlfn.RANK.AVG(AB11,AB$5:AB$24,1)-COUNTIF(AB$5:AB$24,0))</f>
        <v xml:space="preserve"> </v>
      </c>
      <c r="AD11" s="93" t="str">
        <f>IF(AB11=0," ",IF((RANK(AB11,AB$5:AB$24,1)-COUNTIF(AB$5:AB$24,0)&gt;6)," ",RANK(AB11,AB$5:AB$24,1)-COUNTIF(AB$5:AB$24,0)))</f>
        <v xml:space="preserve"> </v>
      </c>
      <c r="AE11" s="94" t="str">
        <f>IF(Table62202732333435[[#This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>IF(OR(AF11=0,AF11=" ")," ",_xlfn.RANK.AVG(AF11,AF$5:AF$24,1)-COUNTIF(AF$5:AF$24,0))</f>
        <v xml:space="preserve"> </v>
      </c>
      <c r="AH11" s="93" t="str">
        <f>IF(OR(AF11=0,AF11=" ")," ",IF((RANK(AF11,AF$5:AF$24,1)-COUNTIF(AF$5:AF$24,0)&gt;6)," ",RANK(AF11,AF$5:AF$24,1)-COUNTIF(AF$5:AF$24,0)))</f>
        <v xml:space="preserve"> </v>
      </c>
      <c r="AI11" s="94" t="str">
        <f>IF(Table62202732333435[[#This Row],[Non-Member]]="X"," ",IF(AH11=" "," ",IFERROR(VLOOKUP(AG11,Points!$A$2:$B$14,2,FALSE)," ")))</f>
        <v xml:space="preserve"> </v>
      </c>
      <c r="AJ11" s="93">
        <f>IF(Table62202732333435[[#This Row],[Non-Member]]="X"," ",((IF(G11=" ",0,G11))+(IF(K11=" ",0,K11))+(IF(O11=" ",0,O11))+(IF(S11=" ",0,S11))+(IF(W11=" ",0,W11))+(IF(AA11=" ",0,AA11))+(IF(AE11=" ",0,AE11))+(IF(AI11=" ",0,AI11))))</f>
        <v>9</v>
      </c>
      <c r="AK11" s="95">
        <f>IF(AJ11=0," ",AJ11)</f>
        <v>9</v>
      </c>
      <c r="AL11" s="96">
        <f>IF(AK11=" "," ",RANK(AK11,$AK$5:$AK$24))</f>
        <v>6</v>
      </c>
    </row>
    <row r="12" spans="2:38" x14ac:dyDescent="0.3">
      <c r="B12" s="90" t="s">
        <v>320</v>
      </c>
      <c r="C12" s="91" t="s">
        <v>325</v>
      </c>
      <c r="D12" s="92"/>
      <c r="E12" s="97" t="str">
        <f>IF(D12=0," ",_xlfn.RANK.AVG(D12,D$5:D$24,1)-COUNTIF(D$5:D$24,0))</f>
        <v xml:space="preserve"> </v>
      </c>
      <c r="F12" s="97" t="str">
        <f>IF(D12=0," ",IF((RANK(D12,D$5:D$24,1)-COUNTIF(D$5:D$24,0)&gt;6)," ",RANK(D12,D$5:D$24,1)-COUNTIF(D$5:D$24,0)))</f>
        <v xml:space="preserve"> </v>
      </c>
      <c r="G12" s="94" t="str">
        <f>IF(Table62202732333435[[#This Row],[Non-Member]]="X"," ",IF(F12=" "," ",IFERROR(VLOOKUP(E12,Points!$A$2:$B$14,2,FALSE)," ")))</f>
        <v xml:space="preserve"> </v>
      </c>
      <c r="H12" s="92"/>
      <c r="I12" s="97" t="str">
        <f>IF(H12=0," ",_xlfn.RANK.AVG(H12,H$5:H$24,1)-COUNTIF(H$5:H$24,0))</f>
        <v xml:space="preserve"> </v>
      </c>
      <c r="J12" s="97" t="str">
        <f>IF(H12=0," ",IF((RANK(H12,H$5:H$24,1)-COUNTIF(H$5:H$24,0)&gt;6)," ",RANK(H12,H$5:H$24,1)-COUNTIF(H$5:H$24,0)))</f>
        <v xml:space="preserve"> </v>
      </c>
      <c r="K12" s="94" t="str">
        <f>IF(Table62202732333435[[#This Row],[Non-Member]]="X"," ",IF(J12=" "," ",IFERROR(VLOOKUP(I12,Points!$A$2:$B$14,2,FALSE)," ")))</f>
        <v xml:space="preserve"> </v>
      </c>
      <c r="L12" s="92">
        <v>0</v>
      </c>
      <c r="M12" s="97" t="str">
        <f>IF(L12=0," ",_xlfn.RANK.AVG(L12,L$5:L$24,1)-COUNTIF(L$5:L$24,0))</f>
        <v xml:space="preserve"> </v>
      </c>
      <c r="N12" s="97" t="str">
        <f>IF(L12=0," ",IF((RANK(L12,L$5:L$24,1)-COUNTIF(L$5:L$24,0)&gt;6)," ",RANK(L12,L$5:L$24,1)-COUNTIF(L$5:L$24,0)))</f>
        <v xml:space="preserve"> </v>
      </c>
      <c r="O12" s="94" t="str">
        <f>IF(Table62202732333435[[#This Row],[Non-Member]]="X"," ",IF(N12=" "," ",IFERROR(VLOOKUP(M12,Points!$A$2:$B$14,2,FALSE)," ")))</f>
        <v xml:space="preserve"> </v>
      </c>
      <c r="P12" s="92">
        <v>0</v>
      </c>
      <c r="Q12" s="97" t="str">
        <f>IF(P12=0," ",_xlfn.RANK.AVG(P12,P$5:P$24,1)-COUNTIF(P$5:P$24,0))</f>
        <v xml:space="preserve"> </v>
      </c>
      <c r="R12" s="97" t="str">
        <f>IF(P12=0," ",IF((RANK(P12,P$5:P$24,1)-COUNTIF(P$5:P$24,0)&gt;6)," ",RANK(P12,P$5:P$24,1)-COUNTIF(P$5:P$24,0)))</f>
        <v xml:space="preserve"> </v>
      </c>
      <c r="S12" s="94" t="str">
        <f>IF(Table62202732333435[[#This Row],[Non-Member]]="X"," ",IF(R12=" "," ",IFERROR(VLOOKUP(Q12,Points!$A$2:$B$14,2,FALSE)," ")))</f>
        <v xml:space="preserve"> </v>
      </c>
      <c r="T12" s="92"/>
      <c r="U12" s="97" t="str">
        <f>IF(T12=0," ",_xlfn.RANK.AVG(T12,T$5:T$24,1)-COUNTIF(T$5:T$24,0))</f>
        <v xml:space="preserve"> </v>
      </c>
      <c r="V12" s="97" t="str">
        <f>IF(T12=0," ",IF((RANK(T12,T$5:T$24,1)-COUNTIF(T$5:T$24,0)&gt;6)," ",RANK(T12,T$5:T$24,1)-COUNTIF(T$5:T$24,0)))</f>
        <v xml:space="preserve"> </v>
      </c>
      <c r="W12" s="94" t="str">
        <f>IF(Table62202732333435[[#This Row],[Non-Member]]="X"," ",IF(V12=" "," ",IFERROR(VLOOKUP(U12,Points!$A$2:$B$14,2,FALSE)," ")))</f>
        <v xml:space="preserve"> </v>
      </c>
      <c r="X12" s="92"/>
      <c r="Y12" s="97" t="str">
        <f>IF(X12=0," ",_xlfn.RANK.AVG(X12,X$5:X$24,1)-COUNTIF(X$5:X$24,0))</f>
        <v xml:space="preserve"> </v>
      </c>
      <c r="Z12" s="97" t="str">
        <f>IF(X12=0," ",IF((RANK(X12,X$5:X$24,1)-COUNTIF(X$5:X$24,0)&gt;6)," ",RANK(X12,X$5:X$24,1)-COUNTIF(X$5:X$24,0)))</f>
        <v xml:space="preserve"> </v>
      </c>
      <c r="AA12" s="94" t="str">
        <f>IF(Table62202732333435[[#This Row],[Non-Member]]="X"," ",IF(Z12=" "," ",IFERROR(VLOOKUP(Y12,Points!$A$2:$B$14,2,FALSE)," ")))</f>
        <v xml:space="preserve"> </v>
      </c>
      <c r="AB12" s="92"/>
      <c r="AC12" s="97" t="str">
        <f>IF(AB12=0," ",_xlfn.RANK.AVG(AB12,AB$5:AB$24,1)-COUNTIF(AB$5:AB$24,0))</f>
        <v xml:space="preserve"> </v>
      </c>
      <c r="AD12" s="97" t="str">
        <f>IF(AB12=0," ",IF((RANK(AB12,AB$5:AB$24,1)-COUNTIF(AB$5:AB$24,0)&gt;6)," ",RANK(AB12,AB$5:AB$24,1)-COUNTIF(AB$5:AB$24,0)))</f>
        <v xml:space="preserve"> </v>
      </c>
      <c r="AE12" s="94" t="str">
        <f>IF(Table62202732333435[[#This Row],[Non-Member]]="X"," ",IF(AD12=" "," ",IFERROR(VLOOKUP(AC12,Points!$A$2:$B$14,2,FALSE)," ")))</f>
        <v xml:space="preserve"> </v>
      </c>
      <c r="AF12" s="92" t="str">
        <f>IF(OR(X12=0,AB12=0)," ",X12+AB12)</f>
        <v xml:space="preserve"> </v>
      </c>
      <c r="AG12" s="97" t="str">
        <f>IF(OR(AF12=0,AF12=" ")," ",_xlfn.RANK.AVG(AF12,AF$5:AF$24,1)-COUNTIF(AF$5:AF$24,0))</f>
        <v xml:space="preserve"> </v>
      </c>
      <c r="AH12" s="97" t="str">
        <f>IF(OR(AF12=0,AF12=" ")," ",IF((RANK(AF12,AF$5:AF$24,1)-COUNTIF(AF$5:AF$24,0)&gt;6)," ",RANK(AF12,AF$5:AF$24,1)-COUNTIF(AF$5:AF$24,0)))</f>
        <v xml:space="preserve"> </v>
      </c>
      <c r="AI12" s="94" t="str">
        <f>IF(Table62202732333435[[#This Row],[Non-Member]]="X"," ",IF(AH12=" "," ",IFERROR(VLOOKUP(AG12,Points!$A$2:$B$14,2,FALSE)," ")))</f>
        <v xml:space="preserve"> </v>
      </c>
      <c r="AJ12" s="97" t="str">
        <f>IF(Table62202732333435[[#This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>IF(AJ12=0," ",AJ12)</f>
        <v xml:space="preserve"> </v>
      </c>
      <c r="AL12" s="98" t="str">
        <f>IF(AK12=" "," ",RANK(AK12,$AK$5:$AK$24))</f>
        <v xml:space="preserve"> </v>
      </c>
    </row>
    <row r="13" spans="2:38" x14ac:dyDescent="0.3">
      <c r="B13" s="90" t="s">
        <v>74</v>
      </c>
      <c r="C13" s="91"/>
      <c r="D13" s="92"/>
      <c r="E13" s="93" t="str">
        <f>IF(D13=0," ",_xlfn.RANK.AVG(D13,D$5:D$24,1)-COUNTIF(D$5:D$24,0))</f>
        <v xml:space="preserve"> </v>
      </c>
      <c r="F13" s="93" t="str">
        <f>IF(D13=0," ",IF((RANK(D13,D$5:D$24,1)-COUNTIF(D$5:D$24,0)&gt;6)," ",RANK(D13,D$5:D$24,1)-COUNTIF(D$5:D$24,0)))</f>
        <v xml:space="preserve"> </v>
      </c>
      <c r="G13" s="94" t="str">
        <f>IF(Table62202732333435[[#This Row],[Non-Member]]="X"," ",IF(F13=" "," ",IFERROR(VLOOKUP(E13,Points!$A$2:$B$14,2,FALSE)," ")))</f>
        <v xml:space="preserve"> </v>
      </c>
      <c r="H13" s="92">
        <v>18.994</v>
      </c>
      <c r="I13" s="93">
        <f>IF(H13=0," ",_xlfn.RANK.AVG(H13,H$5:H$24,1)-COUNTIF(H$5:H$24,0))</f>
        <v>8</v>
      </c>
      <c r="J13" s="93" t="str">
        <f>IF(H13=0," ",IF((RANK(H13,H$5:H$24,1)-COUNTIF(H$5:H$24,0)&gt;6)," ",RANK(H13,H$5:H$24,1)-COUNTIF(H$5:H$24,0)))</f>
        <v xml:space="preserve"> </v>
      </c>
      <c r="K13" s="94" t="str">
        <f>IF(Table62202732333435[[#This Row],[Non-Member]]="X"," ",IF(J13=" "," ",IFERROR(VLOOKUP(I13,Points!$A$2:$B$14,2,FALSE)," ")))</f>
        <v xml:space="preserve"> </v>
      </c>
      <c r="L13" s="92">
        <v>17.64</v>
      </c>
      <c r="M13" s="93">
        <f>IF(L13=0," ",_xlfn.RANK.AVG(L13,L$5:L$24,1)-COUNTIF(L$5:L$24,0))</f>
        <v>9</v>
      </c>
      <c r="N13" s="93" t="str">
        <f>IF(L13=0," ",IF((RANK(L13,L$5:L$24,1)-COUNTIF(L$5:L$24,0)&gt;6)," ",RANK(L13,L$5:L$24,1)-COUNTIF(L$5:L$24,0)))</f>
        <v xml:space="preserve"> </v>
      </c>
      <c r="O13" s="94" t="str">
        <f>IF(Table62202732333435[[#This Row],[Non-Member]]="X"," ",IF(N13=" "," ",IFERROR(VLOOKUP(M13,Points!$A$2:$B$14,2,FALSE)," ")))</f>
        <v xml:space="preserve"> </v>
      </c>
      <c r="P13" s="92">
        <v>18.75</v>
      </c>
      <c r="Q13" s="93">
        <f>IF(P13=0," ",_xlfn.RANK.AVG(P13,P$5:P$24,1)-COUNTIF(P$5:P$24,0))</f>
        <v>11</v>
      </c>
      <c r="R13" s="93" t="str">
        <f>IF(P13=0," ",IF((RANK(P13,P$5:P$24,1)-COUNTIF(P$5:P$24,0)&gt;6)," ",RANK(P13,P$5:P$24,1)-COUNTIF(P$5:P$24,0)))</f>
        <v xml:space="preserve"> </v>
      </c>
      <c r="S13" s="94" t="str">
        <f>IF(Table62202732333435[[#This Row],[Non-Member]]="X"," ",IF(R13=" "," ",IFERROR(VLOOKUP(Q13,Points!$A$2:$B$14,2,FALSE)," ")))</f>
        <v xml:space="preserve"> </v>
      </c>
      <c r="T13" s="135"/>
      <c r="U13" s="93" t="str">
        <f>IF(T13=0," ",_xlfn.RANK.AVG(T13,T$5:T$24,1)-COUNTIF(T$5:T$24,0))</f>
        <v xml:space="preserve"> </v>
      </c>
      <c r="V13" s="93" t="str">
        <f>IF(T13=0," ",IF((RANK(T13,T$5:T$24,1)-COUNTIF(T$5:T$24,0)&gt;6)," ",RANK(T13,T$5:T$24,1)-COUNTIF(T$5:T$24,0)))</f>
        <v xml:space="preserve"> </v>
      </c>
      <c r="W13" s="94" t="str">
        <f>IF(Table62202732333435[[#This Row],[Non-Member]]="X"," ",IF(V13=" "," ",IFERROR(VLOOKUP(U13,Points!$A$2:$B$14,2,FALSE)," ")))</f>
        <v xml:space="preserve"> </v>
      </c>
      <c r="X13" s="92"/>
      <c r="Y13" s="93" t="str">
        <f>IF(X13=0," ",_xlfn.RANK.AVG(X13,X$5:X$24,1)-COUNTIF(X$5:X$24,0))</f>
        <v xml:space="preserve"> </v>
      </c>
      <c r="Z13" s="93" t="str">
        <f>IF(X13=0," ",IF((RANK(X13,X$5:X$24,1)-COUNTIF(X$5:X$24,0)&gt;6)," ",RANK(X13,X$5:X$24,1)-COUNTIF(X$5:X$24,0)))</f>
        <v xml:space="preserve"> </v>
      </c>
      <c r="AA13" s="94" t="str">
        <f>IF(Table62202732333435[[#This Row],[Non-Member]]="X"," ",IF(Z13=" "," ",IFERROR(VLOOKUP(Y13,Points!$A$2:$B$14,2,FALSE)," ")))</f>
        <v xml:space="preserve"> </v>
      </c>
      <c r="AB13" s="92"/>
      <c r="AC13" s="93" t="str">
        <f>IF(AB13=0," ",_xlfn.RANK.AVG(AB13,AB$5:AB$24,1)-COUNTIF(AB$5:AB$24,0))</f>
        <v xml:space="preserve"> </v>
      </c>
      <c r="AD13" s="93" t="str">
        <f>IF(AB13=0," ",IF((RANK(AB13,AB$5:AB$24,1)-COUNTIF(AB$5:AB$24,0)&gt;6)," ",RANK(AB13,AB$5:AB$24,1)-COUNTIF(AB$5:AB$24,0)))</f>
        <v xml:space="preserve"> </v>
      </c>
      <c r="AE13" s="94" t="str">
        <f>IF(Table62202732333435[[#This Row],[Non-Member]]="X"," ",IF(AD13=" "," ",IFERROR(VLOOKUP(AC13,Points!$A$2:$B$14,2,FALSE)," ")))</f>
        <v xml:space="preserve"> </v>
      </c>
      <c r="AF13" s="92" t="str">
        <f>IF(OR(X13=0,AB13=0)," ",X13+AB13)</f>
        <v xml:space="preserve"> </v>
      </c>
      <c r="AG13" s="93" t="str">
        <f>IF(OR(AF13=0,AF13=" ")," ",_xlfn.RANK.AVG(AF13,AF$5:AF$24,1)-COUNTIF(AF$5:AF$24,0))</f>
        <v xml:space="preserve"> </v>
      </c>
      <c r="AH13" s="93" t="str">
        <f>IF(OR(AF13=0,AF13=" ")," ",IF((RANK(AF13,AF$5:AF$24,1)-COUNTIF(AF$5:AF$24,0)&gt;6)," ",RANK(AF13,AF$5:AF$24,1)-COUNTIF(AF$5:AF$24,0)))</f>
        <v xml:space="preserve"> </v>
      </c>
      <c r="AI13" s="94" t="str">
        <f>IF(Table62202732333435[[#This Row],[Non-Member]]="X"," ",IF(AH13=" "," ",IFERROR(VLOOKUP(AG13,Points!$A$2:$B$14,2,FALSE)," ")))</f>
        <v xml:space="preserve"> </v>
      </c>
      <c r="AJ13" s="93">
        <f>IF(Table62202732333435[[#This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>IF(AJ13=0," ",AJ13)</f>
        <v xml:space="preserve"> </v>
      </c>
      <c r="AL13" s="96" t="str">
        <f>IF(AK13=" "," ",RANK(AK13,$AK$5:$AK$24))</f>
        <v xml:space="preserve"> </v>
      </c>
    </row>
    <row r="14" spans="2:38" x14ac:dyDescent="0.3">
      <c r="B14" s="90" t="s">
        <v>323</v>
      </c>
      <c r="C14" s="91"/>
      <c r="D14" s="92"/>
      <c r="E14" s="93" t="str">
        <f>IF(D14=0," ",_xlfn.RANK.AVG(D14,D$5:D$24,1)-COUNTIF(D$5:D$24,0))</f>
        <v xml:space="preserve"> </v>
      </c>
      <c r="F14" s="93" t="str">
        <f>IF(D14=0," ",IF((RANK(D14,D$5:D$24,1)-COUNTIF(D$5:D$24,0)&gt;6)," ",RANK(D14,D$5:D$24,1)-COUNTIF(D$5:D$24,0)))</f>
        <v xml:space="preserve"> </v>
      </c>
      <c r="G14" s="94" t="str">
        <f>IF(Table62202732333435[[#This Row],[Non-Member]]="X"," ",IF(F14=" "," ",IFERROR(VLOOKUP(E14,Points!$A$2:$B$14,2,FALSE)," ")))</f>
        <v xml:space="preserve"> </v>
      </c>
      <c r="H14" s="92"/>
      <c r="I14" s="93" t="str">
        <f>IF(H14=0," ",_xlfn.RANK.AVG(H14,H$5:H$24,1)-COUNTIF(H$5:H$24,0))</f>
        <v xml:space="preserve"> </v>
      </c>
      <c r="J14" s="93" t="str">
        <f>IF(H14=0," ",IF((RANK(H14,H$5:H$24,1)-COUNTIF(H$5:H$24,0)&gt;6)," ",RANK(H14,H$5:H$24,1)-COUNTIF(H$5:H$24,0)))</f>
        <v xml:space="preserve"> </v>
      </c>
      <c r="K14" s="94" t="str">
        <f>IF(Table62202732333435[[#This Row],[Non-Member]]="X"," ",IF(J14=" "," ",IFERROR(VLOOKUP(I14,Points!$A$2:$B$14,2,FALSE)," ")))</f>
        <v xml:space="preserve"> </v>
      </c>
      <c r="L14" s="92">
        <v>17.13</v>
      </c>
      <c r="M14" s="93">
        <f>IF(L14=0," ",_xlfn.RANK.AVG(L14,L$5:L$24,1)-COUNTIF(L$5:L$24,0))</f>
        <v>7</v>
      </c>
      <c r="N14" s="93" t="str">
        <f>IF(L14=0," ",IF((RANK(L14,L$5:L$24,1)-COUNTIF(L$5:L$24,0)&gt;6)," ",RANK(L14,L$5:L$24,1)-COUNTIF(L$5:L$24,0)))</f>
        <v xml:space="preserve"> </v>
      </c>
      <c r="O14" s="94" t="str">
        <f>IF(Table62202732333435[[#This Row],[Non-Member]]="X"," ",IF(N14=" "," ",IFERROR(VLOOKUP(M14,Points!$A$2:$B$14,2,FALSE)," ")))</f>
        <v xml:space="preserve"> </v>
      </c>
      <c r="P14" s="92">
        <v>21.19</v>
      </c>
      <c r="Q14" s="93">
        <f>IF(P14=0," ",_xlfn.RANK.AVG(P14,P$5:P$24,1)-COUNTIF(P$5:P$24,0))</f>
        <v>14</v>
      </c>
      <c r="R14" s="93" t="str">
        <f>IF(P14=0," ",IF((RANK(P14,P$5:P$24,1)-COUNTIF(P$5:P$24,0)&gt;6)," ",RANK(P14,P$5:P$24,1)-COUNTIF(P$5:P$24,0)))</f>
        <v xml:space="preserve"> </v>
      </c>
      <c r="S14" s="94" t="str">
        <f>IF(Table62202732333435[[#This Row],[Non-Member]]="X"," ",IF(R14=" "," ",IFERROR(VLOOKUP(Q14,Points!$A$2:$B$14,2,FALSE)," ")))</f>
        <v xml:space="preserve"> </v>
      </c>
      <c r="T14" s="92"/>
      <c r="U14" s="93" t="str">
        <f>IF(T14=0," ",_xlfn.RANK.AVG(T14,T$5:T$24,1)-COUNTIF(T$5:T$24,0))</f>
        <v xml:space="preserve"> </v>
      </c>
      <c r="V14" s="93" t="str">
        <f>IF(T14=0," ",IF((RANK(T14,T$5:T$24,1)-COUNTIF(T$5:T$24,0)&gt;6)," ",RANK(T14,T$5:T$24,1)-COUNTIF(T$5:T$24,0)))</f>
        <v xml:space="preserve"> </v>
      </c>
      <c r="W14" s="94" t="str">
        <f>IF(Table62202732333435[[#This Row],[Non-Member]]="X"," ",IF(V14=" "," ",IFERROR(VLOOKUP(U14,Points!$A$2:$B$14,2,FALSE)," ")))</f>
        <v xml:space="preserve"> </v>
      </c>
      <c r="X14" s="92"/>
      <c r="Y14" s="93" t="str">
        <f>IF(X14=0," ",_xlfn.RANK.AVG(X14,X$5:X$24,1)-COUNTIF(X$5:X$24,0))</f>
        <v xml:space="preserve"> </v>
      </c>
      <c r="Z14" s="93" t="str">
        <f>IF(X14=0," ",IF((RANK(X14,X$5:X$24,1)-COUNTIF(X$5:X$24,0)&gt;6)," ",RANK(X14,X$5:X$24,1)-COUNTIF(X$5:X$24,0)))</f>
        <v xml:space="preserve"> </v>
      </c>
      <c r="AA14" s="94" t="str">
        <f>IF(Table62202732333435[[#This Row],[Non-Member]]="X"," ",IF(Z14=" "," ",IFERROR(VLOOKUP(Y14,Points!$A$2:$B$14,2,FALSE)," ")))</f>
        <v xml:space="preserve"> </v>
      </c>
      <c r="AB14" s="92"/>
      <c r="AC14" s="93" t="str">
        <f>IF(AB14=0," ",_xlfn.RANK.AVG(AB14,AB$5:AB$24,1)-COUNTIF(AB$5:AB$24,0))</f>
        <v xml:space="preserve"> </v>
      </c>
      <c r="AD14" s="93" t="str">
        <f>IF(AB14=0," ",IF((RANK(AB14,AB$5:AB$24,1)-COUNTIF(AB$5:AB$24,0)&gt;6)," ",RANK(AB14,AB$5:AB$24,1)-COUNTIF(AB$5:AB$24,0)))</f>
        <v xml:space="preserve"> </v>
      </c>
      <c r="AE14" s="94" t="str">
        <f>IF(Table62202732333435[[#This Row],[Non-Member]]="X"," ",IF(AD14=" "," ",IFERROR(VLOOKUP(AC14,Points!$A$2:$B$14,2,FALSE)," ")))</f>
        <v xml:space="preserve"> </v>
      </c>
      <c r="AF14" s="92" t="str">
        <f>IF(OR(X14=0,AB14=0)," ",X14+AB14)</f>
        <v xml:space="preserve"> </v>
      </c>
      <c r="AG14" s="93" t="str">
        <f>IF(OR(AF14=0,AF14=" ")," ",_xlfn.RANK.AVG(AF14,AF$5:AF$24,1)-COUNTIF(AF$5:AF$24,0))</f>
        <v xml:space="preserve"> </v>
      </c>
      <c r="AH14" s="93" t="str">
        <f>IF(OR(AF14=0,AF14=" ")," ",IF((RANK(AF14,AF$5:AF$24,1)-COUNTIF(AF$5:AF$24,0)&gt;6)," ",RANK(AF14,AF$5:AF$24,1)-COUNTIF(AF$5:AF$24,0)))</f>
        <v xml:space="preserve"> </v>
      </c>
      <c r="AI14" s="94" t="str">
        <f>IF(Table62202732333435[[#This Row],[Non-Member]]="X"," ",IF(AH14=" "," ",IFERROR(VLOOKUP(AG14,Points!$A$2:$B$14,2,FALSE)," ")))</f>
        <v xml:space="preserve"> </v>
      </c>
      <c r="AJ14" s="93">
        <f>IF(Table62202732333435[[#This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>IF(AJ14=0," ",AJ14)</f>
        <v xml:space="preserve"> </v>
      </c>
      <c r="AL14" s="96" t="str">
        <f>IF(AK14=" "," ",RANK(AK14,$AK$5:$AK$24))</f>
        <v xml:space="preserve"> </v>
      </c>
    </row>
    <row r="15" spans="2:38" x14ac:dyDescent="0.3">
      <c r="B15" s="90" t="s">
        <v>273</v>
      </c>
      <c r="C15" s="91"/>
      <c r="D15" s="92"/>
      <c r="E15" s="93" t="str">
        <f>IF(D15=0," ",_xlfn.RANK.AVG(D15,D$5:D$24,1)-COUNTIF(D$5:D$24,0))</f>
        <v xml:space="preserve"> </v>
      </c>
      <c r="F15" s="93" t="str">
        <f>IF(D15=0," ",IF((RANK(D15,D$5:D$24,1)-COUNTIF(D$5:D$24,0)&gt;6)," ",RANK(D15,D$5:D$24,1)-COUNTIF(D$5:D$24,0)))</f>
        <v xml:space="preserve"> </v>
      </c>
      <c r="G15" s="94" t="str">
        <f>IF(Table62202732333435[[#This Row],[Non-Member]]="X"," ",IF(F15=" "," ",IFERROR(VLOOKUP(E15,Points!$A$2:$B$14,2,FALSE)," ")))</f>
        <v xml:space="preserve"> </v>
      </c>
      <c r="H15" s="92">
        <v>0</v>
      </c>
      <c r="I15" s="93" t="str">
        <f>IF(H15=0," ",_xlfn.RANK.AVG(H15,H$5:H$24,1)-COUNTIF(H$5:H$24,0))</f>
        <v xml:space="preserve"> </v>
      </c>
      <c r="J15" s="93" t="str">
        <f>IF(H15=0," ",IF((RANK(H15,H$5:H$24,1)-COUNTIF(H$5:H$24,0)&gt;6)," ",RANK(H15,H$5:H$24,1)-COUNTIF(H$5:H$24,0)))</f>
        <v xml:space="preserve"> </v>
      </c>
      <c r="K15" s="94" t="str">
        <f>IF(Table62202732333435[[#This Row],[Non-Member]]="X"," ",IF(J15=" "," ",IFERROR(VLOOKUP(I15,Points!$A$2:$B$14,2,FALSE)," ")))</f>
        <v xml:space="preserve"> </v>
      </c>
      <c r="L15" s="92">
        <v>18.309999999999999</v>
      </c>
      <c r="M15" s="93">
        <f>IF(L15=0," ",_xlfn.RANK.AVG(L15,L$5:L$24,1)-COUNTIF(L$5:L$24,0))</f>
        <v>10</v>
      </c>
      <c r="N15" s="93" t="str">
        <f>IF(L15=0," ",IF((RANK(L15,L$5:L$24,1)-COUNTIF(L$5:L$24,0)&gt;6)," ",RANK(L15,L$5:L$24,1)-COUNTIF(L$5:L$24,0)))</f>
        <v xml:space="preserve"> </v>
      </c>
      <c r="O15" s="94" t="str">
        <f>IF(Table62202732333435[[#This Row],[Non-Member]]="X"," ",IF(N15=" "," ",IFERROR(VLOOKUP(M15,Points!$A$2:$B$14,2,FALSE)," ")))</f>
        <v xml:space="preserve"> </v>
      </c>
      <c r="P15" s="92">
        <v>18.16</v>
      </c>
      <c r="Q15" s="93">
        <f>IF(P15=0," ",_xlfn.RANK.AVG(P15,P$5:P$24,1)-COUNTIF(P$5:P$24,0))</f>
        <v>9</v>
      </c>
      <c r="R15" s="93" t="str">
        <f>IF(P15=0," ",IF((RANK(P15,P$5:P$24,1)-COUNTIF(P$5:P$24,0)&gt;6)," ",RANK(P15,P$5:P$24,1)-COUNTIF(P$5:P$24,0)))</f>
        <v xml:space="preserve"> </v>
      </c>
      <c r="S15" s="94" t="str">
        <f>IF(Table62202732333435[[#This Row],[Non-Member]]="X"," ",IF(R15=" "," ",IFERROR(VLOOKUP(Q15,Points!$A$2:$B$14,2,FALSE)," ")))</f>
        <v xml:space="preserve"> </v>
      </c>
      <c r="T15" s="135"/>
      <c r="U15" s="93" t="str">
        <f>IF(T15=0," ",_xlfn.RANK.AVG(T15,T$5:T$24,1)-COUNTIF(T$5:T$24,0))</f>
        <v xml:space="preserve"> </v>
      </c>
      <c r="V15" s="93" t="str">
        <f>IF(T15=0," ",IF((RANK(T15,T$5:T$24,1)-COUNTIF(T$5:T$24,0)&gt;6)," ",RANK(T15,T$5:T$24,1)-COUNTIF(T$5:T$24,0)))</f>
        <v xml:space="preserve"> </v>
      </c>
      <c r="W15" s="94" t="str">
        <f>IF(Table62202732333435[[#This Row],[Non-Member]]="X"," ",IF(V15=" "," ",IFERROR(VLOOKUP(U15,Points!$A$2:$B$14,2,FALSE)," ")))</f>
        <v xml:space="preserve"> </v>
      </c>
      <c r="X15" s="92"/>
      <c r="Y15" s="93" t="str">
        <f>IF(X15=0," ",_xlfn.RANK.AVG(X15,X$5:X$24,1)-COUNTIF(X$5:X$24,0))</f>
        <v xml:space="preserve"> </v>
      </c>
      <c r="Z15" s="93" t="str">
        <f>IF(X15=0," ",IF((RANK(X15,X$5:X$24,1)-COUNTIF(X$5:X$24,0)&gt;6)," ",RANK(X15,X$5:X$24,1)-COUNTIF(X$5:X$24,0)))</f>
        <v xml:space="preserve"> </v>
      </c>
      <c r="AA15" s="94" t="str">
        <f>IF(Table62202732333435[[#This Row],[Non-Member]]="X"," ",IF(Z15=" "," ",IFERROR(VLOOKUP(Y15,Points!$A$2:$B$14,2,FALSE)," ")))</f>
        <v xml:space="preserve"> </v>
      </c>
      <c r="AB15" s="92"/>
      <c r="AC15" s="93" t="str">
        <f>IF(AB15=0," ",_xlfn.RANK.AVG(AB15,AB$5:AB$24,1)-COUNTIF(AB$5:AB$24,0))</f>
        <v xml:space="preserve"> </v>
      </c>
      <c r="AD15" s="93" t="str">
        <f>IF(AB15=0," ",IF((RANK(AB15,AB$5:AB$24,1)-COUNTIF(AB$5:AB$24,0)&gt;6)," ",RANK(AB15,AB$5:AB$24,1)-COUNTIF(AB$5:AB$24,0)))</f>
        <v xml:space="preserve"> </v>
      </c>
      <c r="AE15" s="94" t="str">
        <f>IF(Table62202732333435[[#This Row],[Non-Member]]="X"," ",IF(AD15=" "," ",IFERROR(VLOOKUP(AC15,Points!$A$2:$B$14,2,FALSE)," ")))</f>
        <v xml:space="preserve"> </v>
      </c>
      <c r="AF15" s="92" t="str">
        <f>IF(OR(X15=0,AB15=0)," ",X15+AB15)</f>
        <v xml:space="preserve"> </v>
      </c>
      <c r="AG15" s="93" t="str">
        <f>IF(OR(AF15=0,AF15=" ")," ",_xlfn.RANK.AVG(AF15,AF$5:AF$24,1)-COUNTIF(AF$5:AF$24,0))</f>
        <v xml:space="preserve"> </v>
      </c>
      <c r="AH15" s="93" t="str">
        <f>IF(OR(AF15=0,AF15=" ")," ",IF((RANK(AF15,AF$5:AF$24,1)-COUNTIF(AF$5:AF$24,0)&gt;6)," ",RANK(AF15,AF$5:AF$24,1)-COUNTIF(AF$5:AF$24,0)))</f>
        <v xml:space="preserve"> </v>
      </c>
      <c r="AI15" s="94" t="str">
        <f>IF(Table62202732333435[[#This Row],[Non-Member]]="X"," ",IF(AH15=" "," ",IFERROR(VLOOKUP(AG15,Points!$A$2:$B$14,2,FALSE)," ")))</f>
        <v xml:space="preserve"> </v>
      </c>
      <c r="AJ15" s="93">
        <f>IF(Table62202732333435[[#This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>IF(AJ15=0," ",AJ15)</f>
        <v xml:space="preserve"> </v>
      </c>
      <c r="AL15" s="96" t="str">
        <f>IF(AK15=" "," ",RANK(AK15,$AK$5:$AK$24))</f>
        <v xml:space="preserve"> </v>
      </c>
    </row>
    <row r="16" spans="2:38" x14ac:dyDescent="0.3">
      <c r="B16" s="90" t="s">
        <v>324</v>
      </c>
      <c r="C16" s="91" t="s">
        <v>325</v>
      </c>
      <c r="D16" s="92"/>
      <c r="E16" s="93" t="str">
        <f>IF(D16=0," ",_xlfn.RANK.AVG(D16,D$5:D$24,1)-COUNTIF(D$5:D$24,0))</f>
        <v xml:space="preserve"> </v>
      </c>
      <c r="F16" s="93" t="str">
        <f>IF(D16=0," ",IF((RANK(D16,D$5:D$24,1)-COUNTIF(D$5:D$24,0)&gt;6)," ",RANK(D16,D$5:D$24,1)-COUNTIF(D$5:D$24,0)))</f>
        <v xml:space="preserve"> </v>
      </c>
      <c r="G16" s="94" t="str">
        <f>IF(Table62202732333435[[#This Row],[Non-Member]]="X"," ",IF(F16=" "," ",IFERROR(VLOOKUP(E16,Points!$A$2:$B$14,2,FALSE)," ")))</f>
        <v xml:space="preserve"> </v>
      </c>
      <c r="H16" s="92"/>
      <c r="I16" s="93" t="str">
        <f>IF(H16=0," ",_xlfn.RANK.AVG(H16,H$5:H$24,1)-COUNTIF(H$5:H$24,0))</f>
        <v xml:space="preserve"> </v>
      </c>
      <c r="J16" s="93" t="str">
        <f>IF(H16=0," ",IF((RANK(H16,H$5:H$24,1)-COUNTIF(H$5:H$24,0)&gt;6)," ",RANK(H16,H$5:H$24,1)-COUNTIF(H$5:H$24,0)))</f>
        <v xml:space="preserve"> </v>
      </c>
      <c r="K16" s="94" t="str">
        <f>IF(Table62202732333435[[#This Row],[Non-Member]]="X"," ",IF(J16=" "," ",IFERROR(VLOOKUP(I16,Points!$A$2:$B$14,2,FALSE)," ")))</f>
        <v xml:space="preserve"> </v>
      </c>
      <c r="L16" s="92"/>
      <c r="M16" s="93" t="str">
        <f>IF(L16=0," ",_xlfn.RANK.AVG(L16,L$5:L$24,1)-COUNTIF(L$5:L$24,0))</f>
        <v xml:space="preserve"> </v>
      </c>
      <c r="N16" s="93" t="str">
        <f>IF(L16=0," ",IF((RANK(L16,L$5:L$24,1)-COUNTIF(L$5:L$24,0)&gt;6)," ",RANK(L16,L$5:L$24,1)-COUNTIF(L$5:L$24,0)))</f>
        <v xml:space="preserve"> </v>
      </c>
      <c r="O16" s="94" t="str">
        <f>IF(Table62202732333435[[#This Row],[Non-Member]]="X"," ",IF(N16=" "," ",IFERROR(VLOOKUP(M16,Points!$A$2:$B$14,2,FALSE)," ")))</f>
        <v xml:space="preserve"> </v>
      </c>
      <c r="P16" s="92">
        <v>17.27</v>
      </c>
      <c r="Q16" s="93">
        <f>IF(P16=0," ",_xlfn.RANK.AVG(P16,P$5:P$24,1)-COUNTIF(P$5:P$24,0))</f>
        <v>7</v>
      </c>
      <c r="R16" s="93" t="str">
        <f>IF(P16=0," ",IF((RANK(P16,P$5:P$24,1)-COUNTIF(P$5:P$24,0)&gt;6)," ",RANK(P16,P$5:P$24,1)-COUNTIF(P$5:P$24,0)))</f>
        <v xml:space="preserve"> </v>
      </c>
      <c r="S16" s="94" t="str">
        <f>IF(Table62202732333435[[#This Row],[Non-Member]]="X"," ",IF(R16=" "," ",IFERROR(VLOOKUP(Q16,Points!$A$2:$B$14,2,FALSE)," ")))</f>
        <v xml:space="preserve"> </v>
      </c>
      <c r="T16" s="92"/>
      <c r="U16" s="93" t="str">
        <f>IF(T16=0," ",_xlfn.RANK.AVG(T16,T$5:T$24,1)-COUNTIF(T$5:T$24,0))</f>
        <v xml:space="preserve"> </v>
      </c>
      <c r="V16" s="93" t="str">
        <f>IF(T16=0," ",IF((RANK(T16,T$5:T$24,1)-COUNTIF(T$5:T$24,0)&gt;6)," ",RANK(T16,T$5:T$24,1)-COUNTIF(T$5:T$24,0)))</f>
        <v xml:space="preserve"> </v>
      </c>
      <c r="W16" s="94" t="str">
        <f>IF(Table62202732333435[[#This Row],[Non-Member]]="X"," ",IF(V16=" "," ",IFERROR(VLOOKUP(U16,Points!$A$2:$B$14,2,FALSE)," ")))</f>
        <v xml:space="preserve"> </v>
      </c>
      <c r="X16" s="92"/>
      <c r="Y16" s="93" t="str">
        <f>IF(X16=0," ",_xlfn.RANK.AVG(X16,X$5:X$24,1)-COUNTIF(X$5:X$24,0))</f>
        <v xml:space="preserve"> </v>
      </c>
      <c r="Z16" s="93" t="str">
        <f>IF(X16=0," ",IF((RANK(X16,X$5:X$24,1)-COUNTIF(X$5:X$24,0)&gt;6)," ",RANK(X16,X$5:X$24,1)-COUNTIF(X$5:X$24,0)))</f>
        <v xml:space="preserve"> </v>
      </c>
      <c r="AA16" s="94" t="str">
        <f>IF(Table62202732333435[[#This Row],[Non-Member]]="X"," ",IF(Z16=" "," ",IFERROR(VLOOKUP(Y16,Points!$A$2:$B$14,2,FALSE)," ")))</f>
        <v xml:space="preserve"> </v>
      </c>
      <c r="AB16" s="92"/>
      <c r="AC16" s="93" t="str">
        <f>IF(AB16=0," ",_xlfn.RANK.AVG(AB16,AB$5:AB$24,1)-COUNTIF(AB$5:AB$24,0))</f>
        <v xml:space="preserve"> </v>
      </c>
      <c r="AD16" s="93" t="str">
        <f>IF(AB16=0," ",IF((RANK(AB16,AB$5:AB$24,1)-COUNTIF(AB$5:AB$24,0)&gt;6)," ",RANK(AB16,AB$5:AB$24,1)-COUNTIF(AB$5:AB$24,0)))</f>
        <v xml:space="preserve"> </v>
      </c>
      <c r="AE16" s="94" t="str">
        <f>IF(Table62202732333435[[#This Row],[Non-Member]]="X"," ",IF(AD16=" "," ",IFERROR(VLOOKUP(AC16,Points!$A$2:$B$14,2,FALSE)," ")))</f>
        <v xml:space="preserve"> </v>
      </c>
      <c r="AF16" s="92" t="str">
        <f>IF(OR(X16=0,AB16=0)," ",X16+AB16)</f>
        <v xml:space="preserve"> </v>
      </c>
      <c r="AG16" s="93" t="str">
        <f>IF(OR(AF16=0,AF16=" ")," ",_xlfn.RANK.AVG(AF16,AF$5:AF$24,1)-COUNTIF(AF$5:AF$24,0))</f>
        <v xml:space="preserve"> </v>
      </c>
      <c r="AH16" s="93" t="str">
        <f>IF(OR(AF16=0,AF16=" ")," ",IF((RANK(AF16,AF$5:AF$24,1)-COUNTIF(AF$5:AF$24,0)&gt;6)," ",RANK(AF16,AF$5:AF$24,1)-COUNTIF(AF$5:AF$24,0)))</f>
        <v xml:space="preserve"> </v>
      </c>
      <c r="AI16" s="94" t="str">
        <f>IF(Table62202732333435[[#This Row],[Non-Member]]="X"," ",IF(AH16=" "," ",IFERROR(VLOOKUP(AG16,Points!$A$2:$B$14,2,FALSE)," ")))</f>
        <v xml:space="preserve"> </v>
      </c>
      <c r="AJ16" s="93" t="str">
        <f>IF(Table62202732333435[[#This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>IF(AJ16=0," ",AJ16)</f>
        <v xml:space="preserve"> </v>
      </c>
      <c r="AL16" s="96" t="str">
        <f>IF(AK16=" "," ",RANK(AK16,$AK$5:$AK$24))</f>
        <v xml:space="preserve"> </v>
      </c>
    </row>
    <row r="17" spans="2:38" x14ac:dyDescent="0.3">
      <c r="B17" s="90" t="s">
        <v>278</v>
      </c>
      <c r="C17" s="91"/>
      <c r="D17" s="92"/>
      <c r="E17" s="93" t="str">
        <f>IF(D17=0," ",_xlfn.RANK.AVG(D17,D$5:D$24,1)-COUNTIF(D$5:D$24,0))</f>
        <v xml:space="preserve"> </v>
      </c>
      <c r="F17" s="93" t="str">
        <f>IF(D17=0," ",IF((RANK(D17,D$5:D$24,1)-COUNTIF(D$5:D$24,0)&gt;6)," ",RANK(D17,D$5:D$24,1)-COUNTIF(D$5:D$24,0)))</f>
        <v xml:space="preserve"> </v>
      </c>
      <c r="G17" s="94" t="str">
        <f>IF(Table62202732333435[[#This Row],[Non-Member]]="X"," ",IF(F17=" "," ",IFERROR(VLOOKUP(E17,Points!$A$2:$B$14,2,FALSE)," ")))</f>
        <v xml:space="preserve"> </v>
      </c>
      <c r="H17" s="92">
        <v>22.501999999999999</v>
      </c>
      <c r="I17" s="93">
        <f>IF(H17=0," ",_xlfn.RANK.AVG(H17,H$5:H$24,1)-COUNTIF(H$5:H$24,0))</f>
        <v>9</v>
      </c>
      <c r="J17" s="93" t="str">
        <f>IF(H17=0," ",IF((RANK(H17,H$5:H$24,1)-COUNTIF(H$5:H$24,0)&gt;6)," ",RANK(H17,H$5:H$24,1)-COUNTIF(H$5:H$24,0)))</f>
        <v xml:space="preserve"> </v>
      </c>
      <c r="K17" s="94" t="str">
        <f>IF(Table62202732333435[[#This Row],[Non-Member]]="X"," ",IF(J17=" "," ",IFERROR(VLOOKUP(I17,Points!$A$2:$B$14,2,FALSE)," ")))</f>
        <v xml:space="preserve"> </v>
      </c>
      <c r="L17" s="92">
        <v>0</v>
      </c>
      <c r="M17" s="93" t="str">
        <f>IF(L17=0," ",_xlfn.RANK.AVG(L17,L$5:L$24,1)-COUNTIF(L$5:L$24,0))</f>
        <v xml:space="preserve"> </v>
      </c>
      <c r="N17" s="93" t="str">
        <f>IF(L17=0," ",IF((RANK(L17,L$5:L$24,1)-COUNTIF(L$5:L$24,0)&gt;6)," ",RANK(L17,L$5:L$24,1)-COUNTIF(L$5:L$24,0)))</f>
        <v xml:space="preserve"> </v>
      </c>
      <c r="O17" s="94" t="str">
        <f>IF(Table62202732333435[[#This Row],[Non-Member]]="X"," ",IF(N17=" "," ",IFERROR(VLOOKUP(M17,Points!$A$2:$B$14,2,FALSE)," ")))</f>
        <v xml:space="preserve"> </v>
      </c>
      <c r="P17" s="92">
        <v>19.66</v>
      </c>
      <c r="Q17" s="93">
        <f>IF(P17=0," ",_xlfn.RANK.AVG(P17,P$5:P$24,1)-COUNTIF(P$5:P$24,0))</f>
        <v>12</v>
      </c>
      <c r="R17" s="93" t="str">
        <f>IF(P17=0," ",IF((RANK(P17,P$5:P$24,1)-COUNTIF(P$5:P$24,0)&gt;6)," ",RANK(P17,P$5:P$24,1)-COUNTIF(P$5:P$24,0)))</f>
        <v xml:space="preserve"> </v>
      </c>
      <c r="S17" s="94" t="str">
        <f>IF(Table62202732333435[[#This Row],[Non-Member]]="X"," ",IF(R17=" "," ",IFERROR(VLOOKUP(Q17,Points!$A$2:$B$14,2,FALSE)," ")))</f>
        <v xml:space="preserve"> </v>
      </c>
      <c r="T17" s="135"/>
      <c r="U17" s="93" t="str">
        <f>IF(T17=0," ",_xlfn.RANK.AVG(T17,T$5:T$24,1)-COUNTIF(T$5:T$24,0))</f>
        <v xml:space="preserve"> </v>
      </c>
      <c r="V17" s="93" t="str">
        <f>IF(T17=0," ",IF((RANK(T17,T$5:T$24,1)-COUNTIF(T$5:T$24,0)&gt;6)," ",RANK(T17,T$5:T$24,1)-COUNTIF(T$5:T$24,0)))</f>
        <v xml:space="preserve"> </v>
      </c>
      <c r="W17" s="94" t="str">
        <f>IF(Table62202732333435[[#This Row],[Non-Member]]="X"," ",IF(V17=" "," ",IFERROR(VLOOKUP(U17,Points!$A$2:$B$14,2,FALSE)," ")))</f>
        <v xml:space="preserve"> </v>
      </c>
      <c r="X17" s="92"/>
      <c r="Y17" s="93" t="str">
        <f>IF(X17=0," ",_xlfn.RANK.AVG(X17,X$5:X$24,1)-COUNTIF(X$5:X$24,0))</f>
        <v xml:space="preserve"> </v>
      </c>
      <c r="Z17" s="93" t="str">
        <f>IF(X17=0," ",IF((RANK(X17,X$5:X$24,1)-COUNTIF(X$5:X$24,0)&gt;6)," ",RANK(X17,X$5:X$24,1)-COUNTIF(X$5:X$24,0)))</f>
        <v xml:space="preserve"> </v>
      </c>
      <c r="AA17" s="94" t="str">
        <f>IF(Table62202732333435[[#This Row],[Non-Member]]="X"," ",IF(Z17=" "," ",IFERROR(VLOOKUP(Y17,Points!$A$2:$B$14,2,FALSE)," ")))</f>
        <v xml:space="preserve"> </v>
      </c>
      <c r="AB17" s="92"/>
      <c r="AC17" s="93" t="str">
        <f>IF(AB17=0," ",_xlfn.RANK.AVG(AB17,AB$5:AB$24,1)-COUNTIF(AB$5:AB$24,0))</f>
        <v xml:space="preserve"> </v>
      </c>
      <c r="AD17" s="93" t="str">
        <f>IF(AB17=0," ",IF((RANK(AB17,AB$5:AB$24,1)-COUNTIF(AB$5:AB$24,0)&gt;6)," ",RANK(AB17,AB$5:AB$24,1)-COUNTIF(AB$5:AB$24,0)))</f>
        <v xml:space="preserve"> </v>
      </c>
      <c r="AE17" s="94" t="str">
        <f>IF(Table62202732333435[[#This Row],[Non-Member]]="X"," ",IF(AD17=" "," ",IFERROR(VLOOKUP(AC17,Points!$A$2:$B$14,2,FALSE)," ")))</f>
        <v xml:space="preserve"> </v>
      </c>
      <c r="AF17" s="92" t="str">
        <f>IF(OR(X17=0,AB17=0)," ",X17+AB17)</f>
        <v xml:space="preserve"> </v>
      </c>
      <c r="AG17" s="93" t="str">
        <f>IF(OR(AF17=0,AF17=" ")," ",_xlfn.RANK.AVG(AF17,AF$5:AF$24,1)-COUNTIF(AF$5:AF$24,0))</f>
        <v xml:space="preserve"> </v>
      </c>
      <c r="AH17" s="93" t="str">
        <f>IF(OR(AF17=0,AF17=" ")," ",IF((RANK(AF17,AF$5:AF$24,1)-COUNTIF(AF$5:AF$24,0)&gt;6)," ",RANK(AF17,AF$5:AF$24,1)-COUNTIF(AF$5:AF$24,0)))</f>
        <v xml:space="preserve"> </v>
      </c>
      <c r="AI17" s="94" t="str">
        <f>IF(Table62202732333435[[#This Row],[Non-Member]]="X"," ",IF(AH17=" "," ",IFERROR(VLOOKUP(AG17,Points!$A$2:$B$14,2,FALSE)," ")))</f>
        <v xml:space="preserve"> </v>
      </c>
      <c r="AJ17" s="93">
        <f>IF(Table62202732333435[[#This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>IF(AJ17=0," ",AJ17)</f>
        <v xml:space="preserve"> </v>
      </c>
      <c r="AL17" s="96" t="str">
        <f>IF(AK17=" "," ",RANK(AK17,$AK$5:$AK$24))</f>
        <v xml:space="preserve"> </v>
      </c>
    </row>
    <row r="18" spans="2:38" x14ac:dyDescent="0.3">
      <c r="B18" s="90" t="s">
        <v>188</v>
      </c>
      <c r="C18" s="91"/>
      <c r="D18" s="92"/>
      <c r="E18" s="93" t="str">
        <f>IF(D18=0," ",_xlfn.RANK.AVG(D18,D$5:D$24,1)-COUNTIF(D$5:D$24,0))</f>
        <v xml:space="preserve"> </v>
      </c>
      <c r="F18" s="93" t="str">
        <f>IF(D18=0," ",IF((RANK(D18,D$5:D$24,1)-COUNTIF(D$5:D$24,0)&gt;6)," ",RANK(D18,D$5:D$24,1)-COUNTIF(D$5:D$24,0)))</f>
        <v xml:space="preserve"> </v>
      </c>
      <c r="G18" s="94" t="str">
        <f>IF(Table62202732333435[[#This Row],[Non-Member]]="X"," ",IF(F18=" "," ",IFERROR(VLOOKUP(E18,Points!$A$2:$B$14,2,FALSE)," ")))</f>
        <v xml:space="preserve"> </v>
      </c>
      <c r="H18" s="92">
        <v>25.962</v>
      </c>
      <c r="I18" s="93">
        <f>IF(H18=0," ",_xlfn.RANK.AVG(H18,H$5:H$24,1)-COUNTIF(H$5:H$24,0))</f>
        <v>10</v>
      </c>
      <c r="J18" s="93" t="str">
        <f>IF(H18=0," ",IF((RANK(H18,H$5:H$24,1)-COUNTIF(H$5:H$24,0)&gt;6)," ",RANK(H18,H$5:H$24,1)-COUNTIF(H$5:H$24,0)))</f>
        <v xml:space="preserve"> </v>
      </c>
      <c r="K18" s="94" t="str">
        <f>IF(Table62202732333435[[#This Row],[Non-Member]]="X"," ",IF(J18=" "," ",IFERROR(VLOOKUP(I18,Points!$A$2:$B$14,2,FALSE)," ")))</f>
        <v xml:space="preserve"> </v>
      </c>
      <c r="L18" s="92">
        <v>21.57</v>
      </c>
      <c r="M18" s="93">
        <f>IF(L18=0," ",_xlfn.RANK.AVG(L18,L$5:L$24,1)-COUNTIF(L$5:L$24,0))</f>
        <v>13</v>
      </c>
      <c r="N18" s="93" t="str">
        <f>IF(L18=0," ",IF((RANK(L18,L$5:L$24,1)-COUNTIF(L$5:L$24,0)&gt;6)," ",RANK(L18,L$5:L$24,1)-COUNTIF(L$5:L$24,0)))</f>
        <v xml:space="preserve"> </v>
      </c>
      <c r="O18" s="94" t="str">
        <f>IF(Table62202732333435[[#This Row],[Non-Member]]="X"," ",IF(N18=" "," ",IFERROR(VLOOKUP(M18,Points!$A$2:$B$14,2,FALSE)," ")))</f>
        <v xml:space="preserve"> </v>
      </c>
      <c r="P18" s="92">
        <v>19.88</v>
      </c>
      <c r="Q18" s="93">
        <f>IF(P18=0," ",_xlfn.RANK.AVG(P18,P$5:P$24,1)-COUNTIF(P$5:P$24,0))</f>
        <v>13</v>
      </c>
      <c r="R18" s="93" t="str">
        <f>IF(P18=0," ",IF((RANK(P18,P$5:P$24,1)-COUNTIF(P$5:P$24,0)&gt;6)," ",RANK(P18,P$5:P$24,1)-COUNTIF(P$5:P$24,0)))</f>
        <v xml:space="preserve"> </v>
      </c>
      <c r="S18" s="94" t="str">
        <f>IF(Table62202732333435[[#This Row],[Non-Member]]="X"," ",IF(R18=" "," ",IFERROR(VLOOKUP(Q18,Points!$A$2:$B$14,2,FALSE)," ")))</f>
        <v xml:space="preserve"> </v>
      </c>
      <c r="T18" s="135"/>
      <c r="U18" s="93" t="str">
        <f>IF(T18=0," ",_xlfn.RANK.AVG(T18,T$5:T$24,1)-COUNTIF(T$5:T$24,0))</f>
        <v xml:space="preserve"> </v>
      </c>
      <c r="V18" s="93" t="str">
        <f>IF(T18=0," ",IF((RANK(T18,T$5:T$24,1)-COUNTIF(T$5:T$24,0)&gt;6)," ",RANK(T18,T$5:T$24,1)-COUNTIF(T$5:T$24,0)))</f>
        <v xml:space="preserve"> </v>
      </c>
      <c r="W18" s="94" t="str">
        <f>IF(Table62202732333435[[#This Row],[Non-Member]]="X"," ",IF(V18=" "," ",IFERROR(VLOOKUP(U18,Points!$A$2:$B$14,2,FALSE)," ")))</f>
        <v xml:space="preserve"> </v>
      </c>
      <c r="X18" s="92"/>
      <c r="Y18" s="93" t="str">
        <f>IF(X18=0," ",_xlfn.RANK.AVG(X18,X$5:X$24,1)-COUNTIF(X$5:X$24,0))</f>
        <v xml:space="preserve"> </v>
      </c>
      <c r="Z18" s="93" t="str">
        <f>IF(X18=0," ",IF((RANK(X18,X$5:X$24,1)-COUNTIF(X$5:X$24,0)&gt;6)," ",RANK(X18,X$5:X$24,1)-COUNTIF(X$5:X$24,0)))</f>
        <v xml:space="preserve"> </v>
      </c>
      <c r="AA18" s="94" t="str">
        <f>IF(Table62202732333435[[#This Row],[Non-Member]]="X"," ",IF(Z18=" "," ",IFERROR(VLOOKUP(Y18,Points!$A$2:$B$14,2,FALSE)," ")))</f>
        <v xml:space="preserve"> </v>
      </c>
      <c r="AB18" s="92"/>
      <c r="AC18" s="93" t="str">
        <f>IF(AB18=0," ",_xlfn.RANK.AVG(AB18,AB$5:AB$24,1)-COUNTIF(AB$5:AB$24,0))</f>
        <v xml:space="preserve"> </v>
      </c>
      <c r="AD18" s="93" t="str">
        <f>IF(AB18=0," ",IF((RANK(AB18,AB$5:AB$24,1)-COUNTIF(AB$5:AB$24,0)&gt;6)," ",RANK(AB18,AB$5:AB$24,1)-COUNTIF(AB$5:AB$24,0)))</f>
        <v xml:space="preserve"> </v>
      </c>
      <c r="AE18" s="94" t="str">
        <f>IF(Table62202732333435[[#This Row],[Non-Member]]="X"," ",IF(AD18=" "," ",IFERROR(VLOOKUP(AC18,Points!$A$2:$B$14,2,FALSE)," ")))</f>
        <v xml:space="preserve"> </v>
      </c>
      <c r="AF18" s="92" t="str">
        <f>IF(OR(X18=0,AB18=0)," ",X18+AB18)</f>
        <v xml:space="preserve"> </v>
      </c>
      <c r="AG18" s="93" t="str">
        <f>IF(OR(AF18=0,AF18=" ")," ",_xlfn.RANK.AVG(AF18,AF$5:AF$24,1)-COUNTIF(AF$5:AF$24,0))</f>
        <v xml:space="preserve"> </v>
      </c>
      <c r="AH18" s="93" t="str">
        <f>IF(OR(AF18=0,AF18=" ")," ",IF((RANK(AF18,AF$5:AF$24,1)-COUNTIF(AF$5:AF$24,0)&gt;6)," ",RANK(AF18,AF$5:AF$24,1)-COUNTIF(AF$5:AF$24,0)))</f>
        <v xml:space="preserve"> </v>
      </c>
      <c r="AI18" s="94" t="str">
        <f>IF(Table62202732333435[[#This Row],[Non-Member]]="X"," ",IF(AH18=" "," ",IFERROR(VLOOKUP(AG18,Points!$A$2:$B$14,2,FALSE)," ")))</f>
        <v xml:space="preserve"> </v>
      </c>
      <c r="AJ18" s="93">
        <f>IF(Table62202732333435[[#This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>IF(AJ18=0," ",AJ18)</f>
        <v xml:space="preserve"> </v>
      </c>
      <c r="AL18" s="96" t="str">
        <f>IF(AK18=" "," ",RANK(AK18,$AK$5:$AK$24))</f>
        <v xml:space="preserve"> </v>
      </c>
    </row>
    <row r="19" spans="2:38" x14ac:dyDescent="0.3">
      <c r="B19" s="90" t="s">
        <v>319</v>
      </c>
      <c r="C19" s="91" t="s">
        <v>325</v>
      </c>
      <c r="D19" s="92"/>
      <c r="E19" s="97" t="str">
        <f>IF(D19=0," ",_xlfn.RANK.AVG(D19,D$5:D$24,1)-COUNTIF(D$5:D$24,0))</f>
        <v xml:space="preserve"> </v>
      </c>
      <c r="F19" s="97" t="str">
        <f>IF(D19=0," ",IF((RANK(D19,D$5:D$24,1)-COUNTIF(D$5:D$24,0)&gt;6)," ",RANK(D19,D$5:D$24,1)-COUNTIF(D$5:D$24,0)))</f>
        <v xml:space="preserve"> </v>
      </c>
      <c r="G19" s="94" t="str">
        <f>IF(Table62202732333435[[#This Row],[Non-Member]]="X"," ",IF(F19=" "," ",IFERROR(VLOOKUP(E19,Points!$A$2:$B$14,2,FALSE)," ")))</f>
        <v xml:space="preserve"> </v>
      </c>
      <c r="H19" s="92"/>
      <c r="I19" s="97" t="str">
        <f>IF(H19=0," ",_xlfn.RANK.AVG(H19,H$5:H$24,1)-COUNTIF(H$5:H$24,0))</f>
        <v xml:space="preserve"> </v>
      </c>
      <c r="J19" s="97" t="str">
        <f>IF(H19=0," ",IF((RANK(H19,H$5:H$24,1)-COUNTIF(H$5:H$24,0)&gt;6)," ",RANK(H19,H$5:H$24,1)-COUNTIF(H$5:H$24,0)))</f>
        <v xml:space="preserve"> </v>
      </c>
      <c r="K19" s="94" t="str">
        <f>IF(Table62202732333435[[#This Row],[Non-Member]]="X"," ",IF(J19=" "," ",IFERROR(VLOOKUP(I19,Points!$A$2:$B$14,2,FALSE)," ")))</f>
        <v xml:space="preserve"> </v>
      </c>
      <c r="L19" s="92">
        <v>16.91</v>
      </c>
      <c r="M19" s="97">
        <f>IF(L19=0," ",_xlfn.RANK.AVG(L19,L$5:L$24,1)-COUNTIF(L$5:L$24,0))</f>
        <v>5</v>
      </c>
      <c r="N19" s="97">
        <f>IF(L19=0," ",IF((RANK(L19,L$5:L$24,1)-COUNTIF(L$5:L$24,0)&gt;6)," ",RANK(L19,L$5:L$24,1)-COUNTIF(L$5:L$24,0)))</f>
        <v>5</v>
      </c>
      <c r="O19" s="94" t="str">
        <f>IF(Table62202732333435[[#This Row],[Non-Member]]="X"," ",IF(N19=" "," ",IFERROR(VLOOKUP(M19,Points!$A$2:$B$14,2,FALSE)," ")))</f>
        <v xml:space="preserve"> </v>
      </c>
      <c r="P19" s="92">
        <v>18.47</v>
      </c>
      <c r="Q19" s="97">
        <f>IF(P19=0," ",_xlfn.RANK.AVG(P19,P$5:P$24,1)-COUNTIF(P$5:P$24,0))</f>
        <v>10</v>
      </c>
      <c r="R19" s="97" t="str">
        <f>IF(P19=0," ",IF((RANK(P19,P$5:P$24,1)-COUNTIF(P$5:P$24,0)&gt;6)," ",RANK(P19,P$5:P$24,1)-COUNTIF(P$5:P$24,0)))</f>
        <v xml:space="preserve"> </v>
      </c>
      <c r="S19" s="94" t="str">
        <f>IF(Table62202732333435[[#This Row],[Non-Member]]="X"," ",IF(R19=" "," ",IFERROR(VLOOKUP(Q19,Points!$A$2:$B$14,2,FALSE)," ")))</f>
        <v xml:space="preserve"> </v>
      </c>
      <c r="T19" s="92"/>
      <c r="U19" s="97" t="str">
        <f>IF(T19=0," ",_xlfn.RANK.AVG(T19,T$5:T$24,1)-COUNTIF(T$5:T$24,0))</f>
        <v xml:space="preserve"> </v>
      </c>
      <c r="V19" s="97" t="str">
        <f>IF(T19=0," ",IF((RANK(T19,T$5:T$24,1)-COUNTIF(T$5:T$24,0)&gt;6)," ",RANK(T19,T$5:T$24,1)-COUNTIF(T$5:T$24,0)))</f>
        <v xml:space="preserve"> </v>
      </c>
      <c r="W19" s="94" t="str">
        <f>IF(Table62202732333435[[#This Row],[Non-Member]]="X"," ",IF(V19=" "," ",IFERROR(VLOOKUP(U19,Points!$A$2:$B$14,2,FALSE)," ")))</f>
        <v xml:space="preserve"> </v>
      </c>
      <c r="X19" s="92"/>
      <c r="Y19" s="97" t="str">
        <f>IF(X19=0," ",_xlfn.RANK.AVG(X19,X$5:X$24,1)-COUNTIF(X$5:X$24,0))</f>
        <v xml:space="preserve"> </v>
      </c>
      <c r="Z19" s="97" t="str">
        <f>IF(X19=0," ",IF((RANK(X19,X$5:X$24,1)-COUNTIF(X$5:X$24,0)&gt;6)," ",RANK(X19,X$5:X$24,1)-COUNTIF(X$5:X$24,0)))</f>
        <v xml:space="preserve"> </v>
      </c>
      <c r="AA19" s="94" t="str">
        <f>IF(Table62202732333435[[#This Row],[Non-Member]]="X"," ",IF(Z19=" "," ",IFERROR(VLOOKUP(Y19,Points!$A$2:$B$14,2,FALSE)," ")))</f>
        <v xml:space="preserve"> </v>
      </c>
      <c r="AB19" s="92"/>
      <c r="AC19" s="97" t="str">
        <f>IF(AB19=0," ",_xlfn.RANK.AVG(AB19,AB$5:AB$24,1)-COUNTIF(AB$5:AB$24,0))</f>
        <v xml:space="preserve"> </v>
      </c>
      <c r="AD19" s="97" t="str">
        <f>IF(AB19=0," ",IF((RANK(AB19,AB$5:AB$24,1)-COUNTIF(AB$5:AB$24,0)&gt;6)," ",RANK(AB19,AB$5:AB$24,1)-COUNTIF(AB$5:AB$24,0)))</f>
        <v xml:space="preserve"> </v>
      </c>
      <c r="AE19" s="94" t="str">
        <f>IF(Table62202732333435[[#This Row],[Non-Member]]="X"," ",IF(AD19=" "," ",IFERROR(VLOOKUP(AC19,Points!$A$2:$B$14,2,FALSE)," ")))</f>
        <v xml:space="preserve"> </v>
      </c>
      <c r="AF19" s="92" t="str">
        <f>IF(OR(X19=0,AB19=0)," ",X19+AB19)</f>
        <v xml:space="preserve"> </v>
      </c>
      <c r="AG19" s="97" t="str">
        <f>IF(OR(AF19=0,AF19=" ")," ",_xlfn.RANK.AVG(AF19,AF$5:AF$24,1)-COUNTIF(AF$5:AF$24,0))</f>
        <v xml:space="preserve"> </v>
      </c>
      <c r="AH19" s="97" t="str">
        <f>IF(OR(AF19=0,AF19=" ")," ",IF((RANK(AF19,AF$5:AF$24,1)-COUNTIF(AF$5:AF$24,0)&gt;6)," ",RANK(AF19,AF$5:AF$24,1)-COUNTIF(AF$5:AF$24,0)))</f>
        <v xml:space="preserve"> </v>
      </c>
      <c r="AI19" s="94" t="str">
        <f>IF(Table62202732333435[[#This Row],[Non-Member]]="X"," ",IF(AH19=" "," ",IFERROR(VLOOKUP(AG19,Points!$A$2:$B$14,2,FALSE)," ")))</f>
        <v xml:space="preserve"> </v>
      </c>
      <c r="AJ19" s="97" t="str">
        <f>IF(Table62202732333435[[#This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>IF(AJ19=0," ",AJ19)</f>
        <v xml:space="preserve"> </v>
      </c>
      <c r="AL19" s="98" t="str">
        <f>IF(AK19=" "," ",RANK(AK19,$AK$5:$AK$24))</f>
        <v xml:space="preserve"> </v>
      </c>
    </row>
    <row r="20" spans="2:38" x14ac:dyDescent="0.3">
      <c r="B20" s="90" t="s">
        <v>321</v>
      </c>
      <c r="C20" s="91" t="s">
        <v>325</v>
      </c>
      <c r="D20" s="92"/>
      <c r="E20" s="97" t="str">
        <f>IF(D20=0," ",_xlfn.RANK.AVG(D20,D$5:D$24,1)-COUNTIF(D$5:D$24,0))</f>
        <v xml:space="preserve"> </v>
      </c>
      <c r="F20" s="97" t="str">
        <f>IF(D20=0," ",IF((RANK(D20,D$5:D$24,1)-COUNTIF(D$5:D$24,0)&gt;6)," ",RANK(D20,D$5:D$24,1)-COUNTIF(D$5:D$24,0)))</f>
        <v xml:space="preserve"> </v>
      </c>
      <c r="G20" s="94" t="str">
        <f>IF(Table62202732333435[[#This Row],[Non-Member]]="X"," ",IF(F20=" "," ",IFERROR(VLOOKUP(E20,Points!$A$2:$B$14,2,FALSE)," ")))</f>
        <v xml:space="preserve"> </v>
      </c>
      <c r="H20" s="92"/>
      <c r="I20" s="97" t="str">
        <f>IF(H20=0," ",_xlfn.RANK.AVG(H20,H$5:H$24,1)-COUNTIF(H$5:H$24,0))</f>
        <v xml:space="preserve"> </v>
      </c>
      <c r="J20" s="97" t="str">
        <f>IF(H20=0," ",IF((RANK(H20,H$5:H$24,1)-COUNTIF(H$5:H$24,0)&gt;6)," ",RANK(H20,H$5:H$24,1)-COUNTIF(H$5:H$24,0)))</f>
        <v xml:space="preserve"> </v>
      </c>
      <c r="K20" s="94" t="str">
        <f>IF(Table62202732333435[[#This Row],[Non-Member]]="X"," ",IF(J20=" "," ",IFERROR(VLOOKUP(I20,Points!$A$2:$B$14,2,FALSE)," ")))</f>
        <v xml:space="preserve"> </v>
      </c>
      <c r="L20" s="92">
        <v>15.27</v>
      </c>
      <c r="M20" s="97">
        <f>IF(L20=0," ",_xlfn.RANK.AVG(L20,L$5:L$24,1)-COUNTIF(L$5:L$24,0))</f>
        <v>3</v>
      </c>
      <c r="N20" s="97">
        <f>IF(L20=0," ",IF((RANK(L20,L$5:L$24,1)-COUNTIF(L$5:L$24,0)&gt;6)," ",RANK(L20,L$5:L$24,1)-COUNTIF(L$5:L$24,0)))</f>
        <v>3</v>
      </c>
      <c r="O20" s="94" t="str">
        <f>IF(Table62202732333435[[#This Row],[Non-Member]]="X"," ",IF(N20=" "," ",IFERROR(VLOOKUP(M20,Points!$A$2:$B$14,2,FALSE)," ")))</f>
        <v xml:space="preserve"> </v>
      </c>
      <c r="P20" s="92">
        <v>15.88</v>
      </c>
      <c r="Q20" s="97">
        <f>IF(P20=0," ",_xlfn.RANK.AVG(P20,P$5:P$24,1)-COUNTIF(P$5:P$24,0))</f>
        <v>4</v>
      </c>
      <c r="R20" s="97">
        <f>IF(P20=0," ",IF((RANK(P20,P$5:P$24,1)-COUNTIF(P$5:P$24,0)&gt;6)," ",RANK(P20,P$5:P$24,1)-COUNTIF(P$5:P$24,0)))</f>
        <v>4</v>
      </c>
      <c r="S20" s="94" t="str">
        <f>IF(Table62202732333435[[#This Row],[Non-Member]]="X"," ",IF(R20=" "," ",IFERROR(VLOOKUP(Q20,Points!$A$2:$B$14,2,FALSE)," ")))</f>
        <v xml:space="preserve"> </v>
      </c>
      <c r="T20" s="92"/>
      <c r="U20" s="97" t="str">
        <f>IF(T20=0," ",_xlfn.RANK.AVG(T20,T$5:T$24,1)-COUNTIF(T$5:T$24,0))</f>
        <v xml:space="preserve"> </v>
      </c>
      <c r="V20" s="97" t="str">
        <f>IF(T20=0," ",IF((RANK(T20,T$5:T$24,1)-COUNTIF(T$5:T$24,0)&gt;6)," ",RANK(T20,T$5:T$24,1)-COUNTIF(T$5:T$24,0)))</f>
        <v xml:space="preserve"> </v>
      </c>
      <c r="W20" s="94" t="str">
        <f>IF(Table62202732333435[[#This Row],[Non-Member]]="X"," ",IF(V20=" "," ",IFERROR(VLOOKUP(U20,Points!$A$2:$B$14,2,FALSE)," ")))</f>
        <v xml:space="preserve"> </v>
      </c>
      <c r="X20" s="92"/>
      <c r="Y20" s="97" t="str">
        <f>IF(X20=0," ",_xlfn.RANK.AVG(X20,X$5:X$24,1)-COUNTIF(X$5:X$24,0))</f>
        <v xml:space="preserve"> </v>
      </c>
      <c r="Z20" s="97" t="str">
        <f>IF(X20=0," ",IF((RANK(X20,X$5:X$24,1)-COUNTIF(X$5:X$24,0)&gt;6)," ",RANK(X20,X$5:X$24,1)-COUNTIF(X$5:X$24,0)))</f>
        <v xml:space="preserve"> </v>
      </c>
      <c r="AA20" s="94" t="str">
        <f>IF(Table62202732333435[[#This Row],[Non-Member]]="X"," ",IF(Z20=" "," ",IFERROR(VLOOKUP(Y20,Points!$A$2:$B$14,2,FALSE)," ")))</f>
        <v xml:space="preserve"> </v>
      </c>
      <c r="AB20" s="92"/>
      <c r="AC20" s="97" t="str">
        <f>IF(AB20=0," ",_xlfn.RANK.AVG(AB20,AB$5:AB$24,1)-COUNTIF(AB$5:AB$24,0))</f>
        <v xml:space="preserve"> </v>
      </c>
      <c r="AD20" s="97" t="str">
        <f>IF(AB20=0," ",IF((RANK(AB20,AB$5:AB$24,1)-COUNTIF(AB$5:AB$24,0)&gt;6)," ",RANK(AB20,AB$5:AB$24,1)-COUNTIF(AB$5:AB$24,0)))</f>
        <v xml:space="preserve"> </v>
      </c>
      <c r="AE20" s="94" t="str">
        <f>IF(Table62202732333435[[#This Row],[Non-Member]]="X"," ",IF(AD20=" "," ",IFERROR(VLOOKUP(AC20,Points!$A$2:$B$14,2,FALSE)," ")))</f>
        <v xml:space="preserve"> </v>
      </c>
      <c r="AF20" s="92" t="str">
        <f>IF(OR(X20=0,AB20=0)," ",X20+AB20)</f>
        <v xml:space="preserve"> </v>
      </c>
      <c r="AG20" s="97" t="str">
        <f>IF(OR(AF20=0,AF20=" ")," ",_xlfn.RANK.AVG(AF20,AF$5:AF$24,1)-COUNTIF(AF$5:AF$24,0))</f>
        <v xml:space="preserve"> </v>
      </c>
      <c r="AH20" s="97" t="str">
        <f>IF(OR(AF20=0,AF20=" ")," ",IF((RANK(AF20,AF$5:AF$24,1)-COUNTIF(AF$5:AF$24,0)&gt;6)," ",RANK(AF20,AF$5:AF$24,1)-COUNTIF(AF$5:AF$24,0)))</f>
        <v xml:space="preserve"> </v>
      </c>
      <c r="AI20" s="94" t="str">
        <f>IF(Table62202732333435[[#This Row],[Non-Member]]="X"," ",IF(AH20=" "," ",IFERROR(VLOOKUP(AG20,Points!$A$2:$B$14,2,FALSE)," ")))</f>
        <v xml:space="preserve"> </v>
      </c>
      <c r="AJ20" s="97" t="str">
        <f>IF(Table62202732333435[[#This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>IF(AJ20=0," ",AJ20)</f>
        <v xml:space="preserve"> </v>
      </c>
      <c r="AL20" s="98" t="str">
        <f>IF(AK20=" "," ",RANK(AK20,$AK$5:$AK$24))</f>
        <v xml:space="preserve"> </v>
      </c>
    </row>
    <row r="21" spans="2:38" x14ac:dyDescent="0.3">
      <c r="B21" s="90"/>
      <c r="C21" s="91"/>
      <c r="D21" s="92"/>
      <c r="E21" s="93" t="str">
        <f>IF(D21=0," ",_xlfn.RANK.AVG(D21,D$5:D$24,1)-COUNTIF(D$5:D$24,0))</f>
        <v xml:space="preserve"> </v>
      </c>
      <c r="F21" s="93" t="str">
        <f>IF(D21=0," ",IF((RANK(D21,D$5:D$24,1)-COUNTIF(D$5:D$24,0)&gt;6)," ",RANK(D21,D$5:D$24,1)-COUNTIF(D$5:D$24,0)))</f>
        <v xml:space="preserve"> </v>
      </c>
      <c r="G21" s="94" t="str">
        <f>IF(Table62202732333435[[#This Row],[Non-Member]]="X"," ",IF(F21=" "," ",IFERROR(VLOOKUP(E21,Points!$A$2:$B$14,2,FALSE)," ")))</f>
        <v xml:space="preserve"> </v>
      </c>
      <c r="H21" s="92"/>
      <c r="I21" s="93" t="str">
        <f>IF(H21=0," ",_xlfn.RANK.AVG(H21,H$5:H$24,1)-COUNTIF(H$5:H$24,0))</f>
        <v xml:space="preserve"> </v>
      </c>
      <c r="J21" s="93" t="str">
        <f>IF(H21=0," ",IF((RANK(H21,H$5:H$24,1)-COUNTIF(H$5:H$24,0)&gt;6)," ",RANK(H21,H$5:H$24,1)-COUNTIF(H$5:H$24,0)))</f>
        <v xml:space="preserve"> </v>
      </c>
      <c r="K21" s="94" t="str">
        <f>IF(Table62202732333435[[#This Row],[Non-Member]]="X"," ",IF(J21=" "," ",IFERROR(VLOOKUP(I21,Points!$A$2:$B$14,2,FALSE)," ")))</f>
        <v xml:space="preserve"> </v>
      </c>
      <c r="L21" s="92"/>
      <c r="M21" s="93" t="str">
        <f>IF(L21=0," ",_xlfn.RANK.AVG(L21,L$5:L$24,1)-COUNTIF(L$5:L$24,0))</f>
        <v xml:space="preserve"> </v>
      </c>
      <c r="N21" s="93" t="str">
        <f>IF(L21=0," ",IF((RANK(L21,L$5:L$24,1)-COUNTIF(L$5:L$24,0)&gt;6)," ",RANK(L21,L$5:L$24,1)-COUNTIF(L$5:L$24,0)))</f>
        <v xml:space="preserve"> </v>
      </c>
      <c r="O21" s="94" t="str">
        <f>IF(Table62202732333435[[#This Row],[Non-Member]]="X"," ",IF(N21=" "," ",IFERROR(VLOOKUP(M21,Points!$A$2:$B$14,2,FALSE)," ")))</f>
        <v xml:space="preserve"> </v>
      </c>
      <c r="P21" s="92"/>
      <c r="Q21" s="93" t="str">
        <f>IF(P21=0," ",_xlfn.RANK.AVG(P21,P$5:P$24,1)-COUNTIF(P$5:P$24,0))</f>
        <v xml:space="preserve"> </v>
      </c>
      <c r="R21" s="93" t="str">
        <f>IF(P21=0," ",IF((RANK(P21,P$5:P$24,1)-COUNTIF(P$5:P$24,0)&gt;6)," ",RANK(P21,P$5:P$24,1)-COUNTIF(P$5:P$24,0)))</f>
        <v xml:space="preserve"> </v>
      </c>
      <c r="S21" s="94" t="str">
        <f>IF(Table62202732333435[[#This Row],[Non-Member]]="X"," ",IF(R21=" "," ",IFERROR(VLOOKUP(Q21,Points!$A$2:$B$14,2,FALSE)," ")))</f>
        <v xml:space="preserve"> </v>
      </c>
      <c r="T21" s="92"/>
      <c r="U21" s="93" t="str">
        <f>IF(T21=0," ",_xlfn.RANK.AVG(T21,T$5:T$24,1)-COUNTIF(T$5:T$24,0))</f>
        <v xml:space="preserve"> </v>
      </c>
      <c r="V21" s="93" t="str">
        <f>IF(T21=0," ",IF((RANK(T21,T$5:T$24,1)-COUNTIF(T$5:T$24,0)&gt;6)," ",RANK(T21,T$5:T$24,1)-COUNTIF(T$5:T$24,0)))</f>
        <v xml:space="preserve"> </v>
      </c>
      <c r="W21" s="94" t="str">
        <f>IF(Table62202732333435[[#This Row],[Non-Member]]="X"," ",IF(V21=" "," ",IFERROR(VLOOKUP(U21,Points!$A$2:$B$14,2,FALSE)," ")))</f>
        <v xml:space="preserve"> </v>
      </c>
      <c r="X21" s="92"/>
      <c r="Y21" s="93" t="str">
        <f>IF(X21=0," ",_xlfn.RANK.AVG(X21,X$5:X$24,1)-COUNTIF(X$5:X$24,0))</f>
        <v xml:space="preserve"> </v>
      </c>
      <c r="Z21" s="93" t="str">
        <f>IF(X21=0," ",IF((RANK(X21,X$5:X$24,1)-COUNTIF(X$5:X$24,0)&gt;6)," ",RANK(X21,X$5:X$24,1)-COUNTIF(X$5:X$24,0)))</f>
        <v xml:space="preserve"> </v>
      </c>
      <c r="AA21" s="94" t="str">
        <f>IF(Table62202732333435[[#This Row],[Non-Member]]="X"," ",IF(Z21=" "," ",IFERROR(VLOOKUP(Y21,Points!$A$2:$B$14,2,FALSE)," ")))</f>
        <v xml:space="preserve"> </v>
      </c>
      <c r="AB21" s="92"/>
      <c r="AC21" s="93" t="str">
        <f>IF(AB21=0," ",_xlfn.RANK.AVG(AB21,AB$5:AB$24,1)-COUNTIF(AB$5:AB$24,0))</f>
        <v xml:space="preserve"> </v>
      </c>
      <c r="AD21" s="93" t="str">
        <f>IF(AB21=0," ",IF((RANK(AB21,AB$5:AB$24,1)-COUNTIF(AB$5:AB$24,0)&gt;6)," ",RANK(AB21,AB$5:AB$24,1)-COUNTIF(AB$5:AB$24,0)))</f>
        <v xml:space="preserve"> </v>
      </c>
      <c r="AE21" s="94" t="str">
        <f>IF(Table62202732333435[[#This Row],[Non-Member]]="X"," ",IF(AD21=" "," ",IFERROR(VLOOKUP(AC21,Points!$A$2:$B$14,2,FALSE)," ")))</f>
        <v xml:space="preserve"> </v>
      </c>
      <c r="AF21" s="92" t="str">
        <f>IF(OR(X21=0,AB21=0)," ",X21+AB21)</f>
        <v xml:space="preserve"> </v>
      </c>
      <c r="AG21" s="93" t="str">
        <f>IF(OR(AF21=0,AF21=" ")," ",_xlfn.RANK.AVG(AF21,AF$5:AF$24,1)-COUNTIF(AF$5:AF$24,0))</f>
        <v xml:space="preserve"> </v>
      </c>
      <c r="AH21" s="93" t="str">
        <f>IF(OR(AF21=0,AF21=" ")," ",IF((RANK(AF21,AF$5:AF$24,1)-COUNTIF(AF$5:AF$24,0)&gt;6)," ",RANK(AF21,AF$5:AF$24,1)-COUNTIF(AF$5:AF$24,0)))</f>
        <v xml:space="preserve"> </v>
      </c>
      <c r="AI21" s="94" t="str">
        <f>IF(Table62202732333435[[#This Row],[Non-Member]]="X"," ",IF(AH21=" "," ",IFERROR(VLOOKUP(AG21,Points!$A$2:$B$14,2,FALSE)," ")))</f>
        <v xml:space="preserve"> </v>
      </c>
      <c r="AJ21" s="93">
        <f>IF(Table62202732333435[[#This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>IF(AJ21=0," ",AJ21)</f>
        <v xml:space="preserve"> </v>
      </c>
      <c r="AL21" s="96" t="str">
        <f>IF(AK21=" "," ",RANK(AK21,$AK$5:$AK$24))</f>
        <v xml:space="preserve"> </v>
      </c>
    </row>
    <row r="22" spans="2:38" x14ac:dyDescent="0.3">
      <c r="B22" s="90"/>
      <c r="C22" s="91"/>
      <c r="D22" s="92"/>
      <c r="E22" s="93" t="str">
        <f>IF(D22=0," ",_xlfn.RANK.AVG(D22,D$5:D$24,1)-COUNTIF(D$5:D$24,0))</f>
        <v xml:space="preserve"> </v>
      </c>
      <c r="F22" s="93" t="str">
        <f>IF(D22=0," ",IF((RANK(D22,D$5:D$24,1)-COUNTIF(D$5:D$24,0)&gt;6)," ",RANK(D22,D$5:D$24,1)-COUNTIF(D$5:D$24,0)))</f>
        <v xml:space="preserve"> </v>
      </c>
      <c r="G22" s="94" t="str">
        <f>IF(Table62202732333435[[#This Row],[Non-Member]]="X"," ",IF(F22=" "," ",IFERROR(VLOOKUP(E22,Points!$A$2:$B$14,2,FALSE)," ")))</f>
        <v xml:space="preserve"> </v>
      </c>
      <c r="H22" s="92"/>
      <c r="I22" s="93" t="str">
        <f>IF(H22=0," ",_xlfn.RANK.AVG(H22,H$5:H$24,1)-COUNTIF(H$5:H$24,0))</f>
        <v xml:space="preserve"> </v>
      </c>
      <c r="J22" s="93" t="str">
        <f>IF(H22=0," ",IF((RANK(H22,H$5:H$24,1)-COUNTIF(H$5:H$24,0)&gt;6)," ",RANK(H22,H$5:H$24,1)-COUNTIF(H$5:H$24,0)))</f>
        <v xml:space="preserve"> </v>
      </c>
      <c r="K22" s="94" t="str">
        <f>IF(Table62202732333435[[#This Row],[Non-Member]]="X"," ",IF(J22=" "," ",IFERROR(VLOOKUP(I22,Points!$A$2:$B$14,2,FALSE)," ")))</f>
        <v xml:space="preserve"> </v>
      </c>
      <c r="L22" s="92"/>
      <c r="M22" s="93" t="str">
        <f>IF(L22=0," ",_xlfn.RANK.AVG(L22,L$5:L$24,1)-COUNTIF(L$5:L$24,0))</f>
        <v xml:space="preserve"> </v>
      </c>
      <c r="N22" s="93" t="str">
        <f>IF(L22=0," ",IF((RANK(L22,L$5:L$24,1)-COUNTIF(L$5:L$24,0)&gt;6)," ",RANK(L22,L$5:L$24,1)-COUNTIF(L$5:L$24,0)))</f>
        <v xml:space="preserve"> </v>
      </c>
      <c r="O22" s="94" t="str">
        <f>IF(Table62202732333435[[#This Row],[Non-Member]]="X"," ",IF(N22=" "," ",IFERROR(VLOOKUP(M22,Points!$A$2:$B$14,2,FALSE)," ")))</f>
        <v xml:space="preserve"> </v>
      </c>
      <c r="P22" s="92"/>
      <c r="Q22" s="93" t="str">
        <f>IF(P22=0," ",_xlfn.RANK.AVG(P22,P$5:P$24,1)-COUNTIF(P$5:P$24,0))</f>
        <v xml:space="preserve"> </v>
      </c>
      <c r="R22" s="93" t="str">
        <f>IF(P22=0," ",IF((RANK(P22,P$5:P$24,1)-COUNTIF(P$5:P$24,0)&gt;6)," ",RANK(P22,P$5:P$24,1)-COUNTIF(P$5:P$24,0)))</f>
        <v xml:space="preserve"> </v>
      </c>
      <c r="S22" s="94" t="str">
        <f>IF(Table62202732333435[[#This Row],[Non-Member]]="X"," ",IF(R22=" "," ",IFERROR(VLOOKUP(Q22,Points!$A$2:$B$14,2,FALSE)," ")))</f>
        <v xml:space="preserve"> </v>
      </c>
      <c r="T22" s="92"/>
      <c r="U22" s="93" t="str">
        <f>IF(T22=0," ",_xlfn.RANK.AVG(T22,T$5:T$24,1)-COUNTIF(T$5:T$24,0))</f>
        <v xml:space="preserve"> </v>
      </c>
      <c r="V22" s="93" t="str">
        <f>IF(T22=0," ",IF((RANK(T22,T$5:T$24,1)-COUNTIF(T$5:T$24,0)&gt;6)," ",RANK(T22,T$5:T$24,1)-COUNTIF(T$5:T$24,0)))</f>
        <v xml:space="preserve"> </v>
      </c>
      <c r="W22" s="94" t="str">
        <f>IF(Table62202732333435[[#This Row],[Non-Member]]="X"," ",IF(V22=" "," ",IFERROR(VLOOKUP(U22,Points!$A$2:$B$14,2,FALSE)," ")))</f>
        <v xml:space="preserve"> </v>
      </c>
      <c r="X22" s="92"/>
      <c r="Y22" s="93" t="str">
        <f>IF(X22=0," ",_xlfn.RANK.AVG(X22,X$5:X$24,1)-COUNTIF(X$5:X$24,0))</f>
        <v xml:space="preserve"> </v>
      </c>
      <c r="Z22" s="93" t="str">
        <f>IF(X22=0," ",IF((RANK(X22,X$5:X$24,1)-COUNTIF(X$5:X$24,0)&gt;6)," ",RANK(X22,X$5:X$24,1)-COUNTIF(X$5:X$24,0)))</f>
        <v xml:space="preserve"> </v>
      </c>
      <c r="AA22" s="94" t="str">
        <f>IF(Table62202732333435[[#This Row],[Non-Member]]="X"," ",IF(Z22=" "," ",IFERROR(VLOOKUP(Y22,Points!$A$2:$B$14,2,FALSE)," ")))</f>
        <v xml:space="preserve"> </v>
      </c>
      <c r="AB22" s="92"/>
      <c r="AC22" s="93" t="str">
        <f>IF(AB22=0," ",_xlfn.RANK.AVG(AB22,AB$5:AB$24,1)-COUNTIF(AB$5:AB$24,0))</f>
        <v xml:space="preserve"> </v>
      </c>
      <c r="AD22" s="93" t="str">
        <f>IF(AB22=0," ",IF((RANK(AB22,AB$5:AB$24,1)-COUNTIF(AB$5:AB$24,0)&gt;6)," ",RANK(AB22,AB$5:AB$24,1)-COUNTIF(AB$5:AB$24,0)))</f>
        <v xml:space="preserve"> </v>
      </c>
      <c r="AE22" s="94" t="str">
        <f>IF(Table62202732333435[[#This Row],[Non-Member]]="X"," ",IF(AD22=" "," ",IFERROR(VLOOKUP(AC22,Points!$A$2:$B$14,2,FALSE)," ")))</f>
        <v xml:space="preserve"> </v>
      </c>
      <c r="AF22" s="92" t="str">
        <f>IF(OR(X22=0,AB22=0)," ",X22+AB22)</f>
        <v xml:space="preserve"> </v>
      </c>
      <c r="AG22" s="93" t="str">
        <f>IF(OR(AF22=0,AF22=" ")," ",_xlfn.RANK.AVG(AF22,AF$5:AF$24,1)-COUNTIF(AF$5:AF$24,0))</f>
        <v xml:space="preserve"> </v>
      </c>
      <c r="AH22" s="93" t="str">
        <f>IF(OR(AF22=0,AF22=" ")," ",IF((RANK(AF22,AF$5:AF$24,1)-COUNTIF(AF$5:AF$24,0)&gt;6)," ",RANK(AF22,AF$5:AF$24,1)-COUNTIF(AF$5:AF$24,0)))</f>
        <v xml:space="preserve"> </v>
      </c>
      <c r="AI22" s="94" t="str">
        <f>IF(Table62202732333435[[#This Row],[Non-Member]]="X"," ",IF(AH22=" "," ",IFERROR(VLOOKUP(AG22,Points!$A$2:$B$14,2,FALSE)," ")))</f>
        <v xml:space="preserve"> </v>
      </c>
      <c r="AJ22" s="93">
        <f>IF(Table62202732333435[[#This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>IF(AJ22=0," ",AJ22)</f>
        <v xml:space="preserve"> </v>
      </c>
      <c r="AL22" s="96" t="str">
        <f>IF(AK22=" "," ",RANK(AK22,$AK$5:$AK$24))</f>
        <v xml:space="preserve"> </v>
      </c>
    </row>
    <row r="23" spans="2:38" x14ac:dyDescent="0.3">
      <c r="B23" s="90"/>
      <c r="C23" s="91"/>
      <c r="D23" s="92"/>
      <c r="E23" s="93" t="str">
        <f>IF(D23=0," ",_xlfn.RANK.AVG(D23,D$5:D$24,1)-COUNTIF(D$5:D$24,0))</f>
        <v xml:space="preserve"> </v>
      </c>
      <c r="F23" s="93" t="str">
        <f>IF(D23=0," ",IF((RANK(D23,D$5:D$24,1)-COUNTIF(D$5:D$24,0)&gt;6)," ",RANK(D23,D$5:D$24,1)-COUNTIF(D$5:D$24,0)))</f>
        <v xml:space="preserve"> </v>
      </c>
      <c r="G23" s="94" t="str">
        <f>IF(Table62202732333435[[#This Row],[Non-Member]]="X"," ",IF(F23=" "," ",IFERROR(VLOOKUP(E23,Points!$A$2:$B$14,2,FALSE)," ")))</f>
        <v xml:space="preserve"> </v>
      </c>
      <c r="H23" s="92"/>
      <c r="I23" s="93" t="str">
        <f>IF(H23=0," ",_xlfn.RANK.AVG(H23,H$5:H$24,1)-COUNTIF(H$5:H$24,0))</f>
        <v xml:space="preserve"> </v>
      </c>
      <c r="J23" s="93" t="str">
        <f>IF(H23=0," ",IF((RANK(H23,H$5:H$24,1)-COUNTIF(H$5:H$24,0)&gt;6)," ",RANK(H23,H$5:H$24,1)-COUNTIF(H$5:H$24,0)))</f>
        <v xml:space="preserve"> </v>
      </c>
      <c r="K23" s="94" t="str">
        <f>IF(Table62202732333435[[#This Row],[Non-Member]]="X"," ",IF(J23=" "," ",IFERROR(VLOOKUP(I23,Points!$A$2:$B$14,2,FALSE)," ")))</f>
        <v xml:space="preserve"> </v>
      </c>
      <c r="L23" s="92"/>
      <c r="M23" s="93" t="str">
        <f>IF(L23=0," ",_xlfn.RANK.AVG(L23,L$5:L$24,1)-COUNTIF(L$5:L$24,0))</f>
        <v xml:space="preserve"> </v>
      </c>
      <c r="N23" s="93" t="str">
        <f>IF(L23=0," ",IF((RANK(L23,L$5:L$24,1)-COUNTIF(L$5:L$24,0)&gt;6)," ",RANK(L23,L$5:L$24,1)-COUNTIF(L$5:L$24,0)))</f>
        <v xml:space="preserve"> </v>
      </c>
      <c r="O23" s="94" t="str">
        <f>IF(Table62202732333435[[#This Row],[Non-Member]]="X"," ",IF(N23=" "," ",IFERROR(VLOOKUP(M23,Points!$A$2:$B$14,2,FALSE)," ")))</f>
        <v xml:space="preserve"> </v>
      </c>
      <c r="P23" s="92"/>
      <c r="Q23" s="93" t="str">
        <f>IF(P23=0," ",_xlfn.RANK.AVG(P23,P$5:P$24,1)-COUNTIF(P$5:P$24,0))</f>
        <v xml:space="preserve"> </v>
      </c>
      <c r="R23" s="93" t="str">
        <f>IF(P23=0," ",IF((RANK(P23,P$5:P$24,1)-COUNTIF(P$5:P$24,0)&gt;6)," ",RANK(P23,P$5:P$24,1)-COUNTIF(P$5:P$24,0)))</f>
        <v xml:space="preserve"> </v>
      </c>
      <c r="S23" s="94" t="str">
        <f>IF(Table62202732333435[[#This Row],[Non-Member]]="X"," ",IF(R23=" "," ",IFERROR(VLOOKUP(Q23,Points!$A$2:$B$14,2,FALSE)," ")))</f>
        <v xml:space="preserve"> </v>
      </c>
      <c r="T23" s="92"/>
      <c r="U23" s="93" t="str">
        <f>IF(T23=0," ",_xlfn.RANK.AVG(T23,T$5:T$24,1)-COUNTIF(T$5:T$24,0))</f>
        <v xml:space="preserve"> </v>
      </c>
      <c r="V23" s="93" t="str">
        <f>IF(T23=0," ",IF((RANK(T23,T$5:T$24,1)-COUNTIF(T$5:T$24,0)&gt;6)," ",RANK(T23,T$5:T$24,1)-COUNTIF(T$5:T$24,0)))</f>
        <v xml:space="preserve"> </v>
      </c>
      <c r="W23" s="94" t="str">
        <f>IF(Table62202732333435[[#This Row],[Non-Member]]="X"," ",IF(V23=" "," ",IFERROR(VLOOKUP(U23,Points!$A$2:$B$14,2,FALSE)," ")))</f>
        <v xml:space="preserve"> </v>
      </c>
      <c r="X23" s="92"/>
      <c r="Y23" s="93" t="str">
        <f>IF(X23=0," ",_xlfn.RANK.AVG(X23,X$5:X$24,1)-COUNTIF(X$5:X$24,0))</f>
        <v xml:space="preserve"> </v>
      </c>
      <c r="Z23" s="93" t="str">
        <f>IF(X23=0," ",IF((RANK(X23,X$5:X$24,1)-COUNTIF(X$5:X$24,0)&gt;6)," ",RANK(X23,X$5:X$24,1)-COUNTIF(X$5:X$24,0)))</f>
        <v xml:space="preserve"> </v>
      </c>
      <c r="AA23" s="94" t="str">
        <f>IF(Table62202732333435[[#This Row],[Non-Member]]="X"," ",IF(Z23=" "," ",IFERROR(VLOOKUP(Y23,Points!$A$2:$B$14,2,FALSE)," ")))</f>
        <v xml:space="preserve"> </v>
      </c>
      <c r="AB23" s="92"/>
      <c r="AC23" s="93" t="str">
        <f>IF(AB23=0," ",_xlfn.RANK.AVG(AB23,AB$5:AB$24,1)-COUNTIF(AB$5:AB$24,0))</f>
        <v xml:space="preserve"> </v>
      </c>
      <c r="AD23" s="93" t="str">
        <f>IF(AB23=0," ",IF((RANK(AB23,AB$5:AB$24,1)-COUNTIF(AB$5:AB$24,0)&gt;6)," ",RANK(AB23,AB$5:AB$24,1)-COUNTIF(AB$5:AB$24,0)))</f>
        <v xml:space="preserve"> </v>
      </c>
      <c r="AE23" s="94" t="str">
        <f>IF(Table62202732333435[[#This Row],[Non-Member]]="X"," ",IF(AD23=" "," ",IFERROR(VLOOKUP(AC23,Points!$A$2:$B$14,2,FALSE)," ")))</f>
        <v xml:space="preserve"> </v>
      </c>
      <c r="AF23" s="92" t="str">
        <f>IF(OR(X23=0,AB23=0)," ",X23+AB23)</f>
        <v xml:space="preserve"> </v>
      </c>
      <c r="AG23" s="93" t="str">
        <f>IF(OR(AF23=0,AF23=" ")," ",_xlfn.RANK.AVG(AF23,AF$5:AF$24,1)-COUNTIF(AF$5:AF$24,0))</f>
        <v xml:space="preserve"> </v>
      </c>
      <c r="AH23" s="93" t="str">
        <f>IF(OR(AF23=0,AF23=" ")," ",IF((RANK(AF23,AF$5:AF$24,1)-COUNTIF(AF$5:AF$24,0)&gt;6)," ",RANK(AF23,AF$5:AF$24,1)-COUNTIF(AF$5:AF$24,0)))</f>
        <v xml:space="preserve"> </v>
      </c>
      <c r="AI23" s="94" t="str">
        <f>IF(Table62202732333435[[#This Row],[Non-Member]]="X"," ",IF(AH23=" "," ",IFERROR(VLOOKUP(AG23,Points!$A$2:$B$14,2,FALSE)," ")))</f>
        <v xml:space="preserve"> </v>
      </c>
      <c r="AJ23" s="93">
        <f>IF(Table62202732333435[[#This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>IF(AJ23=0," ",AJ23)</f>
        <v xml:space="preserve"> </v>
      </c>
      <c r="AL23" s="96" t="str">
        <f>IF(AK23=" "," ",RANK(AK23,$AK$5:$AK$24))</f>
        <v xml:space="preserve"> </v>
      </c>
    </row>
    <row r="24" spans="2:38" ht="14.5" thickBot="1" x14ac:dyDescent="0.35">
      <c r="B24" s="100"/>
      <c r="C24" s="101"/>
      <c r="D24" s="102"/>
      <c r="E24" s="103" t="str">
        <f>IF(D24=0," ",_xlfn.RANK.AVG(D24,D$5:D$24,1)-COUNTIF(D$5:D$24,0))</f>
        <v xml:space="preserve"> </v>
      </c>
      <c r="F24" s="103" t="str">
        <f>IF(D24=0," ",IF((RANK(D24,D$5:D$24,1)-COUNTIF(D$5:D$24,0)&gt;6)," ",RANK(D24,D$5:D$24,1)-COUNTIF(D$5:D$24,0)))</f>
        <v xml:space="preserve"> </v>
      </c>
      <c r="G24" s="104" t="str">
        <f>IF(Table62202732333435[[#This Row],[Non-Member]]="X"," ",IF(F24=" "," ",IFERROR(VLOOKUP(E24,Points!$A$2:$B$14,2,FALSE)," ")))</f>
        <v xml:space="preserve"> </v>
      </c>
      <c r="H24" s="102"/>
      <c r="I24" s="103" t="str">
        <f>IF(H24=0," ",_xlfn.RANK.AVG(H24,H$5:H$24,1)-COUNTIF(H$5:H$24,0))</f>
        <v xml:space="preserve"> </v>
      </c>
      <c r="J24" s="103" t="str">
        <f>IF(H24=0," ",IF((RANK(H24,H$5:H$24,1)-COUNTIF(H$5:H$24,0)&gt;6)," ",RANK(H24,H$5:H$24,1)-COUNTIF(H$5:H$24,0)))</f>
        <v xml:space="preserve"> </v>
      </c>
      <c r="K24" s="104" t="str">
        <f>IF(Table62202732333435[[#This Row],[Non-Member]]="X"," ",IF(J24=" "," ",IFERROR(VLOOKUP(I24,Points!$A$2:$B$14,2,FALSE)," ")))</f>
        <v xml:space="preserve"> </v>
      </c>
      <c r="L24" s="102"/>
      <c r="M24" s="103" t="str">
        <f>IF(L24=0," ",_xlfn.RANK.AVG(L24,L$5:L$24,1)-COUNTIF(L$5:L$24,0))</f>
        <v xml:space="preserve"> </v>
      </c>
      <c r="N24" s="103" t="str">
        <f>IF(L24=0," ",IF((RANK(L24,L$5:L$24,1)-COUNTIF(L$5:L$24,0)&gt;6)," ",RANK(L24,L$5:L$24,1)-COUNTIF(L$5:L$24,0)))</f>
        <v xml:space="preserve"> </v>
      </c>
      <c r="O24" s="104" t="str">
        <f>IF(Table62202732333435[[#This Row],[Non-Member]]="X"," ",IF(N24=" "," ",IFERROR(VLOOKUP(M24,Points!$A$2:$B$14,2,FALSE)," ")))</f>
        <v xml:space="preserve"> </v>
      </c>
      <c r="P24" s="102"/>
      <c r="Q24" s="103" t="str">
        <f>IF(P24=0," ",_xlfn.RANK.AVG(P24,P$5:P$24,1)-COUNTIF(P$5:P$24,0))</f>
        <v xml:space="preserve"> </v>
      </c>
      <c r="R24" s="103" t="str">
        <f>IF(P24=0," ",IF((RANK(P24,P$5:P$24,1)-COUNTIF(P$5:P$24,0)&gt;6)," ",RANK(P24,P$5:P$24,1)-COUNTIF(P$5:P$24,0)))</f>
        <v xml:space="preserve"> </v>
      </c>
      <c r="S24" s="104" t="str">
        <f>IF(Table62202732333435[[#This Row],[Non-Member]]="X"," ",IF(R24=" "," ",IFERROR(VLOOKUP(Q24,Points!$A$2:$B$14,2,FALSE)," ")))</f>
        <v xml:space="preserve"> </v>
      </c>
      <c r="T24" s="102"/>
      <c r="U24" s="103" t="str">
        <f>IF(T24=0," ",_xlfn.RANK.AVG(T24,T$5:T$24,1)-COUNTIF(T$5:T$24,0))</f>
        <v xml:space="preserve"> </v>
      </c>
      <c r="V24" s="103" t="str">
        <f>IF(T24=0," ",IF((RANK(T24,T$5:T$24,1)-COUNTIF(T$5:T$24,0)&gt;6)," ",RANK(T24,T$5:T$24,1)-COUNTIF(T$5:T$24,0)))</f>
        <v xml:space="preserve"> </v>
      </c>
      <c r="W24" s="104" t="str">
        <f>IF(Table62202732333435[[#This Row],[Non-Member]]="X"," ",IF(V24=" "," ",IFERROR(VLOOKUP(U24,Points!$A$2:$B$14,2,FALSE)," ")))</f>
        <v xml:space="preserve"> </v>
      </c>
      <c r="X24" s="102"/>
      <c r="Y24" s="103" t="str">
        <f>IF(X24=0," ",_xlfn.RANK.AVG(X24,X$5:X$24,1)-COUNTIF(X$5:X$24,0))</f>
        <v xml:space="preserve"> </v>
      </c>
      <c r="Z24" s="103" t="str">
        <f>IF(X24=0," ",IF((RANK(X24,X$5:X$24,1)-COUNTIF(X$5:X$24,0)&gt;6)," ",RANK(X24,X$5:X$24,1)-COUNTIF(X$5:X$24,0)))</f>
        <v xml:space="preserve"> </v>
      </c>
      <c r="AA24" s="104" t="str">
        <f>IF(Table62202732333435[[#This Row],[Non-Member]]="X"," ",IF(Z24=" "," ",IFERROR(VLOOKUP(Y24,Points!$A$2:$B$14,2,FALSE)," ")))</f>
        <v xml:space="preserve"> </v>
      </c>
      <c r="AB24" s="102"/>
      <c r="AC24" s="103" t="str">
        <f>IF(AB24=0," ",_xlfn.RANK.AVG(AB24,AB$5:AB$24,1)-COUNTIF(AB$5:AB$24,0))</f>
        <v xml:space="preserve"> </v>
      </c>
      <c r="AD24" s="103" t="str">
        <f>IF(AB24=0," ",IF((RANK(AB24,AB$5:AB$24,1)-COUNTIF(AB$5:AB$24,0)&gt;6)," ",RANK(AB24,AB$5:AB$24,1)-COUNTIF(AB$5:AB$24,0)))</f>
        <v xml:space="preserve"> </v>
      </c>
      <c r="AE24" s="104" t="str">
        <f>IF(Table62202732333435[[#This Row],[Non-Member]]="X"," ",IF(AD24=" "," ",IFERROR(VLOOKUP(AC24,Points!$A$2:$B$14,2,FALSE)," ")))</f>
        <v xml:space="preserve"> </v>
      </c>
      <c r="AF24" s="102" t="str">
        <f>IF(OR(X24=0,AB24=0)," ",X24+AB24)</f>
        <v xml:space="preserve"> </v>
      </c>
      <c r="AG24" s="103" t="str">
        <f>IF(OR(AF24=0,AF24=" ")," ",_xlfn.RANK.AVG(AF24,AF$5:AF$24,1)-COUNTIF(AF$5:AF$24,0))</f>
        <v xml:space="preserve"> </v>
      </c>
      <c r="AH24" s="103" t="str">
        <f>IF(OR(AF24=0,AF24=" ")," ",IF((RANK(AF24,AF$5:AF$24,1)-COUNTIF(AF$5:AF$24,0)&gt;6)," ",RANK(AF24,AF$5:AF$24,1)-COUNTIF(AF$5:AF$24,0)))</f>
        <v xml:space="preserve"> </v>
      </c>
      <c r="AI24" s="104" t="str">
        <f>IF(Table62202732333435[[#This Row],[Non-Member]]="X"," ",IF(AH24=" "," ",IFERROR(VLOOKUP(AG24,Points!$A$2:$B$14,2,FALSE)," ")))</f>
        <v xml:space="preserve"> </v>
      </c>
      <c r="AJ24" s="93">
        <f>IF(Table62202732333435[[#This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>IF(AJ24=0," ",AJ24)</f>
        <v xml:space="preserve"> </v>
      </c>
      <c r="AL24" s="96" t="str">
        <f>IF(AK24=" "," ",RANK(AK24,$AK$5:$AK$24))</f>
        <v xml:space="preserve"> </v>
      </c>
    </row>
    <row r="25" spans="2:38" ht="14.5" thickBot="1" x14ac:dyDescent="0.35">
      <c r="B25" s="106" t="s">
        <v>190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sheetProtection algorithmName="SHA-512" hashValue="6fKKJ7o3okH1xyD83Avli91WTCS9erWTSJw7Biptw4BLDDCTQFuIqRX3lcjKyYm3Wmex8wpl9adKLT65wkavYQ==" saltValue="Pa21Gs+QsrO6O21Gl4gPE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7">
    <tabColor theme="4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D34" sqref="D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66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70</v>
      </c>
      <c r="C5" s="118">
        <f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f>
        <v>34.5</v>
      </c>
      <c r="G5" s="88">
        <f t="shared" ref="G5:G24" si="2">IF(F5&gt;0,F5," ")</f>
        <v>34.5</v>
      </c>
      <c r="H5" s="84">
        <f t="shared" ref="H5:H24" si="3">IF(F5=0," ",RANK(F5,F$5:F$24,0))</f>
        <v>3</v>
      </c>
      <c r="I5" s="119">
        <f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f>
        <v>58.5</v>
      </c>
      <c r="J5" s="88">
        <f t="shared" ref="J5:J24" si="4">IF(I5&gt;0,I5," ")</f>
        <v>58.5</v>
      </c>
      <c r="K5" s="84">
        <f t="shared" ref="K5:K24" si="5">IF(I5=0," ",RANK(I5,I$5:I$24,0))</f>
        <v>1</v>
      </c>
      <c r="L5" s="119">
        <f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f>
        <v>31.5</v>
      </c>
      <c r="M5" s="88">
        <f t="shared" ref="M5:M24" si="6">IF(L5&gt;0,L5," ")</f>
        <v>31.5</v>
      </c>
      <c r="N5" s="84">
        <f t="shared" ref="N5:N24" si="7">IF(L5=0," ",RANK(L5,L$5:L$24,0))</f>
        <v>3</v>
      </c>
      <c r="O5" s="119">
        <f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9">
        <f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124.5</v>
      </c>
      <c r="AB5" s="88">
        <f t="shared" ref="AB5:AB24" si="16">IF(AA5&gt;0,AA5," ")</f>
        <v>124.5</v>
      </c>
      <c r="AC5" s="84">
        <f t="shared" ref="AC5:AC24" si="17">IF(AB5=" "," ",RANK(AB5,AB$5:AB$24))</f>
        <v>1</v>
      </c>
    </row>
    <row r="6" spans="2:29" x14ac:dyDescent="0.3">
      <c r="B6" s="140" t="s">
        <v>67</v>
      </c>
      <c r="C6" s="120">
        <f>IFERROR(IF(VLOOKUP($B6,'MM B-Dummy Roping'!$B$5:$AI$24,6,FALSE)=" ",0,VLOOKUP($B6,'MM B-Dummy Roping'!$B$5:$AI$24,6,FALSE)),0)+IFERROR(IF(VLOOKUP($B6,'MM B-Flags'!$B$5:$AI$24,6,FALSE)=" ",0,VLOOKUP($B6,'MM B-Flags'!$B$5:$AI$24,6,FALSE)),0)+IFERROR(IF(VLOOKUP($B6,'MM B-Figure 8'!$B$5:$AI$24,6,FALSE)=" ",0,VLOOKUP($B6,'MM B-Figure 8'!$B$5:$AI$24,6,FALSE)),0)+IFERROR(IF(VLOOKUP($B6,'MM B-Goats'!$B$5:$AI$24,6,FALSE)=" ",0,VLOOKUP($B6,'MM B-Goats'!$B$5:$AI$24,6,FALSE)),0)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IFERROR(IF(VLOOKUP($B6,'MM B-Dummy Roping'!$B$5:$AI$24,10,FALSE)=" ",0,VLOOKUP($B6,'MM B-Dummy Roping'!$B$5:$AI$24,10,FALSE)),0)+IFERROR(IF(VLOOKUP($B6,'MM B-Flags'!$B$5:$AI$24,10,FALSE)=" ",0,VLOOKUP($B6,'MM B-Flags'!$B$5:$AI$24,10,FALSE)),0)+IFERROR(IF(VLOOKUP($B6,'MM B-Figure 8'!$B$5:$AI$24,10,FALSE)=" ",0,VLOOKUP($B6,'MM B-Figure 8'!$B$5:$AI$24,10,FALSE)),0)+IFERROR(IF(VLOOKUP($B6,'MM B-Goats'!$B$5:$AI$24,10,FALSE)=" ",0,VLOOKUP($B6,'MM B-Goats'!$B$5:$AI$24,10,FALSE)),0)</f>
        <v>30</v>
      </c>
      <c r="G6" s="95">
        <f t="shared" si="2"/>
        <v>30</v>
      </c>
      <c r="H6" s="91">
        <f t="shared" si="3"/>
        <v>4</v>
      </c>
      <c r="I6" s="121">
        <f>IFERROR(IF(VLOOKUP($B6,'MM B-Dummy Roping'!$B$5:$AI$24,14,FALSE)=" ",0,VLOOKUP($B6,'MM B-Dummy Roping'!$B$5:$AI$24,14,FALSE)),0)+IFERROR(IF(VLOOKUP($B6,'MM B-Flags'!$B$5:$AI$24,14,FALSE)=" ",0,VLOOKUP($B6,'MM B-Flags'!$B$5:$AI$24,14,FALSE)),0)+IFERROR(IF(VLOOKUP($B6,'MM B-Figure 8'!$B$5:$AI$24,14,FALSE)=" ",0,VLOOKUP($B6,'MM B-Figure 8'!$B$5:$AI$24,14,FALSE)),0)+IFERROR(IF(VLOOKUP($B6,'MM B-Goats'!$B$5:$AI$24,14,FALSE)=" ",0,VLOOKUP($B6,'MM B-Goats'!$B$5:$AI$24,14,FALSE)),0)</f>
        <v>31.5</v>
      </c>
      <c r="J6" s="95">
        <f t="shared" si="4"/>
        <v>31.5</v>
      </c>
      <c r="K6" s="91">
        <f t="shared" si="5"/>
        <v>3</v>
      </c>
      <c r="L6" s="121">
        <f>IFERROR(IF(VLOOKUP($B6,'MM B-Dummy Roping'!$B$5:$AI$24,18,FALSE)=" ",0,VLOOKUP($B6,'MM B-Dummy Roping'!$B$5:$AI$24,18,FALSE)),0)+IFERROR(IF(VLOOKUP($B6,'MM B-Flags'!$B$5:$AI$24,18,FALSE)=" ",0,VLOOKUP($B6,'MM B-Flags'!$B$5:$AI$24,18,FALSE)),0)+IFERROR(IF(VLOOKUP($B6,'MM B-Figure 8'!$B$5:$AI$24,18,FALSE)=" ",0,VLOOKUP($B6,'MM B-Figure 8'!$B$5:$AI$24,18,FALSE)),0)+IFERROR(IF(VLOOKUP($B6,'MM B-Goats'!$B$5:$AI$24,18,FALSE)=" ",0,VLOOKUP($B6,'MM B-Goats'!$B$5:$AI$24,18,FALSE)),0)</f>
        <v>49.5</v>
      </c>
      <c r="M6" s="95">
        <f t="shared" si="6"/>
        <v>49.5</v>
      </c>
      <c r="N6" s="91">
        <f t="shared" si="7"/>
        <v>1</v>
      </c>
      <c r="O6" s="121">
        <f>IFERROR(IF(VLOOKUP($B6,'MM B-Dummy Roping'!$B$5:$AI$24,22,FALSE)=" ",0,VLOOKUP($B6,'MM B-Dummy Roping'!$B$5:$AI$24,22,FALSE)),0)+IFERROR(IF(VLOOKUP($B6,'MM B-Flags'!$B$5:$AI$24,22,FALSE)=" ",0,VLOOKUP($B6,'MM B-Flags'!$B$5:$AI$24,22,FALSE)),0)+IFERROR(IF(VLOOKUP($B6,'MM B-Figure 8'!$B$5:$AI$24,22,FALSE)=" ",0,VLOOKUP($B6,'MM B-Figure 8'!$B$5:$AI$24,22,FALSE)),0)+IFERROR(IF(VLOOKUP($B6,'MM B-Goats'!$B$5:$AI$24,22,FALSE)=" ",0,VLOOKUP($B6,'MM B-Goats'!$B$5:$AI$24,22,FALSE)),0)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IFERROR(IF(VLOOKUP($B6,'MM B-Dummy Roping'!$B$5:$AI$24,26,FALSE)=" ",0,VLOOKUP($B6,'MM B-Dummy Roping'!$B$5:$AI$24,26,FALSE)),0)+IFERROR(IF(VLOOKUP($B6,'MM B-Flags'!$B$5:$AI$24,26,FALSE)=" ",0,VLOOKUP($B6,'MM B-Flags'!$B$5:$AI$24,26,FALSE)),0)+IFERROR(IF(VLOOKUP($B6,'MM B-Figure 8'!$B$5:$AI$24,26,FALSE)=" ",0,VLOOKUP($B6,'MM B-Figure 8'!$B$5:$AI$24,26,FALSE)),0)+IFERROR(IF(VLOOKUP($B6,'MM B-Goats'!$B$5:$AI$24,26,FALSE)=" ",0,VLOOKUP($B6,'MM B-Goats'!$B$5:$AI$24,26,FALSE)),0)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IFERROR(IF(VLOOKUP($B6,'MM B-Dummy Roping'!$B$5:$AI$24,30,FALSE)=" ",0,VLOOKUP($B6,'MM B-Dummy Roping'!$B$5:$AI$24,30,FALSE)),0)+IFERROR(IF(VLOOKUP($B6,'MM B-Flags'!$B$5:$AI$24,30,FALSE)=" ",0,VLOOKUP($B6,'MM B-Flags'!$B$5:$AI$24,30,FALSE)),0)+IFERROR(IF(VLOOKUP($B6,'MM B-Figure 8'!$B$5:$AI$24,30,FALSE)=" ",0,VLOOKUP($B6,'MM B-Figure 8'!$B$5:$AI$24,30,FALSE)),0)+IFERROR(IF(VLOOKUP($B6,'MM B-Goats'!$B$5:$AI$24,30,FALSE)=" ",0,VLOOKUP($B6,'MM B-Goats'!$B$5:$AI$24,30,FALSE)),0)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IFERROR(IF(VLOOKUP($B6,'MM B-Dummy Roping'!$B$5:$AI$24,34,FALSE)=" ",0,VLOOKUP($B6,'MM B-Dummy Roping'!$B$5:$AI$24,34,FALSE)),0)+IFERROR(IF(VLOOKUP($B6,'MM B-Flags'!$B$5:$AI$24,34,FALSE)=" ",0,VLOOKUP($B6,'MM B-Flags'!$B$5:$AI$24,34,FALSE)),0)+IFERROR(IF(VLOOKUP($B6,'MM B-Figure 8'!$B$5:$AI$24,34,FALSE)=" ",0,VLOOKUP($B6,'MM B-Figure 8'!$B$5:$AI$24,34,FALSE)),0)+IFERROR(IF(VLOOKUP($B6,'MM B-Goats'!$B$5:$AI$24,34,FALSE)=" ",0,VLOOKUP($B6,'MM B-Goats'!$B$5:$AI$24,34,FALSE)),0)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111</v>
      </c>
      <c r="AB6" s="95">
        <f t="shared" si="16"/>
        <v>111</v>
      </c>
      <c r="AC6" s="91">
        <f t="shared" si="17"/>
        <v>2</v>
      </c>
    </row>
    <row r="7" spans="2:29" x14ac:dyDescent="0.3">
      <c r="B7" s="152" t="s">
        <v>275</v>
      </c>
      <c r="C7" s="120">
        <f>IFERROR(IF(VLOOKUP($B7,'MM B-Dummy Roping'!$B$5:$AI$24,6,FALSE)=" ",0,VLOOKUP($B7,'MM B-Dummy Roping'!$B$5:$AI$24,6,FALSE)),0)+IFERROR(IF(VLOOKUP($B7,'MM B-Flags'!$B$5:$AI$24,6,FALSE)=" ",0,VLOOKUP($B7,'MM B-Flags'!$B$5:$AI$24,6,FALSE)),0)+IFERROR(IF(VLOOKUP($B7,'MM B-Figure 8'!$B$5:$AI$24,6,FALSE)=" ",0,VLOOKUP($B7,'MM B-Figure 8'!$B$5:$AI$24,6,FALSE)),0)+IFERROR(IF(VLOOKUP($B7,'MM B-Goats'!$B$5:$AI$24,6,FALSE)=" ",0,VLOOKUP($B7,'MM B-Goats'!$B$5:$AI$24,6,FALSE)),0)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IFERROR(IF(VLOOKUP($B7,'MM B-Dummy Roping'!$B$5:$AI$24,10,FALSE)=" ",0,VLOOKUP($B7,'MM B-Dummy Roping'!$B$5:$AI$24,10,FALSE)),0)+IFERROR(IF(VLOOKUP($B7,'MM B-Flags'!$B$5:$AI$24,10,FALSE)=" ",0,VLOOKUP($B7,'MM B-Flags'!$B$5:$AI$24,10,FALSE)),0)+IFERROR(IF(VLOOKUP($B7,'MM B-Figure 8'!$B$5:$AI$24,10,FALSE)=" ",0,VLOOKUP($B7,'MM B-Figure 8'!$B$5:$AI$24,10,FALSE)),0)+IFERROR(IF(VLOOKUP($B7,'MM B-Goats'!$B$5:$AI$24,10,FALSE)=" ",0,VLOOKUP($B7,'MM B-Goats'!$B$5:$AI$24,10,FALSE)),0)</f>
        <v>21</v>
      </c>
      <c r="G7" s="95">
        <f t="shared" si="2"/>
        <v>21</v>
      </c>
      <c r="H7" s="91">
        <f t="shared" si="3"/>
        <v>7</v>
      </c>
      <c r="I7" s="121">
        <f>IFERROR(IF(VLOOKUP($B7,'MM B-Dummy Roping'!$B$5:$AI$24,14,FALSE)=" ",0,VLOOKUP($B7,'MM B-Dummy Roping'!$B$5:$AI$24,14,FALSE)),0)+IFERROR(IF(VLOOKUP($B7,'MM B-Flags'!$B$5:$AI$24,14,FALSE)=" ",0,VLOOKUP($B7,'MM B-Flags'!$B$5:$AI$24,14,FALSE)),0)+IFERROR(IF(VLOOKUP($B7,'MM B-Figure 8'!$B$5:$AI$24,14,FALSE)=" ",0,VLOOKUP($B7,'MM B-Figure 8'!$B$5:$AI$24,14,FALSE)),0)+IFERROR(IF(VLOOKUP($B7,'MM B-Goats'!$B$5:$AI$24,14,FALSE)=" ",0,VLOOKUP($B7,'MM B-Goats'!$B$5:$AI$24,14,FALSE)),0)</f>
        <v>24</v>
      </c>
      <c r="J7" s="95">
        <f t="shared" si="4"/>
        <v>24</v>
      </c>
      <c r="K7" s="91">
        <f t="shared" si="5"/>
        <v>4</v>
      </c>
      <c r="L7" s="121">
        <f>IFERROR(IF(VLOOKUP($B7,'MM B-Dummy Roping'!$B$5:$AI$24,18,FALSE)=" ",0,VLOOKUP($B7,'MM B-Dummy Roping'!$B$5:$AI$24,18,FALSE)),0)+IFERROR(IF(VLOOKUP($B7,'MM B-Flags'!$B$5:$AI$24,18,FALSE)=" ",0,VLOOKUP($B7,'MM B-Flags'!$B$5:$AI$24,18,FALSE)),0)+IFERROR(IF(VLOOKUP($B7,'MM B-Figure 8'!$B$5:$AI$24,18,FALSE)=" ",0,VLOOKUP($B7,'MM B-Figure 8'!$B$5:$AI$24,18,FALSE)),0)+IFERROR(IF(VLOOKUP($B7,'MM B-Goats'!$B$5:$AI$24,18,FALSE)=" ",0,VLOOKUP($B7,'MM B-Goats'!$B$5:$AI$24,18,FALSE)),0)</f>
        <v>49.5</v>
      </c>
      <c r="M7" s="95">
        <f t="shared" si="6"/>
        <v>49.5</v>
      </c>
      <c r="N7" s="91">
        <f t="shared" si="7"/>
        <v>1</v>
      </c>
      <c r="O7" s="121">
        <f>IFERROR(IF(VLOOKUP($B7,'MM B-Dummy Roping'!$B$5:$AI$24,22,FALSE)=" ",0,VLOOKUP($B7,'MM B-Dummy Roping'!$B$5:$AI$24,22,FALSE)),0)+IFERROR(IF(VLOOKUP($B7,'MM B-Flags'!$B$5:$AI$24,22,FALSE)=" ",0,VLOOKUP($B7,'MM B-Flags'!$B$5:$AI$24,22,FALSE)),0)+IFERROR(IF(VLOOKUP($B7,'MM B-Figure 8'!$B$5:$AI$24,22,FALSE)=" ",0,VLOOKUP($B7,'MM B-Figure 8'!$B$5:$AI$24,22,FALSE)),0)+IFERROR(IF(VLOOKUP($B7,'MM B-Goats'!$B$5:$AI$24,22,FALSE)=" ",0,VLOOKUP($B7,'MM B-Goats'!$B$5:$AI$24,22,FALSE)),0)</f>
        <v>0</v>
      </c>
      <c r="P7" s="95" t="str">
        <f t="shared" si="8"/>
        <v xml:space="preserve"> </v>
      </c>
      <c r="Q7" s="91" t="str">
        <f t="shared" si="9"/>
        <v xml:space="preserve"> </v>
      </c>
      <c r="R7" s="121">
        <f>IFERROR(IF(VLOOKUP($B7,'MM B-Dummy Roping'!$B$5:$AI$24,26,FALSE)=" ",0,VLOOKUP($B7,'MM B-Dummy Roping'!$B$5:$AI$24,26,FALSE)),0)+IFERROR(IF(VLOOKUP($B7,'MM B-Flags'!$B$5:$AI$24,26,FALSE)=" ",0,VLOOKUP($B7,'MM B-Flags'!$B$5:$AI$24,26,FALSE)),0)+IFERROR(IF(VLOOKUP($B7,'MM B-Figure 8'!$B$5:$AI$24,26,FALSE)=" ",0,VLOOKUP($B7,'MM B-Figure 8'!$B$5:$AI$24,26,FALSE)),0)+IFERROR(IF(VLOOKUP($B7,'MM B-Goats'!$B$5:$AI$24,26,FALSE)=" ",0,VLOOKUP($B7,'MM B-Goats'!$B$5:$AI$24,26,FALSE)),0)</f>
        <v>0</v>
      </c>
      <c r="S7" s="95" t="str">
        <f t="shared" si="10"/>
        <v xml:space="preserve"> </v>
      </c>
      <c r="T7" s="91" t="str">
        <f t="shared" si="11"/>
        <v xml:space="preserve"> </v>
      </c>
      <c r="U7" s="121">
        <f>IFERROR(IF(VLOOKUP($B7,'MM B-Dummy Roping'!$B$5:$AI$24,30,FALSE)=" ",0,VLOOKUP($B7,'MM B-Dummy Roping'!$B$5:$AI$24,30,FALSE)),0)+IFERROR(IF(VLOOKUP($B7,'MM B-Flags'!$B$5:$AI$24,30,FALSE)=" ",0,VLOOKUP($B7,'MM B-Flags'!$B$5:$AI$24,30,FALSE)),0)+IFERROR(IF(VLOOKUP($B7,'MM B-Figure 8'!$B$5:$AI$24,30,FALSE)=" ",0,VLOOKUP($B7,'MM B-Figure 8'!$B$5:$AI$24,30,FALSE)),0)+IFERROR(IF(VLOOKUP($B7,'MM B-Goats'!$B$5:$AI$24,30,FALSE)=" ",0,VLOOKUP($B7,'MM B-Goats'!$B$5:$AI$24,30,FALSE)),0)</f>
        <v>0</v>
      </c>
      <c r="V7" s="95" t="str">
        <f t="shared" si="12"/>
        <v xml:space="preserve"> </v>
      </c>
      <c r="W7" s="91" t="str">
        <f t="shared" si="13"/>
        <v xml:space="preserve"> </v>
      </c>
      <c r="X7" s="121">
        <f>IFERROR(IF(VLOOKUP($B7,'MM B-Dummy Roping'!$B$5:$AI$24,34,FALSE)=" ",0,VLOOKUP($B7,'MM B-Dummy Roping'!$B$5:$AI$24,34,FALSE)),0)+IFERROR(IF(VLOOKUP($B7,'MM B-Flags'!$B$5:$AI$24,34,FALSE)=" ",0,VLOOKUP($B7,'MM B-Flags'!$B$5:$AI$24,34,FALSE)),0)+IFERROR(IF(VLOOKUP($B7,'MM B-Figure 8'!$B$5:$AI$24,34,FALSE)=" ",0,VLOOKUP($B7,'MM B-Figure 8'!$B$5:$AI$24,34,FALSE)),0)+IFERROR(IF(VLOOKUP($B7,'MM B-Goats'!$B$5:$AI$24,34,FALSE)=" ",0,VLOOKUP($B7,'MM B-Goats'!$B$5:$AI$24,34,FALSE)),0)</f>
        <v>0</v>
      </c>
      <c r="Y7" s="95" t="str">
        <f t="shared" si="14"/>
        <v xml:space="preserve"> </v>
      </c>
      <c r="Z7" s="91" t="str">
        <f t="shared" si="15"/>
        <v xml:space="preserve"> </v>
      </c>
      <c r="AA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94.5</v>
      </c>
      <c r="AB7" s="95">
        <f t="shared" si="16"/>
        <v>94.5</v>
      </c>
      <c r="AC7" s="91">
        <f t="shared" si="17"/>
        <v>3</v>
      </c>
    </row>
    <row r="8" spans="2:29" x14ac:dyDescent="0.3">
      <c r="B8" s="140" t="s">
        <v>187</v>
      </c>
      <c r="C8" s="120">
        <f>IFERROR(IF(VLOOKUP($B8,'MM B-Dummy Roping'!$B$5:$AI$24,6,FALSE)=" ",0,VLOOKUP($B8,'MM B-Dummy Roping'!$B$5:$AI$24,6,FALSE)),0)+IFERROR(IF(VLOOKUP($B8,'MM B-Flags'!$B$5:$AI$24,6,FALSE)=" ",0,VLOOKUP($B8,'MM B-Flags'!$B$5:$AI$24,6,FALSE)),0)+IFERROR(IF(VLOOKUP($B8,'MM B-Figure 8'!$B$5:$AI$24,6,FALSE)=" ",0,VLOOKUP($B8,'MM B-Figure 8'!$B$5:$AI$24,6,FALSE)),0)+IFERROR(IF(VLOOKUP($B8,'MM B-Goats'!$B$5:$AI$24,6,FALSE)=" ",0,VLOOKUP($B8,'MM B-Goats'!$B$5:$AI$24,6,FALSE)),0)</f>
        <v>0</v>
      </c>
      <c r="D8" s="95" t="str">
        <f t="shared" si="0"/>
        <v xml:space="preserve"> </v>
      </c>
      <c r="E8" s="122" t="str">
        <f t="shared" si="1"/>
        <v xml:space="preserve"> </v>
      </c>
      <c r="F8" s="121">
        <f>IFERROR(IF(VLOOKUP($B8,'MM B-Dummy Roping'!$B$5:$AI$24,10,FALSE)=" ",0,VLOOKUP($B8,'MM B-Dummy Roping'!$B$5:$AI$24,10,FALSE)),0)+IFERROR(IF(VLOOKUP($B8,'MM B-Flags'!$B$5:$AI$24,10,FALSE)=" ",0,VLOOKUP($B8,'MM B-Flags'!$B$5:$AI$24,10,FALSE)),0)+IFERROR(IF(VLOOKUP($B8,'MM B-Figure 8'!$B$5:$AI$24,10,FALSE)=" ",0,VLOOKUP($B8,'MM B-Figure 8'!$B$5:$AI$24,10,FALSE)),0)+IFERROR(IF(VLOOKUP($B8,'MM B-Goats'!$B$5:$AI$24,10,FALSE)=" ",0,VLOOKUP($B8,'MM B-Goats'!$B$5:$AI$24,10,FALSE)),0)</f>
        <v>27</v>
      </c>
      <c r="G8" s="95">
        <f t="shared" si="2"/>
        <v>27</v>
      </c>
      <c r="H8" s="122">
        <f t="shared" si="3"/>
        <v>6</v>
      </c>
      <c r="I8" s="121">
        <f>IFERROR(IF(VLOOKUP($B8,'MM B-Dummy Roping'!$B$5:$AI$24,14,FALSE)=" ",0,VLOOKUP($B8,'MM B-Dummy Roping'!$B$5:$AI$24,14,FALSE)),0)+IFERROR(IF(VLOOKUP($B8,'MM B-Flags'!$B$5:$AI$24,14,FALSE)=" ",0,VLOOKUP($B8,'MM B-Flags'!$B$5:$AI$24,14,FALSE)),0)+IFERROR(IF(VLOOKUP($B8,'MM B-Figure 8'!$B$5:$AI$24,14,FALSE)=" ",0,VLOOKUP($B8,'MM B-Figure 8'!$B$5:$AI$24,14,FALSE)),0)+IFERROR(IF(VLOOKUP($B8,'MM B-Goats'!$B$5:$AI$24,14,FALSE)=" ",0,VLOOKUP($B8,'MM B-Goats'!$B$5:$AI$24,14,FALSE)),0)</f>
        <v>46.5</v>
      </c>
      <c r="J8" s="95">
        <f t="shared" si="4"/>
        <v>46.5</v>
      </c>
      <c r="K8" s="122">
        <f t="shared" si="5"/>
        <v>2</v>
      </c>
      <c r="L8" s="121">
        <f>IFERROR(IF(VLOOKUP($B8,'MM B-Dummy Roping'!$B$5:$AI$24,18,FALSE)=" ",0,VLOOKUP($B8,'MM B-Dummy Roping'!$B$5:$AI$24,18,FALSE)),0)+IFERROR(IF(VLOOKUP($B8,'MM B-Flags'!$B$5:$AI$24,18,FALSE)=" ",0,VLOOKUP($B8,'MM B-Flags'!$B$5:$AI$24,18,FALSE)),0)+IFERROR(IF(VLOOKUP($B8,'MM B-Figure 8'!$B$5:$AI$24,18,FALSE)=" ",0,VLOOKUP($B8,'MM B-Figure 8'!$B$5:$AI$24,18,FALSE)),0)+IFERROR(IF(VLOOKUP($B8,'MM B-Goats'!$B$5:$AI$24,18,FALSE)=" ",0,VLOOKUP($B8,'MM B-Goats'!$B$5:$AI$24,18,FALSE)),0)</f>
        <v>18</v>
      </c>
      <c r="M8" s="95">
        <f t="shared" si="6"/>
        <v>18</v>
      </c>
      <c r="N8" s="122">
        <f t="shared" si="7"/>
        <v>5</v>
      </c>
      <c r="O8" s="121">
        <f>IFERROR(IF(VLOOKUP($B8,'MM B-Dummy Roping'!$B$5:$AI$24,22,FALSE)=" ",0,VLOOKUP($B8,'MM B-Dummy Roping'!$B$5:$AI$24,22,FALSE)),0)+IFERROR(IF(VLOOKUP($B8,'MM B-Flags'!$B$5:$AI$24,22,FALSE)=" ",0,VLOOKUP($B8,'MM B-Flags'!$B$5:$AI$24,22,FALSE)),0)+IFERROR(IF(VLOOKUP($B8,'MM B-Figure 8'!$B$5:$AI$24,22,FALSE)=" ",0,VLOOKUP($B8,'MM B-Figure 8'!$B$5:$AI$24,22,FALSE)),0)+IFERROR(IF(VLOOKUP($B8,'MM B-Goats'!$B$5:$AI$24,22,FALSE)=" ",0,VLOOKUP($B8,'MM B-Goats'!$B$5:$AI$24,22,FALSE)),0)</f>
        <v>0</v>
      </c>
      <c r="P8" s="95" t="str">
        <f t="shared" si="8"/>
        <v xml:space="preserve"> </v>
      </c>
      <c r="Q8" s="122" t="str">
        <f t="shared" si="9"/>
        <v xml:space="preserve"> </v>
      </c>
      <c r="R8" s="121">
        <f>IFERROR(IF(VLOOKUP($B8,'MM B-Dummy Roping'!$B$5:$AI$24,26,FALSE)=" ",0,VLOOKUP($B8,'MM B-Dummy Roping'!$B$5:$AI$24,26,FALSE)),0)+IFERROR(IF(VLOOKUP($B8,'MM B-Flags'!$B$5:$AI$24,26,FALSE)=" ",0,VLOOKUP($B8,'MM B-Flags'!$B$5:$AI$24,26,FALSE)),0)+IFERROR(IF(VLOOKUP($B8,'MM B-Figure 8'!$B$5:$AI$24,26,FALSE)=" ",0,VLOOKUP($B8,'MM B-Figure 8'!$B$5:$AI$24,26,FALSE)),0)+IFERROR(IF(VLOOKUP($B8,'MM B-Goats'!$B$5:$AI$24,26,FALSE)=" ",0,VLOOKUP($B8,'MM B-Goats'!$B$5:$AI$24,26,FALSE)),0)</f>
        <v>0</v>
      </c>
      <c r="S8" s="95" t="str">
        <f t="shared" si="10"/>
        <v xml:space="preserve"> </v>
      </c>
      <c r="T8" s="122" t="str">
        <f t="shared" si="11"/>
        <v xml:space="preserve"> </v>
      </c>
      <c r="U8" s="121">
        <f>IFERROR(IF(VLOOKUP($B8,'MM B-Dummy Roping'!$B$5:$AI$24,30,FALSE)=" ",0,VLOOKUP($B8,'MM B-Dummy Roping'!$B$5:$AI$24,30,FALSE)),0)+IFERROR(IF(VLOOKUP($B8,'MM B-Flags'!$B$5:$AI$24,30,FALSE)=" ",0,VLOOKUP($B8,'MM B-Flags'!$B$5:$AI$24,30,FALSE)),0)+IFERROR(IF(VLOOKUP($B8,'MM B-Figure 8'!$B$5:$AI$24,30,FALSE)=" ",0,VLOOKUP($B8,'MM B-Figure 8'!$B$5:$AI$24,30,FALSE)),0)+IFERROR(IF(VLOOKUP($B8,'MM B-Goats'!$B$5:$AI$24,30,FALSE)=" ",0,VLOOKUP($B8,'MM B-Goats'!$B$5:$AI$24,30,FALSE)),0)</f>
        <v>0</v>
      </c>
      <c r="V8" s="95" t="str">
        <f t="shared" si="12"/>
        <v xml:space="preserve"> </v>
      </c>
      <c r="W8" s="122" t="str">
        <f t="shared" si="13"/>
        <v xml:space="preserve"> </v>
      </c>
      <c r="X8" s="121">
        <f>IFERROR(IF(VLOOKUP($B8,'MM B-Dummy Roping'!$B$5:$AI$24,34,FALSE)=" ",0,VLOOKUP($B8,'MM B-Dummy Roping'!$B$5:$AI$24,34,FALSE)),0)+IFERROR(IF(VLOOKUP($B8,'MM B-Flags'!$B$5:$AI$24,34,FALSE)=" ",0,VLOOKUP($B8,'MM B-Flags'!$B$5:$AI$24,34,FALSE)),0)+IFERROR(IF(VLOOKUP($B8,'MM B-Figure 8'!$B$5:$AI$24,34,FALSE)=" ",0,VLOOKUP($B8,'MM B-Figure 8'!$B$5:$AI$24,34,FALSE)),0)+IFERROR(IF(VLOOKUP($B8,'MM B-Goats'!$B$5:$AI$24,34,FALSE)=" ",0,VLOOKUP($B8,'MM B-Goats'!$B$5:$AI$24,34,FALSE)),0)</f>
        <v>0</v>
      </c>
      <c r="Y8" s="95" t="str">
        <f t="shared" si="14"/>
        <v xml:space="preserve"> </v>
      </c>
      <c r="Z8" s="122" t="str">
        <f t="shared" si="15"/>
        <v xml:space="preserve"> </v>
      </c>
      <c r="AA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91.5</v>
      </c>
      <c r="AB8" s="95">
        <f t="shared" si="16"/>
        <v>91.5</v>
      </c>
      <c r="AC8" s="122">
        <f t="shared" si="17"/>
        <v>4</v>
      </c>
    </row>
    <row r="9" spans="2:29" x14ac:dyDescent="0.3">
      <c r="B9" s="140" t="s">
        <v>260</v>
      </c>
      <c r="C9" s="120">
        <f>IFERROR(IF(VLOOKUP($B9,'MM B-Dummy Roping'!$B$5:$AI$24,6,FALSE)=" ",0,VLOOKUP($B9,'MM B-Dummy Roping'!$B$5:$AI$24,6,FALSE)),0)+IFERROR(IF(VLOOKUP($B9,'MM B-Flags'!$B$5:$AI$24,6,FALSE)=" ",0,VLOOKUP($B9,'MM B-Flags'!$B$5:$AI$24,6,FALSE)),0)+IFERROR(IF(VLOOKUP($B9,'MM B-Figure 8'!$B$5:$AI$24,6,FALSE)=" ",0,VLOOKUP($B9,'MM B-Figure 8'!$B$5:$AI$24,6,FALSE)),0)+IFERROR(IF(VLOOKUP($B9,'MM B-Goats'!$B$5:$AI$24,6,FALSE)=" ",0,VLOOKUP($B9,'MM B-Goats'!$B$5:$AI$24,6,FALSE)),0)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IFERROR(IF(VLOOKUP($B9,'MM B-Dummy Roping'!$B$5:$AI$24,10,FALSE)=" ",0,VLOOKUP($B9,'MM B-Dummy Roping'!$B$5:$AI$24,10,FALSE)),0)+IFERROR(IF(VLOOKUP($B9,'MM B-Flags'!$B$5:$AI$24,10,FALSE)=" ",0,VLOOKUP($B9,'MM B-Flags'!$B$5:$AI$24,10,FALSE)),0)+IFERROR(IF(VLOOKUP($B9,'MM B-Figure 8'!$B$5:$AI$24,10,FALSE)=" ",0,VLOOKUP($B9,'MM B-Figure 8'!$B$5:$AI$24,10,FALSE)),0)+IFERROR(IF(VLOOKUP($B9,'MM B-Goats'!$B$5:$AI$24,10,FALSE)=" ",0,VLOOKUP($B9,'MM B-Goats'!$B$5:$AI$24,10,FALSE)),0)</f>
        <v>37.5</v>
      </c>
      <c r="G9" s="95">
        <f t="shared" si="2"/>
        <v>37.5</v>
      </c>
      <c r="H9" s="91">
        <f t="shared" si="3"/>
        <v>1</v>
      </c>
      <c r="I9" s="121">
        <f>IFERROR(IF(VLOOKUP($B9,'MM B-Dummy Roping'!$B$5:$AI$24,14,FALSE)=" ",0,VLOOKUP($B9,'MM B-Dummy Roping'!$B$5:$AI$24,14,FALSE)),0)+IFERROR(IF(VLOOKUP($B9,'MM B-Flags'!$B$5:$AI$24,14,FALSE)=" ",0,VLOOKUP($B9,'MM B-Flags'!$B$5:$AI$24,14,FALSE)),0)+IFERROR(IF(VLOOKUP($B9,'MM B-Figure 8'!$B$5:$AI$24,14,FALSE)=" ",0,VLOOKUP($B9,'MM B-Figure 8'!$B$5:$AI$24,14,FALSE)),0)+IFERROR(IF(VLOOKUP($B9,'MM B-Goats'!$B$5:$AI$24,14,FALSE)=" ",0,VLOOKUP($B9,'MM B-Goats'!$B$5:$AI$24,14,FALSE)),0)</f>
        <v>13.5</v>
      </c>
      <c r="J9" s="95">
        <f t="shared" si="4"/>
        <v>13.5</v>
      </c>
      <c r="K9" s="91">
        <f t="shared" si="5"/>
        <v>5</v>
      </c>
      <c r="L9" s="121">
        <f>IFERROR(IF(VLOOKUP($B9,'MM B-Dummy Roping'!$B$5:$AI$24,18,FALSE)=" ",0,VLOOKUP($B9,'MM B-Dummy Roping'!$B$5:$AI$24,18,FALSE)),0)+IFERROR(IF(VLOOKUP($B9,'MM B-Flags'!$B$5:$AI$24,18,FALSE)=" ",0,VLOOKUP($B9,'MM B-Flags'!$B$5:$AI$24,18,FALSE)),0)+IFERROR(IF(VLOOKUP($B9,'MM B-Figure 8'!$B$5:$AI$24,18,FALSE)=" ",0,VLOOKUP($B9,'MM B-Figure 8'!$B$5:$AI$24,18,FALSE)),0)+IFERROR(IF(VLOOKUP($B9,'MM B-Goats'!$B$5:$AI$24,18,FALSE)=" ",0,VLOOKUP($B9,'MM B-Goats'!$B$5:$AI$24,18,FALSE)),0)</f>
        <v>21</v>
      </c>
      <c r="M9" s="95">
        <f t="shared" si="6"/>
        <v>21</v>
      </c>
      <c r="N9" s="91">
        <f t="shared" si="7"/>
        <v>4</v>
      </c>
      <c r="O9" s="121">
        <f>IFERROR(IF(VLOOKUP($B9,'MM B-Dummy Roping'!$B$5:$AI$24,22,FALSE)=" ",0,VLOOKUP($B9,'MM B-Dummy Roping'!$B$5:$AI$24,22,FALSE)),0)+IFERROR(IF(VLOOKUP($B9,'MM B-Flags'!$B$5:$AI$24,22,FALSE)=" ",0,VLOOKUP($B9,'MM B-Flags'!$B$5:$AI$24,22,FALSE)),0)+IFERROR(IF(VLOOKUP($B9,'MM B-Figure 8'!$B$5:$AI$24,22,FALSE)=" ",0,VLOOKUP($B9,'MM B-Figure 8'!$B$5:$AI$24,22,FALSE)),0)+IFERROR(IF(VLOOKUP($B9,'MM B-Goats'!$B$5:$AI$24,22,FALSE)=" ",0,VLOOKUP($B9,'MM B-Goats'!$B$5:$AI$24,22,FALSE)),0)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IFERROR(IF(VLOOKUP($B9,'MM B-Dummy Roping'!$B$5:$AI$24,26,FALSE)=" ",0,VLOOKUP($B9,'MM B-Dummy Roping'!$B$5:$AI$24,26,FALSE)),0)+IFERROR(IF(VLOOKUP($B9,'MM B-Flags'!$B$5:$AI$24,26,FALSE)=" ",0,VLOOKUP($B9,'MM B-Flags'!$B$5:$AI$24,26,FALSE)),0)+IFERROR(IF(VLOOKUP($B9,'MM B-Figure 8'!$B$5:$AI$24,26,FALSE)=" ",0,VLOOKUP($B9,'MM B-Figure 8'!$B$5:$AI$24,26,FALSE)),0)+IFERROR(IF(VLOOKUP($B9,'MM B-Goats'!$B$5:$AI$24,26,FALSE)=" ",0,VLOOKUP($B9,'MM B-Goats'!$B$5:$AI$24,26,FALSE)),0)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IFERROR(IF(VLOOKUP($B9,'MM B-Dummy Roping'!$B$5:$AI$24,30,FALSE)=" ",0,VLOOKUP($B9,'MM B-Dummy Roping'!$B$5:$AI$24,30,FALSE)),0)+IFERROR(IF(VLOOKUP($B9,'MM B-Flags'!$B$5:$AI$24,30,FALSE)=" ",0,VLOOKUP($B9,'MM B-Flags'!$B$5:$AI$24,30,FALSE)),0)+IFERROR(IF(VLOOKUP($B9,'MM B-Figure 8'!$B$5:$AI$24,30,FALSE)=" ",0,VLOOKUP($B9,'MM B-Figure 8'!$B$5:$AI$24,30,FALSE)),0)+IFERROR(IF(VLOOKUP($B9,'MM B-Goats'!$B$5:$AI$24,30,FALSE)=" ",0,VLOOKUP($B9,'MM B-Goats'!$B$5:$AI$24,30,FALSE)),0)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IFERROR(IF(VLOOKUP($B9,'MM B-Dummy Roping'!$B$5:$AI$24,34,FALSE)=" ",0,VLOOKUP($B9,'MM B-Dummy Roping'!$B$5:$AI$24,34,FALSE)),0)+IFERROR(IF(VLOOKUP($B9,'MM B-Flags'!$B$5:$AI$24,34,FALSE)=" ",0,VLOOKUP($B9,'MM B-Flags'!$B$5:$AI$24,34,FALSE)),0)+IFERROR(IF(VLOOKUP($B9,'MM B-Figure 8'!$B$5:$AI$24,34,FALSE)=" ",0,VLOOKUP($B9,'MM B-Figure 8'!$B$5:$AI$24,34,FALSE)),0)+IFERROR(IF(VLOOKUP($B9,'MM B-Goats'!$B$5:$AI$24,34,FALSE)=" ",0,VLOOKUP($B9,'MM B-Goats'!$B$5:$AI$24,34,FALSE)),0)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72</v>
      </c>
      <c r="AB9" s="95">
        <f t="shared" si="16"/>
        <v>72</v>
      </c>
      <c r="AC9" s="91">
        <f t="shared" si="17"/>
        <v>5</v>
      </c>
    </row>
    <row r="10" spans="2:29" x14ac:dyDescent="0.3">
      <c r="B10" s="140" t="s">
        <v>274</v>
      </c>
      <c r="C10" s="120">
        <f>IFERROR(IF(VLOOKUP($B10,'MM B-Dummy Roping'!$B$5:$AI$24,6,FALSE)=" ",0,VLOOKUP($B10,'MM B-Dummy Roping'!$B$5:$AI$24,6,FALSE)),0)+IFERROR(IF(VLOOKUP($B10,'MM B-Flags'!$B$5:$AI$24,6,FALSE)=" ",0,VLOOKUP($B10,'MM B-Flags'!$B$5:$AI$24,6,FALSE)),0)+IFERROR(IF(VLOOKUP($B10,'MM B-Figure 8'!$B$5:$AI$24,6,FALSE)=" ",0,VLOOKUP($B10,'MM B-Figure 8'!$B$5:$AI$24,6,FALSE)),0)+IFERROR(IF(VLOOKUP($B10,'MM B-Goats'!$B$5:$AI$24,6,FALSE)=" ",0,VLOOKUP($B10,'MM B-Goats'!$B$5:$AI$24,6,FALSE)),0)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IFERROR(IF(VLOOKUP($B10,'MM B-Dummy Roping'!$B$5:$AI$24,10,FALSE)=" ",0,VLOOKUP($B10,'MM B-Dummy Roping'!$B$5:$AI$24,10,FALSE)),0)+IFERROR(IF(VLOOKUP($B10,'MM B-Flags'!$B$5:$AI$24,10,FALSE)=" ",0,VLOOKUP($B10,'MM B-Flags'!$B$5:$AI$24,10,FALSE)),0)+IFERROR(IF(VLOOKUP($B10,'MM B-Figure 8'!$B$5:$AI$24,10,FALSE)=" ",0,VLOOKUP($B10,'MM B-Figure 8'!$B$5:$AI$24,10,FALSE)),0)+IFERROR(IF(VLOOKUP($B10,'MM B-Goats'!$B$5:$AI$24,10,FALSE)=" ",0,VLOOKUP($B10,'MM B-Goats'!$B$5:$AI$24,10,FALSE)),0)</f>
        <v>37.5</v>
      </c>
      <c r="G10" s="95">
        <f t="shared" si="2"/>
        <v>37.5</v>
      </c>
      <c r="H10" s="91">
        <f t="shared" si="3"/>
        <v>1</v>
      </c>
      <c r="I10" s="121">
        <f>IFERROR(IF(VLOOKUP($B10,'MM B-Dummy Roping'!$B$5:$AI$24,14,FALSE)=" ",0,VLOOKUP($B10,'MM B-Dummy Roping'!$B$5:$AI$24,14,FALSE)),0)+IFERROR(IF(VLOOKUP($B10,'MM B-Flags'!$B$5:$AI$24,14,FALSE)=" ",0,VLOOKUP($B10,'MM B-Flags'!$B$5:$AI$24,14,FALSE)),0)+IFERROR(IF(VLOOKUP($B10,'MM B-Figure 8'!$B$5:$AI$24,14,FALSE)=" ",0,VLOOKUP($B10,'MM B-Figure 8'!$B$5:$AI$24,14,FALSE)),0)+IFERROR(IF(VLOOKUP($B10,'MM B-Goats'!$B$5:$AI$24,14,FALSE)=" ",0,VLOOKUP($B10,'MM B-Goats'!$B$5:$AI$24,14,FALSE)),0)</f>
        <v>13.5</v>
      </c>
      <c r="J10" s="95">
        <f t="shared" si="4"/>
        <v>13.5</v>
      </c>
      <c r="K10" s="91">
        <f t="shared" si="5"/>
        <v>5</v>
      </c>
      <c r="L10" s="121">
        <f>IFERROR(IF(VLOOKUP($B10,'MM B-Dummy Roping'!$B$5:$AI$24,18,FALSE)=" ",0,VLOOKUP($B10,'MM B-Dummy Roping'!$B$5:$AI$24,18,FALSE)),0)+IFERROR(IF(VLOOKUP($B10,'MM B-Flags'!$B$5:$AI$24,18,FALSE)=" ",0,VLOOKUP($B10,'MM B-Flags'!$B$5:$AI$24,18,FALSE)),0)+IFERROR(IF(VLOOKUP($B10,'MM B-Figure 8'!$B$5:$AI$24,18,FALSE)=" ",0,VLOOKUP($B10,'MM B-Figure 8'!$B$5:$AI$24,18,FALSE)),0)+IFERROR(IF(VLOOKUP($B10,'MM B-Goats'!$B$5:$AI$24,18,FALSE)=" ",0,VLOOKUP($B10,'MM B-Goats'!$B$5:$AI$24,18,FALSE)),0)</f>
        <v>4.5</v>
      </c>
      <c r="M10" s="95">
        <f t="shared" si="6"/>
        <v>4.5</v>
      </c>
      <c r="N10" s="91">
        <f t="shared" si="7"/>
        <v>9</v>
      </c>
      <c r="O10" s="121">
        <f>IFERROR(IF(VLOOKUP($B10,'MM B-Dummy Roping'!$B$5:$AI$24,22,FALSE)=" ",0,VLOOKUP($B10,'MM B-Dummy Roping'!$B$5:$AI$24,22,FALSE)),0)+IFERROR(IF(VLOOKUP($B10,'MM B-Flags'!$B$5:$AI$24,22,FALSE)=" ",0,VLOOKUP($B10,'MM B-Flags'!$B$5:$AI$24,22,FALSE)),0)+IFERROR(IF(VLOOKUP($B10,'MM B-Figure 8'!$B$5:$AI$24,22,FALSE)=" ",0,VLOOKUP($B10,'MM B-Figure 8'!$B$5:$AI$24,22,FALSE)),0)+IFERROR(IF(VLOOKUP($B10,'MM B-Goats'!$B$5:$AI$24,22,FALSE)=" ",0,VLOOKUP($B10,'MM B-Goats'!$B$5:$AI$24,22,FALSE)),0)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IFERROR(IF(VLOOKUP($B10,'MM B-Dummy Roping'!$B$5:$AI$24,26,FALSE)=" ",0,VLOOKUP($B10,'MM B-Dummy Roping'!$B$5:$AI$24,26,FALSE)),0)+IFERROR(IF(VLOOKUP($B10,'MM B-Flags'!$B$5:$AI$24,26,FALSE)=" ",0,VLOOKUP($B10,'MM B-Flags'!$B$5:$AI$24,26,FALSE)),0)+IFERROR(IF(VLOOKUP($B10,'MM B-Figure 8'!$B$5:$AI$24,26,FALSE)=" ",0,VLOOKUP($B10,'MM B-Figure 8'!$B$5:$AI$24,26,FALSE)),0)+IFERROR(IF(VLOOKUP($B10,'MM B-Goats'!$B$5:$AI$24,26,FALSE)=" ",0,VLOOKUP($B10,'MM B-Goats'!$B$5:$AI$24,26,FALSE)),0)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IFERROR(IF(VLOOKUP($B10,'MM B-Dummy Roping'!$B$5:$AI$24,30,FALSE)=" ",0,VLOOKUP($B10,'MM B-Dummy Roping'!$B$5:$AI$24,30,FALSE)),0)+IFERROR(IF(VLOOKUP($B10,'MM B-Flags'!$B$5:$AI$24,30,FALSE)=" ",0,VLOOKUP($B10,'MM B-Flags'!$B$5:$AI$24,30,FALSE)),0)+IFERROR(IF(VLOOKUP($B10,'MM B-Figure 8'!$B$5:$AI$24,30,FALSE)=" ",0,VLOOKUP($B10,'MM B-Figure 8'!$B$5:$AI$24,30,FALSE)),0)+IFERROR(IF(VLOOKUP($B10,'MM B-Goats'!$B$5:$AI$24,30,FALSE)=" ",0,VLOOKUP($B10,'MM B-Goats'!$B$5:$AI$24,30,FALSE)),0)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IFERROR(IF(VLOOKUP($B10,'MM B-Dummy Roping'!$B$5:$AI$24,34,FALSE)=" ",0,VLOOKUP($B10,'MM B-Dummy Roping'!$B$5:$AI$24,34,FALSE)),0)+IFERROR(IF(VLOOKUP($B10,'MM B-Flags'!$B$5:$AI$24,34,FALSE)=" ",0,VLOOKUP($B10,'MM B-Flags'!$B$5:$AI$24,34,FALSE)),0)+IFERROR(IF(VLOOKUP($B10,'MM B-Figure 8'!$B$5:$AI$24,34,FALSE)=" ",0,VLOOKUP($B10,'MM B-Figure 8'!$B$5:$AI$24,34,FALSE)),0)+IFERROR(IF(VLOOKUP($B10,'MM B-Goats'!$B$5:$AI$24,34,FALSE)=" ",0,VLOOKUP($B10,'MM B-Goats'!$B$5:$AI$24,34,FALSE)),0)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55.5</v>
      </c>
      <c r="AB10" s="95">
        <f t="shared" si="16"/>
        <v>55.5</v>
      </c>
      <c r="AC10" s="91">
        <f t="shared" si="17"/>
        <v>6</v>
      </c>
    </row>
    <row r="11" spans="2:29" x14ac:dyDescent="0.3">
      <c r="B11" s="152" t="s">
        <v>72</v>
      </c>
      <c r="C11" s="120">
        <f>IFERROR(IF(VLOOKUP($B11,'MM B-Dummy Roping'!$B$5:$AI$24,6,FALSE)=" ",0,VLOOKUP($B11,'MM B-Dummy Roping'!$B$5:$AI$24,6,FALSE)),0)+IFERROR(IF(VLOOKUP($B11,'MM B-Flags'!$B$5:$AI$24,6,FALSE)=" ",0,VLOOKUP($B11,'MM B-Flags'!$B$5:$AI$24,6,FALSE)),0)+IFERROR(IF(VLOOKUP($B11,'MM B-Figure 8'!$B$5:$AI$24,6,FALSE)=" ",0,VLOOKUP($B11,'MM B-Figure 8'!$B$5:$AI$24,6,FALSE)),0)+IFERROR(IF(VLOOKUP($B11,'MM B-Goats'!$B$5:$AI$24,6,FALSE)=" ",0,VLOOKUP($B11,'MM B-Goats'!$B$5:$AI$24,6,FALSE)),0)</f>
        <v>0</v>
      </c>
      <c r="D11" s="95" t="str">
        <f t="shared" si="0"/>
        <v xml:space="preserve"> </v>
      </c>
      <c r="E11" s="91" t="str">
        <f t="shared" si="1"/>
        <v xml:space="preserve"> </v>
      </c>
      <c r="F11" s="121">
        <f>IFERROR(IF(VLOOKUP($B11,'MM B-Dummy Roping'!$B$5:$AI$24,10,FALSE)=" ",0,VLOOKUP($B11,'MM B-Dummy Roping'!$B$5:$AI$24,10,FALSE)),0)+IFERROR(IF(VLOOKUP($B11,'MM B-Flags'!$B$5:$AI$24,10,FALSE)=" ",0,VLOOKUP($B11,'MM B-Flags'!$B$5:$AI$24,10,FALSE)),0)+IFERROR(IF(VLOOKUP($B11,'MM B-Figure 8'!$B$5:$AI$24,10,FALSE)=" ",0,VLOOKUP($B11,'MM B-Figure 8'!$B$5:$AI$24,10,FALSE)),0)+IFERROR(IF(VLOOKUP($B11,'MM B-Goats'!$B$5:$AI$24,10,FALSE)=" ",0,VLOOKUP($B11,'MM B-Goats'!$B$5:$AI$24,10,FALSE)),0)</f>
        <v>30</v>
      </c>
      <c r="G11" s="95">
        <f t="shared" si="2"/>
        <v>30</v>
      </c>
      <c r="H11" s="91">
        <f t="shared" si="3"/>
        <v>4</v>
      </c>
      <c r="I11" s="121">
        <f>IFERROR(IF(VLOOKUP($B11,'MM B-Dummy Roping'!$B$5:$AI$24,14,FALSE)=" ",0,VLOOKUP($B11,'MM B-Dummy Roping'!$B$5:$AI$24,14,FALSE)),0)+IFERROR(IF(VLOOKUP($B11,'MM B-Flags'!$B$5:$AI$24,14,FALSE)=" ",0,VLOOKUP($B11,'MM B-Flags'!$B$5:$AI$24,14,FALSE)),0)+IFERROR(IF(VLOOKUP($B11,'MM B-Figure 8'!$B$5:$AI$24,14,FALSE)=" ",0,VLOOKUP($B11,'MM B-Figure 8'!$B$5:$AI$24,14,FALSE)),0)+IFERROR(IF(VLOOKUP($B11,'MM B-Goats'!$B$5:$AI$24,14,FALSE)=" ",0,VLOOKUP($B11,'MM B-Goats'!$B$5:$AI$24,14,FALSE)),0)</f>
        <v>10.5</v>
      </c>
      <c r="J11" s="95">
        <f t="shared" si="4"/>
        <v>10.5</v>
      </c>
      <c r="K11" s="91">
        <f t="shared" si="5"/>
        <v>8</v>
      </c>
      <c r="L11" s="121">
        <f>IFERROR(IF(VLOOKUP($B11,'MM B-Dummy Roping'!$B$5:$AI$24,18,FALSE)=" ",0,VLOOKUP($B11,'MM B-Dummy Roping'!$B$5:$AI$24,18,FALSE)),0)+IFERROR(IF(VLOOKUP($B11,'MM B-Flags'!$B$5:$AI$24,18,FALSE)=" ",0,VLOOKUP($B11,'MM B-Flags'!$B$5:$AI$24,18,FALSE)),0)+IFERROR(IF(VLOOKUP($B11,'MM B-Figure 8'!$B$5:$AI$24,18,FALSE)=" ",0,VLOOKUP($B11,'MM B-Figure 8'!$B$5:$AI$24,18,FALSE)),0)+IFERROR(IF(VLOOKUP($B11,'MM B-Goats'!$B$5:$AI$24,18,FALSE)=" ",0,VLOOKUP($B11,'MM B-Goats'!$B$5:$AI$24,18,FALSE)),0)</f>
        <v>9</v>
      </c>
      <c r="M11" s="95">
        <f t="shared" si="6"/>
        <v>9</v>
      </c>
      <c r="N11" s="91">
        <f t="shared" si="7"/>
        <v>7</v>
      </c>
      <c r="O11" s="121">
        <f>IFERROR(IF(VLOOKUP($B11,'MM B-Dummy Roping'!$B$5:$AI$24,22,FALSE)=" ",0,VLOOKUP($B11,'MM B-Dummy Roping'!$B$5:$AI$24,22,FALSE)),0)+IFERROR(IF(VLOOKUP($B11,'MM B-Flags'!$B$5:$AI$24,22,FALSE)=" ",0,VLOOKUP($B11,'MM B-Flags'!$B$5:$AI$24,22,FALSE)),0)+IFERROR(IF(VLOOKUP($B11,'MM B-Figure 8'!$B$5:$AI$24,22,FALSE)=" ",0,VLOOKUP($B11,'MM B-Figure 8'!$B$5:$AI$24,22,FALSE)),0)+IFERROR(IF(VLOOKUP($B11,'MM B-Goats'!$B$5:$AI$24,22,FALSE)=" ",0,VLOOKUP($B11,'MM B-Goats'!$B$5:$AI$24,22,FALSE)),0)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IFERROR(IF(VLOOKUP($B11,'MM B-Dummy Roping'!$B$5:$AI$24,26,FALSE)=" ",0,VLOOKUP($B11,'MM B-Dummy Roping'!$B$5:$AI$24,26,FALSE)),0)+IFERROR(IF(VLOOKUP($B11,'MM B-Flags'!$B$5:$AI$24,26,FALSE)=" ",0,VLOOKUP($B11,'MM B-Flags'!$B$5:$AI$24,26,FALSE)),0)+IFERROR(IF(VLOOKUP($B11,'MM B-Figure 8'!$B$5:$AI$24,26,FALSE)=" ",0,VLOOKUP($B11,'MM B-Figure 8'!$B$5:$AI$24,26,FALSE)),0)+IFERROR(IF(VLOOKUP($B11,'MM B-Goats'!$B$5:$AI$24,26,FALSE)=" ",0,VLOOKUP($B11,'MM B-Goats'!$B$5:$AI$24,26,FALSE)),0)</f>
        <v>0</v>
      </c>
      <c r="S11" s="95" t="str">
        <f t="shared" si="10"/>
        <v xml:space="preserve"> </v>
      </c>
      <c r="T11" s="91" t="str">
        <f t="shared" si="11"/>
        <v xml:space="preserve"> </v>
      </c>
      <c r="U11" s="121">
        <f>IFERROR(IF(VLOOKUP($B11,'MM B-Dummy Roping'!$B$5:$AI$24,30,FALSE)=" ",0,VLOOKUP($B11,'MM B-Dummy Roping'!$B$5:$AI$24,30,FALSE)),0)+IFERROR(IF(VLOOKUP($B11,'MM B-Flags'!$B$5:$AI$24,30,FALSE)=" ",0,VLOOKUP($B11,'MM B-Flags'!$B$5:$AI$24,30,FALSE)),0)+IFERROR(IF(VLOOKUP($B11,'MM B-Figure 8'!$B$5:$AI$24,30,FALSE)=" ",0,VLOOKUP($B11,'MM B-Figure 8'!$B$5:$AI$24,30,FALSE)),0)+IFERROR(IF(VLOOKUP($B11,'MM B-Goats'!$B$5:$AI$24,30,FALSE)=" ",0,VLOOKUP($B11,'MM B-Goats'!$B$5:$AI$24,30,FALSE)),0)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IFERROR(IF(VLOOKUP($B11,'MM B-Dummy Roping'!$B$5:$AI$24,34,FALSE)=" ",0,VLOOKUP($B11,'MM B-Dummy Roping'!$B$5:$AI$24,34,FALSE)),0)+IFERROR(IF(VLOOKUP($B11,'MM B-Flags'!$B$5:$AI$24,34,FALSE)=" ",0,VLOOKUP($B11,'MM B-Flags'!$B$5:$AI$24,34,FALSE)),0)+IFERROR(IF(VLOOKUP($B11,'MM B-Figure 8'!$B$5:$AI$24,34,FALSE)=" ",0,VLOOKUP($B11,'MM B-Figure 8'!$B$5:$AI$24,34,FALSE)),0)+IFERROR(IF(VLOOKUP($B11,'MM B-Goats'!$B$5:$AI$24,34,FALSE)=" ",0,VLOOKUP($B11,'MM B-Goats'!$B$5:$AI$24,34,FALSE)),0)</f>
        <v>0</v>
      </c>
      <c r="Y11" s="95" t="str">
        <f t="shared" si="14"/>
        <v xml:space="preserve"> </v>
      </c>
      <c r="Z11" s="91" t="str">
        <f t="shared" si="15"/>
        <v xml:space="preserve"> </v>
      </c>
      <c r="AA1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49.5</v>
      </c>
      <c r="AB11" s="95">
        <f t="shared" si="16"/>
        <v>49.5</v>
      </c>
      <c r="AC11" s="91">
        <f t="shared" si="17"/>
        <v>7</v>
      </c>
    </row>
    <row r="12" spans="2:29" x14ac:dyDescent="0.3">
      <c r="B12" s="152" t="s">
        <v>323</v>
      </c>
      <c r="C12" s="120">
        <f>IFERROR(IF(VLOOKUP($B12,'MM B-Dummy Roping'!$B$5:$AI$24,6,FALSE)=" ",0,VLOOKUP($B12,'MM B-Dummy Roping'!$B$5:$AI$24,6,FALSE)),0)+IFERROR(IF(VLOOKUP($B12,'MM B-Flags'!$B$5:$AI$24,6,FALSE)=" ",0,VLOOKUP($B12,'MM B-Flags'!$B$5:$AI$24,6,FALSE)),0)+IFERROR(IF(VLOOKUP($B12,'MM B-Figure 8'!$B$5:$AI$24,6,FALSE)=" ",0,VLOOKUP($B12,'MM B-Figure 8'!$B$5:$AI$24,6,FALSE)),0)+IFERROR(IF(VLOOKUP($B12,'MM B-Goats'!$B$5:$AI$24,6,FALSE)=" ",0,VLOOKUP($B12,'MM B-Goats'!$B$5:$AI$24,6,FALSE)),0)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IFERROR(IF(VLOOKUP($B12,'MM B-Dummy Roping'!$B$5:$AI$24,10,FALSE)=" ",0,VLOOKUP($B12,'MM B-Dummy Roping'!$B$5:$AI$24,10,FALSE)),0)+IFERROR(IF(VLOOKUP($B12,'MM B-Flags'!$B$5:$AI$24,10,FALSE)=" ",0,VLOOKUP($B12,'MM B-Flags'!$B$5:$AI$24,10,FALSE)),0)+IFERROR(IF(VLOOKUP($B12,'MM B-Figure 8'!$B$5:$AI$24,10,FALSE)=" ",0,VLOOKUP($B12,'MM B-Figure 8'!$B$5:$AI$24,10,FALSE)),0)+IFERROR(IF(VLOOKUP($B12,'MM B-Goats'!$B$5:$AI$24,10,FALSE)=" ",0,VLOOKUP($B12,'MM B-Goats'!$B$5:$AI$24,10,FALSE)),0)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IFERROR(IF(VLOOKUP($B12,'MM B-Dummy Roping'!$B$5:$AI$24,14,FALSE)=" ",0,VLOOKUP($B12,'MM B-Dummy Roping'!$B$5:$AI$24,14,FALSE)),0)+IFERROR(IF(VLOOKUP($B12,'MM B-Flags'!$B$5:$AI$24,14,FALSE)=" ",0,VLOOKUP($B12,'MM B-Flags'!$B$5:$AI$24,14,FALSE)),0)+IFERROR(IF(VLOOKUP($B12,'MM B-Figure 8'!$B$5:$AI$24,14,FALSE)=" ",0,VLOOKUP($B12,'MM B-Figure 8'!$B$5:$AI$24,14,FALSE)),0)+IFERROR(IF(VLOOKUP($B12,'MM B-Goats'!$B$5:$AI$24,14,FALSE)=" ",0,VLOOKUP($B12,'MM B-Goats'!$B$5:$AI$24,14,FALSE)),0)</f>
        <v>12</v>
      </c>
      <c r="J12" s="95">
        <f t="shared" si="4"/>
        <v>12</v>
      </c>
      <c r="K12" s="91">
        <f t="shared" si="5"/>
        <v>7</v>
      </c>
      <c r="L12" s="121">
        <f>IFERROR(IF(VLOOKUP($B12,'MM B-Dummy Roping'!$B$5:$AI$24,18,FALSE)=" ",0,VLOOKUP($B12,'MM B-Dummy Roping'!$B$5:$AI$24,18,FALSE)),0)+IFERROR(IF(VLOOKUP($B12,'MM B-Flags'!$B$5:$AI$24,18,FALSE)=" ",0,VLOOKUP($B12,'MM B-Flags'!$B$5:$AI$24,18,FALSE)),0)+IFERROR(IF(VLOOKUP($B12,'MM B-Figure 8'!$B$5:$AI$24,18,FALSE)=" ",0,VLOOKUP($B12,'MM B-Figure 8'!$B$5:$AI$24,18,FALSE)),0)+IFERROR(IF(VLOOKUP($B12,'MM B-Goats'!$B$5:$AI$24,18,FALSE)=" ",0,VLOOKUP($B12,'MM B-Goats'!$B$5:$AI$24,18,FALSE)),0)</f>
        <v>12</v>
      </c>
      <c r="M12" s="95">
        <f t="shared" si="6"/>
        <v>12</v>
      </c>
      <c r="N12" s="91">
        <f t="shared" si="7"/>
        <v>6</v>
      </c>
      <c r="O12" s="121">
        <f>IFERROR(IF(VLOOKUP($B12,'MM B-Dummy Roping'!$B$5:$AI$24,22,FALSE)=" ",0,VLOOKUP($B12,'MM B-Dummy Roping'!$B$5:$AI$24,22,FALSE)),0)+IFERROR(IF(VLOOKUP($B12,'MM B-Flags'!$B$5:$AI$24,22,FALSE)=" ",0,VLOOKUP($B12,'MM B-Flags'!$B$5:$AI$24,22,FALSE)),0)+IFERROR(IF(VLOOKUP($B12,'MM B-Figure 8'!$B$5:$AI$24,22,FALSE)=" ",0,VLOOKUP($B12,'MM B-Figure 8'!$B$5:$AI$24,22,FALSE)),0)+IFERROR(IF(VLOOKUP($B12,'MM B-Goats'!$B$5:$AI$24,22,FALSE)=" ",0,VLOOKUP($B12,'MM B-Goats'!$B$5:$AI$24,22,FALSE)),0)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IFERROR(IF(VLOOKUP($B12,'MM B-Dummy Roping'!$B$5:$AI$24,26,FALSE)=" ",0,VLOOKUP($B12,'MM B-Dummy Roping'!$B$5:$AI$24,26,FALSE)),0)+IFERROR(IF(VLOOKUP($B12,'MM B-Flags'!$B$5:$AI$24,26,FALSE)=" ",0,VLOOKUP($B12,'MM B-Flags'!$B$5:$AI$24,26,FALSE)),0)+IFERROR(IF(VLOOKUP($B12,'MM B-Figure 8'!$B$5:$AI$24,26,FALSE)=" ",0,VLOOKUP($B12,'MM B-Figure 8'!$B$5:$AI$24,26,FALSE)),0)+IFERROR(IF(VLOOKUP($B12,'MM B-Goats'!$B$5:$AI$24,26,FALSE)=" ",0,VLOOKUP($B12,'MM B-Goats'!$B$5:$AI$24,26,FALSE)),0)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IFERROR(IF(VLOOKUP($B12,'MM B-Dummy Roping'!$B$5:$AI$24,30,FALSE)=" ",0,VLOOKUP($B12,'MM B-Dummy Roping'!$B$5:$AI$24,30,FALSE)),0)+IFERROR(IF(VLOOKUP($B12,'MM B-Flags'!$B$5:$AI$24,30,FALSE)=" ",0,VLOOKUP($B12,'MM B-Flags'!$B$5:$AI$24,30,FALSE)),0)+IFERROR(IF(VLOOKUP($B12,'MM B-Figure 8'!$B$5:$AI$24,30,FALSE)=" ",0,VLOOKUP($B12,'MM B-Figure 8'!$B$5:$AI$24,30,FALSE)),0)+IFERROR(IF(VLOOKUP($B12,'MM B-Goats'!$B$5:$AI$24,30,FALSE)=" ",0,VLOOKUP($B12,'MM B-Goats'!$B$5:$AI$24,30,FALSE)),0)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IFERROR(IF(VLOOKUP($B12,'MM B-Dummy Roping'!$B$5:$AI$24,34,FALSE)=" ",0,VLOOKUP($B12,'MM B-Dummy Roping'!$B$5:$AI$24,34,FALSE)),0)+IFERROR(IF(VLOOKUP($B12,'MM B-Flags'!$B$5:$AI$24,34,FALSE)=" ",0,VLOOKUP($B12,'MM B-Flags'!$B$5:$AI$24,34,FALSE)),0)+IFERROR(IF(VLOOKUP($B12,'MM B-Figure 8'!$B$5:$AI$24,34,FALSE)=" ",0,VLOOKUP($B12,'MM B-Figure 8'!$B$5:$AI$24,34,FALSE)),0)+IFERROR(IF(VLOOKUP($B12,'MM B-Goats'!$B$5:$AI$24,34,FALSE)=" ",0,VLOOKUP($B12,'MM B-Goats'!$B$5:$AI$24,34,FALSE)),0)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24</v>
      </c>
      <c r="AB12" s="95">
        <f t="shared" si="16"/>
        <v>24</v>
      </c>
      <c r="AC12" s="91">
        <f t="shared" si="17"/>
        <v>8</v>
      </c>
    </row>
    <row r="13" spans="2:29" x14ac:dyDescent="0.3">
      <c r="B13" s="141" t="s">
        <v>278</v>
      </c>
      <c r="C13" s="120">
        <f>IFERROR(IF(VLOOKUP($B13,'MM B-Dummy Roping'!$B$5:$AI$24,6,FALSE)=" ",0,VLOOKUP($B13,'MM B-Dummy Roping'!$B$5:$AI$24,6,FALSE)),0)+IFERROR(IF(VLOOKUP($B13,'MM B-Flags'!$B$5:$AI$24,6,FALSE)=" ",0,VLOOKUP($B13,'MM B-Flags'!$B$5:$AI$24,6,FALSE)),0)+IFERROR(IF(VLOOKUP($B13,'MM B-Figure 8'!$B$5:$AI$24,6,FALSE)=" ",0,VLOOKUP($B13,'MM B-Figure 8'!$B$5:$AI$24,6,FALSE)),0)+IFERROR(IF(VLOOKUP($B13,'MM B-Goats'!$B$5:$AI$24,6,FALSE)=" ",0,VLOOKUP($B13,'MM B-Goats'!$B$5:$AI$24,6,FALSE)),0)</f>
        <v>0</v>
      </c>
      <c r="D13" s="95" t="str">
        <f t="shared" si="0"/>
        <v xml:space="preserve"> </v>
      </c>
      <c r="E13" s="122" t="str">
        <f t="shared" si="1"/>
        <v xml:space="preserve"> </v>
      </c>
      <c r="F13" s="121">
        <f>IFERROR(IF(VLOOKUP($B13,'MM B-Dummy Roping'!$B$5:$AI$24,10,FALSE)=" ",0,VLOOKUP($B13,'MM B-Dummy Roping'!$B$5:$AI$24,10,FALSE)),0)+IFERROR(IF(VLOOKUP($B13,'MM B-Flags'!$B$5:$AI$24,10,FALSE)=" ",0,VLOOKUP($B13,'MM B-Flags'!$B$5:$AI$24,10,FALSE)),0)+IFERROR(IF(VLOOKUP($B13,'MM B-Figure 8'!$B$5:$AI$24,10,FALSE)=" ",0,VLOOKUP($B13,'MM B-Figure 8'!$B$5:$AI$24,10,FALSE)),0)+IFERROR(IF(VLOOKUP($B13,'MM B-Goats'!$B$5:$AI$24,10,FALSE)=" ",0,VLOOKUP($B13,'MM B-Goats'!$B$5:$AI$24,10,FALSE)),0)</f>
        <v>15</v>
      </c>
      <c r="G13" s="95">
        <f t="shared" si="2"/>
        <v>15</v>
      </c>
      <c r="H13" s="122">
        <f t="shared" si="3"/>
        <v>9</v>
      </c>
      <c r="I13" s="121">
        <f>IFERROR(IF(VLOOKUP($B13,'MM B-Dummy Roping'!$B$5:$AI$24,14,FALSE)=" ",0,VLOOKUP($B13,'MM B-Dummy Roping'!$B$5:$AI$24,14,FALSE)),0)+IFERROR(IF(VLOOKUP($B13,'MM B-Flags'!$B$5:$AI$24,14,FALSE)=" ",0,VLOOKUP($B13,'MM B-Flags'!$B$5:$AI$24,14,FALSE)),0)+IFERROR(IF(VLOOKUP($B13,'MM B-Figure 8'!$B$5:$AI$24,14,FALSE)=" ",0,VLOOKUP($B13,'MM B-Figure 8'!$B$5:$AI$24,14,FALSE)),0)+IFERROR(IF(VLOOKUP($B13,'MM B-Goats'!$B$5:$AI$24,14,FALSE)=" ",0,VLOOKUP($B13,'MM B-Goats'!$B$5:$AI$24,14,FALSE)),0)</f>
        <v>6</v>
      </c>
      <c r="J13" s="95">
        <f t="shared" si="4"/>
        <v>6</v>
      </c>
      <c r="K13" s="122">
        <f t="shared" si="5"/>
        <v>9</v>
      </c>
      <c r="L13" s="121">
        <f>IFERROR(IF(VLOOKUP($B13,'MM B-Dummy Roping'!$B$5:$AI$24,18,FALSE)=" ",0,VLOOKUP($B13,'MM B-Dummy Roping'!$B$5:$AI$24,18,FALSE)),0)+IFERROR(IF(VLOOKUP($B13,'MM B-Flags'!$B$5:$AI$24,18,FALSE)=" ",0,VLOOKUP($B13,'MM B-Flags'!$B$5:$AI$24,18,FALSE)),0)+IFERROR(IF(VLOOKUP($B13,'MM B-Figure 8'!$B$5:$AI$24,18,FALSE)=" ",0,VLOOKUP($B13,'MM B-Figure 8'!$B$5:$AI$24,18,FALSE)),0)+IFERROR(IF(VLOOKUP($B13,'MM B-Goats'!$B$5:$AI$24,18,FALSE)=" ",0,VLOOKUP($B13,'MM B-Goats'!$B$5:$AI$24,18,FALSE)),0)</f>
        <v>0</v>
      </c>
      <c r="M13" s="95" t="str">
        <f t="shared" si="6"/>
        <v xml:space="preserve"> </v>
      </c>
      <c r="N13" s="122" t="str">
        <f t="shared" si="7"/>
        <v xml:space="preserve"> </v>
      </c>
      <c r="O13" s="121">
        <f>IFERROR(IF(VLOOKUP($B13,'MM B-Dummy Roping'!$B$5:$AI$24,22,FALSE)=" ",0,VLOOKUP($B13,'MM B-Dummy Roping'!$B$5:$AI$24,22,FALSE)),0)+IFERROR(IF(VLOOKUP($B13,'MM B-Flags'!$B$5:$AI$24,22,FALSE)=" ",0,VLOOKUP($B13,'MM B-Flags'!$B$5:$AI$24,22,FALSE)),0)+IFERROR(IF(VLOOKUP($B13,'MM B-Figure 8'!$B$5:$AI$24,22,FALSE)=" ",0,VLOOKUP($B13,'MM B-Figure 8'!$B$5:$AI$24,22,FALSE)),0)+IFERROR(IF(VLOOKUP($B13,'MM B-Goats'!$B$5:$AI$24,22,FALSE)=" ",0,VLOOKUP($B13,'MM B-Goats'!$B$5:$AI$24,22,FALSE)),0)</f>
        <v>0</v>
      </c>
      <c r="P13" s="95" t="str">
        <f t="shared" si="8"/>
        <v xml:space="preserve"> </v>
      </c>
      <c r="Q13" s="122" t="str">
        <f t="shared" si="9"/>
        <v xml:space="preserve"> </v>
      </c>
      <c r="R13" s="121">
        <f>IFERROR(IF(VLOOKUP($B13,'MM B-Dummy Roping'!$B$5:$AI$24,26,FALSE)=" ",0,VLOOKUP($B13,'MM B-Dummy Roping'!$B$5:$AI$24,26,FALSE)),0)+IFERROR(IF(VLOOKUP($B13,'MM B-Flags'!$B$5:$AI$24,26,FALSE)=" ",0,VLOOKUP($B13,'MM B-Flags'!$B$5:$AI$24,26,FALSE)),0)+IFERROR(IF(VLOOKUP($B13,'MM B-Figure 8'!$B$5:$AI$24,26,FALSE)=" ",0,VLOOKUP($B13,'MM B-Figure 8'!$B$5:$AI$24,26,FALSE)),0)+IFERROR(IF(VLOOKUP($B13,'MM B-Goats'!$B$5:$AI$24,26,FALSE)=" ",0,VLOOKUP($B13,'MM B-Goats'!$B$5:$AI$24,26,FALSE)),0)</f>
        <v>0</v>
      </c>
      <c r="S13" s="95" t="str">
        <f t="shared" si="10"/>
        <v xml:space="preserve"> </v>
      </c>
      <c r="T13" s="122" t="str">
        <f t="shared" si="11"/>
        <v xml:space="preserve"> </v>
      </c>
      <c r="U13" s="121">
        <f>IFERROR(IF(VLOOKUP($B13,'MM B-Dummy Roping'!$B$5:$AI$24,30,FALSE)=" ",0,VLOOKUP($B13,'MM B-Dummy Roping'!$B$5:$AI$24,30,FALSE)),0)+IFERROR(IF(VLOOKUP($B13,'MM B-Flags'!$B$5:$AI$24,30,FALSE)=" ",0,VLOOKUP($B13,'MM B-Flags'!$B$5:$AI$24,30,FALSE)),0)+IFERROR(IF(VLOOKUP($B13,'MM B-Figure 8'!$B$5:$AI$24,30,FALSE)=" ",0,VLOOKUP($B13,'MM B-Figure 8'!$B$5:$AI$24,30,FALSE)),0)+IFERROR(IF(VLOOKUP($B13,'MM B-Goats'!$B$5:$AI$24,30,FALSE)=" ",0,VLOOKUP($B13,'MM B-Goats'!$B$5:$AI$24,30,FALSE)),0)</f>
        <v>0</v>
      </c>
      <c r="V13" s="95" t="str">
        <f t="shared" si="12"/>
        <v xml:space="preserve"> </v>
      </c>
      <c r="W13" s="122" t="str">
        <f t="shared" si="13"/>
        <v xml:space="preserve"> </v>
      </c>
      <c r="X13" s="121">
        <f>IFERROR(IF(VLOOKUP($B13,'MM B-Dummy Roping'!$B$5:$AI$24,34,FALSE)=" ",0,VLOOKUP($B13,'MM B-Dummy Roping'!$B$5:$AI$24,34,FALSE)),0)+IFERROR(IF(VLOOKUP($B13,'MM B-Flags'!$B$5:$AI$24,34,FALSE)=" ",0,VLOOKUP($B13,'MM B-Flags'!$B$5:$AI$24,34,FALSE)),0)+IFERROR(IF(VLOOKUP($B13,'MM B-Figure 8'!$B$5:$AI$24,34,FALSE)=" ",0,VLOOKUP($B13,'MM B-Figure 8'!$B$5:$AI$24,34,FALSE)),0)+IFERROR(IF(VLOOKUP($B13,'MM B-Goats'!$B$5:$AI$24,34,FALSE)=" ",0,VLOOKUP($B13,'MM B-Goats'!$B$5:$AI$24,34,FALSE)),0)</f>
        <v>0</v>
      </c>
      <c r="Y13" s="95" t="str">
        <f t="shared" si="14"/>
        <v xml:space="preserve"> </v>
      </c>
      <c r="Z13" s="122" t="str">
        <f t="shared" si="15"/>
        <v xml:space="preserve"> </v>
      </c>
      <c r="AA1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21</v>
      </c>
      <c r="AB13" s="95">
        <f t="shared" si="16"/>
        <v>21</v>
      </c>
      <c r="AC13" s="122">
        <f t="shared" si="17"/>
        <v>9</v>
      </c>
    </row>
    <row r="14" spans="2:29" x14ac:dyDescent="0.3">
      <c r="B14" s="140" t="s">
        <v>273</v>
      </c>
      <c r="C14" s="120">
        <f>IFERROR(IF(VLOOKUP($B14,'MM B-Dummy Roping'!$B$5:$AI$24,6,FALSE)=" ",0,VLOOKUP($B14,'MM B-Dummy Roping'!$B$5:$AI$24,6,FALSE)),0)+IFERROR(IF(VLOOKUP($B14,'MM B-Flags'!$B$5:$AI$24,6,FALSE)=" ",0,VLOOKUP($B14,'MM B-Flags'!$B$5:$AI$24,6,FALSE)),0)+IFERROR(IF(VLOOKUP($B14,'MM B-Figure 8'!$B$5:$AI$24,6,FALSE)=" ",0,VLOOKUP($B14,'MM B-Figure 8'!$B$5:$AI$24,6,FALSE)),0)+IFERROR(IF(VLOOKUP($B14,'MM B-Goats'!$B$5:$AI$24,6,FALSE)=" ",0,VLOOKUP($B14,'MM B-Goats'!$B$5:$AI$24,6,FALSE)),0)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IFERROR(IF(VLOOKUP($B14,'MM B-Dummy Roping'!$B$5:$AI$24,10,FALSE)=" ",0,VLOOKUP($B14,'MM B-Dummy Roping'!$B$5:$AI$24,10,FALSE)),0)+IFERROR(IF(VLOOKUP($B14,'MM B-Flags'!$B$5:$AI$24,10,FALSE)=" ",0,VLOOKUP($B14,'MM B-Flags'!$B$5:$AI$24,10,FALSE)),0)+IFERROR(IF(VLOOKUP($B14,'MM B-Figure 8'!$B$5:$AI$24,10,FALSE)=" ",0,VLOOKUP($B14,'MM B-Figure 8'!$B$5:$AI$24,10,FALSE)),0)+IFERROR(IF(VLOOKUP($B14,'MM B-Goats'!$B$5:$AI$24,10,FALSE)=" ",0,VLOOKUP($B14,'MM B-Goats'!$B$5:$AI$24,10,FALSE)),0)</f>
        <v>19.5</v>
      </c>
      <c r="G14" s="95">
        <f t="shared" si="2"/>
        <v>19.5</v>
      </c>
      <c r="H14" s="91">
        <f t="shared" si="3"/>
        <v>8</v>
      </c>
      <c r="I14" s="121">
        <f>IFERROR(IF(VLOOKUP($B14,'MM B-Dummy Roping'!$B$5:$AI$24,14,FALSE)=" ",0,VLOOKUP($B14,'MM B-Dummy Roping'!$B$5:$AI$24,14,FALSE)),0)+IFERROR(IF(VLOOKUP($B14,'MM B-Flags'!$B$5:$AI$24,14,FALSE)=" ",0,VLOOKUP($B14,'MM B-Flags'!$B$5:$AI$24,14,FALSE)),0)+IFERROR(IF(VLOOKUP($B14,'MM B-Figure 8'!$B$5:$AI$24,14,FALSE)=" ",0,VLOOKUP($B14,'MM B-Figure 8'!$B$5:$AI$24,14,FALSE)),0)+IFERROR(IF(VLOOKUP($B14,'MM B-Goats'!$B$5:$AI$24,14,FALSE)=" ",0,VLOOKUP($B14,'MM B-Goats'!$B$5:$AI$24,14,FALSE)),0)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IFERROR(IF(VLOOKUP($B14,'MM B-Dummy Roping'!$B$5:$AI$24,18,FALSE)=" ",0,VLOOKUP($B14,'MM B-Dummy Roping'!$B$5:$AI$24,18,FALSE)),0)+IFERROR(IF(VLOOKUP($B14,'MM B-Flags'!$B$5:$AI$24,18,FALSE)=" ",0,VLOOKUP($B14,'MM B-Flags'!$B$5:$AI$24,18,FALSE)),0)+IFERROR(IF(VLOOKUP($B14,'MM B-Figure 8'!$B$5:$AI$24,18,FALSE)=" ",0,VLOOKUP($B14,'MM B-Figure 8'!$B$5:$AI$24,18,FALSE)),0)+IFERROR(IF(VLOOKUP($B14,'MM B-Goats'!$B$5:$AI$24,18,FALSE)=" ",0,VLOOKUP($B14,'MM B-Goats'!$B$5:$AI$24,18,FALSE)),0)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IFERROR(IF(VLOOKUP($B14,'MM B-Dummy Roping'!$B$5:$AI$24,22,FALSE)=" ",0,VLOOKUP($B14,'MM B-Dummy Roping'!$B$5:$AI$24,22,FALSE)),0)+IFERROR(IF(VLOOKUP($B14,'MM B-Flags'!$B$5:$AI$24,22,FALSE)=" ",0,VLOOKUP($B14,'MM B-Flags'!$B$5:$AI$24,22,FALSE)),0)+IFERROR(IF(VLOOKUP($B14,'MM B-Figure 8'!$B$5:$AI$24,22,FALSE)=" ",0,VLOOKUP($B14,'MM B-Figure 8'!$B$5:$AI$24,22,FALSE)),0)+IFERROR(IF(VLOOKUP($B14,'MM B-Goats'!$B$5:$AI$24,22,FALSE)=" ",0,VLOOKUP($B14,'MM B-Goats'!$B$5:$AI$24,22,FALSE)),0)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IFERROR(IF(VLOOKUP($B14,'MM B-Dummy Roping'!$B$5:$AI$24,26,FALSE)=" ",0,VLOOKUP($B14,'MM B-Dummy Roping'!$B$5:$AI$24,26,FALSE)),0)+IFERROR(IF(VLOOKUP($B14,'MM B-Flags'!$B$5:$AI$24,26,FALSE)=" ",0,VLOOKUP($B14,'MM B-Flags'!$B$5:$AI$24,26,FALSE)),0)+IFERROR(IF(VLOOKUP($B14,'MM B-Figure 8'!$B$5:$AI$24,26,FALSE)=" ",0,VLOOKUP($B14,'MM B-Figure 8'!$B$5:$AI$24,26,FALSE)),0)+IFERROR(IF(VLOOKUP($B14,'MM B-Goats'!$B$5:$AI$24,26,FALSE)=" ",0,VLOOKUP($B14,'MM B-Goats'!$B$5:$AI$24,26,FALSE)),0)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IFERROR(IF(VLOOKUP($B14,'MM B-Dummy Roping'!$B$5:$AI$24,30,FALSE)=" ",0,VLOOKUP($B14,'MM B-Dummy Roping'!$B$5:$AI$24,30,FALSE)),0)+IFERROR(IF(VLOOKUP($B14,'MM B-Flags'!$B$5:$AI$24,30,FALSE)=" ",0,VLOOKUP($B14,'MM B-Flags'!$B$5:$AI$24,30,FALSE)),0)+IFERROR(IF(VLOOKUP($B14,'MM B-Figure 8'!$B$5:$AI$24,30,FALSE)=" ",0,VLOOKUP($B14,'MM B-Figure 8'!$B$5:$AI$24,30,FALSE)),0)+IFERROR(IF(VLOOKUP($B14,'MM B-Goats'!$B$5:$AI$24,30,FALSE)=" ",0,VLOOKUP($B14,'MM B-Goats'!$B$5:$AI$24,30,FALSE)),0)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IFERROR(IF(VLOOKUP($B14,'MM B-Dummy Roping'!$B$5:$AI$24,34,FALSE)=" ",0,VLOOKUP($B14,'MM B-Dummy Roping'!$B$5:$AI$24,34,FALSE)),0)+IFERROR(IF(VLOOKUP($B14,'MM B-Flags'!$B$5:$AI$24,34,FALSE)=" ",0,VLOOKUP($B14,'MM B-Flags'!$B$5:$AI$24,34,FALSE)),0)+IFERROR(IF(VLOOKUP($B14,'MM B-Figure 8'!$B$5:$AI$24,34,FALSE)=" ",0,VLOOKUP($B14,'MM B-Figure 8'!$B$5:$AI$24,34,FALSE)),0)+IFERROR(IF(VLOOKUP($B14,'MM B-Goats'!$B$5:$AI$24,34,FALSE)=" ",0,VLOOKUP($B14,'MM B-Goats'!$B$5:$AI$24,34,FALSE)),0)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19.5</v>
      </c>
      <c r="AB14" s="95">
        <f t="shared" si="16"/>
        <v>19.5</v>
      </c>
      <c r="AC14" s="91">
        <f t="shared" si="17"/>
        <v>10</v>
      </c>
    </row>
    <row r="15" spans="2:29" x14ac:dyDescent="0.3">
      <c r="B15" s="141" t="s">
        <v>188</v>
      </c>
      <c r="C15" s="120">
        <f>IFERROR(IF(VLOOKUP($B15,'MM B-Dummy Roping'!$B$5:$AI$24,6,FALSE)=" ",0,VLOOKUP($B15,'MM B-Dummy Roping'!$B$5:$AI$24,6,FALSE)),0)+IFERROR(IF(VLOOKUP($B15,'MM B-Flags'!$B$5:$AI$24,6,FALSE)=" ",0,VLOOKUP($B15,'MM B-Flags'!$B$5:$AI$24,6,FALSE)),0)+IFERROR(IF(VLOOKUP($B15,'MM B-Figure 8'!$B$5:$AI$24,6,FALSE)=" ",0,VLOOKUP($B15,'MM B-Figure 8'!$B$5:$AI$24,6,FALSE)),0)+IFERROR(IF(VLOOKUP($B15,'MM B-Goats'!$B$5:$AI$24,6,FALSE)=" ",0,VLOOKUP($B15,'MM B-Goats'!$B$5:$AI$24,6,FALSE)),0)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IFERROR(IF(VLOOKUP($B15,'MM B-Dummy Roping'!$B$5:$AI$24,10,FALSE)=" ",0,VLOOKUP($B15,'MM B-Dummy Roping'!$B$5:$AI$24,10,FALSE)),0)+IFERROR(IF(VLOOKUP($B15,'MM B-Flags'!$B$5:$AI$24,10,FALSE)=" ",0,VLOOKUP($B15,'MM B-Flags'!$B$5:$AI$24,10,FALSE)),0)+IFERROR(IF(VLOOKUP($B15,'MM B-Figure 8'!$B$5:$AI$24,10,FALSE)=" ",0,VLOOKUP($B15,'MM B-Figure 8'!$B$5:$AI$24,10,FALSE)),0)+IFERROR(IF(VLOOKUP($B15,'MM B-Goats'!$B$5:$AI$24,10,FALSE)=" ",0,VLOOKUP($B15,'MM B-Goats'!$B$5:$AI$24,10,FALSE)),0)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IFERROR(IF(VLOOKUP($B15,'MM B-Dummy Roping'!$B$5:$AI$24,14,FALSE)=" ",0,VLOOKUP($B15,'MM B-Dummy Roping'!$B$5:$AI$24,14,FALSE)),0)+IFERROR(IF(VLOOKUP($B15,'MM B-Flags'!$B$5:$AI$24,14,FALSE)=" ",0,VLOOKUP($B15,'MM B-Flags'!$B$5:$AI$24,14,FALSE)),0)+IFERROR(IF(VLOOKUP($B15,'MM B-Figure 8'!$B$5:$AI$24,14,FALSE)=" ",0,VLOOKUP($B15,'MM B-Figure 8'!$B$5:$AI$24,14,FALSE)),0)+IFERROR(IF(VLOOKUP($B15,'MM B-Goats'!$B$5:$AI$24,14,FALSE)=" ",0,VLOOKUP($B15,'MM B-Goats'!$B$5:$AI$24,14,FALSE)),0)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IFERROR(IF(VLOOKUP($B15,'MM B-Dummy Roping'!$B$5:$AI$24,18,FALSE)=" ",0,VLOOKUP($B15,'MM B-Dummy Roping'!$B$5:$AI$24,18,FALSE)),0)+IFERROR(IF(VLOOKUP($B15,'MM B-Flags'!$B$5:$AI$24,18,FALSE)=" ",0,VLOOKUP($B15,'MM B-Flags'!$B$5:$AI$24,18,FALSE)),0)+IFERROR(IF(VLOOKUP($B15,'MM B-Figure 8'!$B$5:$AI$24,18,FALSE)=" ",0,VLOOKUP($B15,'MM B-Figure 8'!$B$5:$AI$24,18,FALSE)),0)+IFERROR(IF(VLOOKUP($B15,'MM B-Goats'!$B$5:$AI$24,18,FALSE)=" ",0,VLOOKUP($B15,'MM B-Goats'!$B$5:$AI$24,18,FALSE)),0)</f>
        <v>6</v>
      </c>
      <c r="M15" s="95">
        <f t="shared" si="6"/>
        <v>6</v>
      </c>
      <c r="N15" s="91">
        <f t="shared" si="7"/>
        <v>8</v>
      </c>
      <c r="O15" s="121">
        <f>IFERROR(IF(VLOOKUP($B15,'MM B-Dummy Roping'!$B$5:$AI$24,22,FALSE)=" ",0,VLOOKUP($B15,'MM B-Dummy Roping'!$B$5:$AI$24,22,FALSE)),0)+IFERROR(IF(VLOOKUP($B15,'MM B-Flags'!$B$5:$AI$24,22,FALSE)=" ",0,VLOOKUP($B15,'MM B-Flags'!$B$5:$AI$24,22,FALSE)),0)+IFERROR(IF(VLOOKUP($B15,'MM B-Figure 8'!$B$5:$AI$24,22,FALSE)=" ",0,VLOOKUP($B15,'MM B-Figure 8'!$B$5:$AI$24,22,FALSE)),0)+IFERROR(IF(VLOOKUP($B15,'MM B-Goats'!$B$5:$AI$24,22,FALSE)=" ",0,VLOOKUP($B15,'MM B-Goats'!$B$5:$AI$24,22,FALSE)),0)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IFERROR(IF(VLOOKUP($B15,'MM B-Dummy Roping'!$B$5:$AI$24,26,FALSE)=" ",0,VLOOKUP($B15,'MM B-Dummy Roping'!$B$5:$AI$24,26,FALSE)),0)+IFERROR(IF(VLOOKUP($B15,'MM B-Flags'!$B$5:$AI$24,26,FALSE)=" ",0,VLOOKUP($B15,'MM B-Flags'!$B$5:$AI$24,26,FALSE)),0)+IFERROR(IF(VLOOKUP($B15,'MM B-Figure 8'!$B$5:$AI$24,26,FALSE)=" ",0,VLOOKUP($B15,'MM B-Figure 8'!$B$5:$AI$24,26,FALSE)),0)+IFERROR(IF(VLOOKUP($B15,'MM B-Goats'!$B$5:$AI$24,26,FALSE)=" ",0,VLOOKUP($B15,'MM B-Goats'!$B$5:$AI$24,26,FALSE)),0)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IFERROR(IF(VLOOKUP($B15,'MM B-Dummy Roping'!$B$5:$AI$24,30,FALSE)=" ",0,VLOOKUP($B15,'MM B-Dummy Roping'!$B$5:$AI$24,30,FALSE)),0)+IFERROR(IF(VLOOKUP($B15,'MM B-Flags'!$B$5:$AI$24,30,FALSE)=" ",0,VLOOKUP($B15,'MM B-Flags'!$B$5:$AI$24,30,FALSE)),0)+IFERROR(IF(VLOOKUP($B15,'MM B-Figure 8'!$B$5:$AI$24,30,FALSE)=" ",0,VLOOKUP($B15,'MM B-Figure 8'!$B$5:$AI$24,30,FALSE)),0)+IFERROR(IF(VLOOKUP($B15,'MM B-Goats'!$B$5:$AI$24,30,FALSE)=" ",0,VLOOKUP($B15,'MM B-Goats'!$B$5:$AI$24,30,FALSE)),0)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IFERROR(IF(VLOOKUP($B15,'MM B-Dummy Roping'!$B$5:$AI$24,34,FALSE)=" ",0,VLOOKUP($B15,'MM B-Dummy Roping'!$B$5:$AI$24,34,FALSE)),0)+IFERROR(IF(VLOOKUP($B15,'MM B-Flags'!$B$5:$AI$24,34,FALSE)=" ",0,VLOOKUP($B15,'MM B-Flags'!$B$5:$AI$24,34,FALSE)),0)+IFERROR(IF(VLOOKUP($B15,'MM B-Figure 8'!$B$5:$AI$24,34,FALSE)=" ",0,VLOOKUP($B15,'MM B-Figure 8'!$B$5:$AI$24,34,FALSE)),0)+IFERROR(IF(VLOOKUP($B15,'MM B-Goats'!$B$5:$AI$24,34,FALSE)=" ",0,VLOOKUP($B15,'MM B-Goats'!$B$5:$AI$24,34,FALSE)),0)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6</v>
      </c>
      <c r="AB15" s="95">
        <f t="shared" si="16"/>
        <v>6</v>
      </c>
      <c r="AC15" s="91">
        <f t="shared" si="17"/>
        <v>11</v>
      </c>
    </row>
    <row r="16" spans="2:29" x14ac:dyDescent="0.3">
      <c r="B16" s="141" t="s">
        <v>74</v>
      </c>
      <c r="C16" s="120">
        <f>IFERROR(IF(VLOOKUP($B16,'MM B-Dummy Roping'!$B$5:$AI$24,6,FALSE)=" ",0,VLOOKUP($B16,'MM B-Dummy Roping'!$B$5:$AI$24,6,FALSE)),0)+IFERROR(IF(VLOOKUP($B16,'MM B-Flags'!$B$5:$AI$24,6,FALSE)=" ",0,VLOOKUP($B16,'MM B-Flags'!$B$5:$AI$24,6,FALSE)),0)+IFERROR(IF(VLOOKUP($B16,'MM B-Figure 8'!$B$5:$AI$24,6,FALSE)=" ",0,VLOOKUP($B16,'MM B-Figure 8'!$B$5:$AI$24,6,FALSE)),0)+IFERROR(IF(VLOOKUP($B16,'MM B-Goats'!$B$5:$AI$24,6,FALSE)=" ",0,VLOOKUP($B16,'MM B-Goats'!$B$5:$AI$24,6,FALSE)),0)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IFERROR(IF(VLOOKUP($B16,'MM B-Dummy Roping'!$B$5:$AI$24,10,FALSE)=" ",0,VLOOKUP($B16,'MM B-Dummy Roping'!$B$5:$AI$24,10,FALSE)),0)+IFERROR(IF(VLOOKUP($B16,'MM B-Flags'!$B$5:$AI$24,10,FALSE)=" ",0,VLOOKUP($B16,'MM B-Flags'!$B$5:$AI$24,10,FALSE)),0)+IFERROR(IF(VLOOKUP($B16,'MM B-Figure 8'!$B$5:$AI$24,10,FALSE)=" ",0,VLOOKUP($B16,'MM B-Figure 8'!$B$5:$AI$24,10,FALSE)),0)+IFERROR(IF(VLOOKUP($B16,'MM B-Goats'!$B$5:$AI$24,10,FALSE)=" ",0,VLOOKUP($B16,'MM B-Goats'!$B$5:$AI$24,10,FALSE)),0)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IFERROR(IF(VLOOKUP($B16,'MM B-Dummy Roping'!$B$5:$AI$24,14,FALSE)=" ",0,VLOOKUP($B16,'MM B-Dummy Roping'!$B$5:$AI$24,14,FALSE)),0)+IFERROR(IF(VLOOKUP($B16,'MM B-Flags'!$B$5:$AI$24,14,FALSE)=" ",0,VLOOKUP($B16,'MM B-Flags'!$B$5:$AI$24,14,FALSE)),0)+IFERROR(IF(VLOOKUP($B16,'MM B-Figure 8'!$B$5:$AI$24,14,FALSE)=" ",0,VLOOKUP($B16,'MM B-Figure 8'!$B$5:$AI$24,14,FALSE)),0)+IFERROR(IF(VLOOKUP($B16,'MM B-Goats'!$B$5:$AI$24,14,FALSE)=" ",0,VLOOKUP($B16,'MM B-Goats'!$B$5:$AI$24,14,FALSE)),0)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IFERROR(IF(VLOOKUP($B16,'MM B-Dummy Roping'!$B$5:$AI$24,18,FALSE)=" ",0,VLOOKUP($B16,'MM B-Dummy Roping'!$B$5:$AI$24,18,FALSE)),0)+IFERROR(IF(VLOOKUP($B16,'MM B-Flags'!$B$5:$AI$24,18,FALSE)=" ",0,VLOOKUP($B16,'MM B-Flags'!$B$5:$AI$24,18,FALSE)),0)+IFERROR(IF(VLOOKUP($B16,'MM B-Figure 8'!$B$5:$AI$24,18,FALSE)=" ",0,VLOOKUP($B16,'MM B-Figure 8'!$B$5:$AI$24,18,FALSE)),0)+IFERROR(IF(VLOOKUP($B16,'MM B-Goats'!$B$5:$AI$24,18,FALSE)=" ",0,VLOOKUP($B16,'MM B-Goats'!$B$5:$AI$24,18,FALSE)),0)</f>
        <v>1.5</v>
      </c>
      <c r="M16" s="95">
        <f t="shared" si="6"/>
        <v>1.5</v>
      </c>
      <c r="N16" s="91">
        <f t="shared" si="7"/>
        <v>10</v>
      </c>
      <c r="O16" s="121">
        <f>IFERROR(IF(VLOOKUP($B16,'MM B-Dummy Roping'!$B$5:$AI$24,22,FALSE)=" ",0,VLOOKUP($B16,'MM B-Dummy Roping'!$B$5:$AI$24,22,FALSE)),0)+IFERROR(IF(VLOOKUP($B16,'MM B-Flags'!$B$5:$AI$24,22,FALSE)=" ",0,VLOOKUP($B16,'MM B-Flags'!$B$5:$AI$24,22,FALSE)),0)+IFERROR(IF(VLOOKUP($B16,'MM B-Figure 8'!$B$5:$AI$24,22,FALSE)=" ",0,VLOOKUP($B16,'MM B-Figure 8'!$B$5:$AI$24,22,FALSE)),0)+IFERROR(IF(VLOOKUP($B16,'MM B-Goats'!$B$5:$AI$24,22,FALSE)=" ",0,VLOOKUP($B16,'MM B-Goats'!$B$5:$AI$24,22,FALSE)),0)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IFERROR(IF(VLOOKUP($B16,'MM B-Dummy Roping'!$B$5:$AI$24,26,FALSE)=" ",0,VLOOKUP($B16,'MM B-Dummy Roping'!$B$5:$AI$24,26,FALSE)),0)+IFERROR(IF(VLOOKUP($B16,'MM B-Flags'!$B$5:$AI$24,26,FALSE)=" ",0,VLOOKUP($B16,'MM B-Flags'!$B$5:$AI$24,26,FALSE)),0)+IFERROR(IF(VLOOKUP($B16,'MM B-Figure 8'!$B$5:$AI$24,26,FALSE)=" ",0,VLOOKUP($B16,'MM B-Figure 8'!$B$5:$AI$24,26,FALSE)),0)+IFERROR(IF(VLOOKUP($B16,'MM B-Goats'!$B$5:$AI$24,26,FALSE)=" ",0,VLOOKUP($B16,'MM B-Goats'!$B$5:$AI$24,26,FALSE)),0)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B-Dummy Roping'!$B$5:$AI$24,30,FALSE)=" ",0,VLOOKUP($B16,'MM B-Dummy Roping'!$B$5:$AI$24,30,FALSE)),0)+IFERROR(IF(VLOOKUP($B16,'MM B-Flags'!$B$5:$AI$24,30,FALSE)=" ",0,VLOOKUP($B16,'MM B-Flags'!$B$5:$AI$24,30,FALSE)),0)+IFERROR(IF(VLOOKUP($B16,'MM B-Figure 8'!$B$5:$AI$24,30,FALSE)=" ",0,VLOOKUP($B16,'MM B-Figure 8'!$B$5:$AI$24,30,FALSE)),0)+IFERROR(IF(VLOOKUP($B16,'MM B-Goats'!$B$5:$AI$24,30,FALSE)=" ",0,VLOOKUP($B16,'MM B-Goats'!$B$5:$AI$24,30,FALSE)),0)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IFERROR(IF(VLOOKUP($B16,'MM B-Dummy Roping'!$B$5:$AI$24,34,FALSE)=" ",0,VLOOKUP($B16,'MM B-Dummy Roping'!$B$5:$AI$24,34,FALSE)),0)+IFERROR(IF(VLOOKUP($B16,'MM B-Flags'!$B$5:$AI$24,34,FALSE)=" ",0,VLOOKUP($B16,'MM B-Flags'!$B$5:$AI$24,34,FALSE)),0)+IFERROR(IF(VLOOKUP($B16,'MM B-Figure 8'!$B$5:$AI$24,34,FALSE)=" ",0,VLOOKUP($B16,'MM B-Figure 8'!$B$5:$AI$24,34,FALSE)),0)+IFERROR(IF(VLOOKUP($B16,'MM B-Goats'!$B$5:$AI$24,34,FALSE)=" ",0,VLOOKUP($B16,'MM B-Goats'!$B$5:$AI$24,34,FALSE)),0)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1.5</v>
      </c>
      <c r="AB16" s="95">
        <f t="shared" si="16"/>
        <v>1.5</v>
      </c>
      <c r="AC16" s="91">
        <f t="shared" si="17"/>
        <v>12</v>
      </c>
    </row>
    <row r="17" spans="2:29" x14ac:dyDescent="0.3">
      <c r="B17" s="141" t="s">
        <v>276</v>
      </c>
      <c r="C17" s="120">
        <f>IFERROR(IF(VLOOKUP($B17,'MM B-Dummy Roping'!$B$5:$AI$24,6,FALSE)=" ",0,VLOOKUP($B17,'MM B-Dummy Roping'!$B$5:$AI$24,6,FALSE)),0)+IFERROR(IF(VLOOKUP($B17,'MM B-Flags'!$B$5:$AI$24,6,FALSE)=" ",0,VLOOKUP($B17,'MM B-Flags'!$B$5:$AI$24,6,FALSE)),0)+IFERROR(IF(VLOOKUP($B17,'MM B-Figure 8'!$B$5:$AI$24,6,FALSE)=" ",0,VLOOKUP($B17,'MM B-Figure 8'!$B$5:$AI$24,6,FALSE)),0)+IFERROR(IF(VLOOKUP($B17,'MM B-Goats'!$B$5:$AI$24,6,FALSE)=" ",0,VLOOKUP($B17,'MM B-Goats'!$B$5:$AI$24,6,FALSE)),0)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IFERROR(IF(VLOOKUP($B17,'MM B-Dummy Roping'!$B$5:$AI$24,10,FALSE)=" ",0,VLOOKUP($B17,'MM B-Dummy Roping'!$B$5:$AI$24,10,FALSE)),0)+IFERROR(IF(VLOOKUP($B17,'MM B-Flags'!$B$5:$AI$24,10,FALSE)=" ",0,VLOOKUP($B17,'MM B-Flags'!$B$5:$AI$24,10,FALSE)),0)+IFERROR(IF(VLOOKUP($B17,'MM B-Figure 8'!$B$5:$AI$24,10,FALSE)=" ",0,VLOOKUP($B17,'MM B-Figure 8'!$B$5:$AI$24,10,FALSE)),0)+IFERROR(IF(VLOOKUP($B17,'MM B-Goats'!$B$5:$AI$24,10,FALSE)=" ",0,VLOOKUP($B17,'MM B-Goats'!$B$5:$AI$24,10,FALSE)),0)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IFERROR(IF(VLOOKUP($B17,'MM B-Dummy Roping'!$B$5:$AI$24,14,FALSE)=" ",0,VLOOKUP($B17,'MM B-Dummy Roping'!$B$5:$AI$24,14,FALSE)),0)+IFERROR(IF(VLOOKUP($B17,'MM B-Flags'!$B$5:$AI$24,14,FALSE)=" ",0,VLOOKUP($B17,'MM B-Flags'!$B$5:$AI$24,14,FALSE)),0)+IFERROR(IF(VLOOKUP($B17,'MM B-Figure 8'!$B$5:$AI$24,14,FALSE)=" ",0,VLOOKUP($B17,'MM B-Figure 8'!$B$5:$AI$24,14,FALSE)),0)+IFERROR(IF(VLOOKUP($B17,'MM B-Goats'!$B$5:$AI$24,14,FALSE)=" ",0,VLOOKUP($B17,'MM B-Goats'!$B$5:$AI$24,14,FALSE)),0)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IFERROR(IF(VLOOKUP($B17,'MM B-Dummy Roping'!$B$5:$AI$24,18,FALSE)=" ",0,VLOOKUP($B17,'MM B-Dummy Roping'!$B$5:$AI$24,18,FALSE)),0)+IFERROR(IF(VLOOKUP($B17,'MM B-Flags'!$B$5:$AI$24,18,FALSE)=" ",0,VLOOKUP($B17,'MM B-Flags'!$B$5:$AI$24,18,FALSE)),0)+IFERROR(IF(VLOOKUP($B17,'MM B-Figure 8'!$B$5:$AI$24,18,FALSE)=" ",0,VLOOKUP($B17,'MM B-Figure 8'!$B$5:$AI$24,18,FALSE)),0)+IFERROR(IF(VLOOKUP($B17,'MM B-Goats'!$B$5:$AI$24,18,FALSE)=" ",0,VLOOKUP($B17,'MM B-Goats'!$B$5:$AI$24,18,FALSE)),0)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IFERROR(IF(VLOOKUP($B17,'MM B-Dummy Roping'!$B$5:$AI$24,22,FALSE)=" ",0,VLOOKUP($B17,'MM B-Dummy Roping'!$B$5:$AI$24,22,FALSE)),0)+IFERROR(IF(VLOOKUP($B17,'MM B-Flags'!$B$5:$AI$24,22,FALSE)=" ",0,VLOOKUP($B17,'MM B-Flags'!$B$5:$AI$24,22,FALSE)),0)+IFERROR(IF(VLOOKUP($B17,'MM B-Figure 8'!$B$5:$AI$24,22,FALSE)=" ",0,VLOOKUP($B17,'MM B-Figure 8'!$B$5:$AI$24,22,FALSE)),0)+IFERROR(IF(VLOOKUP($B17,'MM B-Goats'!$B$5:$AI$24,22,FALSE)=" ",0,VLOOKUP($B17,'MM B-Goats'!$B$5:$AI$24,22,FALSE)),0)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IFERROR(IF(VLOOKUP($B17,'MM B-Dummy Roping'!$B$5:$AI$24,26,FALSE)=" ",0,VLOOKUP($B17,'MM B-Dummy Roping'!$B$5:$AI$24,26,FALSE)),0)+IFERROR(IF(VLOOKUP($B17,'MM B-Flags'!$B$5:$AI$24,26,FALSE)=" ",0,VLOOKUP($B17,'MM B-Flags'!$B$5:$AI$24,26,FALSE)),0)+IFERROR(IF(VLOOKUP($B17,'MM B-Figure 8'!$B$5:$AI$24,26,FALSE)=" ",0,VLOOKUP($B17,'MM B-Figure 8'!$B$5:$AI$24,26,FALSE)),0)+IFERROR(IF(VLOOKUP($B17,'MM B-Goats'!$B$5:$AI$24,26,FALSE)=" ",0,VLOOKUP($B17,'MM B-Goats'!$B$5:$AI$24,26,FALSE)),0)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B-Dummy Roping'!$B$5:$AI$24,30,FALSE)=" ",0,VLOOKUP($B17,'MM B-Dummy Roping'!$B$5:$AI$24,30,FALSE)),0)+IFERROR(IF(VLOOKUP($B17,'MM B-Flags'!$B$5:$AI$24,30,FALSE)=" ",0,VLOOKUP($B17,'MM B-Flags'!$B$5:$AI$24,30,FALSE)),0)+IFERROR(IF(VLOOKUP($B17,'MM B-Figure 8'!$B$5:$AI$24,30,FALSE)=" ",0,VLOOKUP($B17,'MM B-Figure 8'!$B$5:$AI$24,30,FALSE)),0)+IFERROR(IF(VLOOKUP($B17,'MM B-Goats'!$B$5:$AI$24,30,FALSE)=" ",0,VLOOKUP($B17,'MM B-Goats'!$B$5:$AI$24,30,FALSE)),0)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IFERROR(IF(VLOOKUP($B17,'MM B-Dummy Roping'!$B$5:$AI$24,34,FALSE)=" ",0,VLOOKUP($B17,'MM B-Dummy Roping'!$B$5:$AI$24,34,FALSE)),0)+IFERROR(IF(VLOOKUP($B17,'MM B-Flags'!$B$5:$AI$24,34,FALSE)=" ",0,VLOOKUP($B17,'MM B-Flags'!$B$5:$AI$24,34,FALSE)),0)+IFERROR(IF(VLOOKUP($B17,'MM B-Figure 8'!$B$5:$AI$24,34,FALSE)=" ",0,VLOOKUP($B17,'MM B-Figure 8'!$B$5:$AI$24,34,FALSE)),0)+IFERROR(IF(VLOOKUP($B17,'MM B-Goats'!$B$5:$AI$24,34,FALSE)=" ",0,VLOOKUP($B17,'MM B-Goats'!$B$5:$AI$24,34,FALSE)),0)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3">
      <c r="B18" s="141" t="s">
        <v>322</v>
      </c>
      <c r="C18" s="120">
        <f>IFERROR(IF(VLOOKUP($B18,'MM B-Dummy Roping'!$B$5:$AI$24,6,FALSE)=" ",0,VLOOKUP($B18,'MM B-Dummy Roping'!$B$5:$AI$24,6,FALSE)),0)+IFERROR(IF(VLOOKUP($B18,'MM B-Flags'!$B$5:$AI$24,6,FALSE)=" ",0,VLOOKUP($B18,'MM B-Flags'!$B$5:$AI$24,6,FALSE)),0)+IFERROR(IF(VLOOKUP($B18,'MM B-Figure 8'!$B$5:$AI$24,6,FALSE)=" ",0,VLOOKUP($B18,'MM B-Figure 8'!$B$5:$AI$24,6,FALSE)),0)+IFERROR(IF(VLOOKUP($B18,'MM B-Goats'!$B$5:$AI$24,6,FALSE)=" ",0,VLOOKUP($B18,'MM B-Goats'!$B$5:$AI$24,6,FALSE)),0)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B-Dummy Roping'!$B$5:$AI$24,10,FALSE)=" ",0,VLOOKUP($B18,'MM B-Dummy Roping'!$B$5:$AI$24,10,FALSE)),0)+IFERROR(IF(VLOOKUP($B18,'MM B-Flags'!$B$5:$AI$24,10,FALSE)=" ",0,VLOOKUP($B18,'MM B-Flags'!$B$5:$AI$24,10,FALSE)),0)+IFERROR(IF(VLOOKUP($B18,'MM B-Figure 8'!$B$5:$AI$24,10,FALSE)=" ",0,VLOOKUP($B18,'MM B-Figure 8'!$B$5:$AI$24,10,FALSE)),0)+IFERROR(IF(VLOOKUP($B18,'MM B-Goats'!$B$5:$AI$24,10,FALSE)=" ",0,VLOOKUP($B18,'MM B-Goats'!$B$5:$AI$24,10,FALSE)),0)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IFERROR(IF(VLOOKUP($B18,'MM B-Dummy Roping'!$B$5:$AI$24,14,FALSE)=" ",0,VLOOKUP($B18,'MM B-Dummy Roping'!$B$5:$AI$24,14,FALSE)),0)+IFERROR(IF(VLOOKUP($B18,'MM B-Flags'!$B$5:$AI$24,14,FALSE)=" ",0,VLOOKUP($B18,'MM B-Flags'!$B$5:$AI$24,14,FALSE)),0)+IFERROR(IF(VLOOKUP($B18,'MM B-Figure 8'!$B$5:$AI$24,14,FALSE)=" ",0,VLOOKUP($B18,'MM B-Figure 8'!$B$5:$AI$24,14,FALSE)),0)+IFERROR(IF(VLOOKUP($B18,'MM B-Goats'!$B$5:$AI$24,14,FALSE)=" ",0,VLOOKUP($B18,'MM B-Goats'!$B$5:$AI$24,14,FALSE)),0)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IFERROR(IF(VLOOKUP($B18,'MM B-Dummy Roping'!$B$5:$AI$24,18,FALSE)=" ",0,VLOOKUP($B18,'MM B-Dummy Roping'!$B$5:$AI$24,18,FALSE)),0)+IFERROR(IF(VLOOKUP($B18,'MM B-Flags'!$B$5:$AI$24,18,FALSE)=" ",0,VLOOKUP($B18,'MM B-Flags'!$B$5:$AI$24,18,FALSE)),0)+IFERROR(IF(VLOOKUP($B18,'MM B-Figure 8'!$B$5:$AI$24,18,FALSE)=" ",0,VLOOKUP($B18,'MM B-Figure 8'!$B$5:$AI$24,18,FALSE)),0)+IFERROR(IF(VLOOKUP($B18,'MM B-Goats'!$B$5:$AI$24,18,FALSE)=" ",0,VLOOKUP($B18,'MM B-Goats'!$B$5:$AI$24,18,FALSE)),0)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B-Dummy Roping'!$B$5:$AI$24,22,FALSE)=" ",0,VLOOKUP($B18,'MM B-Dummy Roping'!$B$5:$AI$24,22,FALSE)),0)+IFERROR(IF(VLOOKUP($B18,'MM B-Flags'!$B$5:$AI$24,22,FALSE)=" ",0,VLOOKUP($B18,'MM B-Flags'!$B$5:$AI$24,22,FALSE)),0)+IFERROR(IF(VLOOKUP($B18,'MM B-Figure 8'!$B$5:$AI$24,22,FALSE)=" ",0,VLOOKUP($B18,'MM B-Figure 8'!$B$5:$AI$24,22,FALSE)),0)+IFERROR(IF(VLOOKUP($B18,'MM B-Goats'!$B$5:$AI$24,22,FALSE)=" ",0,VLOOKUP($B18,'MM B-Goats'!$B$5:$AI$24,22,FALSE)),0)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B-Dummy Roping'!$B$5:$AI$24,26,FALSE)=" ",0,VLOOKUP($B18,'MM B-Dummy Roping'!$B$5:$AI$24,26,FALSE)),0)+IFERROR(IF(VLOOKUP($B18,'MM B-Flags'!$B$5:$AI$24,26,FALSE)=" ",0,VLOOKUP($B18,'MM B-Flags'!$B$5:$AI$24,26,FALSE)),0)+IFERROR(IF(VLOOKUP($B18,'MM B-Figure 8'!$B$5:$AI$24,26,FALSE)=" ",0,VLOOKUP($B18,'MM B-Figure 8'!$B$5:$AI$24,26,FALSE)),0)+IFERROR(IF(VLOOKUP($B18,'MM B-Goats'!$B$5:$AI$24,26,FALSE)=" ",0,VLOOKUP($B18,'MM B-Goats'!$B$5:$AI$24,26,FALSE)),0)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IFERROR(IF(VLOOKUP($B18,'MM B-Dummy Roping'!$B$5:$AI$24,30,FALSE)=" ",0,VLOOKUP($B18,'MM B-Dummy Roping'!$B$5:$AI$24,30,FALSE)),0)+IFERROR(IF(VLOOKUP($B18,'MM B-Flags'!$B$5:$AI$24,30,FALSE)=" ",0,VLOOKUP($B18,'MM B-Flags'!$B$5:$AI$24,30,FALSE)),0)+IFERROR(IF(VLOOKUP($B18,'MM B-Figure 8'!$B$5:$AI$24,30,FALSE)=" ",0,VLOOKUP($B18,'MM B-Figure 8'!$B$5:$AI$24,30,FALSE)),0)+IFERROR(IF(VLOOKUP($B18,'MM B-Goats'!$B$5:$AI$24,30,FALSE)=" ",0,VLOOKUP($B18,'MM B-Goats'!$B$5:$AI$24,30,FALSE)),0)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IFERROR(IF(VLOOKUP($B18,'MM B-Dummy Roping'!$B$5:$AI$24,34,FALSE)=" ",0,VLOOKUP($B18,'MM B-Dummy Roping'!$B$5:$AI$24,34,FALSE)),0)+IFERROR(IF(VLOOKUP($B18,'MM B-Flags'!$B$5:$AI$24,34,FALSE)=" ",0,VLOOKUP($B18,'MM B-Flags'!$B$5:$AI$24,34,FALSE)),0)+IFERROR(IF(VLOOKUP($B18,'MM B-Figure 8'!$B$5:$AI$24,34,FALSE)=" ",0,VLOOKUP($B18,'MM B-Figure 8'!$B$5:$AI$24,34,FALSE)),0)+IFERROR(IF(VLOOKUP($B18,'MM B-Goats'!$B$5:$AI$24,34,FALSE)=" ",0,VLOOKUP($B18,'MM B-Goats'!$B$5:$AI$24,34,FALSE)),0)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41" t="s">
        <v>186</v>
      </c>
      <c r="C19" s="120">
        <f>IFERROR(IF(VLOOKUP($B19,'MM B-Dummy Roping'!$B$5:$AI$24,6,FALSE)=" ",0,VLOOKUP($B19,'MM B-Dummy Roping'!$B$5:$AI$24,6,FALSE)),0)+IFERROR(IF(VLOOKUP($B19,'MM B-Flags'!$B$5:$AI$24,6,FALSE)=" ",0,VLOOKUP($B19,'MM B-Flags'!$B$5:$AI$24,6,FALSE)),0)+IFERROR(IF(VLOOKUP($B19,'MM B-Figure 8'!$B$5:$AI$24,6,FALSE)=" ",0,VLOOKUP($B19,'MM B-Figure 8'!$B$5:$AI$24,6,FALSE)),0)+IFERROR(IF(VLOOKUP($B19,'MM B-Goats'!$B$5:$AI$24,6,FALSE)=" ",0,VLOOKUP($B19,'MM B-Goats'!$B$5:$AI$24,6,FALSE)),0)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IFERROR(IF(VLOOKUP($B19,'MM B-Dummy Roping'!$B$5:$AI$24,10,FALSE)=" ",0,VLOOKUP($B19,'MM B-Dummy Roping'!$B$5:$AI$24,10,FALSE)),0)+IFERROR(IF(VLOOKUP($B19,'MM B-Flags'!$B$5:$AI$24,10,FALSE)=" ",0,VLOOKUP($B19,'MM B-Flags'!$B$5:$AI$24,10,FALSE)),0)+IFERROR(IF(VLOOKUP($B19,'MM B-Figure 8'!$B$5:$AI$24,10,FALSE)=" ",0,VLOOKUP($B19,'MM B-Figure 8'!$B$5:$AI$24,10,FALSE)),0)+IFERROR(IF(VLOOKUP($B19,'MM B-Goats'!$B$5:$AI$24,10,FALSE)=" ",0,VLOOKUP($B19,'MM B-Goats'!$B$5:$AI$24,10,FALSE)),0)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IFERROR(IF(VLOOKUP($B19,'MM B-Dummy Roping'!$B$5:$AI$24,14,FALSE)=" ",0,VLOOKUP($B19,'MM B-Dummy Roping'!$B$5:$AI$24,14,FALSE)),0)+IFERROR(IF(VLOOKUP($B19,'MM B-Flags'!$B$5:$AI$24,14,FALSE)=" ",0,VLOOKUP($B19,'MM B-Flags'!$B$5:$AI$24,14,FALSE)),0)+IFERROR(IF(VLOOKUP($B19,'MM B-Figure 8'!$B$5:$AI$24,14,FALSE)=" ",0,VLOOKUP($B19,'MM B-Figure 8'!$B$5:$AI$24,14,FALSE)),0)+IFERROR(IF(VLOOKUP($B19,'MM B-Goats'!$B$5:$AI$24,14,FALSE)=" ",0,VLOOKUP($B19,'MM B-Goats'!$B$5:$AI$24,14,FALSE)),0)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IFERROR(IF(VLOOKUP($B19,'MM B-Dummy Roping'!$B$5:$AI$24,18,FALSE)=" ",0,VLOOKUP($B19,'MM B-Dummy Roping'!$B$5:$AI$24,18,FALSE)),0)+IFERROR(IF(VLOOKUP($B19,'MM B-Flags'!$B$5:$AI$24,18,FALSE)=" ",0,VLOOKUP($B19,'MM B-Flags'!$B$5:$AI$24,18,FALSE)),0)+IFERROR(IF(VLOOKUP($B19,'MM B-Figure 8'!$B$5:$AI$24,18,FALSE)=" ",0,VLOOKUP($B19,'MM B-Figure 8'!$B$5:$AI$24,18,FALSE)),0)+IFERROR(IF(VLOOKUP($B19,'MM B-Goats'!$B$5:$AI$24,18,FALSE)=" ",0,VLOOKUP($B19,'MM B-Goats'!$B$5:$AI$24,18,FALSE)),0)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IFERROR(IF(VLOOKUP($B19,'MM B-Dummy Roping'!$B$5:$AI$24,22,FALSE)=" ",0,VLOOKUP($B19,'MM B-Dummy Roping'!$B$5:$AI$24,22,FALSE)),0)+IFERROR(IF(VLOOKUP($B19,'MM B-Flags'!$B$5:$AI$24,22,FALSE)=" ",0,VLOOKUP($B19,'MM B-Flags'!$B$5:$AI$24,22,FALSE)),0)+IFERROR(IF(VLOOKUP($B19,'MM B-Figure 8'!$B$5:$AI$24,22,FALSE)=" ",0,VLOOKUP($B19,'MM B-Figure 8'!$B$5:$AI$24,22,FALSE)),0)+IFERROR(IF(VLOOKUP($B19,'MM B-Goats'!$B$5:$AI$24,22,FALSE)=" ",0,VLOOKUP($B19,'MM B-Goats'!$B$5:$AI$24,22,FALSE)),0)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IFERROR(IF(VLOOKUP($B19,'MM B-Dummy Roping'!$B$5:$AI$24,26,FALSE)=" ",0,VLOOKUP($B19,'MM B-Dummy Roping'!$B$5:$AI$24,26,FALSE)),0)+IFERROR(IF(VLOOKUP($B19,'MM B-Flags'!$B$5:$AI$24,26,FALSE)=" ",0,VLOOKUP($B19,'MM B-Flags'!$B$5:$AI$24,26,FALSE)),0)+IFERROR(IF(VLOOKUP($B19,'MM B-Figure 8'!$B$5:$AI$24,26,FALSE)=" ",0,VLOOKUP($B19,'MM B-Figure 8'!$B$5:$AI$24,26,FALSE)),0)+IFERROR(IF(VLOOKUP($B19,'MM B-Goats'!$B$5:$AI$24,26,FALSE)=" ",0,VLOOKUP($B19,'MM B-Goats'!$B$5:$AI$24,26,FALSE)),0)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IFERROR(IF(VLOOKUP($B19,'MM B-Dummy Roping'!$B$5:$AI$24,30,FALSE)=" ",0,VLOOKUP($B19,'MM B-Dummy Roping'!$B$5:$AI$24,30,FALSE)),0)+IFERROR(IF(VLOOKUP($B19,'MM B-Flags'!$B$5:$AI$24,30,FALSE)=" ",0,VLOOKUP($B19,'MM B-Flags'!$B$5:$AI$24,30,FALSE)),0)+IFERROR(IF(VLOOKUP($B19,'MM B-Figure 8'!$B$5:$AI$24,30,FALSE)=" ",0,VLOOKUP($B19,'MM B-Figure 8'!$B$5:$AI$24,30,FALSE)),0)+IFERROR(IF(VLOOKUP($B19,'MM B-Goats'!$B$5:$AI$24,30,FALSE)=" ",0,VLOOKUP($B19,'MM B-Goats'!$B$5:$AI$24,30,FALSE)),0)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IFERROR(IF(VLOOKUP($B19,'MM B-Dummy Roping'!$B$5:$AI$24,34,FALSE)=" ",0,VLOOKUP($B19,'MM B-Dummy Roping'!$B$5:$AI$24,34,FALSE)),0)+IFERROR(IF(VLOOKUP($B19,'MM B-Flags'!$B$5:$AI$24,34,FALSE)=" ",0,VLOOKUP($B19,'MM B-Flags'!$B$5:$AI$24,34,FALSE)),0)+IFERROR(IF(VLOOKUP($B19,'MM B-Figure 8'!$B$5:$AI$24,34,FALSE)=" ",0,VLOOKUP($B19,'MM B-Figure 8'!$B$5:$AI$24,34,FALSE)),0)+IFERROR(IF(VLOOKUP($B19,'MM B-Goats'!$B$5:$AI$24,34,FALSE)=" ",0,VLOOKUP($B19,'MM B-Goats'!$B$5:$AI$24,34,FALSE)),0)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9" s="95" t="str">
        <f t="shared" si="16"/>
        <v xml:space="preserve"> </v>
      </c>
      <c r="AC19" s="122" t="str">
        <f t="shared" si="17"/>
        <v xml:space="preserve"> </v>
      </c>
    </row>
    <row r="20" spans="2:29" x14ac:dyDescent="0.3">
      <c r="B20" s="141" t="s">
        <v>277</v>
      </c>
      <c r="C20" s="120">
        <f>IFERROR(IF(VLOOKUP($B20,'MM B-Dummy Roping'!$B$5:$AI$24,6,FALSE)=" ",0,VLOOKUP($B20,'MM B-Dummy Roping'!$B$5:$AI$24,6,FALSE)),0)+IFERROR(IF(VLOOKUP($B20,'MM B-Flags'!$B$5:$AI$24,6,FALSE)=" ",0,VLOOKUP($B20,'MM B-Flags'!$B$5:$AI$24,6,FALSE)),0)+IFERROR(IF(VLOOKUP($B20,'MM B-Figure 8'!$B$5:$AI$24,6,FALSE)=" ",0,VLOOKUP($B20,'MM B-Figure 8'!$B$5:$AI$24,6,FALSE)),0)+IFERROR(IF(VLOOKUP($B20,'MM B-Goats'!$B$5:$AI$24,6,FALSE)=" ",0,VLOOKUP($B20,'MM B-Goats'!$B$5:$AI$24,6,FALSE)),0)</f>
        <v>0</v>
      </c>
      <c r="D20" s="95" t="str">
        <f t="shared" si="0"/>
        <v xml:space="preserve"> </v>
      </c>
      <c r="E20" s="122" t="str">
        <f t="shared" si="1"/>
        <v xml:space="preserve"> </v>
      </c>
      <c r="F20" s="121">
        <f>IFERROR(IF(VLOOKUP($B20,'MM B-Dummy Roping'!$B$5:$AI$24,10,FALSE)=" ",0,VLOOKUP($B20,'MM B-Dummy Roping'!$B$5:$AI$24,10,FALSE)),0)+IFERROR(IF(VLOOKUP($B20,'MM B-Flags'!$B$5:$AI$24,10,FALSE)=" ",0,VLOOKUP($B20,'MM B-Flags'!$B$5:$AI$24,10,FALSE)),0)+IFERROR(IF(VLOOKUP($B20,'MM B-Figure 8'!$B$5:$AI$24,10,FALSE)=" ",0,VLOOKUP($B20,'MM B-Figure 8'!$B$5:$AI$24,10,FALSE)),0)+IFERROR(IF(VLOOKUP($B20,'MM B-Goats'!$B$5:$AI$24,10,FALSE)=" ",0,VLOOKUP($B20,'MM B-Goats'!$B$5:$AI$24,10,FALSE)),0)</f>
        <v>0</v>
      </c>
      <c r="G20" s="95" t="str">
        <f t="shared" si="2"/>
        <v xml:space="preserve"> </v>
      </c>
      <c r="H20" s="122" t="str">
        <f t="shared" si="3"/>
        <v xml:space="preserve"> </v>
      </c>
      <c r="I20" s="121">
        <f>IFERROR(IF(VLOOKUP($B20,'MM B-Dummy Roping'!$B$5:$AI$24,14,FALSE)=" ",0,VLOOKUP($B20,'MM B-Dummy Roping'!$B$5:$AI$24,14,FALSE)),0)+IFERROR(IF(VLOOKUP($B20,'MM B-Flags'!$B$5:$AI$24,14,FALSE)=" ",0,VLOOKUP($B20,'MM B-Flags'!$B$5:$AI$24,14,FALSE)),0)+IFERROR(IF(VLOOKUP($B20,'MM B-Figure 8'!$B$5:$AI$24,14,FALSE)=" ",0,VLOOKUP($B20,'MM B-Figure 8'!$B$5:$AI$24,14,FALSE)),0)+IFERROR(IF(VLOOKUP($B20,'MM B-Goats'!$B$5:$AI$24,14,FALSE)=" ",0,VLOOKUP($B20,'MM B-Goats'!$B$5:$AI$24,14,FALSE)),0)</f>
        <v>0</v>
      </c>
      <c r="J20" s="95" t="str">
        <f t="shared" si="4"/>
        <v xml:space="preserve"> </v>
      </c>
      <c r="K20" s="122" t="str">
        <f t="shared" si="5"/>
        <v xml:space="preserve"> </v>
      </c>
      <c r="L20" s="121">
        <f>IFERROR(IF(VLOOKUP($B20,'MM B-Dummy Roping'!$B$5:$AI$24,18,FALSE)=" ",0,VLOOKUP($B20,'MM B-Dummy Roping'!$B$5:$AI$24,18,FALSE)),0)+IFERROR(IF(VLOOKUP($B20,'MM B-Flags'!$B$5:$AI$24,18,FALSE)=" ",0,VLOOKUP($B20,'MM B-Flags'!$B$5:$AI$24,18,FALSE)),0)+IFERROR(IF(VLOOKUP($B20,'MM B-Figure 8'!$B$5:$AI$24,18,FALSE)=" ",0,VLOOKUP($B20,'MM B-Figure 8'!$B$5:$AI$24,18,FALSE)),0)+IFERROR(IF(VLOOKUP($B20,'MM B-Goats'!$B$5:$AI$24,18,FALSE)=" ",0,VLOOKUP($B20,'MM B-Goats'!$B$5:$AI$24,18,FALSE)),0)</f>
        <v>0</v>
      </c>
      <c r="M20" s="95" t="str">
        <f t="shared" si="6"/>
        <v xml:space="preserve"> </v>
      </c>
      <c r="N20" s="122" t="str">
        <f t="shared" si="7"/>
        <v xml:space="preserve"> </v>
      </c>
      <c r="O20" s="121">
        <f>IFERROR(IF(VLOOKUP($B20,'MM B-Dummy Roping'!$B$5:$AI$24,22,FALSE)=" ",0,VLOOKUP($B20,'MM B-Dummy Roping'!$B$5:$AI$24,22,FALSE)),0)+IFERROR(IF(VLOOKUP($B20,'MM B-Flags'!$B$5:$AI$24,22,FALSE)=" ",0,VLOOKUP($B20,'MM B-Flags'!$B$5:$AI$24,22,FALSE)),0)+IFERROR(IF(VLOOKUP($B20,'MM B-Figure 8'!$B$5:$AI$24,22,FALSE)=" ",0,VLOOKUP($B20,'MM B-Figure 8'!$B$5:$AI$24,22,FALSE)),0)+IFERROR(IF(VLOOKUP($B20,'MM B-Goats'!$B$5:$AI$24,22,FALSE)=" ",0,VLOOKUP($B20,'MM B-Goats'!$B$5:$AI$24,22,FALSE)),0)</f>
        <v>0</v>
      </c>
      <c r="P20" s="95" t="str">
        <f t="shared" si="8"/>
        <v xml:space="preserve"> </v>
      </c>
      <c r="Q20" s="122" t="str">
        <f t="shared" si="9"/>
        <v xml:space="preserve"> </v>
      </c>
      <c r="R20" s="121">
        <f>IFERROR(IF(VLOOKUP($B20,'MM B-Dummy Roping'!$B$5:$AI$24,26,FALSE)=" ",0,VLOOKUP($B20,'MM B-Dummy Roping'!$B$5:$AI$24,26,FALSE)),0)+IFERROR(IF(VLOOKUP($B20,'MM B-Flags'!$B$5:$AI$24,26,FALSE)=" ",0,VLOOKUP($B20,'MM B-Flags'!$B$5:$AI$24,26,FALSE)),0)+IFERROR(IF(VLOOKUP($B20,'MM B-Figure 8'!$B$5:$AI$24,26,FALSE)=" ",0,VLOOKUP($B20,'MM B-Figure 8'!$B$5:$AI$24,26,FALSE)),0)+IFERROR(IF(VLOOKUP($B20,'MM B-Goats'!$B$5:$AI$24,26,FALSE)=" ",0,VLOOKUP($B20,'MM B-Goats'!$B$5:$AI$24,26,FALSE)),0)</f>
        <v>0</v>
      </c>
      <c r="S20" s="95" t="str">
        <f t="shared" si="10"/>
        <v xml:space="preserve"> </v>
      </c>
      <c r="T20" s="122" t="str">
        <f t="shared" si="11"/>
        <v xml:space="preserve"> </v>
      </c>
      <c r="U20" s="121">
        <f>IFERROR(IF(VLOOKUP($B20,'MM B-Dummy Roping'!$B$5:$AI$24,30,FALSE)=" ",0,VLOOKUP($B20,'MM B-Dummy Roping'!$B$5:$AI$24,30,FALSE)),0)+IFERROR(IF(VLOOKUP($B20,'MM B-Flags'!$B$5:$AI$24,30,FALSE)=" ",0,VLOOKUP($B20,'MM B-Flags'!$B$5:$AI$24,30,FALSE)),0)+IFERROR(IF(VLOOKUP($B20,'MM B-Figure 8'!$B$5:$AI$24,30,FALSE)=" ",0,VLOOKUP($B20,'MM B-Figure 8'!$B$5:$AI$24,30,FALSE)),0)+IFERROR(IF(VLOOKUP($B20,'MM B-Goats'!$B$5:$AI$24,30,FALSE)=" ",0,VLOOKUP($B20,'MM B-Goats'!$B$5:$AI$24,30,FALSE)),0)</f>
        <v>0</v>
      </c>
      <c r="V20" s="95" t="str">
        <f t="shared" si="12"/>
        <v xml:space="preserve"> </v>
      </c>
      <c r="W20" s="122" t="str">
        <f t="shared" si="13"/>
        <v xml:space="preserve"> </v>
      </c>
      <c r="X20" s="121">
        <f>IFERROR(IF(VLOOKUP($B20,'MM B-Dummy Roping'!$B$5:$AI$24,34,FALSE)=" ",0,VLOOKUP($B20,'MM B-Dummy Roping'!$B$5:$AI$24,34,FALSE)),0)+IFERROR(IF(VLOOKUP($B20,'MM B-Flags'!$B$5:$AI$24,34,FALSE)=" ",0,VLOOKUP($B20,'MM B-Flags'!$B$5:$AI$24,34,FALSE)),0)+IFERROR(IF(VLOOKUP($B20,'MM B-Figure 8'!$B$5:$AI$24,34,FALSE)=" ",0,VLOOKUP($B20,'MM B-Figure 8'!$B$5:$AI$24,34,FALSE)),0)+IFERROR(IF(VLOOKUP($B20,'MM B-Goats'!$B$5:$AI$24,34,FALSE)=" ",0,VLOOKUP($B20,'MM B-Goats'!$B$5:$AI$24,34,FALSE)),0)</f>
        <v>0</v>
      </c>
      <c r="Y20" s="95" t="str">
        <f t="shared" si="14"/>
        <v xml:space="preserve"> </v>
      </c>
      <c r="Z20" s="122" t="str">
        <f t="shared" si="15"/>
        <v xml:space="preserve"> </v>
      </c>
      <c r="AA2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0" s="95" t="str">
        <f t="shared" si="16"/>
        <v xml:space="preserve"> </v>
      </c>
      <c r="AC20" s="122" t="str">
        <f t="shared" si="17"/>
        <v xml:space="preserve"> </v>
      </c>
    </row>
    <row r="21" spans="2:29" x14ac:dyDescent="0.3">
      <c r="B21" s="152"/>
      <c r="C21" s="120">
        <f>IFERROR(IF(VLOOKUP($B21,'MM B-Dummy Roping'!$B$5:$AI$24,6,FALSE)=" ",0,VLOOKUP($B21,'MM B-Dummy Roping'!$B$5:$AI$24,6,FALSE)),0)+IFERROR(IF(VLOOKUP($B21,'MM B-Flags'!$B$5:$AI$24,6,FALSE)=" ",0,VLOOKUP($B21,'MM B-Flags'!$B$5:$AI$24,6,FALSE)),0)+IFERROR(IF(VLOOKUP($B21,'MM B-Figure 8'!$B$5:$AI$24,6,FALSE)=" ",0,VLOOKUP($B21,'MM B-Figure 8'!$B$5:$AI$24,6,FALSE)),0)+IFERROR(IF(VLOOKUP($B21,'MM B-Goats'!$B$5:$AI$24,6,FALSE)=" ",0,VLOOKUP($B21,'MM B-Goats'!$B$5:$AI$24,6,FALSE)),0)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IFERROR(IF(VLOOKUP($B21,'MM B-Dummy Roping'!$B$5:$AI$24,10,FALSE)=" ",0,VLOOKUP($B21,'MM B-Dummy Roping'!$B$5:$AI$24,10,FALSE)),0)+IFERROR(IF(VLOOKUP($B21,'MM B-Flags'!$B$5:$AI$24,10,FALSE)=" ",0,VLOOKUP($B21,'MM B-Flags'!$B$5:$AI$24,10,FALSE)),0)+IFERROR(IF(VLOOKUP($B21,'MM B-Figure 8'!$B$5:$AI$24,10,FALSE)=" ",0,VLOOKUP($B21,'MM B-Figure 8'!$B$5:$AI$24,10,FALSE)),0)+IFERROR(IF(VLOOKUP($B21,'MM B-Goats'!$B$5:$AI$24,10,FALSE)=" ",0,VLOOKUP($B21,'MM B-Goats'!$B$5:$AI$24,10,FALSE)),0)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B-Dummy Roping'!$B$5:$AI$24,14,FALSE)=" ",0,VLOOKUP($B21,'MM B-Dummy Roping'!$B$5:$AI$24,14,FALSE)),0)+IFERROR(IF(VLOOKUP($B21,'MM B-Flags'!$B$5:$AI$24,14,FALSE)=" ",0,VLOOKUP($B21,'MM B-Flags'!$B$5:$AI$24,14,FALSE)),0)+IFERROR(IF(VLOOKUP($B21,'MM B-Figure 8'!$B$5:$AI$24,14,FALSE)=" ",0,VLOOKUP($B21,'MM B-Figure 8'!$B$5:$AI$24,14,FALSE)),0)+IFERROR(IF(VLOOKUP($B21,'MM B-Goats'!$B$5:$AI$24,14,FALSE)=" ",0,VLOOKUP($B21,'MM B-Goats'!$B$5:$AI$24,14,FALSE)),0)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B-Dummy Roping'!$B$5:$AI$24,18,FALSE)=" ",0,VLOOKUP($B21,'MM B-Dummy Roping'!$B$5:$AI$24,18,FALSE)),0)+IFERROR(IF(VLOOKUP($B21,'MM B-Flags'!$B$5:$AI$24,18,FALSE)=" ",0,VLOOKUP($B21,'MM B-Flags'!$B$5:$AI$24,18,FALSE)),0)+IFERROR(IF(VLOOKUP($B21,'MM B-Figure 8'!$B$5:$AI$24,18,FALSE)=" ",0,VLOOKUP($B21,'MM B-Figure 8'!$B$5:$AI$24,18,FALSE)),0)+IFERROR(IF(VLOOKUP($B21,'MM B-Goats'!$B$5:$AI$24,18,FALSE)=" ",0,VLOOKUP($B21,'MM B-Goats'!$B$5:$AI$24,18,FALSE)),0)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IFERROR(IF(VLOOKUP($B21,'MM B-Dummy Roping'!$B$5:$AI$24,22,FALSE)=" ",0,VLOOKUP($B21,'MM B-Dummy Roping'!$B$5:$AI$24,22,FALSE)),0)+IFERROR(IF(VLOOKUP($B21,'MM B-Flags'!$B$5:$AI$24,22,FALSE)=" ",0,VLOOKUP($B21,'MM B-Flags'!$B$5:$AI$24,22,FALSE)),0)+IFERROR(IF(VLOOKUP($B21,'MM B-Figure 8'!$B$5:$AI$24,22,FALSE)=" ",0,VLOOKUP($B21,'MM B-Figure 8'!$B$5:$AI$24,22,FALSE)),0)+IFERROR(IF(VLOOKUP($B21,'MM B-Goats'!$B$5:$AI$24,22,FALSE)=" ",0,VLOOKUP($B21,'MM B-Goats'!$B$5:$AI$24,22,FALSE)),0)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B-Dummy Roping'!$B$5:$AI$24,26,FALSE)=" ",0,VLOOKUP($B21,'MM B-Dummy Roping'!$B$5:$AI$24,26,FALSE)),0)+IFERROR(IF(VLOOKUP($B21,'MM B-Flags'!$B$5:$AI$24,26,FALSE)=" ",0,VLOOKUP($B21,'MM B-Flags'!$B$5:$AI$24,26,FALSE)),0)+IFERROR(IF(VLOOKUP($B21,'MM B-Figure 8'!$B$5:$AI$24,26,FALSE)=" ",0,VLOOKUP($B21,'MM B-Figure 8'!$B$5:$AI$24,26,FALSE)),0)+IFERROR(IF(VLOOKUP($B21,'MM B-Goats'!$B$5:$AI$24,26,FALSE)=" ",0,VLOOKUP($B21,'MM B-Goats'!$B$5:$AI$24,26,FALSE)),0)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IFERROR(IF(VLOOKUP($B21,'MM B-Dummy Roping'!$B$5:$AI$24,30,FALSE)=" ",0,VLOOKUP($B21,'MM B-Dummy Roping'!$B$5:$AI$24,30,FALSE)),0)+IFERROR(IF(VLOOKUP($B21,'MM B-Flags'!$B$5:$AI$24,30,FALSE)=" ",0,VLOOKUP($B21,'MM B-Flags'!$B$5:$AI$24,30,FALSE)),0)+IFERROR(IF(VLOOKUP($B21,'MM B-Figure 8'!$B$5:$AI$24,30,FALSE)=" ",0,VLOOKUP($B21,'MM B-Figure 8'!$B$5:$AI$24,30,FALSE)),0)+IFERROR(IF(VLOOKUP($B21,'MM B-Goats'!$B$5:$AI$24,30,FALSE)=" ",0,VLOOKUP($B21,'MM B-Goats'!$B$5:$AI$24,30,FALSE)),0)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B-Dummy Roping'!$B$5:$AI$24,34,FALSE)=" ",0,VLOOKUP($B21,'MM B-Dummy Roping'!$B$5:$AI$24,34,FALSE)),0)+IFERROR(IF(VLOOKUP($B21,'MM B-Flags'!$B$5:$AI$24,34,FALSE)=" ",0,VLOOKUP($B21,'MM B-Flags'!$B$5:$AI$24,34,FALSE)),0)+IFERROR(IF(VLOOKUP($B21,'MM B-Figure 8'!$B$5:$AI$24,34,FALSE)=" ",0,VLOOKUP($B21,'MM B-Figure 8'!$B$5:$AI$24,34,FALSE)),0)+IFERROR(IF(VLOOKUP($B21,'MM B-Goats'!$B$5:$AI$24,34,FALSE)=" ",0,VLOOKUP($B21,'MM B-Goats'!$B$5:$AI$24,34,FALSE)),0)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52"/>
      <c r="C22" s="120">
        <f>IFERROR(IF(VLOOKUP($B22,'MM B-Dummy Roping'!$B$5:$AI$24,6,FALSE)=" ",0,VLOOKUP($B22,'MM B-Dummy Roping'!$B$5:$AI$24,6,FALSE)),0)+IFERROR(IF(VLOOKUP($B22,'MM B-Flags'!$B$5:$AI$24,6,FALSE)=" ",0,VLOOKUP($B22,'MM B-Flags'!$B$5:$AI$24,6,FALSE)),0)+IFERROR(IF(VLOOKUP($B22,'MM B-Figure 8'!$B$5:$AI$24,6,FALSE)=" ",0,VLOOKUP($B22,'MM B-Figure 8'!$B$5:$AI$24,6,FALSE)),0)+IFERROR(IF(VLOOKUP($B22,'MM B-Goats'!$B$5:$AI$24,6,FALSE)=" ",0,VLOOKUP($B22,'MM B-Goats'!$B$5:$AI$24,6,FALSE)),0)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B-Dummy Roping'!$B$5:$AI$24,10,FALSE)=" ",0,VLOOKUP($B22,'MM B-Dummy Roping'!$B$5:$AI$24,10,FALSE)),0)+IFERROR(IF(VLOOKUP($B22,'MM B-Flags'!$B$5:$AI$24,10,FALSE)=" ",0,VLOOKUP($B22,'MM B-Flags'!$B$5:$AI$24,10,FALSE)),0)+IFERROR(IF(VLOOKUP($B22,'MM B-Figure 8'!$B$5:$AI$24,10,FALSE)=" ",0,VLOOKUP($B22,'MM B-Figure 8'!$B$5:$AI$24,10,FALSE)),0)+IFERROR(IF(VLOOKUP($B22,'MM B-Goats'!$B$5:$AI$24,10,FALSE)=" ",0,VLOOKUP($B22,'MM B-Goats'!$B$5:$AI$24,10,FALSE)),0)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B-Dummy Roping'!$B$5:$AI$24,14,FALSE)=" ",0,VLOOKUP($B22,'MM B-Dummy Roping'!$B$5:$AI$24,14,FALSE)),0)+IFERROR(IF(VLOOKUP($B22,'MM B-Flags'!$B$5:$AI$24,14,FALSE)=" ",0,VLOOKUP($B22,'MM B-Flags'!$B$5:$AI$24,14,FALSE)),0)+IFERROR(IF(VLOOKUP($B22,'MM B-Figure 8'!$B$5:$AI$24,14,FALSE)=" ",0,VLOOKUP($B22,'MM B-Figure 8'!$B$5:$AI$24,14,FALSE)),0)+IFERROR(IF(VLOOKUP($B22,'MM B-Goats'!$B$5:$AI$24,14,FALSE)=" ",0,VLOOKUP($B22,'MM B-Goats'!$B$5:$AI$24,14,FALSE)),0)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B-Dummy Roping'!$B$5:$AI$24,18,FALSE)=" ",0,VLOOKUP($B22,'MM B-Dummy Roping'!$B$5:$AI$24,18,FALSE)),0)+IFERROR(IF(VLOOKUP($B22,'MM B-Flags'!$B$5:$AI$24,18,FALSE)=" ",0,VLOOKUP($B22,'MM B-Flags'!$B$5:$AI$24,18,FALSE)),0)+IFERROR(IF(VLOOKUP($B22,'MM B-Figure 8'!$B$5:$AI$24,18,FALSE)=" ",0,VLOOKUP($B22,'MM B-Figure 8'!$B$5:$AI$24,18,FALSE)),0)+IFERROR(IF(VLOOKUP($B22,'MM B-Goats'!$B$5:$AI$24,18,FALSE)=" ",0,VLOOKUP($B22,'MM B-Goats'!$B$5:$AI$24,18,FALSE)),0)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B-Dummy Roping'!$B$5:$AI$24,22,FALSE)=" ",0,VLOOKUP($B22,'MM B-Dummy Roping'!$B$5:$AI$24,22,FALSE)),0)+IFERROR(IF(VLOOKUP($B22,'MM B-Flags'!$B$5:$AI$24,22,FALSE)=" ",0,VLOOKUP($B22,'MM B-Flags'!$B$5:$AI$24,22,FALSE)),0)+IFERROR(IF(VLOOKUP($B22,'MM B-Figure 8'!$B$5:$AI$24,22,FALSE)=" ",0,VLOOKUP($B22,'MM B-Figure 8'!$B$5:$AI$24,22,FALSE)),0)+IFERROR(IF(VLOOKUP($B22,'MM B-Goats'!$B$5:$AI$24,22,FALSE)=" ",0,VLOOKUP($B22,'MM B-Goats'!$B$5:$AI$24,22,FALSE)),0)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B-Dummy Roping'!$B$5:$AI$24,26,FALSE)=" ",0,VLOOKUP($B22,'MM B-Dummy Roping'!$B$5:$AI$24,26,FALSE)),0)+IFERROR(IF(VLOOKUP($B22,'MM B-Flags'!$B$5:$AI$24,26,FALSE)=" ",0,VLOOKUP($B22,'MM B-Flags'!$B$5:$AI$24,26,FALSE)),0)+IFERROR(IF(VLOOKUP($B22,'MM B-Figure 8'!$B$5:$AI$24,26,FALSE)=" ",0,VLOOKUP($B22,'MM B-Figure 8'!$B$5:$AI$24,26,FALSE)),0)+IFERROR(IF(VLOOKUP($B22,'MM B-Goats'!$B$5:$AI$24,26,FALSE)=" ",0,VLOOKUP($B22,'MM B-Goats'!$B$5:$AI$24,26,FALSE)),0)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B-Dummy Roping'!$B$5:$AI$24,30,FALSE)=" ",0,VLOOKUP($B22,'MM B-Dummy Roping'!$B$5:$AI$24,30,FALSE)),0)+IFERROR(IF(VLOOKUP($B22,'MM B-Flags'!$B$5:$AI$24,30,FALSE)=" ",0,VLOOKUP($B22,'MM B-Flags'!$B$5:$AI$24,30,FALSE)),0)+IFERROR(IF(VLOOKUP($B22,'MM B-Figure 8'!$B$5:$AI$24,30,FALSE)=" ",0,VLOOKUP($B22,'MM B-Figure 8'!$B$5:$AI$24,30,FALSE)),0)+IFERROR(IF(VLOOKUP($B22,'MM B-Goats'!$B$5:$AI$24,30,FALSE)=" ",0,VLOOKUP($B22,'MM B-Goats'!$B$5:$AI$24,30,FALSE)),0)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IFERROR(IF(VLOOKUP($B22,'MM B-Dummy Roping'!$B$5:$AI$24,34,FALSE)=" ",0,VLOOKUP($B22,'MM B-Dummy Roping'!$B$5:$AI$24,34,FALSE)),0)+IFERROR(IF(VLOOKUP($B22,'MM B-Flags'!$B$5:$AI$24,34,FALSE)=" ",0,VLOOKUP($B22,'MM B-Flags'!$B$5:$AI$24,34,FALSE)),0)+IFERROR(IF(VLOOKUP($B22,'MM B-Figure 8'!$B$5:$AI$24,34,FALSE)=" ",0,VLOOKUP($B22,'MM B-Figure 8'!$B$5:$AI$24,34,FALSE)),0)+IFERROR(IF(VLOOKUP($B22,'MM B-Goats'!$B$5:$AI$24,34,FALSE)=" ",0,VLOOKUP($B22,'MM B-Goats'!$B$5:$AI$24,34,FALSE)),0)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52"/>
      <c r="C23" s="120">
        <f>IFERROR(IF(VLOOKUP($B23,'MM B-Dummy Roping'!$B$5:$AI$24,6,FALSE)=" ",0,VLOOKUP($B23,'MM B-Dummy Roping'!$B$5:$AI$24,6,FALSE)),0)+IFERROR(IF(VLOOKUP($B23,'MM B-Flags'!$B$5:$AI$24,6,FALSE)=" ",0,VLOOKUP($B23,'MM B-Flags'!$B$5:$AI$24,6,FALSE)),0)+IFERROR(IF(VLOOKUP($B23,'MM B-Figure 8'!$B$5:$AI$24,6,FALSE)=" ",0,VLOOKUP($B23,'MM B-Figure 8'!$B$5:$AI$24,6,FALSE)),0)+IFERROR(IF(VLOOKUP($B23,'MM B-Goats'!$B$5:$AI$24,6,FALSE)=" ",0,VLOOKUP($B23,'MM B-Goats'!$B$5:$AI$24,6,FALSE)),0)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B-Dummy Roping'!$B$5:$AI$24,10,FALSE)=" ",0,VLOOKUP($B23,'MM B-Dummy Roping'!$B$5:$AI$24,10,FALSE)),0)+IFERROR(IF(VLOOKUP($B23,'MM B-Flags'!$B$5:$AI$24,10,FALSE)=" ",0,VLOOKUP($B23,'MM B-Flags'!$B$5:$AI$24,10,FALSE)),0)+IFERROR(IF(VLOOKUP($B23,'MM B-Figure 8'!$B$5:$AI$24,10,FALSE)=" ",0,VLOOKUP($B23,'MM B-Figure 8'!$B$5:$AI$24,10,FALSE)),0)+IFERROR(IF(VLOOKUP($B23,'MM B-Goats'!$B$5:$AI$24,10,FALSE)=" ",0,VLOOKUP($B23,'MM B-Goats'!$B$5:$AI$24,10,FALSE)),0)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B-Dummy Roping'!$B$5:$AI$24,14,FALSE)=" ",0,VLOOKUP($B23,'MM B-Dummy Roping'!$B$5:$AI$24,14,FALSE)),0)+IFERROR(IF(VLOOKUP($B23,'MM B-Flags'!$B$5:$AI$24,14,FALSE)=" ",0,VLOOKUP($B23,'MM B-Flags'!$B$5:$AI$24,14,FALSE)),0)+IFERROR(IF(VLOOKUP($B23,'MM B-Figure 8'!$B$5:$AI$24,14,FALSE)=" ",0,VLOOKUP($B23,'MM B-Figure 8'!$B$5:$AI$24,14,FALSE)),0)+IFERROR(IF(VLOOKUP($B23,'MM B-Goats'!$B$5:$AI$24,14,FALSE)=" ",0,VLOOKUP($B23,'MM B-Goats'!$B$5:$AI$24,14,FALSE)),0)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B-Dummy Roping'!$B$5:$AI$24,18,FALSE)=" ",0,VLOOKUP($B23,'MM B-Dummy Roping'!$B$5:$AI$24,18,FALSE)),0)+IFERROR(IF(VLOOKUP($B23,'MM B-Flags'!$B$5:$AI$24,18,FALSE)=" ",0,VLOOKUP($B23,'MM B-Flags'!$B$5:$AI$24,18,FALSE)),0)+IFERROR(IF(VLOOKUP($B23,'MM B-Figure 8'!$B$5:$AI$24,18,FALSE)=" ",0,VLOOKUP($B23,'MM B-Figure 8'!$B$5:$AI$24,18,FALSE)),0)+IFERROR(IF(VLOOKUP($B23,'MM B-Goats'!$B$5:$AI$24,18,FALSE)=" ",0,VLOOKUP($B23,'MM B-Goats'!$B$5:$AI$24,18,FALSE)),0)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B-Dummy Roping'!$B$5:$AI$24,22,FALSE)=" ",0,VLOOKUP($B23,'MM B-Dummy Roping'!$B$5:$AI$24,22,FALSE)),0)+IFERROR(IF(VLOOKUP($B23,'MM B-Flags'!$B$5:$AI$24,22,FALSE)=" ",0,VLOOKUP($B23,'MM B-Flags'!$B$5:$AI$24,22,FALSE)),0)+IFERROR(IF(VLOOKUP($B23,'MM B-Figure 8'!$B$5:$AI$24,22,FALSE)=" ",0,VLOOKUP($B23,'MM B-Figure 8'!$B$5:$AI$24,22,FALSE)),0)+IFERROR(IF(VLOOKUP($B23,'MM B-Goats'!$B$5:$AI$24,22,FALSE)=" ",0,VLOOKUP($B23,'MM B-Goats'!$B$5:$AI$24,22,FALSE)),0)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B-Dummy Roping'!$B$5:$AI$24,26,FALSE)=" ",0,VLOOKUP($B23,'MM B-Dummy Roping'!$B$5:$AI$24,26,FALSE)),0)+IFERROR(IF(VLOOKUP($B23,'MM B-Flags'!$B$5:$AI$24,26,FALSE)=" ",0,VLOOKUP($B23,'MM B-Flags'!$B$5:$AI$24,26,FALSE)),0)+IFERROR(IF(VLOOKUP($B23,'MM B-Figure 8'!$B$5:$AI$24,26,FALSE)=" ",0,VLOOKUP($B23,'MM B-Figure 8'!$B$5:$AI$24,26,FALSE)),0)+IFERROR(IF(VLOOKUP($B23,'MM B-Goats'!$B$5:$AI$24,26,FALSE)=" ",0,VLOOKUP($B23,'MM B-Goats'!$B$5:$AI$24,26,FALSE)),0)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B-Dummy Roping'!$B$5:$AI$24,30,FALSE)=" ",0,VLOOKUP($B23,'MM B-Dummy Roping'!$B$5:$AI$24,30,FALSE)),0)+IFERROR(IF(VLOOKUP($B23,'MM B-Flags'!$B$5:$AI$24,30,FALSE)=" ",0,VLOOKUP($B23,'MM B-Flags'!$B$5:$AI$24,30,FALSE)),0)+IFERROR(IF(VLOOKUP($B23,'MM B-Figure 8'!$B$5:$AI$24,30,FALSE)=" ",0,VLOOKUP($B23,'MM B-Figure 8'!$B$5:$AI$24,30,FALSE)),0)+IFERROR(IF(VLOOKUP($B23,'MM B-Goats'!$B$5:$AI$24,30,FALSE)=" ",0,VLOOKUP($B23,'MM B-Goats'!$B$5:$AI$24,30,FALSE)),0)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B-Dummy Roping'!$B$5:$AI$24,34,FALSE)=" ",0,VLOOKUP($B23,'MM B-Dummy Roping'!$B$5:$AI$24,34,FALSE)),0)+IFERROR(IF(VLOOKUP($B23,'MM B-Flags'!$B$5:$AI$24,34,FALSE)=" ",0,VLOOKUP($B23,'MM B-Flags'!$B$5:$AI$24,34,FALSE)),0)+IFERROR(IF(VLOOKUP($B23,'MM B-Figure 8'!$B$5:$AI$24,34,FALSE)=" ",0,VLOOKUP($B23,'MM B-Figure 8'!$B$5:$AI$24,34,FALSE)),0)+IFERROR(IF(VLOOKUP($B23,'MM B-Goats'!$B$5:$AI$24,34,FALSE)=" ",0,VLOOKUP($B23,'MM B-Goats'!$B$5:$AI$24,34,FALSE)),0)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69"/>
      <c r="C24" s="123">
        <f>IFERROR(IF(VLOOKUP($B24,'MM B-Dummy Roping'!$B$5:$AI$24,6,FALSE)=" ",0,VLOOKUP($B24,'MM B-Dummy Roping'!$B$5:$AI$24,6,FALSE)),0)+IFERROR(IF(VLOOKUP($B24,'MM B-Flags'!$B$5:$AI$24,6,FALSE)=" ",0,VLOOKUP($B24,'MM B-Flags'!$B$5:$AI$24,6,FALSE)),0)+IFERROR(IF(VLOOKUP($B24,'MM B-Figure 8'!$B$5:$AI$24,6,FALSE)=" ",0,VLOOKUP($B24,'MM B-Figure 8'!$B$5:$AI$24,6,FALSE)),0)+IFERROR(IF(VLOOKUP($B24,'MM B-Goats'!$B$5:$AI$24,6,FALSE)=" ",0,VLOOKUP($B24,'MM B-Goats'!$B$5:$AI$24,6,FALSE)),0)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IFERROR(IF(VLOOKUP($B24,'MM B-Dummy Roping'!$B$5:$AI$24,10,FALSE)=" ",0,VLOOKUP($B24,'MM B-Dummy Roping'!$B$5:$AI$24,10,FALSE)),0)+IFERROR(IF(VLOOKUP($B24,'MM B-Flags'!$B$5:$AI$24,10,FALSE)=" ",0,VLOOKUP($B24,'MM B-Flags'!$B$5:$AI$24,10,FALSE)),0)+IFERROR(IF(VLOOKUP($B24,'MM B-Figure 8'!$B$5:$AI$24,10,FALSE)=" ",0,VLOOKUP($B24,'MM B-Figure 8'!$B$5:$AI$24,10,FALSE)),0)+IFERROR(IF(VLOOKUP($B24,'MM B-Goats'!$B$5:$AI$24,10,FALSE)=" ",0,VLOOKUP($B24,'MM B-Goats'!$B$5:$AI$24,10,FALSE)),0)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IFERROR(IF(VLOOKUP($B24,'MM B-Dummy Roping'!$B$5:$AI$24,14,FALSE)=" ",0,VLOOKUP($B24,'MM B-Dummy Roping'!$B$5:$AI$24,14,FALSE)),0)+IFERROR(IF(VLOOKUP($B24,'MM B-Flags'!$B$5:$AI$24,14,FALSE)=" ",0,VLOOKUP($B24,'MM B-Flags'!$B$5:$AI$24,14,FALSE)),0)+IFERROR(IF(VLOOKUP($B24,'MM B-Figure 8'!$B$5:$AI$24,14,FALSE)=" ",0,VLOOKUP($B24,'MM B-Figure 8'!$B$5:$AI$24,14,FALSE)),0)+IFERROR(IF(VLOOKUP($B24,'MM B-Goats'!$B$5:$AI$24,14,FALSE)=" ",0,VLOOKUP($B24,'MM B-Goats'!$B$5:$AI$24,14,FALSE)),0)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IFERROR(IF(VLOOKUP($B24,'MM B-Dummy Roping'!$B$5:$AI$24,18,FALSE)=" ",0,VLOOKUP($B24,'MM B-Dummy Roping'!$B$5:$AI$24,18,FALSE)),0)+IFERROR(IF(VLOOKUP($B24,'MM B-Flags'!$B$5:$AI$24,18,FALSE)=" ",0,VLOOKUP($B24,'MM B-Flags'!$B$5:$AI$24,18,FALSE)),0)+IFERROR(IF(VLOOKUP($B24,'MM B-Figure 8'!$B$5:$AI$24,18,FALSE)=" ",0,VLOOKUP($B24,'MM B-Figure 8'!$B$5:$AI$24,18,FALSE)),0)+IFERROR(IF(VLOOKUP($B24,'MM B-Goats'!$B$5:$AI$24,18,FALSE)=" ",0,VLOOKUP($B24,'MM B-Goats'!$B$5:$AI$24,18,FALSE)),0)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IFERROR(IF(VLOOKUP($B24,'MM B-Dummy Roping'!$B$5:$AI$24,22,FALSE)=" ",0,VLOOKUP($B24,'MM B-Dummy Roping'!$B$5:$AI$24,22,FALSE)),0)+IFERROR(IF(VLOOKUP($B24,'MM B-Flags'!$B$5:$AI$24,22,FALSE)=" ",0,VLOOKUP($B24,'MM B-Flags'!$B$5:$AI$24,22,FALSE)),0)+IFERROR(IF(VLOOKUP($B24,'MM B-Figure 8'!$B$5:$AI$24,22,FALSE)=" ",0,VLOOKUP($B24,'MM B-Figure 8'!$B$5:$AI$24,22,FALSE)),0)+IFERROR(IF(VLOOKUP($B24,'MM B-Goats'!$B$5:$AI$24,22,FALSE)=" ",0,VLOOKUP($B24,'MM B-Goats'!$B$5:$AI$24,22,FALSE)),0)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IFERROR(IF(VLOOKUP($B24,'MM B-Dummy Roping'!$B$5:$AI$24,26,FALSE)=" ",0,VLOOKUP($B24,'MM B-Dummy Roping'!$B$5:$AI$24,26,FALSE)),0)+IFERROR(IF(VLOOKUP($B24,'MM B-Flags'!$B$5:$AI$24,26,FALSE)=" ",0,VLOOKUP($B24,'MM B-Flags'!$B$5:$AI$24,26,FALSE)),0)+IFERROR(IF(VLOOKUP($B24,'MM B-Figure 8'!$B$5:$AI$24,26,FALSE)=" ",0,VLOOKUP($B24,'MM B-Figure 8'!$B$5:$AI$24,26,FALSE)),0)+IFERROR(IF(VLOOKUP($B24,'MM B-Goats'!$B$5:$AI$24,26,FALSE)=" ",0,VLOOKUP($B24,'MM B-Goats'!$B$5:$AI$24,26,FALSE)),0)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IFERROR(IF(VLOOKUP($B24,'MM B-Dummy Roping'!$B$5:$AI$24,30,FALSE)=" ",0,VLOOKUP($B24,'MM B-Dummy Roping'!$B$5:$AI$24,30,FALSE)),0)+IFERROR(IF(VLOOKUP($B24,'MM B-Flags'!$B$5:$AI$24,30,FALSE)=" ",0,VLOOKUP($B24,'MM B-Flags'!$B$5:$AI$24,30,FALSE)),0)+IFERROR(IF(VLOOKUP($B24,'MM B-Figure 8'!$B$5:$AI$24,30,FALSE)=" ",0,VLOOKUP($B24,'MM B-Figure 8'!$B$5:$AI$24,30,FALSE)),0)+IFERROR(IF(VLOOKUP($B24,'MM B-Goats'!$B$5:$AI$24,30,FALSE)=" ",0,VLOOKUP($B24,'MM B-Goats'!$B$5:$AI$24,30,FALSE)),0)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IFERROR(IF(VLOOKUP($B24,'MM B-Dummy Roping'!$B$5:$AI$24,34,FALSE)=" ",0,VLOOKUP($B24,'MM B-Dummy Roping'!$B$5:$AI$24,34,FALSE)),0)+IFERROR(IF(VLOOKUP($B24,'MM B-Flags'!$B$5:$AI$24,34,FALSE)=" ",0,VLOOKUP($B24,'MM B-Flags'!$B$5:$AI$24,34,FALSE)),0)+IFERROR(IF(VLOOKUP($B24,'MM B-Figure 8'!$B$5:$AI$24,34,FALSE)=" ",0,VLOOKUP($B24,'MM B-Figure 8'!$B$5:$AI$24,34,FALSE)),0)+IFERROR(IF(VLOOKUP($B24,'MM B-Goats'!$B$5:$AI$24,34,FALSE)=" ",0,VLOOKUP($B24,'MM B-Goats'!$B$5:$AI$24,34,FALSE)),0)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Q83ZsTZi3SI3N5ZCTvQsmtX5wZp6zUUAhYspkQmB30gqJ/7L8VMTv++/ttBkASiy6pieV0kMmVhp4oYWBI/ujA==" saltValue="vrWEx7XOxfUOnSpfb9Z/DA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97">
    <tabColor theme="2" tint="-9.9978637043366805E-2"/>
    <pageSetUpPr fitToPage="1"/>
  </sheetPr>
  <dimension ref="B1:F28"/>
  <sheetViews>
    <sheetView showGridLines="0" workbookViewId="0">
      <pane xSplit="2" topLeftCell="D1" activePane="topRight" state="frozen"/>
      <selection activeCell="K50" sqref="K50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9.1796875" style="157"/>
    <col min="7" max="16384" width="9.1796875" style="62"/>
  </cols>
  <sheetData>
    <row r="1" spans="2:6" ht="18.5" thickBot="1" x14ac:dyDescent="0.45">
      <c r="B1" s="54"/>
    </row>
    <row r="2" spans="2:6" s="64" customFormat="1" ht="18" x14ac:dyDescent="0.4">
      <c r="B2" s="138" t="s">
        <v>160</v>
      </c>
      <c r="C2" s="173"/>
      <c r="D2" s="173"/>
      <c r="E2" s="174"/>
      <c r="F2" s="158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9"/>
    </row>
    <row r="4" spans="2:6" s="74" customFormat="1" ht="18.75" hidden="1" customHeight="1" thickBot="1" x14ac:dyDescent="0.45">
      <c r="B4" s="114" t="s">
        <v>75</v>
      </c>
      <c r="C4" s="116" t="s">
        <v>82</v>
      </c>
      <c r="D4" s="116" t="s">
        <v>189</v>
      </c>
      <c r="E4" s="117" t="s">
        <v>57</v>
      </c>
      <c r="F4" s="159"/>
    </row>
    <row r="5" spans="2:6" ht="14.5" x14ac:dyDescent="0.35">
      <c r="B5" s="185" t="s">
        <v>326</v>
      </c>
      <c r="C5" s="88">
        <f>IFERROR(IF(VLOOKUP($B5,'SR G-Barrels'!$B$5:$AL$100,36,FALSE)=" ",0,VLOOKUP($B5,'SR G-Barrels'!$B$5:$AL$100,36,FALSE)),0)+IFERROR(IF(VLOOKUP($B5,'SR G-Poles'!$B$5:$AL$100,36,FALSE)=" ",0,VLOOKUP($B5,'SR G-Poles'!$B$5:$AL$100,36,FALSE)),0)+IFERROR(IF(VLOOKUP($B5,'SR G-Goats'!$B$5:$AL$100,36,FALSE)=" ",0,VLOOKUP($B5,'SR G-Goats'!$B$5:$AL$100,36,FALSE)),0)+IFERROR(IF(VLOOKUP($B5,'SR G-Breakaway'!$B$5:$AL$100,36,FALSE)=" ",0,VLOOKUP($B5,'SR G-Breakaway'!$B$5:$AL$100,36,FALSE)),0)+IFERROR(IF(VLOOKUP($B5,'SR-Team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G-Barrels'!$B$5:$AL$100,36,FALSE)=" ",0,VLOOKUP($B5,'JR G-Barrels'!$B$5:$AL$100,36,FALSE)),0)+IFERROR(IF(VLOOKUP($B5,'JR G-Poles'!$B$5:$AL$100,36,FALSE)=" ",0,VLOOKUP($B5,'JR G-Poles'!$B$5:$AL$100,36,FALSE)),0)+IFERROR(IF(VLOOKUP($B5,'JR G-Goats'!$B$5:$AL$100,36,FALSE)=" ",0,VLOOKUP($B5,'JR G-Goats'!$B$5:$AL$100,36,FALSE)),0)+IFERROR(IF(VLOOKUP($B5,'JR G-Breakaway'!$B$5:$AL$100,36,FALSE)=" ",0,VLOOKUP($B5,'JR G-Breakaway'!$B$5:$AL$100,36,FALSE)),0)+IFERROR(IF(VLOOKUP($B5,'JR-Team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G-Barrels'!$B$5:$AL$106,36,FALSE)=" ",0,VLOOKUP($B5,'PW G-Barrels'!$B$5:$AL$106,36,FALSE)),0)+IFERROR(IF(VLOOKUP($B5,'PW G-Poles'!$B$5:$AL$107,36,FALSE)=" ",0,VLOOKUP($B5,'PW G-Poles'!$B$5:$AL$107,36,FALSE)),0)+IFERROR(IF(VLOOKUP($B5,'PW G-Goats'!$B$5:$AL$107,36,FALSE)=" ",0,VLOOKUP($B5,'PW G-Goats'!$B$5:$AL$107,36,FALSE)),0)+IFERROR(IF(VLOOKUP($B5,'PW G-Breakaway'!$B$5:$AL$100,36,FALSE)=" ",0,VLOOKUP($B5,'PW G-Breakaway'!$B$5:$AL$100,36,FALSE)),0)+IFERROR(IF(VLOOKUP($B5,'MM G-Dummy Roping'!$B$5:$AL$100,36,FALSE)=" ",0,VLOOKUP($B5,'MM G-Dummy Roping'!$B$5:$AL$100,36,FALSE)),0)+IFERROR(IF(VLOOKUP($B5,'MM G-Barrels'!$B$5:$AL$95,36,FALSE)=" ",0,VLOOKUP($B5,'MM G-Barrels'!$B$5:$AL$95,36,FALSE)),0)+IFERROR(IF(VLOOKUP($B5,'MM G-Figure 8'!$B$5:$AL$97,36,FALSE)=" ",0,VLOOKUP($B5,'MM G-Figure 8'!$B$5:$AL$97,36,FALSE)),0)+IFERROR(IF(VLOOKUP($B5,'MM G-Goats'!$B$5:$AL$98,36,FALSE)=" ",0,VLOOKUP($B5,'MM G-Goats'!$B$5:$AL$98,36,FALSE)),0)</f>
        <v>0</v>
      </c>
      <c r="D5" s="88" t="str">
        <f t="shared" ref="D5:D24" si="0">IF(C5&gt;0,C5," ")</f>
        <v xml:space="preserve"> </v>
      </c>
      <c r="E5" s="84" t="str">
        <f>IF(D5=" "," ",RANK(D5,D$5:D$24))</f>
        <v xml:space="preserve"> </v>
      </c>
    </row>
    <row r="6" spans="2:6" x14ac:dyDescent="0.3">
      <c r="B6" s="152"/>
      <c r="C6" s="95">
        <f>IFERROR(IF(VLOOKUP($B6,'SR G-Barrels'!$B$5:$AL$100,36,FALSE)=" ",0,VLOOKUP($B6,'SR G-Barrels'!$B$5:$AL$100,36,FALSE)),0)+IFERROR(IF(VLOOKUP($B6,'SR G-Poles'!$B$5:$AL$100,36,FALSE)=" ",0,VLOOKUP($B6,'SR G-Poles'!$B$5:$AL$100,36,FALSE)),0)+IFERROR(IF(VLOOKUP($B6,'SR G-Goats'!$B$5:$AL$100,36,FALSE)=" ",0,VLOOKUP($B6,'SR G-Goats'!$B$5:$AL$100,36,FALSE)),0)+IFERROR(IF(VLOOKUP($B6,'SR G-Breakaway'!$B$5:$AL$100,36,FALSE)=" ",0,VLOOKUP($B6,'SR G-Breakaway'!$B$5:$AL$100,36,FALSE)),0)+IFERROR(IF(VLOOKUP($B6,'SR-Team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G-Barrels'!$B$5:$AL$100,36,FALSE)=" ",0,VLOOKUP($B6,'JR G-Barrels'!$B$5:$AL$100,36,FALSE)),0)+IFERROR(IF(VLOOKUP($B6,'JR G-Poles'!$B$5:$AL$100,36,FALSE)=" ",0,VLOOKUP($B6,'JR G-Poles'!$B$5:$AL$100,36,FALSE)),0)+IFERROR(IF(VLOOKUP($B6,'JR G-Goats'!$B$5:$AL$100,36,FALSE)=" ",0,VLOOKUP($B6,'JR G-Goats'!$B$5:$AL$100,36,FALSE)),0)+IFERROR(IF(VLOOKUP($B6,'JR G-Breakaway'!$B$5:$AL$100,36,FALSE)=" ",0,VLOOKUP($B6,'JR G-Breakaway'!$B$5:$AL$100,36,FALSE)),0)+IFERROR(IF(VLOOKUP($B6,'JR-Team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G-Barrels'!$B$5:$AL$106,36,FALSE)=" ",0,VLOOKUP($B6,'PW G-Barrels'!$B$5:$AL$106,36,FALSE)),0)+IFERROR(IF(VLOOKUP($B6,'PW G-Poles'!$B$5:$AL$107,36,FALSE)=" ",0,VLOOKUP($B6,'PW G-Poles'!$B$5:$AL$107,36,FALSE)),0)+IFERROR(IF(VLOOKUP($B6,'PW G-Goats'!$B$5:$AL$107,36,FALSE)=" ",0,VLOOKUP($B6,'PW G-Goats'!$B$5:$AL$107,36,FALSE)),0)+IFERROR(IF(VLOOKUP($B6,'PW G-Breakaway'!$B$5:$AL$100,36,FALSE)=" ",0,VLOOKUP($B6,'PW G-Breakaway'!$B$5:$AL$100,36,FALSE)),0)+IFERROR(IF(VLOOKUP($B6,'MM G-Dummy Roping'!$B$5:$AL$100,36,FALSE)=" ",0,VLOOKUP($B6,'MM G-Dummy Roping'!$B$5:$AL$100,36,FALSE)),0)+IFERROR(IF(VLOOKUP($B6,'MM G-Barrels'!$B$5:$AL$95,36,FALSE)=" ",0,VLOOKUP($B6,'MM G-Barrels'!$B$5:$AL$95,36,FALSE)),0)+IFERROR(IF(VLOOKUP($B6,'MM G-Figure 8'!$B$5:$AL$97,36,FALSE)=" ",0,VLOOKUP($B6,'MM G-Figure 8'!$B$5:$AL$97,36,FALSE)),0)+IFERROR(IF(VLOOKUP($B6,'MM G-Goats'!$B$5:$AL$98,36,FALSE)=" ",0,VLOOKUP($B6,'MM G-Goats'!$B$5:$AL$98,36,FALSE)),0)</f>
        <v>0</v>
      </c>
      <c r="D6" s="95" t="str">
        <f t="shared" si="0"/>
        <v xml:space="preserve"> </v>
      </c>
      <c r="E6" s="91" t="str">
        <f>IF(D6=" "," ",RANK(D6,D$5:D$24))</f>
        <v xml:space="preserve"> </v>
      </c>
    </row>
    <row r="7" spans="2:6" x14ac:dyDescent="0.3">
      <c r="B7" s="152"/>
      <c r="C7" s="95">
        <f>IFERROR(IF(VLOOKUP($B7,'SR G-Barrels'!$B$5:$AL$100,36,FALSE)=" ",0,VLOOKUP($B7,'SR G-Barrels'!$B$5:$AL$100,36,FALSE)),0)+IFERROR(IF(VLOOKUP($B7,'SR G-Poles'!$B$5:$AL$100,36,FALSE)=" ",0,VLOOKUP($B7,'SR G-Poles'!$B$5:$AL$100,36,FALSE)),0)+IFERROR(IF(VLOOKUP($B7,'SR G-Goats'!$B$5:$AL$100,36,FALSE)=" ",0,VLOOKUP($B7,'SR G-Goats'!$B$5:$AL$100,36,FALSE)),0)+IFERROR(IF(VLOOKUP($B7,'SR G-Breakaway'!$B$5:$AL$100,36,FALSE)=" ",0,VLOOKUP($B7,'SR G-Breakaway'!$B$5:$AL$100,36,FALSE)),0)+IFERROR(IF(VLOOKUP($B7,'SR-Team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G-Barrels'!$B$5:$AL$100,36,FALSE)=" ",0,VLOOKUP($B7,'JR G-Barrels'!$B$5:$AL$100,36,FALSE)),0)+IFERROR(IF(VLOOKUP($B7,'JR G-Poles'!$B$5:$AL$100,36,FALSE)=" ",0,VLOOKUP($B7,'JR G-Poles'!$B$5:$AL$100,36,FALSE)),0)+IFERROR(IF(VLOOKUP($B7,'JR G-Goats'!$B$5:$AL$100,36,FALSE)=" ",0,VLOOKUP($B7,'JR G-Goats'!$B$5:$AL$100,36,FALSE)),0)+IFERROR(IF(VLOOKUP($B7,'JR G-Breakaway'!$B$5:$AL$100,36,FALSE)=" ",0,VLOOKUP($B7,'JR G-Breakaway'!$B$5:$AL$100,36,FALSE)),0)+IFERROR(IF(VLOOKUP($B7,'JR-Team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G-Barrels'!$B$5:$AL$106,36,FALSE)=" ",0,VLOOKUP($B7,'PW G-Barrels'!$B$5:$AL$106,36,FALSE)),0)+IFERROR(IF(VLOOKUP($B7,'PW G-Poles'!$B$5:$AL$107,36,FALSE)=" ",0,VLOOKUP($B7,'PW G-Poles'!$B$5:$AL$107,36,FALSE)),0)+IFERROR(IF(VLOOKUP($B7,'PW G-Goats'!$B$5:$AL$107,36,FALSE)=" ",0,VLOOKUP($B7,'PW G-Goats'!$B$5:$AL$107,36,FALSE)),0)+IFERROR(IF(VLOOKUP($B7,'PW G-Breakaway'!$B$5:$AL$100,36,FALSE)=" ",0,VLOOKUP($B7,'PW G-Breakaway'!$B$5:$AL$100,36,FALSE)),0)+IFERROR(IF(VLOOKUP($B7,'MM G-Dummy Roping'!$B$5:$AL$100,36,FALSE)=" ",0,VLOOKUP($B7,'MM G-Dummy Roping'!$B$5:$AL$100,36,FALSE)),0)+IFERROR(IF(VLOOKUP($B7,'MM G-Barrels'!$B$5:$AL$95,36,FALSE)=" ",0,VLOOKUP($B7,'MM G-Barrels'!$B$5:$AL$95,36,FALSE)),0)+IFERROR(IF(VLOOKUP($B7,'MM G-Figure 8'!$B$5:$AL$97,36,FALSE)=" ",0,VLOOKUP($B7,'MM G-Figure 8'!$B$5:$AL$97,36,FALSE)),0)+IFERROR(IF(VLOOKUP($B7,'MM G-Goats'!$B$5:$AL$98,36,FALSE)=" ",0,VLOOKUP($B7,'MM G-Goats'!$B$5:$AL$98,36,FALSE)),0)</f>
        <v>0</v>
      </c>
      <c r="D7" s="95" t="str">
        <f t="shared" si="0"/>
        <v xml:space="preserve"> </v>
      </c>
      <c r="E7" s="91" t="str">
        <f>IF(D7=" "," ",RANK(D7,D$5:D$24))</f>
        <v xml:space="preserve"> </v>
      </c>
    </row>
    <row r="8" spans="2:6" x14ac:dyDescent="0.3">
      <c r="B8" s="152"/>
      <c r="C8" s="95">
        <f>IFERROR(IF(VLOOKUP($B8,'SR G-Barrels'!$B$5:$AL$100,36,FALSE)=" ",0,VLOOKUP($B8,'SR G-Barrels'!$B$5:$AL$100,36,FALSE)),0)+IFERROR(IF(VLOOKUP($B8,'SR G-Poles'!$B$5:$AL$100,36,FALSE)=" ",0,VLOOKUP($B8,'SR G-Poles'!$B$5:$AL$100,36,FALSE)),0)+IFERROR(IF(VLOOKUP($B8,'SR G-Goats'!$B$5:$AL$100,36,FALSE)=" ",0,VLOOKUP($B8,'SR G-Goats'!$B$5:$AL$100,36,FALSE)),0)+IFERROR(IF(VLOOKUP($B8,'SR G-Breakaway'!$B$5:$AL$100,36,FALSE)=" ",0,VLOOKUP($B8,'SR G-Breakaway'!$B$5:$AL$100,36,FALSE)),0)+IFERROR(IF(VLOOKUP($B8,'SR-Team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G-Barrels'!$B$5:$AL$100,36,FALSE)=" ",0,VLOOKUP($B8,'JR G-Barrels'!$B$5:$AL$100,36,FALSE)),0)+IFERROR(IF(VLOOKUP($B8,'JR G-Poles'!$B$5:$AL$100,36,FALSE)=" ",0,VLOOKUP($B8,'JR G-Poles'!$B$5:$AL$100,36,FALSE)),0)+IFERROR(IF(VLOOKUP($B8,'JR G-Goats'!$B$5:$AL$100,36,FALSE)=" ",0,VLOOKUP($B8,'JR G-Goats'!$B$5:$AL$100,36,FALSE)),0)+IFERROR(IF(VLOOKUP($B8,'JR G-Breakaway'!$B$5:$AL$100,36,FALSE)=" ",0,VLOOKUP($B8,'JR G-Breakaway'!$B$5:$AL$100,36,FALSE)),0)+IFERROR(IF(VLOOKUP($B8,'JR-Team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G-Barrels'!$B$5:$AL$106,36,FALSE)=" ",0,VLOOKUP($B8,'PW G-Barrels'!$B$5:$AL$106,36,FALSE)),0)+IFERROR(IF(VLOOKUP($B8,'PW G-Poles'!$B$5:$AL$107,36,FALSE)=" ",0,VLOOKUP($B8,'PW G-Poles'!$B$5:$AL$107,36,FALSE)),0)+IFERROR(IF(VLOOKUP($B8,'PW G-Goats'!$B$5:$AL$107,36,FALSE)=" ",0,VLOOKUP($B8,'PW G-Goats'!$B$5:$AL$107,36,FALSE)),0)+IFERROR(IF(VLOOKUP($B8,'PW G-Breakaway'!$B$5:$AL$100,36,FALSE)=" ",0,VLOOKUP($B8,'PW G-Breakaway'!$B$5:$AL$100,36,FALSE)),0)+IFERROR(IF(VLOOKUP($B8,'MM G-Dummy Roping'!$B$5:$AL$100,36,FALSE)=" ",0,VLOOKUP($B8,'MM G-Dummy Roping'!$B$5:$AL$100,36,FALSE)),0)+IFERROR(IF(VLOOKUP($B8,'MM G-Barrels'!$B$5:$AL$95,36,FALSE)=" ",0,VLOOKUP($B8,'MM G-Barrels'!$B$5:$AL$95,36,FALSE)),0)+IFERROR(IF(VLOOKUP($B8,'MM G-Figure 8'!$B$5:$AL$97,36,FALSE)=" ",0,VLOOKUP($B8,'MM G-Figure 8'!$B$5:$AL$97,36,FALSE)),0)+IFERROR(IF(VLOOKUP($B8,'MM G-Goats'!$B$5:$AL$98,36,FALSE)=" ",0,VLOOKUP($B8,'MM G-Goats'!$B$5:$AL$98,36,FALSE)),0)</f>
        <v>0</v>
      </c>
      <c r="D8" s="95" t="str">
        <f t="shared" si="0"/>
        <v xml:space="preserve"> </v>
      </c>
      <c r="E8" s="91" t="str">
        <f>IF(D8=" "," ",RANK(D8,D$5:D$24))</f>
        <v xml:space="preserve"> </v>
      </c>
    </row>
    <row r="9" spans="2:6" x14ac:dyDescent="0.3">
      <c r="B9" s="152"/>
      <c r="C9" s="95">
        <f>IFERROR(IF(VLOOKUP($B9,'SR G-Barrels'!$B$5:$AL$100,36,FALSE)=" ",0,VLOOKUP($B9,'SR G-Barrels'!$B$5:$AL$100,36,FALSE)),0)+IFERROR(IF(VLOOKUP($B9,'SR G-Poles'!$B$5:$AL$100,36,FALSE)=" ",0,VLOOKUP($B9,'SR G-Poles'!$B$5:$AL$100,36,FALSE)),0)+IFERROR(IF(VLOOKUP($B9,'SR G-Goats'!$B$5:$AL$100,36,FALSE)=" ",0,VLOOKUP($B9,'SR G-Goats'!$B$5:$AL$100,36,FALSE)),0)+IFERROR(IF(VLOOKUP($B9,'SR G-Breakaway'!$B$5:$AL$100,36,FALSE)=" ",0,VLOOKUP($B9,'SR G-Breakaway'!$B$5:$AL$100,36,FALSE)),0)+IFERROR(IF(VLOOKUP($B9,'SR-Team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G-Barrels'!$B$5:$AL$100,36,FALSE)=" ",0,VLOOKUP($B9,'JR G-Barrels'!$B$5:$AL$100,36,FALSE)),0)+IFERROR(IF(VLOOKUP($B9,'JR G-Poles'!$B$5:$AL$100,36,FALSE)=" ",0,VLOOKUP($B9,'JR G-Poles'!$B$5:$AL$100,36,FALSE)),0)+IFERROR(IF(VLOOKUP($B9,'JR G-Goats'!$B$5:$AL$100,36,FALSE)=" ",0,VLOOKUP($B9,'JR G-Goats'!$B$5:$AL$100,36,FALSE)),0)+IFERROR(IF(VLOOKUP($B9,'JR G-Breakaway'!$B$5:$AL$100,36,FALSE)=" ",0,VLOOKUP($B9,'JR G-Breakaway'!$B$5:$AL$100,36,FALSE)),0)+IFERROR(IF(VLOOKUP($B9,'JR-Team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G-Barrels'!$B$5:$AL$106,36,FALSE)=" ",0,VLOOKUP($B9,'PW G-Barrels'!$B$5:$AL$106,36,FALSE)),0)+IFERROR(IF(VLOOKUP($B9,'PW G-Poles'!$B$5:$AL$107,36,FALSE)=" ",0,VLOOKUP($B9,'PW G-Poles'!$B$5:$AL$107,36,FALSE)),0)+IFERROR(IF(VLOOKUP($B9,'PW G-Goats'!$B$5:$AL$107,36,FALSE)=" ",0,VLOOKUP($B9,'PW G-Goats'!$B$5:$AL$107,36,FALSE)),0)+IFERROR(IF(VLOOKUP($B9,'PW G-Breakaway'!$B$5:$AL$100,36,FALSE)=" ",0,VLOOKUP($B9,'PW G-Breakaway'!$B$5:$AL$100,36,FALSE)),0)+IFERROR(IF(VLOOKUP($B9,'MM G-Dummy Roping'!$B$5:$AL$100,36,FALSE)=" ",0,VLOOKUP($B9,'MM G-Dummy Roping'!$B$5:$AL$100,36,FALSE)),0)+IFERROR(IF(VLOOKUP($B9,'MM G-Barrels'!$B$5:$AL$95,36,FALSE)=" ",0,VLOOKUP($B9,'MM G-Barrels'!$B$5:$AL$95,36,FALSE)),0)+IFERROR(IF(VLOOKUP($B9,'MM G-Figure 8'!$B$5:$AL$97,36,FALSE)=" ",0,VLOOKUP($B9,'MM G-Figure 8'!$B$5:$AL$97,36,FALSE)),0)+IFERROR(IF(VLOOKUP($B9,'MM G-Goats'!$B$5:$AL$98,36,FALSE)=" ",0,VLOOKUP($B9,'MM G-Goats'!$B$5:$AL$98,36,FALSE)),0)</f>
        <v>0</v>
      </c>
      <c r="D9" s="95" t="str">
        <f t="shared" si="0"/>
        <v xml:space="preserve"> </v>
      </c>
      <c r="E9" s="91" t="str">
        <f>IF(D9=" "," ",RANK(D9,D$5:D$24))</f>
        <v xml:space="preserve"> </v>
      </c>
    </row>
    <row r="10" spans="2:6" x14ac:dyDescent="0.3">
      <c r="B10" s="152"/>
      <c r="C10" s="95">
        <f>IFERROR(IF(VLOOKUP($B10,'SR G-Barrels'!$B$5:$AL$100,36,FALSE)=" ",0,VLOOKUP($B10,'SR G-Barrels'!$B$5:$AL$100,36,FALSE)),0)+IFERROR(IF(VLOOKUP($B10,'SR G-Poles'!$B$5:$AL$100,36,FALSE)=" ",0,VLOOKUP($B10,'SR G-Poles'!$B$5:$AL$100,36,FALSE)),0)+IFERROR(IF(VLOOKUP($B10,'SR G-Goats'!$B$5:$AL$100,36,FALSE)=" ",0,VLOOKUP($B10,'SR G-Goats'!$B$5:$AL$100,36,FALSE)),0)+IFERROR(IF(VLOOKUP($B10,'SR G-Breakaway'!$B$5:$AL$100,36,FALSE)=" ",0,VLOOKUP($B10,'SR G-Breakaway'!$B$5:$AL$100,36,FALSE)),0)+IFERROR(IF(VLOOKUP($B10,'SR-Team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G-Barrels'!$B$5:$AL$100,36,FALSE)=" ",0,VLOOKUP($B10,'JR G-Barrels'!$B$5:$AL$100,36,FALSE)),0)+IFERROR(IF(VLOOKUP($B10,'JR G-Poles'!$B$5:$AL$100,36,FALSE)=" ",0,VLOOKUP($B10,'JR G-Poles'!$B$5:$AL$100,36,FALSE)),0)+IFERROR(IF(VLOOKUP($B10,'JR G-Goats'!$B$5:$AL$100,36,FALSE)=" ",0,VLOOKUP($B10,'JR G-Goats'!$B$5:$AL$100,36,FALSE)),0)+IFERROR(IF(VLOOKUP($B10,'JR G-Breakaway'!$B$5:$AL$100,36,FALSE)=" ",0,VLOOKUP($B10,'JR G-Breakaway'!$B$5:$AL$100,36,FALSE)),0)+IFERROR(IF(VLOOKUP($B10,'JR-Team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G-Barrels'!$B$5:$AL$106,36,FALSE)=" ",0,VLOOKUP($B10,'PW G-Barrels'!$B$5:$AL$106,36,FALSE)),0)+IFERROR(IF(VLOOKUP($B10,'PW G-Poles'!$B$5:$AL$107,36,FALSE)=" ",0,VLOOKUP($B10,'PW G-Poles'!$B$5:$AL$107,36,FALSE)),0)+IFERROR(IF(VLOOKUP($B10,'PW G-Goats'!$B$5:$AL$107,36,FALSE)=" ",0,VLOOKUP($B10,'PW G-Goats'!$B$5:$AL$107,36,FALSE)),0)+IFERROR(IF(VLOOKUP($B10,'PW G-Breakaway'!$B$5:$AL$100,36,FALSE)=" ",0,VLOOKUP($B10,'PW G-Breakaway'!$B$5:$AL$100,36,FALSE)),0)+IFERROR(IF(VLOOKUP($B10,'MM G-Dummy Roping'!$B$5:$AL$100,36,FALSE)=" ",0,VLOOKUP($B10,'MM G-Dummy Roping'!$B$5:$AL$100,36,FALSE)),0)+IFERROR(IF(VLOOKUP($B10,'MM G-Barrels'!$B$5:$AL$95,36,FALSE)=" ",0,VLOOKUP($B10,'MM G-Barrels'!$B$5:$AL$95,36,FALSE)),0)+IFERROR(IF(VLOOKUP($B10,'MM G-Figure 8'!$B$5:$AL$97,36,FALSE)=" ",0,VLOOKUP($B10,'MM G-Figure 8'!$B$5:$AL$97,36,FALSE)),0)+IFERROR(IF(VLOOKUP($B10,'MM G-Goats'!$B$5:$AL$98,36,FALSE)=" ",0,VLOOKUP($B10,'MM G-Goats'!$B$5:$AL$98,36,FALSE)),0)</f>
        <v>0</v>
      </c>
      <c r="D10" s="95" t="str">
        <f t="shared" si="0"/>
        <v xml:space="preserve"> </v>
      </c>
      <c r="E10" s="122" t="str">
        <f>IF(D10=" "," ",RANK(D10,D$5:D$24))</f>
        <v xml:space="preserve"> </v>
      </c>
    </row>
    <row r="11" spans="2:6" x14ac:dyDescent="0.3">
      <c r="B11" s="152"/>
      <c r="C11" s="95">
        <f>IFERROR(IF(VLOOKUP($B11,'SR G-Barrels'!$B$5:$AL$100,36,FALSE)=" ",0,VLOOKUP($B11,'SR G-Barrels'!$B$5:$AL$100,36,FALSE)),0)+IFERROR(IF(VLOOKUP($B11,'SR G-Poles'!$B$5:$AL$100,36,FALSE)=" ",0,VLOOKUP($B11,'SR G-Poles'!$B$5:$AL$100,36,FALSE)),0)+IFERROR(IF(VLOOKUP($B11,'SR G-Goats'!$B$5:$AL$100,36,FALSE)=" ",0,VLOOKUP($B11,'SR G-Goats'!$B$5:$AL$100,36,FALSE)),0)+IFERROR(IF(VLOOKUP($B11,'SR G-Breakaway'!$B$5:$AL$100,36,FALSE)=" ",0,VLOOKUP($B11,'SR G-Breakaway'!$B$5:$AL$100,36,FALSE)),0)+IFERROR(IF(VLOOKUP($B11,'SR-Team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G-Barrels'!$B$5:$AL$100,36,FALSE)=" ",0,VLOOKUP($B11,'JR G-Barrels'!$B$5:$AL$100,36,FALSE)),0)+IFERROR(IF(VLOOKUP($B11,'JR G-Poles'!$B$5:$AL$100,36,FALSE)=" ",0,VLOOKUP($B11,'JR G-Poles'!$B$5:$AL$100,36,FALSE)),0)+IFERROR(IF(VLOOKUP($B11,'JR G-Goats'!$B$5:$AL$100,36,FALSE)=" ",0,VLOOKUP($B11,'JR G-Goats'!$B$5:$AL$100,36,FALSE)),0)+IFERROR(IF(VLOOKUP($B11,'JR G-Breakaway'!$B$5:$AL$100,36,FALSE)=" ",0,VLOOKUP($B11,'JR G-Breakaway'!$B$5:$AL$100,36,FALSE)),0)+IFERROR(IF(VLOOKUP($B11,'JR-Team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G-Barrels'!$B$5:$AL$106,36,FALSE)=" ",0,VLOOKUP($B11,'PW G-Barrels'!$B$5:$AL$106,36,FALSE)),0)+IFERROR(IF(VLOOKUP($B11,'PW G-Poles'!$B$5:$AL$107,36,FALSE)=" ",0,VLOOKUP($B11,'PW G-Poles'!$B$5:$AL$107,36,FALSE)),0)+IFERROR(IF(VLOOKUP($B11,'PW G-Goats'!$B$5:$AL$107,36,FALSE)=" ",0,VLOOKUP($B11,'PW G-Goats'!$B$5:$AL$107,36,FALSE)),0)+IFERROR(IF(VLOOKUP($B11,'PW G-Breakaway'!$B$5:$AL$100,36,FALSE)=" ",0,VLOOKUP($B11,'PW G-Breakaway'!$B$5:$AL$100,36,FALSE)),0)+IFERROR(IF(VLOOKUP($B11,'MM G-Dummy Roping'!$B$5:$AL$100,36,FALSE)=" ",0,VLOOKUP($B11,'MM G-Dummy Roping'!$B$5:$AL$100,36,FALSE)),0)+IFERROR(IF(VLOOKUP($B11,'MM G-Barrels'!$B$5:$AL$95,36,FALSE)=" ",0,VLOOKUP($B11,'MM G-Barrels'!$B$5:$AL$95,36,FALSE)),0)+IFERROR(IF(VLOOKUP($B11,'MM G-Figure 8'!$B$5:$AL$97,36,FALSE)=" ",0,VLOOKUP($B11,'MM G-Figure 8'!$B$5:$AL$97,36,FALSE)),0)+IFERROR(IF(VLOOKUP($B11,'MM G-Goats'!$B$5:$AL$98,36,FALSE)=" ",0,VLOOKUP($B11,'MM G-Goats'!$B$5:$AL$98,36,FALSE)),0)</f>
        <v>0</v>
      </c>
      <c r="D11" s="95" t="str">
        <f t="shared" si="0"/>
        <v xml:space="preserve"> </v>
      </c>
      <c r="E11" s="91" t="str">
        <f>IF(D11=" "," ",RANK(D11,D$5:D$24))</f>
        <v xml:space="preserve"> </v>
      </c>
    </row>
    <row r="12" spans="2:6" x14ac:dyDescent="0.3">
      <c r="B12" s="152"/>
      <c r="C12" s="95">
        <f>IFERROR(IF(VLOOKUP($B12,'SR G-Barrels'!$B$5:$AL$100,36,FALSE)=" ",0,VLOOKUP($B12,'SR G-Barrels'!$B$5:$AL$100,36,FALSE)),0)+IFERROR(IF(VLOOKUP($B12,'SR G-Poles'!$B$5:$AL$100,36,FALSE)=" ",0,VLOOKUP($B12,'SR G-Poles'!$B$5:$AL$100,36,FALSE)),0)+IFERROR(IF(VLOOKUP($B12,'SR G-Goats'!$B$5:$AL$100,36,FALSE)=" ",0,VLOOKUP($B12,'SR G-Goats'!$B$5:$AL$100,36,FALSE)),0)+IFERROR(IF(VLOOKUP($B12,'SR G-Breakaway'!$B$5:$AL$100,36,FALSE)=" ",0,VLOOKUP($B12,'SR G-Breakaway'!$B$5:$AL$100,36,FALSE)),0)+IFERROR(IF(VLOOKUP($B12,'SR-Team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G-Barrels'!$B$5:$AL$100,36,FALSE)=" ",0,VLOOKUP($B12,'JR G-Barrels'!$B$5:$AL$100,36,FALSE)),0)+IFERROR(IF(VLOOKUP($B12,'JR G-Poles'!$B$5:$AL$100,36,FALSE)=" ",0,VLOOKUP($B12,'JR G-Poles'!$B$5:$AL$100,36,FALSE)),0)+IFERROR(IF(VLOOKUP($B12,'JR G-Goats'!$B$5:$AL$100,36,FALSE)=" ",0,VLOOKUP($B12,'JR G-Goats'!$B$5:$AL$100,36,FALSE)),0)+IFERROR(IF(VLOOKUP($B12,'JR G-Breakaway'!$B$5:$AL$100,36,FALSE)=" ",0,VLOOKUP($B12,'JR G-Breakaway'!$B$5:$AL$100,36,FALSE)),0)+IFERROR(IF(VLOOKUP($B12,'JR-Team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G-Barrels'!$B$5:$AL$106,36,FALSE)=" ",0,VLOOKUP($B12,'PW G-Barrels'!$B$5:$AL$106,36,FALSE)),0)+IFERROR(IF(VLOOKUP($B12,'PW G-Poles'!$B$5:$AL$107,36,FALSE)=" ",0,VLOOKUP($B12,'PW G-Poles'!$B$5:$AL$107,36,FALSE)),0)+IFERROR(IF(VLOOKUP($B12,'PW G-Goats'!$B$5:$AL$107,36,FALSE)=" ",0,VLOOKUP($B12,'PW G-Goats'!$B$5:$AL$107,36,FALSE)),0)+IFERROR(IF(VLOOKUP($B12,'PW G-Breakaway'!$B$5:$AL$100,36,FALSE)=" ",0,VLOOKUP($B12,'PW G-Breakaway'!$B$5:$AL$100,36,FALSE)),0)+IFERROR(IF(VLOOKUP($B12,'MM G-Dummy Roping'!$B$5:$AL$100,36,FALSE)=" ",0,VLOOKUP($B12,'MM G-Dummy Roping'!$B$5:$AL$100,36,FALSE)),0)+IFERROR(IF(VLOOKUP($B12,'MM G-Barrels'!$B$5:$AL$95,36,FALSE)=" ",0,VLOOKUP($B12,'MM G-Barrels'!$B$5:$AL$95,36,FALSE)),0)+IFERROR(IF(VLOOKUP($B12,'MM G-Figure 8'!$B$5:$AL$97,36,FALSE)=" ",0,VLOOKUP($B12,'MM G-Figure 8'!$B$5:$AL$97,36,FALSE)),0)+IFERROR(IF(VLOOKUP($B12,'MM G-Goats'!$B$5:$AL$98,36,FALSE)=" ",0,VLOOKUP($B12,'MM G-Goats'!$B$5:$AL$98,36,FALSE)),0)</f>
        <v>0</v>
      </c>
      <c r="D12" s="95" t="str">
        <f t="shared" si="0"/>
        <v xml:space="preserve"> </v>
      </c>
      <c r="E12" s="122" t="str">
        <f>IF(D12=" "," ",RANK(D12,D$5:D$24))</f>
        <v xml:space="preserve"> </v>
      </c>
    </row>
    <row r="13" spans="2:6" x14ac:dyDescent="0.3">
      <c r="B13" s="152"/>
      <c r="C13" s="95">
        <f>IFERROR(IF(VLOOKUP($B13,'SR G-Barrels'!$B$5:$AL$100,36,FALSE)=" ",0,VLOOKUP($B13,'SR G-Barrels'!$B$5:$AL$100,36,FALSE)),0)+IFERROR(IF(VLOOKUP($B13,'SR G-Poles'!$B$5:$AL$100,36,FALSE)=" ",0,VLOOKUP($B13,'SR G-Poles'!$B$5:$AL$100,36,FALSE)),0)+IFERROR(IF(VLOOKUP($B13,'SR G-Goats'!$B$5:$AL$100,36,FALSE)=" ",0,VLOOKUP($B13,'SR G-Goats'!$B$5:$AL$100,36,FALSE)),0)+IFERROR(IF(VLOOKUP($B13,'SR G-Breakaway'!$B$5:$AL$100,36,FALSE)=" ",0,VLOOKUP($B13,'SR G-Breakaway'!$B$5:$AL$100,36,FALSE)),0)+IFERROR(IF(VLOOKUP($B13,'SR-Team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G-Barrels'!$B$5:$AL$100,36,FALSE)=" ",0,VLOOKUP($B13,'JR G-Barrels'!$B$5:$AL$100,36,FALSE)),0)+IFERROR(IF(VLOOKUP($B13,'JR G-Poles'!$B$5:$AL$100,36,FALSE)=" ",0,VLOOKUP($B13,'JR G-Poles'!$B$5:$AL$100,36,FALSE)),0)+IFERROR(IF(VLOOKUP($B13,'JR G-Goats'!$B$5:$AL$100,36,FALSE)=" ",0,VLOOKUP($B13,'JR G-Goats'!$B$5:$AL$100,36,FALSE)),0)+IFERROR(IF(VLOOKUP($B13,'JR G-Breakaway'!$B$5:$AL$100,36,FALSE)=" ",0,VLOOKUP($B13,'JR G-Breakaway'!$B$5:$AL$100,36,FALSE)),0)+IFERROR(IF(VLOOKUP($B13,'JR-Team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G-Barrels'!$B$5:$AL$106,36,FALSE)=" ",0,VLOOKUP($B13,'PW G-Barrels'!$B$5:$AL$106,36,FALSE)),0)+IFERROR(IF(VLOOKUP($B13,'PW G-Poles'!$B$5:$AL$107,36,FALSE)=" ",0,VLOOKUP($B13,'PW G-Poles'!$B$5:$AL$107,36,FALSE)),0)+IFERROR(IF(VLOOKUP($B13,'PW G-Goats'!$B$5:$AL$107,36,FALSE)=" ",0,VLOOKUP($B13,'PW G-Goats'!$B$5:$AL$107,36,FALSE)),0)+IFERROR(IF(VLOOKUP($B13,'PW G-Breakaway'!$B$5:$AL$100,36,FALSE)=" ",0,VLOOKUP($B13,'PW G-Breakaway'!$B$5:$AL$100,36,FALSE)),0)+IFERROR(IF(VLOOKUP($B13,'MM G-Dummy Roping'!$B$5:$AL$100,36,FALSE)=" ",0,VLOOKUP($B13,'MM G-Dummy Roping'!$B$5:$AL$100,36,FALSE)),0)+IFERROR(IF(VLOOKUP($B13,'MM G-Barrels'!$B$5:$AL$95,36,FALSE)=" ",0,VLOOKUP($B13,'MM G-Barrels'!$B$5:$AL$95,36,FALSE)),0)+IFERROR(IF(VLOOKUP($B13,'MM G-Figure 8'!$B$5:$AL$97,36,FALSE)=" ",0,VLOOKUP($B13,'MM G-Figure 8'!$B$5:$AL$97,36,FALSE)),0)+IFERROR(IF(VLOOKUP($B13,'MM G-Goats'!$B$5:$AL$98,36,FALSE)=" ",0,VLOOKUP($B13,'MM G-Goats'!$B$5:$AL$98,36,FALSE)),0)</f>
        <v>0</v>
      </c>
      <c r="D13" s="95" t="str">
        <f t="shared" si="0"/>
        <v xml:space="preserve"> </v>
      </c>
      <c r="E13" s="91" t="str">
        <f>IF(D13=" "," ",RANK(D13,D$5:D$24))</f>
        <v xml:space="preserve"> </v>
      </c>
    </row>
    <row r="14" spans="2:6" x14ac:dyDescent="0.3">
      <c r="B14" s="152"/>
      <c r="C14" s="95">
        <f>IFERROR(IF(VLOOKUP($B14,'SR G-Barrels'!$B$5:$AL$100,36,FALSE)=" ",0,VLOOKUP($B14,'SR G-Barrels'!$B$5:$AL$100,36,FALSE)),0)+IFERROR(IF(VLOOKUP($B14,'SR G-Poles'!$B$5:$AL$100,36,FALSE)=" ",0,VLOOKUP($B14,'SR G-Poles'!$B$5:$AL$100,36,FALSE)),0)+IFERROR(IF(VLOOKUP($B14,'SR G-Goats'!$B$5:$AL$100,36,FALSE)=" ",0,VLOOKUP($B14,'SR G-Goats'!$B$5:$AL$100,36,FALSE)),0)+IFERROR(IF(VLOOKUP($B14,'SR G-Breakaway'!$B$5:$AL$100,36,FALSE)=" ",0,VLOOKUP($B14,'SR G-Breakaway'!$B$5:$AL$100,36,FALSE)),0)+IFERROR(IF(VLOOKUP($B14,'SR-Team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G-Barrels'!$B$5:$AL$100,36,FALSE)=" ",0,VLOOKUP($B14,'JR G-Barrels'!$B$5:$AL$100,36,FALSE)),0)+IFERROR(IF(VLOOKUP($B14,'JR G-Poles'!$B$5:$AL$100,36,FALSE)=" ",0,VLOOKUP($B14,'JR G-Poles'!$B$5:$AL$100,36,FALSE)),0)+IFERROR(IF(VLOOKUP($B14,'JR G-Goats'!$B$5:$AL$100,36,FALSE)=" ",0,VLOOKUP($B14,'JR G-Goats'!$B$5:$AL$100,36,FALSE)),0)+IFERROR(IF(VLOOKUP($B14,'JR G-Breakaway'!$B$5:$AL$100,36,FALSE)=" ",0,VLOOKUP($B14,'JR G-Breakaway'!$B$5:$AL$100,36,FALSE)),0)+IFERROR(IF(VLOOKUP($B14,'JR-Team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G-Barrels'!$B$5:$AL$106,36,FALSE)=" ",0,VLOOKUP($B14,'PW G-Barrels'!$B$5:$AL$106,36,FALSE)),0)+IFERROR(IF(VLOOKUP($B14,'PW G-Poles'!$B$5:$AL$107,36,FALSE)=" ",0,VLOOKUP($B14,'PW G-Poles'!$B$5:$AL$107,36,FALSE)),0)+IFERROR(IF(VLOOKUP($B14,'PW G-Goats'!$B$5:$AL$107,36,FALSE)=" ",0,VLOOKUP($B14,'PW G-Goats'!$B$5:$AL$107,36,FALSE)),0)+IFERROR(IF(VLOOKUP($B14,'PW G-Breakaway'!$B$5:$AL$100,36,FALSE)=" ",0,VLOOKUP($B14,'PW G-Breakaway'!$B$5:$AL$100,36,FALSE)),0)+IFERROR(IF(VLOOKUP($B14,'MM G-Dummy Roping'!$B$5:$AL$100,36,FALSE)=" ",0,VLOOKUP($B14,'MM G-Dummy Roping'!$B$5:$AL$100,36,FALSE)),0)+IFERROR(IF(VLOOKUP($B14,'MM G-Barrels'!$B$5:$AL$95,36,FALSE)=" ",0,VLOOKUP($B14,'MM G-Barrels'!$B$5:$AL$95,36,FALSE)),0)+IFERROR(IF(VLOOKUP($B14,'MM G-Figure 8'!$B$5:$AL$97,36,FALSE)=" ",0,VLOOKUP($B14,'MM G-Figure 8'!$B$5:$AL$97,36,FALSE)),0)+IFERROR(IF(VLOOKUP($B14,'MM G-Goats'!$B$5:$AL$98,36,FALSE)=" ",0,VLOOKUP($B14,'MM G-Goats'!$B$5:$AL$98,36,FALSE)),0)</f>
        <v>0</v>
      </c>
      <c r="D14" s="95" t="str">
        <f t="shared" si="0"/>
        <v xml:space="preserve"> </v>
      </c>
      <c r="E14" s="91" t="str">
        <f>IF(D14=" "," ",RANK(D14,D$5:D$24))</f>
        <v xml:space="preserve"> </v>
      </c>
    </row>
    <row r="15" spans="2:6" x14ac:dyDescent="0.3">
      <c r="B15" s="152"/>
      <c r="C15" s="95">
        <f>IFERROR(IF(VLOOKUP($B15,'SR G-Barrels'!$B$5:$AL$100,36,FALSE)=" ",0,VLOOKUP($B15,'SR G-Barrels'!$B$5:$AL$100,36,FALSE)),0)+IFERROR(IF(VLOOKUP($B15,'SR G-Poles'!$B$5:$AL$100,36,FALSE)=" ",0,VLOOKUP($B15,'SR G-Poles'!$B$5:$AL$100,36,FALSE)),0)+IFERROR(IF(VLOOKUP($B15,'SR G-Goats'!$B$5:$AL$100,36,FALSE)=" ",0,VLOOKUP($B15,'SR G-Goats'!$B$5:$AL$100,36,FALSE)),0)+IFERROR(IF(VLOOKUP($B15,'SR G-Breakaway'!$B$5:$AL$100,36,FALSE)=" ",0,VLOOKUP($B15,'SR G-Breakaway'!$B$5:$AL$100,36,FALSE)),0)+IFERROR(IF(VLOOKUP($B15,'SR-Team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G-Barrels'!$B$5:$AL$100,36,FALSE)=" ",0,VLOOKUP($B15,'JR G-Barrels'!$B$5:$AL$100,36,FALSE)),0)+IFERROR(IF(VLOOKUP($B15,'JR G-Poles'!$B$5:$AL$100,36,FALSE)=" ",0,VLOOKUP($B15,'JR G-Poles'!$B$5:$AL$100,36,FALSE)),0)+IFERROR(IF(VLOOKUP($B15,'JR G-Goats'!$B$5:$AL$100,36,FALSE)=" ",0,VLOOKUP($B15,'JR G-Goats'!$B$5:$AL$100,36,FALSE)),0)+IFERROR(IF(VLOOKUP($B15,'JR G-Breakaway'!$B$5:$AL$100,36,FALSE)=" ",0,VLOOKUP($B15,'JR G-Breakaway'!$B$5:$AL$100,36,FALSE)),0)+IFERROR(IF(VLOOKUP($B15,'JR-Team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G-Barrels'!$B$5:$AL$106,36,FALSE)=" ",0,VLOOKUP($B15,'PW G-Barrels'!$B$5:$AL$106,36,FALSE)),0)+IFERROR(IF(VLOOKUP($B15,'PW G-Poles'!$B$5:$AL$107,36,FALSE)=" ",0,VLOOKUP($B15,'PW G-Poles'!$B$5:$AL$107,36,FALSE)),0)+IFERROR(IF(VLOOKUP($B15,'PW G-Goats'!$B$5:$AL$107,36,FALSE)=" ",0,VLOOKUP($B15,'PW G-Goats'!$B$5:$AL$107,36,FALSE)),0)+IFERROR(IF(VLOOKUP($B15,'PW G-Breakaway'!$B$5:$AL$100,36,FALSE)=" ",0,VLOOKUP($B15,'PW G-Breakaway'!$B$5:$AL$100,36,FALSE)),0)+IFERROR(IF(VLOOKUP($B15,'MM G-Dummy Roping'!$B$5:$AL$100,36,FALSE)=" ",0,VLOOKUP($B15,'MM G-Dummy Roping'!$B$5:$AL$100,36,FALSE)),0)+IFERROR(IF(VLOOKUP($B15,'MM G-Barrels'!$B$5:$AL$95,36,FALSE)=" ",0,VLOOKUP($B15,'MM G-Barrels'!$B$5:$AL$95,36,FALSE)),0)+IFERROR(IF(VLOOKUP($B15,'MM G-Figure 8'!$B$5:$AL$97,36,FALSE)=" ",0,VLOOKUP($B15,'MM G-Figure 8'!$B$5:$AL$97,36,FALSE)),0)+IFERROR(IF(VLOOKUP($B15,'MM G-Goats'!$B$5:$AL$98,36,FALSE)=" ",0,VLOOKUP($B15,'MM G-Goats'!$B$5:$AL$98,36,FALSE)),0)</f>
        <v>0</v>
      </c>
      <c r="D15" s="95" t="str">
        <f t="shared" si="0"/>
        <v xml:space="preserve"> </v>
      </c>
      <c r="E15" s="122" t="str">
        <f>IF(D15=" "," ",RANK(D15,D$5:D$24))</f>
        <v xml:space="preserve"> </v>
      </c>
    </row>
    <row r="16" spans="2:6" x14ac:dyDescent="0.3">
      <c r="B16" s="152"/>
      <c r="C16" s="95">
        <f>IFERROR(IF(VLOOKUP($B16,'SR G-Barrels'!$B$5:$AL$100,36,FALSE)=" ",0,VLOOKUP($B16,'SR G-Barrels'!$B$5:$AL$100,36,FALSE)),0)+IFERROR(IF(VLOOKUP($B16,'SR G-Poles'!$B$5:$AL$100,36,FALSE)=" ",0,VLOOKUP($B16,'SR G-Poles'!$B$5:$AL$100,36,FALSE)),0)+IFERROR(IF(VLOOKUP($B16,'SR G-Goats'!$B$5:$AL$100,36,FALSE)=" ",0,VLOOKUP($B16,'SR G-Goats'!$B$5:$AL$100,36,FALSE)),0)+IFERROR(IF(VLOOKUP($B16,'SR G-Breakaway'!$B$5:$AL$100,36,FALSE)=" ",0,VLOOKUP($B16,'SR G-Breakaway'!$B$5:$AL$100,36,FALSE)),0)+IFERROR(IF(VLOOKUP($B16,'SR-Team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G-Barrels'!$B$5:$AL$100,36,FALSE)=" ",0,VLOOKUP($B16,'JR G-Barrels'!$B$5:$AL$100,36,FALSE)),0)+IFERROR(IF(VLOOKUP($B16,'JR G-Poles'!$B$5:$AL$100,36,FALSE)=" ",0,VLOOKUP($B16,'JR G-Poles'!$B$5:$AL$100,36,FALSE)),0)+IFERROR(IF(VLOOKUP($B16,'JR G-Goats'!$B$5:$AL$100,36,FALSE)=" ",0,VLOOKUP($B16,'JR G-Goats'!$B$5:$AL$100,36,FALSE)),0)+IFERROR(IF(VLOOKUP($B16,'JR G-Breakaway'!$B$5:$AL$100,36,FALSE)=" ",0,VLOOKUP($B16,'JR G-Breakaway'!$B$5:$AL$100,36,FALSE)),0)+IFERROR(IF(VLOOKUP($B16,'JR-Team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G-Barrels'!$B$5:$AL$106,36,FALSE)=" ",0,VLOOKUP($B16,'PW G-Barrels'!$B$5:$AL$106,36,FALSE)),0)+IFERROR(IF(VLOOKUP($B16,'PW G-Poles'!$B$5:$AL$107,36,FALSE)=" ",0,VLOOKUP($B16,'PW G-Poles'!$B$5:$AL$107,36,FALSE)),0)+IFERROR(IF(VLOOKUP($B16,'PW G-Goats'!$B$5:$AL$107,36,FALSE)=" ",0,VLOOKUP($B16,'PW G-Goats'!$B$5:$AL$107,36,FALSE)),0)+IFERROR(IF(VLOOKUP($B16,'PW G-Breakaway'!$B$5:$AL$100,36,FALSE)=" ",0,VLOOKUP($B16,'PW G-Breakaway'!$B$5:$AL$100,36,FALSE)),0)+IFERROR(IF(VLOOKUP($B16,'MM G-Dummy Roping'!$B$5:$AL$100,36,FALSE)=" ",0,VLOOKUP($B16,'MM G-Dummy Roping'!$B$5:$AL$100,36,FALSE)),0)+IFERROR(IF(VLOOKUP($B16,'MM G-Barrels'!$B$5:$AL$95,36,FALSE)=" ",0,VLOOKUP($B16,'MM G-Barrels'!$B$5:$AL$95,36,FALSE)),0)+IFERROR(IF(VLOOKUP($B16,'MM G-Figure 8'!$B$5:$AL$97,36,FALSE)=" ",0,VLOOKUP($B16,'MM G-Figure 8'!$B$5:$AL$97,36,FALSE)),0)+IFERROR(IF(VLOOKUP($B16,'MM G-Goats'!$B$5:$AL$98,36,FALSE)=" ",0,VLOOKUP($B16,'MM G-Goats'!$B$5:$AL$98,36,FALSE)),0)</f>
        <v>0</v>
      </c>
      <c r="D16" s="95" t="str">
        <f t="shared" si="0"/>
        <v xml:space="preserve"> </v>
      </c>
      <c r="E16" s="91" t="str">
        <f>IF(D16=" "," ",RANK(D16,D$5:D$24))</f>
        <v xml:space="preserve"> </v>
      </c>
    </row>
    <row r="17" spans="2:5" x14ac:dyDescent="0.3">
      <c r="B17" s="152"/>
      <c r="C17" s="95">
        <f>IFERROR(IF(VLOOKUP($B17,'SR G-Barrels'!$B$5:$AL$100,36,FALSE)=" ",0,VLOOKUP($B17,'SR G-Barrels'!$B$5:$AL$100,36,FALSE)),0)+IFERROR(IF(VLOOKUP($B17,'SR G-Poles'!$B$5:$AL$100,36,FALSE)=" ",0,VLOOKUP($B17,'SR G-Poles'!$B$5:$AL$100,36,FALSE)),0)+IFERROR(IF(VLOOKUP($B17,'SR G-Goats'!$B$5:$AL$100,36,FALSE)=" ",0,VLOOKUP($B17,'SR G-Goats'!$B$5:$AL$100,36,FALSE)),0)+IFERROR(IF(VLOOKUP($B17,'SR G-Breakaway'!$B$5:$AL$100,36,FALSE)=" ",0,VLOOKUP($B17,'SR G-Breakaway'!$B$5:$AL$100,36,FALSE)),0)+IFERROR(IF(VLOOKUP($B17,'SR-Team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G-Barrels'!$B$5:$AL$100,36,FALSE)=" ",0,VLOOKUP($B17,'JR G-Barrels'!$B$5:$AL$100,36,FALSE)),0)+IFERROR(IF(VLOOKUP($B17,'JR G-Poles'!$B$5:$AL$100,36,FALSE)=" ",0,VLOOKUP($B17,'JR G-Poles'!$B$5:$AL$100,36,FALSE)),0)+IFERROR(IF(VLOOKUP($B17,'JR G-Goats'!$B$5:$AL$100,36,FALSE)=" ",0,VLOOKUP($B17,'JR G-Goats'!$B$5:$AL$100,36,FALSE)),0)+IFERROR(IF(VLOOKUP($B17,'JR G-Breakaway'!$B$5:$AL$100,36,FALSE)=" ",0,VLOOKUP($B17,'JR G-Breakaway'!$B$5:$AL$100,36,FALSE)),0)+IFERROR(IF(VLOOKUP($B17,'JR-Team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G-Barrels'!$B$5:$AL$106,36,FALSE)=" ",0,VLOOKUP($B17,'PW G-Barrels'!$B$5:$AL$106,36,FALSE)),0)+IFERROR(IF(VLOOKUP($B17,'PW G-Poles'!$B$5:$AL$107,36,FALSE)=" ",0,VLOOKUP($B17,'PW G-Poles'!$B$5:$AL$107,36,FALSE)),0)+IFERROR(IF(VLOOKUP($B17,'PW G-Goats'!$B$5:$AL$107,36,FALSE)=" ",0,VLOOKUP($B17,'PW G-Goats'!$B$5:$AL$107,36,FALSE)),0)+IFERROR(IF(VLOOKUP($B17,'PW G-Breakaway'!$B$5:$AL$100,36,FALSE)=" ",0,VLOOKUP($B17,'PW G-Breakaway'!$B$5:$AL$100,36,FALSE)),0)+IFERROR(IF(VLOOKUP($B17,'MM G-Dummy Roping'!$B$5:$AL$100,36,FALSE)=" ",0,VLOOKUP($B17,'MM G-Dummy Roping'!$B$5:$AL$100,36,FALSE)),0)+IFERROR(IF(VLOOKUP($B17,'MM G-Barrels'!$B$5:$AL$95,36,FALSE)=" ",0,VLOOKUP($B17,'MM G-Barrels'!$B$5:$AL$95,36,FALSE)),0)+IFERROR(IF(VLOOKUP($B17,'MM G-Figure 8'!$B$5:$AL$97,36,FALSE)=" ",0,VLOOKUP($B17,'MM G-Figure 8'!$B$5:$AL$97,36,FALSE)),0)+IFERROR(IF(VLOOKUP($B17,'MM G-Goats'!$B$5:$AL$98,36,FALSE)=" ",0,VLOOKUP($B17,'MM G-Goats'!$B$5:$AL$98,36,FALSE)),0)</f>
        <v>0</v>
      </c>
      <c r="D17" s="95" t="str">
        <f t="shared" si="0"/>
        <v xml:space="preserve"> </v>
      </c>
      <c r="E17" s="91" t="str">
        <f>IF(D17=" "," ",RANK(D17,D$5:D$24))</f>
        <v xml:space="preserve"> </v>
      </c>
    </row>
    <row r="18" spans="2:5" x14ac:dyDescent="0.3">
      <c r="B18" s="152"/>
      <c r="C18" s="95">
        <f>IFERROR(IF(VLOOKUP($B18,'SR G-Barrels'!$B$5:$AL$100,36,FALSE)=" ",0,VLOOKUP($B18,'SR G-Barrels'!$B$5:$AL$100,36,FALSE)),0)+IFERROR(IF(VLOOKUP($B18,'SR G-Poles'!$B$5:$AL$100,36,FALSE)=" ",0,VLOOKUP($B18,'SR G-Poles'!$B$5:$AL$100,36,FALSE)),0)+IFERROR(IF(VLOOKUP($B18,'SR G-Goats'!$B$5:$AL$100,36,FALSE)=" ",0,VLOOKUP($B18,'SR G-Goats'!$B$5:$AL$100,36,FALSE)),0)+IFERROR(IF(VLOOKUP($B18,'SR G-Breakaway'!$B$5:$AL$100,36,FALSE)=" ",0,VLOOKUP($B18,'SR G-Breakaway'!$B$5:$AL$100,36,FALSE)),0)+IFERROR(IF(VLOOKUP($B18,'SR-Team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G-Barrels'!$B$5:$AL$100,36,FALSE)=" ",0,VLOOKUP($B18,'JR G-Barrels'!$B$5:$AL$100,36,FALSE)),0)+IFERROR(IF(VLOOKUP($B18,'JR G-Poles'!$B$5:$AL$100,36,FALSE)=" ",0,VLOOKUP($B18,'JR G-Poles'!$B$5:$AL$100,36,FALSE)),0)+IFERROR(IF(VLOOKUP($B18,'JR G-Goats'!$B$5:$AL$100,36,FALSE)=" ",0,VLOOKUP($B18,'JR G-Goats'!$B$5:$AL$100,36,FALSE)),0)+IFERROR(IF(VLOOKUP($B18,'JR G-Breakaway'!$B$5:$AL$100,36,FALSE)=" ",0,VLOOKUP($B18,'JR G-Breakaway'!$B$5:$AL$100,36,FALSE)),0)+IFERROR(IF(VLOOKUP($B18,'JR-Team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G-Barrels'!$B$5:$AL$106,36,FALSE)=" ",0,VLOOKUP($B18,'PW G-Barrels'!$B$5:$AL$106,36,FALSE)),0)+IFERROR(IF(VLOOKUP($B18,'PW G-Poles'!$B$5:$AL$107,36,FALSE)=" ",0,VLOOKUP($B18,'PW G-Poles'!$B$5:$AL$107,36,FALSE)),0)+IFERROR(IF(VLOOKUP($B18,'PW G-Goats'!$B$5:$AL$107,36,FALSE)=" ",0,VLOOKUP($B18,'PW G-Goats'!$B$5:$AL$107,36,FALSE)),0)+IFERROR(IF(VLOOKUP($B18,'PW G-Breakaway'!$B$5:$AL$100,36,FALSE)=" ",0,VLOOKUP($B18,'PW G-Breakaway'!$B$5:$AL$100,36,FALSE)),0)+IFERROR(IF(VLOOKUP($B18,'MM G-Dummy Roping'!$B$5:$AL$100,36,FALSE)=" ",0,VLOOKUP($B18,'MM G-Dummy Roping'!$B$5:$AL$100,36,FALSE)),0)+IFERROR(IF(VLOOKUP($B18,'MM G-Barrels'!$B$5:$AL$95,36,FALSE)=" ",0,VLOOKUP($B18,'MM G-Barrels'!$B$5:$AL$95,36,FALSE)),0)+IFERROR(IF(VLOOKUP($B18,'MM G-Figure 8'!$B$5:$AL$97,36,FALSE)=" ",0,VLOOKUP($B18,'MM G-Figure 8'!$B$5:$AL$97,36,FALSE)),0)+IFERROR(IF(VLOOKUP($B18,'MM G-Goats'!$B$5:$AL$98,36,FALSE)=" ",0,VLOOKUP($B18,'MM G-Goats'!$B$5:$AL$98,36,FALSE)),0)</f>
        <v>0</v>
      </c>
      <c r="D18" s="95" t="str">
        <f t="shared" si="0"/>
        <v xml:space="preserve"> </v>
      </c>
      <c r="E18" s="91" t="str">
        <f>IF(D18=" "," ",RANK(D18,D$5:D$24))</f>
        <v xml:space="preserve"> </v>
      </c>
    </row>
    <row r="19" spans="2:5" x14ac:dyDescent="0.3">
      <c r="B19" s="152"/>
      <c r="C19" s="95">
        <f>IFERROR(IF(VLOOKUP($B19,'SR G-Barrels'!$B$5:$AL$100,36,FALSE)=" ",0,VLOOKUP($B19,'SR G-Barrels'!$B$5:$AL$100,36,FALSE)),0)+IFERROR(IF(VLOOKUP($B19,'SR G-Poles'!$B$5:$AL$100,36,FALSE)=" ",0,VLOOKUP($B19,'SR G-Poles'!$B$5:$AL$100,36,FALSE)),0)+IFERROR(IF(VLOOKUP($B19,'SR G-Goats'!$B$5:$AL$100,36,FALSE)=" ",0,VLOOKUP($B19,'SR G-Goats'!$B$5:$AL$100,36,FALSE)),0)+IFERROR(IF(VLOOKUP($B19,'SR G-Breakaway'!$B$5:$AL$100,36,FALSE)=" ",0,VLOOKUP($B19,'SR G-Breakaway'!$B$5:$AL$100,36,FALSE)),0)+IFERROR(IF(VLOOKUP($B19,'SR-Team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G-Barrels'!$B$5:$AL$100,36,FALSE)=" ",0,VLOOKUP($B19,'JR G-Barrels'!$B$5:$AL$100,36,FALSE)),0)+IFERROR(IF(VLOOKUP($B19,'JR G-Poles'!$B$5:$AL$100,36,FALSE)=" ",0,VLOOKUP($B19,'JR G-Poles'!$B$5:$AL$100,36,FALSE)),0)+IFERROR(IF(VLOOKUP($B19,'JR G-Goats'!$B$5:$AL$100,36,FALSE)=" ",0,VLOOKUP($B19,'JR G-Goats'!$B$5:$AL$100,36,FALSE)),0)+IFERROR(IF(VLOOKUP($B19,'JR G-Breakaway'!$B$5:$AL$100,36,FALSE)=" ",0,VLOOKUP($B19,'JR G-Breakaway'!$B$5:$AL$100,36,FALSE)),0)+IFERROR(IF(VLOOKUP($B19,'JR-Team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G-Barrels'!$B$5:$AL$106,36,FALSE)=" ",0,VLOOKUP($B19,'PW G-Barrels'!$B$5:$AL$106,36,FALSE)),0)+IFERROR(IF(VLOOKUP($B19,'PW G-Poles'!$B$5:$AL$107,36,FALSE)=" ",0,VLOOKUP($B19,'PW G-Poles'!$B$5:$AL$107,36,FALSE)),0)+IFERROR(IF(VLOOKUP($B19,'PW G-Goats'!$B$5:$AL$107,36,FALSE)=" ",0,VLOOKUP($B19,'PW G-Goats'!$B$5:$AL$107,36,FALSE)),0)+IFERROR(IF(VLOOKUP($B19,'PW G-Breakaway'!$B$5:$AL$100,36,FALSE)=" ",0,VLOOKUP($B19,'PW G-Breakaway'!$B$5:$AL$100,36,FALSE)),0)+IFERROR(IF(VLOOKUP($B19,'MM G-Dummy Roping'!$B$5:$AL$100,36,FALSE)=" ",0,VLOOKUP($B19,'MM G-Dummy Roping'!$B$5:$AL$100,36,FALSE)),0)+IFERROR(IF(VLOOKUP($B19,'MM G-Barrels'!$B$5:$AL$95,36,FALSE)=" ",0,VLOOKUP($B19,'MM G-Barrels'!$B$5:$AL$95,36,FALSE)),0)+IFERROR(IF(VLOOKUP($B19,'MM G-Figure 8'!$B$5:$AL$97,36,FALSE)=" ",0,VLOOKUP($B19,'MM G-Figure 8'!$B$5:$AL$97,36,FALSE)),0)+IFERROR(IF(VLOOKUP($B19,'MM G-Goats'!$B$5:$AL$98,36,FALSE)=" ",0,VLOOKUP($B19,'MM G-Goats'!$B$5:$AL$98,36,FALSE)),0)</f>
        <v>0</v>
      </c>
      <c r="D19" s="95" t="str">
        <f t="shared" si="0"/>
        <v xml:space="preserve"> </v>
      </c>
      <c r="E19" s="122" t="str">
        <f>IF(D19=" "," ",RANK(D19,D$5:D$24))</f>
        <v xml:space="preserve"> </v>
      </c>
    </row>
    <row r="20" spans="2:5" x14ac:dyDescent="0.3">
      <c r="B20" s="152"/>
      <c r="C20" s="95">
        <f>IFERROR(IF(VLOOKUP($B20,'SR G-Barrels'!$B$5:$AL$100,36,FALSE)=" ",0,VLOOKUP($B20,'SR G-Barrels'!$B$5:$AL$100,36,FALSE)),0)+IFERROR(IF(VLOOKUP($B20,'SR G-Poles'!$B$5:$AL$100,36,FALSE)=" ",0,VLOOKUP($B20,'SR G-Poles'!$B$5:$AL$100,36,FALSE)),0)+IFERROR(IF(VLOOKUP($B20,'SR G-Goats'!$B$5:$AL$100,36,FALSE)=" ",0,VLOOKUP($B20,'SR G-Goats'!$B$5:$AL$100,36,FALSE)),0)+IFERROR(IF(VLOOKUP($B20,'SR G-Breakaway'!$B$5:$AL$100,36,FALSE)=" ",0,VLOOKUP($B20,'SR G-Breakaway'!$B$5:$AL$100,36,FALSE)),0)+IFERROR(IF(VLOOKUP($B20,'SR-Team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G-Barrels'!$B$5:$AL$100,36,FALSE)=" ",0,VLOOKUP($B20,'JR G-Barrels'!$B$5:$AL$100,36,FALSE)),0)+IFERROR(IF(VLOOKUP($B20,'JR G-Poles'!$B$5:$AL$100,36,FALSE)=" ",0,VLOOKUP($B20,'JR G-Poles'!$B$5:$AL$100,36,FALSE)),0)+IFERROR(IF(VLOOKUP($B20,'JR G-Goats'!$B$5:$AL$100,36,FALSE)=" ",0,VLOOKUP($B20,'JR G-Goats'!$B$5:$AL$100,36,FALSE)),0)+IFERROR(IF(VLOOKUP($B20,'JR G-Breakaway'!$B$5:$AL$100,36,FALSE)=" ",0,VLOOKUP($B20,'JR G-Breakaway'!$B$5:$AL$100,36,FALSE)),0)+IFERROR(IF(VLOOKUP($B20,'JR-Team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G-Barrels'!$B$5:$AL$106,36,FALSE)=" ",0,VLOOKUP($B20,'PW G-Barrels'!$B$5:$AL$106,36,FALSE)),0)+IFERROR(IF(VLOOKUP($B20,'PW G-Poles'!$B$5:$AL$107,36,FALSE)=" ",0,VLOOKUP($B20,'PW G-Poles'!$B$5:$AL$107,36,FALSE)),0)+IFERROR(IF(VLOOKUP($B20,'PW G-Goats'!$B$5:$AL$107,36,FALSE)=" ",0,VLOOKUP($B20,'PW G-Goats'!$B$5:$AL$107,36,FALSE)),0)+IFERROR(IF(VLOOKUP($B20,'PW G-Breakaway'!$B$5:$AL$100,36,FALSE)=" ",0,VLOOKUP($B20,'PW G-Breakaway'!$B$5:$AL$100,36,FALSE)),0)+IFERROR(IF(VLOOKUP($B20,'MM G-Dummy Roping'!$B$5:$AL$100,36,FALSE)=" ",0,VLOOKUP($B20,'MM G-Dummy Roping'!$B$5:$AL$100,36,FALSE)),0)+IFERROR(IF(VLOOKUP($B20,'MM G-Barrels'!$B$5:$AL$95,36,FALSE)=" ",0,VLOOKUP($B20,'MM G-Barrels'!$B$5:$AL$95,36,FALSE)),0)+IFERROR(IF(VLOOKUP($B20,'MM G-Figure 8'!$B$5:$AL$97,36,FALSE)=" ",0,VLOOKUP($B20,'MM G-Figure 8'!$B$5:$AL$97,36,FALSE)),0)+IFERROR(IF(VLOOKUP($B20,'MM G-Goats'!$B$5:$AL$98,36,FALSE)=" ",0,VLOOKUP($B20,'MM G-Goats'!$B$5:$AL$98,36,FALSE)),0)</f>
        <v>0</v>
      </c>
      <c r="D20" s="95" t="str">
        <f t="shared" si="0"/>
        <v xml:space="preserve"> </v>
      </c>
      <c r="E20" s="91" t="str">
        <f>IF(D20=" "," ",RANK(D20,D$5:D$24))</f>
        <v xml:space="preserve"> </v>
      </c>
    </row>
    <row r="21" spans="2:5" x14ac:dyDescent="0.3">
      <c r="B21" s="152"/>
      <c r="C21" s="95">
        <f>IFERROR(IF(VLOOKUP($B21,'SR G-Barrels'!$B$5:$AL$100,36,FALSE)=" ",0,VLOOKUP($B21,'SR G-Barrels'!$B$5:$AL$100,36,FALSE)),0)+IFERROR(IF(VLOOKUP($B21,'SR G-Poles'!$B$5:$AL$100,36,FALSE)=" ",0,VLOOKUP($B21,'SR G-Poles'!$B$5:$AL$100,36,FALSE)),0)+IFERROR(IF(VLOOKUP($B21,'SR G-Goats'!$B$5:$AL$100,36,FALSE)=" ",0,VLOOKUP($B21,'SR G-Goats'!$B$5:$AL$100,36,FALSE)),0)+IFERROR(IF(VLOOKUP($B21,'SR G-Breakaway'!$B$5:$AL$100,36,FALSE)=" ",0,VLOOKUP($B21,'SR G-Breakaway'!$B$5:$AL$100,36,FALSE)),0)+IFERROR(IF(VLOOKUP($B21,'SR-Team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G-Barrels'!$B$5:$AL$100,36,FALSE)=" ",0,VLOOKUP($B21,'JR G-Barrels'!$B$5:$AL$100,36,FALSE)),0)+IFERROR(IF(VLOOKUP($B21,'JR G-Poles'!$B$5:$AL$100,36,FALSE)=" ",0,VLOOKUP($B21,'JR G-Poles'!$B$5:$AL$100,36,FALSE)),0)+IFERROR(IF(VLOOKUP($B21,'JR G-Goats'!$B$5:$AL$100,36,FALSE)=" ",0,VLOOKUP($B21,'JR G-Goats'!$B$5:$AL$100,36,FALSE)),0)+IFERROR(IF(VLOOKUP($B21,'JR G-Breakaway'!$B$5:$AL$100,36,FALSE)=" ",0,VLOOKUP($B21,'JR G-Breakaway'!$B$5:$AL$100,36,FALSE)),0)+IFERROR(IF(VLOOKUP($B21,'JR-Team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G-Barrels'!$B$5:$AL$106,36,FALSE)=" ",0,VLOOKUP($B21,'PW G-Barrels'!$B$5:$AL$106,36,FALSE)),0)+IFERROR(IF(VLOOKUP($B21,'PW G-Poles'!$B$5:$AL$107,36,FALSE)=" ",0,VLOOKUP($B21,'PW G-Poles'!$B$5:$AL$107,36,FALSE)),0)+IFERROR(IF(VLOOKUP($B21,'PW G-Goats'!$B$5:$AL$107,36,FALSE)=" ",0,VLOOKUP($B21,'PW G-Goats'!$B$5:$AL$107,36,FALSE)),0)+IFERROR(IF(VLOOKUP($B21,'PW G-Breakaway'!$B$5:$AL$100,36,FALSE)=" ",0,VLOOKUP($B21,'PW G-Breakaway'!$B$5:$AL$100,36,FALSE)),0)+IFERROR(IF(VLOOKUP($B21,'MM G-Dummy Roping'!$B$5:$AL$100,36,FALSE)=" ",0,VLOOKUP($B21,'MM G-Dummy Roping'!$B$5:$AL$100,36,FALSE)),0)+IFERROR(IF(VLOOKUP($B21,'MM G-Barrels'!$B$5:$AL$95,36,FALSE)=" ",0,VLOOKUP($B21,'MM G-Barrels'!$B$5:$AL$95,36,FALSE)),0)+IFERROR(IF(VLOOKUP($B21,'MM G-Figure 8'!$B$5:$AL$97,36,FALSE)=" ",0,VLOOKUP($B21,'MM G-Figure 8'!$B$5:$AL$97,36,FALSE)),0)+IFERROR(IF(VLOOKUP($B21,'MM G-Goats'!$B$5:$AL$98,36,FALSE)=" ",0,VLOOKUP($B21,'MM G-Goats'!$B$5:$AL$98,36,FALSE)),0)</f>
        <v>0</v>
      </c>
      <c r="D21" s="95" t="str">
        <f t="shared" si="0"/>
        <v xml:space="preserve"> </v>
      </c>
      <c r="E21" s="91" t="str">
        <f>IF(D21=" "," ",RANK(D21,D$5:D$24))</f>
        <v xml:space="preserve"> </v>
      </c>
    </row>
    <row r="22" spans="2:5" x14ac:dyDescent="0.3">
      <c r="B22" s="152"/>
      <c r="C22" s="95">
        <f>IFERROR(IF(VLOOKUP($B22,'SR G-Barrels'!$B$5:$AL$100,36,FALSE)=" ",0,VLOOKUP($B22,'SR G-Barrels'!$B$5:$AL$100,36,FALSE)),0)+IFERROR(IF(VLOOKUP($B22,'SR G-Poles'!$B$5:$AL$100,36,FALSE)=" ",0,VLOOKUP($B22,'SR G-Poles'!$B$5:$AL$100,36,FALSE)),0)+IFERROR(IF(VLOOKUP($B22,'SR G-Goats'!$B$5:$AL$100,36,FALSE)=" ",0,VLOOKUP($B22,'SR G-Goats'!$B$5:$AL$100,36,FALSE)),0)+IFERROR(IF(VLOOKUP($B22,'SR G-Breakaway'!$B$5:$AL$100,36,FALSE)=" ",0,VLOOKUP($B22,'SR G-Breakaway'!$B$5:$AL$100,36,FALSE)),0)+IFERROR(IF(VLOOKUP($B22,'SR-Team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G-Barrels'!$B$5:$AL$100,36,FALSE)=" ",0,VLOOKUP($B22,'JR G-Barrels'!$B$5:$AL$100,36,FALSE)),0)+IFERROR(IF(VLOOKUP($B22,'JR G-Poles'!$B$5:$AL$100,36,FALSE)=" ",0,VLOOKUP($B22,'JR G-Poles'!$B$5:$AL$100,36,FALSE)),0)+IFERROR(IF(VLOOKUP($B22,'JR G-Goats'!$B$5:$AL$100,36,FALSE)=" ",0,VLOOKUP($B22,'JR G-Goats'!$B$5:$AL$100,36,FALSE)),0)+IFERROR(IF(VLOOKUP($B22,'JR G-Breakaway'!$B$5:$AL$100,36,FALSE)=" ",0,VLOOKUP($B22,'JR G-Breakaway'!$B$5:$AL$100,36,FALSE)),0)+IFERROR(IF(VLOOKUP($B22,'JR-Team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G-Barrels'!$B$5:$AL$106,36,FALSE)=" ",0,VLOOKUP($B22,'PW G-Barrels'!$B$5:$AL$106,36,FALSE)),0)+IFERROR(IF(VLOOKUP($B22,'PW G-Poles'!$B$5:$AL$107,36,FALSE)=" ",0,VLOOKUP($B22,'PW G-Poles'!$B$5:$AL$107,36,FALSE)),0)+IFERROR(IF(VLOOKUP($B22,'PW G-Goats'!$B$5:$AL$107,36,FALSE)=" ",0,VLOOKUP($B22,'PW G-Goats'!$B$5:$AL$107,36,FALSE)),0)+IFERROR(IF(VLOOKUP($B22,'PW G-Breakaway'!$B$5:$AL$100,36,FALSE)=" ",0,VLOOKUP($B22,'PW G-Breakaway'!$B$5:$AL$100,36,FALSE)),0)+IFERROR(IF(VLOOKUP($B22,'MM G-Dummy Roping'!$B$5:$AL$100,36,FALSE)=" ",0,VLOOKUP($B22,'MM G-Dummy Roping'!$B$5:$AL$100,36,FALSE)),0)+IFERROR(IF(VLOOKUP($B22,'MM G-Barrels'!$B$5:$AL$95,36,FALSE)=" ",0,VLOOKUP($B22,'MM G-Barrels'!$B$5:$AL$95,36,FALSE)),0)+IFERROR(IF(VLOOKUP($B22,'MM G-Figure 8'!$B$5:$AL$97,36,FALSE)=" ",0,VLOOKUP($B22,'MM G-Figure 8'!$B$5:$AL$97,36,FALSE)),0)+IFERROR(IF(VLOOKUP($B22,'MM G-Goats'!$B$5:$AL$98,36,FALSE)=" ",0,VLOOKUP($B22,'MM G-Goats'!$B$5:$AL$98,36,FALSE)),0)</f>
        <v>0</v>
      </c>
      <c r="D22" s="95" t="str">
        <f t="shared" si="0"/>
        <v xml:space="preserve"> </v>
      </c>
      <c r="E22" s="91" t="str">
        <f>IF(D22=" "," ",RANK(D22,D$5:D$24))</f>
        <v xml:space="preserve"> </v>
      </c>
    </row>
    <row r="23" spans="2:5" x14ac:dyDescent="0.3">
      <c r="B23" s="152"/>
      <c r="C23" s="95">
        <f>IFERROR(IF(VLOOKUP($B23,'SR G-Barrels'!$B$5:$AL$100,36,FALSE)=" ",0,VLOOKUP($B23,'SR G-Barrels'!$B$5:$AL$100,36,FALSE)),0)+IFERROR(IF(VLOOKUP($B23,'SR G-Poles'!$B$5:$AL$100,36,FALSE)=" ",0,VLOOKUP($B23,'SR G-Poles'!$B$5:$AL$100,36,FALSE)),0)+IFERROR(IF(VLOOKUP($B23,'SR G-Goats'!$B$5:$AL$100,36,FALSE)=" ",0,VLOOKUP($B23,'SR G-Goats'!$B$5:$AL$100,36,FALSE)),0)+IFERROR(IF(VLOOKUP($B23,'SR G-Breakaway'!$B$5:$AL$100,36,FALSE)=" ",0,VLOOKUP($B23,'SR G-Breakaway'!$B$5:$AL$100,36,FALSE)),0)+IFERROR(IF(VLOOKUP($B23,'SR-Team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G-Barrels'!$B$5:$AL$100,36,FALSE)=" ",0,VLOOKUP($B23,'JR G-Barrels'!$B$5:$AL$100,36,FALSE)),0)+IFERROR(IF(VLOOKUP($B23,'JR G-Poles'!$B$5:$AL$100,36,FALSE)=" ",0,VLOOKUP($B23,'JR G-Poles'!$B$5:$AL$100,36,FALSE)),0)+IFERROR(IF(VLOOKUP($B23,'JR G-Goats'!$B$5:$AL$100,36,FALSE)=" ",0,VLOOKUP($B23,'JR G-Goats'!$B$5:$AL$100,36,FALSE)),0)+IFERROR(IF(VLOOKUP($B23,'JR G-Breakaway'!$B$5:$AL$100,36,FALSE)=" ",0,VLOOKUP($B23,'JR G-Breakaway'!$B$5:$AL$100,36,FALSE)),0)+IFERROR(IF(VLOOKUP($B23,'JR-Team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G-Barrels'!$B$5:$AL$106,36,FALSE)=" ",0,VLOOKUP($B23,'PW G-Barrels'!$B$5:$AL$106,36,FALSE)),0)+IFERROR(IF(VLOOKUP($B23,'PW G-Poles'!$B$5:$AL$107,36,FALSE)=" ",0,VLOOKUP($B23,'PW G-Poles'!$B$5:$AL$107,36,FALSE)),0)+IFERROR(IF(VLOOKUP($B23,'PW G-Goats'!$B$5:$AL$107,36,FALSE)=" ",0,VLOOKUP($B23,'PW G-Goats'!$B$5:$AL$107,36,FALSE)),0)+IFERROR(IF(VLOOKUP($B23,'PW G-Breakaway'!$B$5:$AL$100,36,FALSE)=" ",0,VLOOKUP($B23,'PW G-Breakaway'!$B$5:$AL$100,36,FALSE)),0)+IFERROR(IF(VLOOKUP($B23,'MM G-Dummy Roping'!$B$5:$AL$100,36,FALSE)=" ",0,VLOOKUP($B23,'MM G-Dummy Roping'!$B$5:$AL$100,36,FALSE)),0)+IFERROR(IF(VLOOKUP($B23,'MM G-Barrels'!$B$5:$AL$95,36,FALSE)=" ",0,VLOOKUP($B23,'MM G-Barrels'!$B$5:$AL$95,36,FALSE)),0)+IFERROR(IF(VLOOKUP($B23,'MM G-Figure 8'!$B$5:$AL$97,36,FALSE)=" ",0,VLOOKUP($B23,'MM G-Figure 8'!$B$5:$AL$97,36,FALSE)),0)+IFERROR(IF(VLOOKUP($B23,'MM G-Goats'!$B$5:$AL$98,36,FALSE)=" ",0,VLOOKUP($B23,'MM G-Goats'!$B$5:$AL$98,36,FALSE)),0)</f>
        <v>0</v>
      </c>
      <c r="D23" s="95" t="str">
        <f t="shared" si="0"/>
        <v xml:space="preserve"> </v>
      </c>
      <c r="E23" s="122" t="str">
        <f>IF(D23=" "," ",RANK(D23,D$5:D$24))</f>
        <v xml:space="preserve"> </v>
      </c>
    </row>
    <row r="24" spans="2:5" ht="14.5" thickBot="1" x14ac:dyDescent="0.35">
      <c r="B24" s="169"/>
      <c r="C24" s="105">
        <f>IFERROR(IF(VLOOKUP($B24,'SR G-Barrels'!$B$5:$AL$100,36,FALSE)=" ",0,VLOOKUP($B24,'SR G-Barrels'!$B$5:$AL$100,36,FALSE)),0)+IFERROR(IF(VLOOKUP($B24,'SR G-Poles'!$B$5:$AL$100,36,FALSE)=" ",0,VLOOKUP($B24,'SR G-Poles'!$B$5:$AL$100,36,FALSE)),0)+IFERROR(IF(VLOOKUP($B24,'SR G-Goats'!$B$5:$AL$100,36,FALSE)=" ",0,VLOOKUP($B24,'SR G-Goats'!$B$5:$AL$100,36,FALSE)),0)+IFERROR(IF(VLOOKUP($B24,'SR G-Breakaway'!$B$5:$AL$100,36,FALSE)=" ",0,VLOOKUP($B24,'SR G-Breakaway'!$B$5:$AL$100,36,FALSE)),0)+IFERROR(IF(VLOOKUP($B24,'SR-Team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G-Barrels'!$B$5:$AL$100,36,FALSE)=" ",0,VLOOKUP($B24,'JR G-Barrels'!$B$5:$AL$100,36,FALSE)),0)+IFERROR(IF(VLOOKUP($B24,'JR G-Poles'!$B$5:$AL$100,36,FALSE)=" ",0,VLOOKUP($B24,'JR G-Poles'!$B$5:$AL$100,36,FALSE)),0)+IFERROR(IF(VLOOKUP($B24,'JR G-Goats'!$B$5:$AL$100,36,FALSE)=" ",0,VLOOKUP($B24,'JR G-Goats'!$B$5:$AL$100,36,FALSE)),0)+IFERROR(IF(VLOOKUP($B24,'JR G-Breakaway'!$B$5:$AL$100,36,FALSE)=" ",0,VLOOKUP($B24,'JR G-Breakaway'!$B$5:$AL$100,36,FALSE)),0)+IFERROR(IF(VLOOKUP($B24,'JR-Team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G-Barrels'!$B$5:$AL$106,36,FALSE)=" ",0,VLOOKUP($B24,'PW G-Barrels'!$B$5:$AL$106,36,FALSE)),0)+IFERROR(IF(VLOOKUP($B24,'PW G-Poles'!$B$5:$AL$107,36,FALSE)=" ",0,VLOOKUP($B24,'PW G-Poles'!$B$5:$AL$107,36,FALSE)),0)+IFERROR(IF(VLOOKUP($B24,'PW G-Goats'!$B$5:$AL$107,36,FALSE)=" ",0,VLOOKUP($B24,'PW G-Goats'!$B$5:$AL$107,36,FALSE)),0)+IFERROR(IF(VLOOKUP($B24,'PW G-Breakaway'!$B$5:$AL$100,36,FALSE)=" ",0,VLOOKUP($B24,'PW G-Breakaway'!$B$5:$AL$100,36,FALSE)),0)+IFERROR(IF(VLOOKUP($B24,'MM G-Dummy Roping'!$B$5:$AL$100,36,FALSE)=" ",0,VLOOKUP($B24,'MM G-Dummy Roping'!$B$5:$AL$100,36,FALSE)),0)+IFERROR(IF(VLOOKUP($B24,'MM G-Barrels'!$B$5:$AL$95,36,FALSE)=" ",0,VLOOKUP($B24,'MM G-Barrels'!$B$5:$AL$95,36,FALSE)),0)+IFERROR(IF(VLOOKUP($B24,'MM G-Figure 8'!$B$5:$AL$97,36,FALSE)=" ",0,VLOOKUP($B24,'MM G-Figure 8'!$B$5:$AL$97,36,FALSE)),0)+IFERROR(IF(VLOOKUP($B24,'MM G-Goats'!$B$5:$AL$98,36,FALSE)=" ",0,VLOOKUP($B24,'MM G-Goats'!$B$5:$AL$98,36,FALSE)),0)</f>
        <v>0</v>
      </c>
      <c r="D24" s="105" t="str">
        <f t="shared" si="0"/>
        <v xml:space="preserve"> </v>
      </c>
      <c r="E24" s="150" t="str">
        <f>IF(D24=" "," ",RANK(D24,D$5:D$24))</f>
        <v xml:space="preserve"> </v>
      </c>
    </row>
    <row r="25" spans="2:5" ht="14.5" thickBot="1" x14ac:dyDescent="0.35">
      <c r="B25" s="125" t="s">
        <v>191</v>
      </c>
    </row>
    <row r="27" spans="2:5" x14ac:dyDescent="0.3">
      <c r="C27" s="126"/>
      <c r="D27" s="126"/>
    </row>
    <row r="28" spans="2:5" x14ac:dyDescent="0.3">
      <c r="C28" s="126"/>
      <c r="D28" s="126"/>
    </row>
  </sheetData>
  <sheetProtection algorithmName="SHA-512" hashValue="68Z1NFyi1GQWabHyBkk22QlDONGsi1i4WZrw/v2f8gKHIKawgDlEs5wqiDiwI0GF2bJgMkxCeJ9bENdpnghXHQ==" saltValue="o/mQy/RvI+RE1TlT4mo/GQ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ignoredErrors>
    <ignoredError sqref="E5:E23" calculatedColumn="1"/>
  </ignoredErrors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96">
    <tabColor theme="2" tint="-0.249977111117893"/>
    <pageSetUpPr fitToPage="1"/>
  </sheetPr>
  <dimension ref="B1:F28"/>
  <sheetViews>
    <sheetView showGridLines="0" workbookViewId="0">
      <pane xSplit="2" topLeftCell="C1" activePane="topRight" state="frozen"/>
      <selection activeCell="I15" sqref="I15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9.1796875" style="157"/>
    <col min="7" max="16384" width="9.1796875" style="62"/>
  </cols>
  <sheetData>
    <row r="1" spans="2:6" ht="18.5" thickBot="1" x14ac:dyDescent="0.45">
      <c r="B1" s="54"/>
    </row>
    <row r="2" spans="2:6" s="64" customFormat="1" ht="18" x14ac:dyDescent="0.4">
      <c r="B2" s="138" t="s">
        <v>159</v>
      </c>
      <c r="C2" s="173"/>
      <c r="D2" s="173"/>
      <c r="E2" s="174"/>
      <c r="F2" s="158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9"/>
    </row>
    <row r="4" spans="2:6" s="74" customFormat="1" ht="18.75" hidden="1" customHeight="1" thickBot="1" x14ac:dyDescent="0.45">
      <c r="B4" s="114" t="s">
        <v>38</v>
      </c>
      <c r="C4" s="116" t="s">
        <v>82</v>
      </c>
      <c r="D4" s="116" t="s">
        <v>189</v>
      </c>
      <c r="E4" s="117" t="s">
        <v>57</v>
      </c>
      <c r="F4" s="159"/>
    </row>
    <row r="5" spans="2:6" ht="14.5" x14ac:dyDescent="0.35">
      <c r="B5" s="185" t="s">
        <v>326</v>
      </c>
      <c r="C5" s="88">
        <f>IFERROR(IF(VLOOKUP($B5,'SR B-Calf Roping'!$B$5:$AL$100,36,FALSE)=" ",0,VLOOKUP($B5,'SR B-Calf Roping'!$B$5:$AL$100,36,FALSE)),0)+IFERROR(IF(VLOOKUP($B5,'SR B-Steer Wrestling'!$B$5:$AL$100,36,FALSE)=" ",0,VLOOKUP($B5,'SR B-Steer Wrestling'!$B$5:$AL$100,36,FALSE)),0)+IFERROR(IF(VLOOKUP($B5,'SR B-Chute Dogging'!$B$5:$AL$100,36,FALSE)=" ",0,VLOOKUP($B5,'SR B-Chute Dogging'!$B$5:$AL$100,36,FALSE)),0)+IFERROR(IF(VLOOKUP($B5,'SR-Team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B-Steer Riding'!$B$5:$AL$100,36,FALSE)=" ",0,VLOOKUP($B5,'JR B-Steer Riding'!$B$5:$AL$100,36,FALSE)),0)+IFERROR(IF(VLOOKUP($B5,'JR B-Goats'!$B$5:$AL$100,36,FALSE)=" ",0,VLOOKUP($B5,'JR B-Goats'!$B$5:$AL$100,36,FALSE)),0)+IFERROR(IF(VLOOKUP($B5,'JR B-Calf Tying'!$B$5:$AL$100,36,FALSE)=" ",0,VLOOKUP($B5,'JR B-Calf Tying'!$B$5:$AL$100,36,FALSE)),0)+IFERROR(IF(VLOOKUP($B5,'JR B-Breakaway'!$B$5:$AL$100,36,FALSE)=" ",0,VLOOKUP($B5,'JR B-Breakaway'!$B$5:$AL$100,36,FALSE)),0)+IFERROR(IF(VLOOKUP($B5,'JR-Team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B-Calf Riding'!$B$5:$AL$100,36,FALSE)=" ",0,VLOOKUP($B5,'PW B-Calf Riding'!$B$5:$AL$100,36,FALSE)),0)+IFERROR(IF(VLOOKUP($B5,'PW B-Goats'!$B$5:$AL$102,36,FALSE)=" ",0,VLOOKUP($B5,'PW B-Goats'!$B$5:$AL$102,36,FALSE)),0)+IFERROR(IF(VLOOKUP($B5,'PW B-Flags'!$B$5:$AL$100,36,FALSE)=" ",0,VLOOKUP($B5,'PW B-Flags'!$B$5:$AL$100,36,FALSE)),0)+IFERROR(IF(VLOOKUP($B5,'PW B-Breakaway'!$B$5:$AL$100,36,FALSE)=" ",0,VLOOKUP($B5,'PW B-Breakaway'!$B$5:$AL$100,36,FALSE)),0)+IFERROR(IF(VLOOKUP($B5,'PW B-Steer Daubing'!$B$5:$AL$100,36,FALSE)=" ",0,VLOOKUP($B5,'PW B-Steer Daubing'!$B$5:$AL$100,36,FALSE)),0)+IFERROR(IF(VLOOKUP($B5,'MM B-Dummy Roping'!$B$5:$AL$100,36,FALSE)=" ",0,VLOOKUP($B5,'MM B-Dummy Roping'!$B$5:$AL$100,36,FALSE)),0)+IFERROR(IF(VLOOKUP($B5,'MM B-Goats'!$B$5:$AL$100,36,FALSE)=" ",0,VLOOKUP($B5,'MM B-Goats'!$B$5:$AL$100,36,FALSE)),0)+IFERROR(IF(VLOOKUP($B5,'MM B-Flags'!$B$5:$AL$100,36,FALSE)=" ",0,VLOOKUP($B5,'MM B-Flags'!$B$5:$AL$100,36,FALSE)),0)+IFERROR(IF(VLOOKUP($B5,'MM B-Figure 8'!$B$5:$AL$100,36,FALSE)=" ",0,VLOOKUP($B5,'MM B-Figure 8'!$B$5:$AL$100,36,FALSE)),0)</f>
        <v>0</v>
      </c>
      <c r="D5" s="88" t="str">
        <f t="shared" ref="D5:D24" si="0">IF(C5&gt;0,C5," ")</f>
        <v xml:space="preserve"> </v>
      </c>
      <c r="E5" s="84" t="str">
        <f t="shared" ref="E5:E24" si="1">IF(D5=" "," ",RANK(D5,D$5:D$24))</f>
        <v xml:space="preserve"> </v>
      </c>
    </row>
    <row r="6" spans="2:6" x14ac:dyDescent="0.3">
      <c r="B6" s="152"/>
      <c r="C6" s="95">
        <f>IFERROR(IF(VLOOKUP($B6,'SR B-Calf Roping'!$B$5:$AL$100,36,FALSE)=" ",0,VLOOKUP($B6,'SR B-Calf Roping'!$B$5:$AL$100,36,FALSE)),0)+IFERROR(IF(VLOOKUP($B6,'SR B-Steer Wrestling'!$B$5:$AL$100,36,FALSE)=" ",0,VLOOKUP($B6,'SR B-Steer Wrestling'!$B$5:$AL$100,36,FALSE)),0)+IFERROR(IF(VLOOKUP($B6,'SR B-Chute Dogging'!$B$5:$AL$100,36,FALSE)=" ",0,VLOOKUP($B6,'SR B-Chute Dogging'!$B$5:$AL$100,36,FALSE)),0)+IFERROR(IF(VLOOKUP($B6,'SR-Team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B-Steer Riding'!$B$5:$AL$100,36,FALSE)=" ",0,VLOOKUP($B6,'JR B-Steer Riding'!$B$5:$AL$100,36,FALSE)),0)+IFERROR(IF(VLOOKUP($B6,'JR B-Goats'!$B$5:$AL$100,36,FALSE)=" ",0,VLOOKUP($B6,'JR B-Goats'!$B$5:$AL$100,36,FALSE)),0)+IFERROR(IF(VLOOKUP($B6,'JR B-Calf Tying'!$B$5:$AL$100,36,FALSE)=" ",0,VLOOKUP($B6,'JR B-Calf Tying'!$B$5:$AL$100,36,FALSE)),0)+IFERROR(IF(VLOOKUP($B6,'JR B-Breakaway'!$B$5:$AL$100,36,FALSE)=" ",0,VLOOKUP($B6,'JR B-Breakaway'!$B$5:$AL$100,36,FALSE)),0)+IFERROR(IF(VLOOKUP($B6,'JR-Team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B-Calf Riding'!$B$5:$AL$100,36,FALSE)=" ",0,VLOOKUP($B6,'PW B-Calf Riding'!$B$5:$AL$100,36,FALSE)),0)+IFERROR(IF(VLOOKUP($B6,'PW B-Goats'!$B$5:$AL$102,36,FALSE)=" ",0,VLOOKUP($B6,'PW B-Goats'!$B$5:$AL$102,36,FALSE)),0)+IFERROR(IF(VLOOKUP($B6,'PW B-Flags'!$B$5:$AL$100,36,FALSE)=" ",0,VLOOKUP($B6,'PW B-Flags'!$B$5:$AL$100,36,FALSE)),0)+IFERROR(IF(VLOOKUP($B6,'PW B-Breakaway'!$B$5:$AL$100,36,FALSE)=" ",0,VLOOKUP($B6,'PW B-Breakaway'!$B$5:$AL$100,36,FALSE)),0)+IFERROR(IF(VLOOKUP($B6,'PW B-Steer Daubing'!$B$5:$AL$100,36,FALSE)=" ",0,VLOOKUP($B6,'PW B-Steer Daubing'!$B$5:$AL$100,36,FALSE)),0)+IFERROR(IF(VLOOKUP($B6,'MM B-Dummy Roping'!$B$5:$AL$100,36,FALSE)=" ",0,VLOOKUP($B6,'MM B-Dummy Roping'!$B$5:$AL$100,36,FALSE)),0)+IFERROR(IF(VLOOKUP($B6,'MM B-Goats'!$B$5:$AL$100,36,FALSE)=" ",0,VLOOKUP($B6,'MM B-Goats'!$B$5:$AL$100,36,FALSE)),0)+IFERROR(IF(VLOOKUP($B6,'MM B-Flags'!$B$5:$AL$100,36,FALSE)=" ",0,VLOOKUP($B6,'MM B-Flags'!$B$5:$AL$100,36,FALSE)),0)+IFERROR(IF(VLOOKUP($B6,'MM B-Figure 8'!$B$5:$AL$100,36,FALSE)=" ",0,VLOOKUP($B6,'MM B-Figure 8'!$B$5:$AL$100,36,FALSE)),0)</f>
        <v>0</v>
      </c>
      <c r="D6" s="95" t="str">
        <f t="shared" si="0"/>
        <v xml:space="preserve"> </v>
      </c>
      <c r="E6" s="91" t="str">
        <f t="shared" si="1"/>
        <v xml:space="preserve"> </v>
      </c>
    </row>
    <row r="7" spans="2:6" x14ac:dyDescent="0.3">
      <c r="B7" s="152"/>
      <c r="C7" s="95">
        <f>IFERROR(IF(VLOOKUP($B7,'SR B-Calf Roping'!$B$5:$AL$100,36,FALSE)=" ",0,VLOOKUP($B7,'SR B-Calf Roping'!$B$5:$AL$100,36,FALSE)),0)+IFERROR(IF(VLOOKUP($B7,'SR B-Steer Wrestling'!$B$5:$AL$100,36,FALSE)=" ",0,VLOOKUP($B7,'SR B-Steer Wrestling'!$B$5:$AL$100,36,FALSE)),0)+IFERROR(IF(VLOOKUP($B7,'SR B-Chute Dogging'!$B$5:$AL$100,36,FALSE)=" ",0,VLOOKUP($B7,'SR B-Chute Dogging'!$B$5:$AL$100,36,FALSE)),0)+IFERROR(IF(VLOOKUP($B7,'SR-Team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B-Steer Riding'!$B$5:$AL$100,36,FALSE)=" ",0,VLOOKUP($B7,'JR B-Steer Riding'!$B$5:$AL$100,36,FALSE)),0)+IFERROR(IF(VLOOKUP($B7,'JR B-Goats'!$B$5:$AL$100,36,FALSE)=" ",0,VLOOKUP($B7,'JR B-Goats'!$B$5:$AL$100,36,FALSE)),0)+IFERROR(IF(VLOOKUP($B7,'JR B-Calf Tying'!$B$5:$AL$100,36,FALSE)=" ",0,VLOOKUP($B7,'JR B-Calf Tying'!$B$5:$AL$100,36,FALSE)),0)+IFERROR(IF(VLOOKUP($B7,'JR B-Breakaway'!$B$5:$AL$100,36,FALSE)=" ",0,VLOOKUP($B7,'JR B-Breakaway'!$B$5:$AL$100,36,FALSE)),0)+IFERROR(IF(VLOOKUP($B7,'JR-Team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B-Calf Riding'!$B$5:$AL$100,36,FALSE)=" ",0,VLOOKUP($B7,'PW B-Calf Riding'!$B$5:$AL$100,36,FALSE)),0)+IFERROR(IF(VLOOKUP($B7,'PW B-Goats'!$B$5:$AL$102,36,FALSE)=" ",0,VLOOKUP($B7,'PW B-Goats'!$B$5:$AL$102,36,FALSE)),0)+IFERROR(IF(VLOOKUP($B7,'PW B-Flags'!$B$5:$AL$100,36,FALSE)=" ",0,VLOOKUP($B7,'PW B-Flags'!$B$5:$AL$100,36,FALSE)),0)+IFERROR(IF(VLOOKUP($B7,'PW B-Breakaway'!$B$5:$AL$100,36,FALSE)=" ",0,VLOOKUP($B7,'PW B-Breakaway'!$B$5:$AL$100,36,FALSE)),0)+IFERROR(IF(VLOOKUP($B7,'PW B-Steer Daubing'!$B$5:$AL$100,36,FALSE)=" ",0,VLOOKUP($B7,'PW B-Steer Daubing'!$B$5:$AL$100,36,FALSE)),0)+IFERROR(IF(VLOOKUP($B7,'MM B-Dummy Roping'!$B$5:$AL$100,36,FALSE)=" ",0,VLOOKUP($B7,'MM B-Dummy Roping'!$B$5:$AL$100,36,FALSE)),0)+IFERROR(IF(VLOOKUP($B7,'MM B-Goats'!$B$5:$AL$100,36,FALSE)=" ",0,VLOOKUP($B7,'MM B-Goats'!$B$5:$AL$100,36,FALSE)),0)+IFERROR(IF(VLOOKUP($B7,'MM B-Flags'!$B$5:$AL$100,36,FALSE)=" ",0,VLOOKUP($B7,'MM B-Flags'!$B$5:$AL$100,36,FALSE)),0)+IFERROR(IF(VLOOKUP($B7,'MM B-Figure 8'!$B$5:$AL$100,36,FALSE)=" ",0,VLOOKUP($B7,'MM B-Figure 8'!$B$5:$AL$100,36,FALSE)),0)</f>
        <v>0</v>
      </c>
      <c r="D7" s="95" t="str">
        <f t="shared" si="0"/>
        <v xml:space="preserve"> </v>
      </c>
      <c r="E7" s="91" t="str">
        <f t="shared" si="1"/>
        <v xml:space="preserve"> </v>
      </c>
    </row>
    <row r="8" spans="2:6" x14ac:dyDescent="0.3">
      <c r="B8" s="152"/>
      <c r="C8" s="95">
        <f>IFERROR(IF(VLOOKUP($B8,'SR B-Calf Roping'!$B$5:$AL$100,36,FALSE)=" ",0,VLOOKUP($B8,'SR B-Calf Roping'!$B$5:$AL$100,36,FALSE)),0)+IFERROR(IF(VLOOKUP($B8,'SR B-Steer Wrestling'!$B$5:$AL$100,36,FALSE)=" ",0,VLOOKUP($B8,'SR B-Steer Wrestling'!$B$5:$AL$100,36,FALSE)),0)+IFERROR(IF(VLOOKUP($B8,'SR B-Chute Dogging'!$B$5:$AL$100,36,FALSE)=" ",0,VLOOKUP($B8,'SR B-Chute Dogging'!$B$5:$AL$100,36,FALSE)),0)+IFERROR(IF(VLOOKUP($B8,'SR-Team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B-Steer Riding'!$B$5:$AL$100,36,FALSE)=" ",0,VLOOKUP($B8,'JR B-Steer Riding'!$B$5:$AL$100,36,FALSE)),0)+IFERROR(IF(VLOOKUP($B8,'JR B-Goats'!$B$5:$AL$100,36,FALSE)=" ",0,VLOOKUP($B8,'JR B-Goats'!$B$5:$AL$100,36,FALSE)),0)+IFERROR(IF(VLOOKUP($B8,'JR B-Calf Tying'!$B$5:$AL$100,36,FALSE)=" ",0,VLOOKUP($B8,'JR B-Calf Tying'!$B$5:$AL$100,36,FALSE)),0)+IFERROR(IF(VLOOKUP($B8,'JR B-Breakaway'!$B$5:$AL$100,36,FALSE)=" ",0,VLOOKUP($B8,'JR B-Breakaway'!$B$5:$AL$100,36,FALSE)),0)+IFERROR(IF(VLOOKUP($B8,'JR-Team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B-Calf Riding'!$B$5:$AL$100,36,FALSE)=" ",0,VLOOKUP($B8,'PW B-Calf Riding'!$B$5:$AL$100,36,FALSE)),0)+IFERROR(IF(VLOOKUP($B8,'PW B-Goats'!$B$5:$AL$102,36,FALSE)=" ",0,VLOOKUP($B8,'PW B-Goats'!$B$5:$AL$102,36,FALSE)),0)+IFERROR(IF(VLOOKUP($B8,'PW B-Flags'!$B$5:$AL$100,36,FALSE)=" ",0,VLOOKUP($B8,'PW B-Flags'!$B$5:$AL$100,36,FALSE)),0)+IFERROR(IF(VLOOKUP($B8,'PW B-Breakaway'!$B$5:$AL$100,36,FALSE)=" ",0,VLOOKUP($B8,'PW B-Breakaway'!$B$5:$AL$100,36,FALSE)),0)+IFERROR(IF(VLOOKUP($B8,'PW B-Steer Daubing'!$B$5:$AL$100,36,FALSE)=" ",0,VLOOKUP($B8,'PW B-Steer Daubing'!$B$5:$AL$100,36,FALSE)),0)+IFERROR(IF(VLOOKUP($B8,'MM B-Dummy Roping'!$B$5:$AL$100,36,FALSE)=" ",0,VLOOKUP($B8,'MM B-Dummy Roping'!$B$5:$AL$100,36,FALSE)),0)+IFERROR(IF(VLOOKUP($B8,'MM B-Goats'!$B$5:$AL$100,36,FALSE)=" ",0,VLOOKUP($B8,'MM B-Goats'!$B$5:$AL$100,36,FALSE)),0)+IFERROR(IF(VLOOKUP($B8,'MM B-Flags'!$B$5:$AL$100,36,FALSE)=" ",0,VLOOKUP($B8,'MM B-Flags'!$B$5:$AL$100,36,FALSE)),0)+IFERROR(IF(VLOOKUP($B8,'MM B-Figure 8'!$B$5:$AL$100,36,FALSE)=" ",0,VLOOKUP($B8,'MM B-Figure 8'!$B$5:$AL$100,36,FALSE)),0)</f>
        <v>0</v>
      </c>
      <c r="D8" s="95" t="str">
        <f t="shared" si="0"/>
        <v xml:space="preserve"> </v>
      </c>
      <c r="E8" s="122" t="str">
        <f t="shared" si="1"/>
        <v xml:space="preserve"> </v>
      </c>
    </row>
    <row r="9" spans="2:6" x14ac:dyDescent="0.3">
      <c r="B9" s="152"/>
      <c r="C9" s="95">
        <f>IFERROR(IF(VLOOKUP($B9,'SR B-Calf Roping'!$B$5:$AL$100,36,FALSE)=" ",0,VLOOKUP($B9,'SR B-Calf Roping'!$B$5:$AL$100,36,FALSE)),0)+IFERROR(IF(VLOOKUP($B9,'SR B-Steer Wrestling'!$B$5:$AL$100,36,FALSE)=" ",0,VLOOKUP($B9,'SR B-Steer Wrestling'!$B$5:$AL$100,36,FALSE)),0)+IFERROR(IF(VLOOKUP($B9,'SR B-Chute Dogging'!$B$5:$AL$100,36,FALSE)=" ",0,VLOOKUP($B9,'SR B-Chute Dogging'!$B$5:$AL$100,36,FALSE)),0)+IFERROR(IF(VLOOKUP($B9,'SR-Team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B-Steer Riding'!$B$5:$AL$100,36,FALSE)=" ",0,VLOOKUP($B9,'JR B-Steer Riding'!$B$5:$AL$100,36,FALSE)),0)+IFERROR(IF(VLOOKUP($B9,'JR B-Goats'!$B$5:$AL$100,36,FALSE)=" ",0,VLOOKUP($B9,'JR B-Goats'!$B$5:$AL$100,36,FALSE)),0)+IFERROR(IF(VLOOKUP($B9,'JR B-Calf Tying'!$B$5:$AL$100,36,FALSE)=" ",0,VLOOKUP($B9,'JR B-Calf Tying'!$B$5:$AL$100,36,FALSE)),0)+IFERROR(IF(VLOOKUP($B9,'JR B-Breakaway'!$B$5:$AL$100,36,FALSE)=" ",0,VLOOKUP($B9,'JR B-Breakaway'!$B$5:$AL$100,36,FALSE)),0)+IFERROR(IF(VLOOKUP($B9,'JR-Team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B-Calf Riding'!$B$5:$AL$100,36,FALSE)=" ",0,VLOOKUP($B9,'PW B-Calf Riding'!$B$5:$AL$100,36,FALSE)),0)+IFERROR(IF(VLOOKUP($B9,'PW B-Goats'!$B$5:$AL$102,36,FALSE)=" ",0,VLOOKUP($B9,'PW B-Goats'!$B$5:$AL$102,36,FALSE)),0)+IFERROR(IF(VLOOKUP($B9,'PW B-Flags'!$B$5:$AL$100,36,FALSE)=" ",0,VLOOKUP($B9,'PW B-Flags'!$B$5:$AL$100,36,FALSE)),0)+IFERROR(IF(VLOOKUP($B9,'PW B-Breakaway'!$B$5:$AL$100,36,FALSE)=" ",0,VLOOKUP($B9,'PW B-Breakaway'!$B$5:$AL$100,36,FALSE)),0)+IFERROR(IF(VLOOKUP($B9,'PW B-Steer Daubing'!$B$5:$AL$100,36,FALSE)=" ",0,VLOOKUP($B9,'PW B-Steer Daubing'!$B$5:$AL$100,36,FALSE)),0)+IFERROR(IF(VLOOKUP($B9,'MM B-Dummy Roping'!$B$5:$AL$100,36,FALSE)=" ",0,VLOOKUP($B9,'MM B-Dummy Roping'!$B$5:$AL$100,36,FALSE)),0)+IFERROR(IF(VLOOKUP($B9,'MM B-Goats'!$B$5:$AL$100,36,FALSE)=" ",0,VLOOKUP($B9,'MM B-Goats'!$B$5:$AL$100,36,FALSE)),0)+IFERROR(IF(VLOOKUP($B9,'MM B-Flags'!$B$5:$AL$100,36,FALSE)=" ",0,VLOOKUP($B9,'MM B-Flags'!$B$5:$AL$100,36,FALSE)),0)+IFERROR(IF(VLOOKUP($B9,'MM B-Figure 8'!$B$5:$AL$100,36,FALSE)=" ",0,VLOOKUP($B9,'MM B-Figure 8'!$B$5:$AL$100,36,FALSE)),0)</f>
        <v>0</v>
      </c>
      <c r="D9" s="95" t="str">
        <f t="shared" si="0"/>
        <v xml:space="preserve"> </v>
      </c>
      <c r="E9" s="91" t="str">
        <f t="shared" si="1"/>
        <v xml:space="preserve"> </v>
      </c>
    </row>
    <row r="10" spans="2:6" x14ac:dyDescent="0.3">
      <c r="B10" s="152"/>
      <c r="C10" s="95">
        <f>IFERROR(IF(VLOOKUP($B10,'SR B-Calf Roping'!$B$5:$AL$100,36,FALSE)=" ",0,VLOOKUP($B10,'SR B-Calf Roping'!$B$5:$AL$100,36,FALSE)),0)+IFERROR(IF(VLOOKUP($B10,'SR B-Steer Wrestling'!$B$5:$AL$100,36,FALSE)=" ",0,VLOOKUP($B10,'SR B-Steer Wrestling'!$B$5:$AL$100,36,FALSE)),0)+IFERROR(IF(VLOOKUP($B10,'SR B-Chute Dogging'!$B$5:$AL$100,36,FALSE)=" ",0,VLOOKUP($B10,'SR B-Chute Dogging'!$B$5:$AL$100,36,FALSE)),0)+IFERROR(IF(VLOOKUP($B10,'SR-Team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B-Steer Riding'!$B$5:$AL$100,36,FALSE)=" ",0,VLOOKUP($B10,'JR B-Steer Riding'!$B$5:$AL$100,36,FALSE)),0)+IFERROR(IF(VLOOKUP($B10,'JR B-Goats'!$B$5:$AL$100,36,FALSE)=" ",0,VLOOKUP($B10,'JR B-Goats'!$B$5:$AL$100,36,FALSE)),0)+IFERROR(IF(VLOOKUP($B10,'JR B-Calf Tying'!$B$5:$AL$100,36,FALSE)=" ",0,VLOOKUP($B10,'JR B-Calf Tying'!$B$5:$AL$100,36,FALSE)),0)+IFERROR(IF(VLOOKUP($B10,'JR B-Breakaway'!$B$5:$AL$100,36,FALSE)=" ",0,VLOOKUP($B10,'JR B-Breakaway'!$B$5:$AL$100,36,FALSE)),0)+IFERROR(IF(VLOOKUP($B10,'JR-Team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B-Calf Riding'!$B$5:$AL$100,36,FALSE)=" ",0,VLOOKUP($B10,'PW B-Calf Riding'!$B$5:$AL$100,36,FALSE)),0)+IFERROR(IF(VLOOKUP($B10,'PW B-Goats'!$B$5:$AL$102,36,FALSE)=" ",0,VLOOKUP($B10,'PW B-Goats'!$B$5:$AL$102,36,FALSE)),0)+IFERROR(IF(VLOOKUP($B10,'PW B-Flags'!$B$5:$AL$100,36,FALSE)=" ",0,VLOOKUP($B10,'PW B-Flags'!$B$5:$AL$100,36,FALSE)),0)+IFERROR(IF(VLOOKUP($B10,'PW B-Breakaway'!$B$5:$AL$100,36,FALSE)=" ",0,VLOOKUP($B10,'PW B-Breakaway'!$B$5:$AL$100,36,FALSE)),0)+IFERROR(IF(VLOOKUP($B10,'PW B-Steer Daubing'!$B$5:$AL$100,36,FALSE)=" ",0,VLOOKUP($B10,'PW B-Steer Daubing'!$B$5:$AL$100,36,FALSE)),0)+IFERROR(IF(VLOOKUP($B10,'MM B-Dummy Roping'!$B$5:$AL$100,36,FALSE)=" ",0,VLOOKUP($B10,'MM B-Dummy Roping'!$B$5:$AL$100,36,FALSE)),0)+IFERROR(IF(VLOOKUP($B10,'MM B-Goats'!$B$5:$AL$100,36,FALSE)=" ",0,VLOOKUP($B10,'MM B-Goats'!$B$5:$AL$100,36,FALSE)),0)+IFERROR(IF(VLOOKUP($B10,'MM B-Flags'!$B$5:$AL$100,36,FALSE)=" ",0,VLOOKUP($B10,'MM B-Flags'!$B$5:$AL$100,36,FALSE)),0)+IFERROR(IF(VLOOKUP($B10,'MM B-Figure 8'!$B$5:$AL$100,36,FALSE)=" ",0,VLOOKUP($B10,'MM B-Figure 8'!$B$5:$AL$100,36,FALSE)),0)</f>
        <v>0</v>
      </c>
      <c r="D10" s="95" t="str">
        <f t="shared" si="0"/>
        <v xml:space="preserve"> </v>
      </c>
      <c r="E10" s="91" t="str">
        <f t="shared" si="1"/>
        <v xml:space="preserve"> </v>
      </c>
    </row>
    <row r="11" spans="2:6" x14ac:dyDescent="0.3">
      <c r="B11" s="152"/>
      <c r="C11" s="95">
        <f>IFERROR(IF(VLOOKUP($B11,'SR B-Calf Roping'!$B$5:$AL$100,36,FALSE)=" ",0,VLOOKUP($B11,'SR B-Calf Roping'!$B$5:$AL$100,36,FALSE)),0)+IFERROR(IF(VLOOKUP($B11,'SR B-Steer Wrestling'!$B$5:$AL$100,36,FALSE)=" ",0,VLOOKUP($B11,'SR B-Steer Wrestling'!$B$5:$AL$100,36,FALSE)),0)+IFERROR(IF(VLOOKUP($B11,'SR B-Chute Dogging'!$B$5:$AL$100,36,FALSE)=" ",0,VLOOKUP($B11,'SR B-Chute Dogging'!$B$5:$AL$100,36,FALSE)),0)+IFERROR(IF(VLOOKUP($B11,'SR-Team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B-Steer Riding'!$B$5:$AL$100,36,FALSE)=" ",0,VLOOKUP($B11,'JR B-Steer Riding'!$B$5:$AL$100,36,FALSE)),0)+IFERROR(IF(VLOOKUP($B11,'JR B-Goats'!$B$5:$AL$100,36,FALSE)=" ",0,VLOOKUP($B11,'JR B-Goats'!$B$5:$AL$100,36,FALSE)),0)+IFERROR(IF(VLOOKUP($B11,'JR B-Calf Tying'!$B$5:$AL$100,36,FALSE)=" ",0,VLOOKUP($B11,'JR B-Calf Tying'!$B$5:$AL$100,36,FALSE)),0)+IFERROR(IF(VLOOKUP($B11,'JR B-Breakaway'!$B$5:$AL$100,36,FALSE)=" ",0,VLOOKUP($B11,'JR B-Breakaway'!$B$5:$AL$100,36,FALSE)),0)+IFERROR(IF(VLOOKUP($B11,'JR-Team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B-Calf Riding'!$B$5:$AL$100,36,FALSE)=" ",0,VLOOKUP($B11,'PW B-Calf Riding'!$B$5:$AL$100,36,FALSE)),0)+IFERROR(IF(VLOOKUP($B11,'PW B-Goats'!$B$5:$AL$102,36,FALSE)=" ",0,VLOOKUP($B11,'PW B-Goats'!$B$5:$AL$102,36,FALSE)),0)+IFERROR(IF(VLOOKUP($B11,'PW B-Flags'!$B$5:$AL$100,36,FALSE)=" ",0,VLOOKUP($B11,'PW B-Flags'!$B$5:$AL$100,36,FALSE)),0)+IFERROR(IF(VLOOKUP($B11,'PW B-Breakaway'!$B$5:$AL$100,36,FALSE)=" ",0,VLOOKUP($B11,'PW B-Breakaway'!$B$5:$AL$100,36,FALSE)),0)+IFERROR(IF(VLOOKUP($B11,'PW B-Steer Daubing'!$B$5:$AL$100,36,FALSE)=" ",0,VLOOKUP($B11,'PW B-Steer Daubing'!$B$5:$AL$100,36,FALSE)),0)+IFERROR(IF(VLOOKUP($B11,'MM B-Dummy Roping'!$B$5:$AL$100,36,FALSE)=" ",0,VLOOKUP($B11,'MM B-Dummy Roping'!$B$5:$AL$100,36,FALSE)),0)+IFERROR(IF(VLOOKUP($B11,'MM B-Goats'!$B$5:$AL$100,36,FALSE)=" ",0,VLOOKUP($B11,'MM B-Goats'!$B$5:$AL$100,36,FALSE)),0)+IFERROR(IF(VLOOKUP($B11,'MM B-Flags'!$B$5:$AL$100,36,FALSE)=" ",0,VLOOKUP($B11,'MM B-Flags'!$B$5:$AL$100,36,FALSE)),0)+IFERROR(IF(VLOOKUP($B11,'MM B-Figure 8'!$B$5:$AL$100,36,FALSE)=" ",0,VLOOKUP($B11,'MM B-Figure 8'!$B$5:$AL$100,36,FALSE)),0)</f>
        <v>0</v>
      </c>
      <c r="D11" s="95" t="str">
        <f t="shared" si="0"/>
        <v xml:space="preserve"> </v>
      </c>
      <c r="E11" s="91" t="str">
        <f t="shared" si="1"/>
        <v xml:space="preserve"> </v>
      </c>
    </row>
    <row r="12" spans="2:6" x14ac:dyDescent="0.3">
      <c r="B12" s="152"/>
      <c r="C12" s="95">
        <f>IFERROR(IF(VLOOKUP($B12,'SR B-Calf Roping'!$B$5:$AL$100,36,FALSE)=" ",0,VLOOKUP($B12,'SR B-Calf Roping'!$B$5:$AL$100,36,FALSE)),0)+IFERROR(IF(VLOOKUP($B12,'SR B-Steer Wrestling'!$B$5:$AL$100,36,FALSE)=" ",0,VLOOKUP($B12,'SR B-Steer Wrestling'!$B$5:$AL$100,36,FALSE)),0)+IFERROR(IF(VLOOKUP($B12,'SR B-Chute Dogging'!$B$5:$AL$100,36,FALSE)=" ",0,VLOOKUP($B12,'SR B-Chute Dogging'!$B$5:$AL$100,36,FALSE)),0)+IFERROR(IF(VLOOKUP($B12,'SR-Team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B-Steer Riding'!$B$5:$AL$100,36,FALSE)=" ",0,VLOOKUP($B12,'JR B-Steer Riding'!$B$5:$AL$100,36,FALSE)),0)+IFERROR(IF(VLOOKUP($B12,'JR B-Goats'!$B$5:$AL$100,36,FALSE)=" ",0,VLOOKUP($B12,'JR B-Goats'!$B$5:$AL$100,36,FALSE)),0)+IFERROR(IF(VLOOKUP($B12,'JR B-Calf Tying'!$B$5:$AL$100,36,FALSE)=" ",0,VLOOKUP($B12,'JR B-Calf Tying'!$B$5:$AL$100,36,FALSE)),0)+IFERROR(IF(VLOOKUP($B12,'JR B-Breakaway'!$B$5:$AL$100,36,FALSE)=" ",0,VLOOKUP($B12,'JR B-Breakaway'!$B$5:$AL$100,36,FALSE)),0)+IFERROR(IF(VLOOKUP($B12,'JR-Team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B-Calf Riding'!$B$5:$AL$100,36,FALSE)=" ",0,VLOOKUP($B12,'PW B-Calf Riding'!$B$5:$AL$100,36,FALSE)),0)+IFERROR(IF(VLOOKUP($B12,'PW B-Goats'!$B$5:$AL$102,36,FALSE)=" ",0,VLOOKUP($B12,'PW B-Goats'!$B$5:$AL$102,36,FALSE)),0)+IFERROR(IF(VLOOKUP($B12,'PW B-Flags'!$B$5:$AL$100,36,FALSE)=" ",0,VLOOKUP($B12,'PW B-Flags'!$B$5:$AL$100,36,FALSE)),0)+IFERROR(IF(VLOOKUP($B12,'PW B-Breakaway'!$B$5:$AL$100,36,FALSE)=" ",0,VLOOKUP($B12,'PW B-Breakaway'!$B$5:$AL$100,36,FALSE)),0)+IFERROR(IF(VLOOKUP($B12,'PW B-Steer Daubing'!$B$5:$AL$100,36,FALSE)=" ",0,VLOOKUP($B12,'PW B-Steer Daubing'!$B$5:$AL$100,36,FALSE)),0)+IFERROR(IF(VLOOKUP($B12,'MM B-Dummy Roping'!$B$5:$AL$100,36,FALSE)=" ",0,VLOOKUP($B12,'MM B-Dummy Roping'!$B$5:$AL$100,36,FALSE)),0)+IFERROR(IF(VLOOKUP($B12,'MM B-Goats'!$B$5:$AL$100,36,FALSE)=" ",0,VLOOKUP($B12,'MM B-Goats'!$B$5:$AL$100,36,FALSE)),0)+IFERROR(IF(VLOOKUP($B12,'MM B-Flags'!$B$5:$AL$100,36,FALSE)=" ",0,VLOOKUP($B12,'MM B-Flags'!$B$5:$AL$100,36,FALSE)),0)+IFERROR(IF(VLOOKUP($B12,'MM B-Figure 8'!$B$5:$AL$100,36,FALSE)=" ",0,VLOOKUP($B12,'MM B-Figure 8'!$B$5:$AL$100,36,FALSE)),0)</f>
        <v>0</v>
      </c>
      <c r="D12" s="95" t="str">
        <f t="shared" si="0"/>
        <v xml:space="preserve"> </v>
      </c>
      <c r="E12" s="91" t="str">
        <f t="shared" si="1"/>
        <v xml:space="preserve"> </v>
      </c>
    </row>
    <row r="13" spans="2:6" x14ac:dyDescent="0.3">
      <c r="B13" s="152"/>
      <c r="C13" s="95">
        <f>IFERROR(IF(VLOOKUP($B13,'SR B-Calf Roping'!$B$5:$AL$100,36,FALSE)=" ",0,VLOOKUP($B13,'SR B-Calf Roping'!$B$5:$AL$100,36,FALSE)),0)+IFERROR(IF(VLOOKUP($B13,'SR B-Steer Wrestling'!$B$5:$AL$100,36,FALSE)=" ",0,VLOOKUP($B13,'SR B-Steer Wrestling'!$B$5:$AL$100,36,FALSE)),0)+IFERROR(IF(VLOOKUP($B13,'SR B-Chute Dogging'!$B$5:$AL$100,36,FALSE)=" ",0,VLOOKUP($B13,'SR B-Chute Dogging'!$B$5:$AL$100,36,FALSE)),0)+IFERROR(IF(VLOOKUP($B13,'SR-Team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B-Steer Riding'!$B$5:$AL$100,36,FALSE)=" ",0,VLOOKUP($B13,'JR B-Steer Riding'!$B$5:$AL$100,36,FALSE)),0)+IFERROR(IF(VLOOKUP($B13,'JR B-Goats'!$B$5:$AL$100,36,FALSE)=" ",0,VLOOKUP($B13,'JR B-Goats'!$B$5:$AL$100,36,FALSE)),0)+IFERROR(IF(VLOOKUP($B13,'JR B-Calf Tying'!$B$5:$AL$100,36,FALSE)=" ",0,VLOOKUP($B13,'JR B-Calf Tying'!$B$5:$AL$100,36,FALSE)),0)+IFERROR(IF(VLOOKUP($B13,'JR B-Breakaway'!$B$5:$AL$100,36,FALSE)=" ",0,VLOOKUP($B13,'JR B-Breakaway'!$B$5:$AL$100,36,FALSE)),0)+IFERROR(IF(VLOOKUP($B13,'JR-Team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B-Calf Riding'!$B$5:$AL$100,36,FALSE)=" ",0,VLOOKUP($B13,'PW B-Calf Riding'!$B$5:$AL$100,36,FALSE)),0)+IFERROR(IF(VLOOKUP($B13,'PW B-Goats'!$B$5:$AL$102,36,FALSE)=" ",0,VLOOKUP($B13,'PW B-Goats'!$B$5:$AL$102,36,FALSE)),0)+IFERROR(IF(VLOOKUP($B13,'PW B-Flags'!$B$5:$AL$100,36,FALSE)=" ",0,VLOOKUP($B13,'PW B-Flags'!$B$5:$AL$100,36,FALSE)),0)+IFERROR(IF(VLOOKUP($B13,'PW B-Breakaway'!$B$5:$AL$100,36,FALSE)=" ",0,VLOOKUP($B13,'PW B-Breakaway'!$B$5:$AL$100,36,FALSE)),0)+IFERROR(IF(VLOOKUP($B13,'PW B-Steer Daubing'!$B$5:$AL$100,36,FALSE)=" ",0,VLOOKUP($B13,'PW B-Steer Daubing'!$B$5:$AL$100,36,FALSE)),0)+IFERROR(IF(VLOOKUP($B13,'MM B-Dummy Roping'!$B$5:$AL$100,36,FALSE)=" ",0,VLOOKUP($B13,'MM B-Dummy Roping'!$B$5:$AL$100,36,FALSE)),0)+IFERROR(IF(VLOOKUP($B13,'MM B-Goats'!$B$5:$AL$100,36,FALSE)=" ",0,VLOOKUP($B13,'MM B-Goats'!$B$5:$AL$100,36,FALSE)),0)+IFERROR(IF(VLOOKUP($B13,'MM B-Flags'!$B$5:$AL$100,36,FALSE)=" ",0,VLOOKUP($B13,'MM B-Flags'!$B$5:$AL$100,36,FALSE)),0)+IFERROR(IF(VLOOKUP($B13,'MM B-Figure 8'!$B$5:$AL$100,36,FALSE)=" ",0,VLOOKUP($B13,'MM B-Figure 8'!$B$5:$AL$100,36,FALSE)),0)</f>
        <v>0</v>
      </c>
      <c r="D13" s="95" t="str">
        <f t="shared" si="0"/>
        <v xml:space="preserve"> </v>
      </c>
      <c r="E13" s="91" t="str">
        <f t="shared" si="1"/>
        <v xml:space="preserve"> </v>
      </c>
    </row>
    <row r="14" spans="2:6" x14ac:dyDescent="0.3">
      <c r="B14" s="152"/>
      <c r="C14" s="95">
        <f>IFERROR(IF(VLOOKUP($B14,'SR B-Calf Roping'!$B$5:$AL$100,36,FALSE)=" ",0,VLOOKUP($B14,'SR B-Calf Roping'!$B$5:$AL$100,36,FALSE)),0)+IFERROR(IF(VLOOKUP($B14,'SR B-Steer Wrestling'!$B$5:$AL$100,36,FALSE)=" ",0,VLOOKUP($B14,'SR B-Steer Wrestling'!$B$5:$AL$100,36,FALSE)),0)+IFERROR(IF(VLOOKUP($B14,'SR B-Chute Dogging'!$B$5:$AL$100,36,FALSE)=" ",0,VLOOKUP($B14,'SR B-Chute Dogging'!$B$5:$AL$100,36,FALSE)),0)+IFERROR(IF(VLOOKUP($B14,'SR-Team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B-Steer Riding'!$B$5:$AL$100,36,FALSE)=" ",0,VLOOKUP($B14,'JR B-Steer Riding'!$B$5:$AL$100,36,FALSE)),0)+IFERROR(IF(VLOOKUP($B14,'JR B-Goats'!$B$5:$AL$100,36,FALSE)=" ",0,VLOOKUP($B14,'JR B-Goats'!$B$5:$AL$100,36,FALSE)),0)+IFERROR(IF(VLOOKUP($B14,'JR B-Calf Tying'!$B$5:$AL$100,36,FALSE)=" ",0,VLOOKUP($B14,'JR B-Calf Tying'!$B$5:$AL$100,36,FALSE)),0)+IFERROR(IF(VLOOKUP($B14,'JR B-Breakaway'!$B$5:$AL$100,36,FALSE)=" ",0,VLOOKUP($B14,'JR B-Breakaway'!$B$5:$AL$100,36,FALSE)),0)+IFERROR(IF(VLOOKUP($B14,'JR-Team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B-Calf Riding'!$B$5:$AL$100,36,FALSE)=" ",0,VLOOKUP($B14,'PW B-Calf Riding'!$B$5:$AL$100,36,FALSE)),0)+IFERROR(IF(VLOOKUP($B14,'PW B-Goats'!$B$5:$AL$102,36,FALSE)=" ",0,VLOOKUP($B14,'PW B-Goats'!$B$5:$AL$102,36,FALSE)),0)+IFERROR(IF(VLOOKUP($B14,'PW B-Flags'!$B$5:$AL$100,36,FALSE)=" ",0,VLOOKUP($B14,'PW B-Flags'!$B$5:$AL$100,36,FALSE)),0)+IFERROR(IF(VLOOKUP($B14,'PW B-Breakaway'!$B$5:$AL$100,36,FALSE)=" ",0,VLOOKUP($B14,'PW B-Breakaway'!$B$5:$AL$100,36,FALSE)),0)+IFERROR(IF(VLOOKUP($B14,'PW B-Steer Daubing'!$B$5:$AL$100,36,FALSE)=" ",0,VLOOKUP($B14,'PW B-Steer Daubing'!$B$5:$AL$100,36,FALSE)),0)+IFERROR(IF(VLOOKUP($B14,'MM B-Dummy Roping'!$B$5:$AL$100,36,FALSE)=" ",0,VLOOKUP($B14,'MM B-Dummy Roping'!$B$5:$AL$100,36,FALSE)),0)+IFERROR(IF(VLOOKUP($B14,'MM B-Goats'!$B$5:$AL$100,36,FALSE)=" ",0,VLOOKUP($B14,'MM B-Goats'!$B$5:$AL$100,36,FALSE)),0)+IFERROR(IF(VLOOKUP($B14,'MM B-Flags'!$B$5:$AL$100,36,FALSE)=" ",0,VLOOKUP($B14,'MM B-Flags'!$B$5:$AL$100,36,FALSE)),0)+IFERROR(IF(VLOOKUP($B14,'MM B-Figure 8'!$B$5:$AL$100,36,FALSE)=" ",0,VLOOKUP($B14,'MM B-Figure 8'!$B$5:$AL$100,36,FALSE)),0)</f>
        <v>0</v>
      </c>
      <c r="D14" s="95" t="str">
        <f t="shared" si="0"/>
        <v xml:space="preserve"> </v>
      </c>
      <c r="E14" s="122" t="str">
        <f t="shared" si="1"/>
        <v xml:space="preserve"> </v>
      </c>
    </row>
    <row r="15" spans="2:6" x14ac:dyDescent="0.3">
      <c r="B15" s="152"/>
      <c r="C15" s="95">
        <f>IFERROR(IF(VLOOKUP($B15,'SR B-Calf Roping'!$B$5:$AL$100,36,FALSE)=" ",0,VLOOKUP($B15,'SR B-Calf Roping'!$B$5:$AL$100,36,FALSE)),0)+IFERROR(IF(VLOOKUP($B15,'SR B-Steer Wrestling'!$B$5:$AL$100,36,FALSE)=" ",0,VLOOKUP($B15,'SR B-Steer Wrestling'!$B$5:$AL$100,36,FALSE)),0)+IFERROR(IF(VLOOKUP($B15,'SR B-Chute Dogging'!$B$5:$AL$100,36,FALSE)=" ",0,VLOOKUP($B15,'SR B-Chute Dogging'!$B$5:$AL$100,36,FALSE)),0)+IFERROR(IF(VLOOKUP($B15,'SR-Team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B-Steer Riding'!$B$5:$AL$100,36,FALSE)=" ",0,VLOOKUP($B15,'JR B-Steer Riding'!$B$5:$AL$100,36,FALSE)),0)+IFERROR(IF(VLOOKUP($B15,'JR B-Goats'!$B$5:$AL$100,36,FALSE)=" ",0,VLOOKUP($B15,'JR B-Goats'!$B$5:$AL$100,36,FALSE)),0)+IFERROR(IF(VLOOKUP($B15,'JR B-Calf Tying'!$B$5:$AL$100,36,FALSE)=" ",0,VLOOKUP($B15,'JR B-Calf Tying'!$B$5:$AL$100,36,FALSE)),0)+IFERROR(IF(VLOOKUP($B15,'JR B-Breakaway'!$B$5:$AL$100,36,FALSE)=" ",0,VLOOKUP($B15,'JR B-Breakaway'!$B$5:$AL$100,36,FALSE)),0)+IFERROR(IF(VLOOKUP($B15,'JR-Team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B-Calf Riding'!$B$5:$AL$100,36,FALSE)=" ",0,VLOOKUP($B15,'PW B-Calf Riding'!$B$5:$AL$100,36,FALSE)),0)+IFERROR(IF(VLOOKUP($B15,'PW B-Goats'!$B$5:$AL$102,36,FALSE)=" ",0,VLOOKUP($B15,'PW B-Goats'!$B$5:$AL$102,36,FALSE)),0)+IFERROR(IF(VLOOKUP($B15,'PW B-Flags'!$B$5:$AL$100,36,FALSE)=" ",0,VLOOKUP($B15,'PW B-Flags'!$B$5:$AL$100,36,FALSE)),0)+IFERROR(IF(VLOOKUP($B15,'PW B-Breakaway'!$B$5:$AL$100,36,FALSE)=" ",0,VLOOKUP($B15,'PW B-Breakaway'!$B$5:$AL$100,36,FALSE)),0)+IFERROR(IF(VLOOKUP($B15,'PW B-Steer Daubing'!$B$5:$AL$100,36,FALSE)=" ",0,VLOOKUP($B15,'PW B-Steer Daubing'!$B$5:$AL$100,36,FALSE)),0)+IFERROR(IF(VLOOKUP($B15,'MM B-Dummy Roping'!$B$5:$AL$100,36,FALSE)=" ",0,VLOOKUP($B15,'MM B-Dummy Roping'!$B$5:$AL$100,36,FALSE)),0)+IFERROR(IF(VLOOKUP($B15,'MM B-Goats'!$B$5:$AL$100,36,FALSE)=" ",0,VLOOKUP($B15,'MM B-Goats'!$B$5:$AL$100,36,FALSE)),0)+IFERROR(IF(VLOOKUP($B15,'MM B-Flags'!$B$5:$AL$100,36,FALSE)=" ",0,VLOOKUP($B15,'MM B-Flags'!$B$5:$AL$100,36,FALSE)),0)+IFERROR(IF(VLOOKUP($B15,'MM B-Figure 8'!$B$5:$AL$100,36,FALSE)=" ",0,VLOOKUP($B15,'MM B-Figure 8'!$B$5:$AL$100,36,FALSE)),0)</f>
        <v>0</v>
      </c>
      <c r="D15" s="95" t="str">
        <f t="shared" si="0"/>
        <v xml:space="preserve"> </v>
      </c>
      <c r="E15" s="91" t="str">
        <f t="shared" si="1"/>
        <v xml:space="preserve"> </v>
      </c>
    </row>
    <row r="16" spans="2:6" x14ac:dyDescent="0.3">
      <c r="B16" s="152"/>
      <c r="C16" s="95">
        <f>IFERROR(IF(VLOOKUP($B16,'SR B-Calf Roping'!$B$5:$AL$100,36,FALSE)=" ",0,VLOOKUP($B16,'SR B-Calf Roping'!$B$5:$AL$100,36,FALSE)),0)+IFERROR(IF(VLOOKUP($B16,'SR B-Steer Wrestling'!$B$5:$AL$100,36,FALSE)=" ",0,VLOOKUP($B16,'SR B-Steer Wrestling'!$B$5:$AL$100,36,FALSE)),0)+IFERROR(IF(VLOOKUP($B16,'SR B-Chute Dogging'!$B$5:$AL$100,36,FALSE)=" ",0,VLOOKUP($B16,'SR B-Chute Dogging'!$B$5:$AL$100,36,FALSE)),0)+IFERROR(IF(VLOOKUP($B16,'SR-Team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B-Steer Riding'!$B$5:$AL$100,36,FALSE)=" ",0,VLOOKUP($B16,'JR B-Steer Riding'!$B$5:$AL$100,36,FALSE)),0)+IFERROR(IF(VLOOKUP($B16,'JR B-Goats'!$B$5:$AL$100,36,FALSE)=" ",0,VLOOKUP($B16,'JR B-Goats'!$B$5:$AL$100,36,FALSE)),0)+IFERROR(IF(VLOOKUP($B16,'JR B-Calf Tying'!$B$5:$AL$100,36,FALSE)=" ",0,VLOOKUP($B16,'JR B-Calf Tying'!$B$5:$AL$100,36,FALSE)),0)+IFERROR(IF(VLOOKUP($B16,'JR B-Breakaway'!$B$5:$AL$100,36,FALSE)=" ",0,VLOOKUP($B16,'JR B-Breakaway'!$B$5:$AL$100,36,FALSE)),0)+IFERROR(IF(VLOOKUP($B16,'JR-Team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B-Calf Riding'!$B$5:$AL$100,36,FALSE)=" ",0,VLOOKUP($B16,'PW B-Calf Riding'!$B$5:$AL$100,36,FALSE)),0)+IFERROR(IF(VLOOKUP($B16,'PW B-Goats'!$B$5:$AL$102,36,FALSE)=" ",0,VLOOKUP($B16,'PW B-Goats'!$B$5:$AL$102,36,FALSE)),0)+IFERROR(IF(VLOOKUP($B16,'PW B-Flags'!$B$5:$AL$100,36,FALSE)=" ",0,VLOOKUP($B16,'PW B-Flags'!$B$5:$AL$100,36,FALSE)),0)+IFERROR(IF(VLOOKUP($B16,'PW B-Breakaway'!$B$5:$AL$100,36,FALSE)=" ",0,VLOOKUP($B16,'PW B-Breakaway'!$B$5:$AL$100,36,FALSE)),0)+IFERROR(IF(VLOOKUP($B16,'PW B-Steer Daubing'!$B$5:$AL$100,36,FALSE)=" ",0,VLOOKUP($B16,'PW B-Steer Daubing'!$B$5:$AL$100,36,FALSE)),0)+IFERROR(IF(VLOOKUP($B16,'MM B-Dummy Roping'!$B$5:$AL$100,36,FALSE)=" ",0,VLOOKUP($B16,'MM B-Dummy Roping'!$B$5:$AL$100,36,FALSE)),0)+IFERROR(IF(VLOOKUP($B16,'MM B-Goats'!$B$5:$AL$100,36,FALSE)=" ",0,VLOOKUP($B16,'MM B-Goats'!$B$5:$AL$100,36,FALSE)),0)+IFERROR(IF(VLOOKUP($B16,'MM B-Flags'!$B$5:$AL$100,36,FALSE)=" ",0,VLOOKUP($B16,'MM B-Flags'!$B$5:$AL$100,36,FALSE)),0)+IFERROR(IF(VLOOKUP($B16,'MM B-Figure 8'!$B$5:$AL$100,36,FALSE)=" ",0,VLOOKUP($B16,'MM B-Figure 8'!$B$5:$AL$100,36,FALSE)),0)</f>
        <v>0</v>
      </c>
      <c r="D16" s="95" t="str">
        <f t="shared" si="0"/>
        <v xml:space="preserve"> </v>
      </c>
      <c r="E16" s="91" t="str">
        <f t="shared" si="1"/>
        <v xml:space="preserve"> </v>
      </c>
    </row>
    <row r="17" spans="2:5" x14ac:dyDescent="0.3">
      <c r="B17" s="152"/>
      <c r="C17" s="95">
        <f>IFERROR(IF(VLOOKUP($B17,'SR B-Calf Roping'!$B$5:$AL$100,36,FALSE)=" ",0,VLOOKUP($B17,'SR B-Calf Roping'!$B$5:$AL$100,36,FALSE)),0)+IFERROR(IF(VLOOKUP($B17,'SR B-Steer Wrestling'!$B$5:$AL$100,36,FALSE)=" ",0,VLOOKUP($B17,'SR B-Steer Wrestling'!$B$5:$AL$100,36,FALSE)),0)+IFERROR(IF(VLOOKUP($B17,'SR B-Chute Dogging'!$B$5:$AL$100,36,FALSE)=" ",0,VLOOKUP($B17,'SR B-Chute Dogging'!$B$5:$AL$100,36,FALSE)),0)+IFERROR(IF(VLOOKUP($B17,'SR-Team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B-Steer Riding'!$B$5:$AL$100,36,FALSE)=" ",0,VLOOKUP($B17,'JR B-Steer Riding'!$B$5:$AL$100,36,FALSE)),0)+IFERROR(IF(VLOOKUP($B17,'JR B-Goats'!$B$5:$AL$100,36,FALSE)=" ",0,VLOOKUP($B17,'JR B-Goats'!$B$5:$AL$100,36,FALSE)),0)+IFERROR(IF(VLOOKUP($B17,'JR B-Calf Tying'!$B$5:$AL$100,36,FALSE)=" ",0,VLOOKUP($B17,'JR B-Calf Tying'!$B$5:$AL$100,36,FALSE)),0)+IFERROR(IF(VLOOKUP($B17,'JR B-Breakaway'!$B$5:$AL$100,36,FALSE)=" ",0,VLOOKUP($B17,'JR B-Breakaway'!$B$5:$AL$100,36,FALSE)),0)+IFERROR(IF(VLOOKUP($B17,'JR-Team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B-Calf Riding'!$B$5:$AL$100,36,FALSE)=" ",0,VLOOKUP($B17,'PW B-Calf Riding'!$B$5:$AL$100,36,FALSE)),0)+IFERROR(IF(VLOOKUP($B17,'PW B-Goats'!$B$5:$AL$102,36,FALSE)=" ",0,VLOOKUP($B17,'PW B-Goats'!$B$5:$AL$102,36,FALSE)),0)+IFERROR(IF(VLOOKUP($B17,'PW B-Flags'!$B$5:$AL$100,36,FALSE)=" ",0,VLOOKUP($B17,'PW B-Flags'!$B$5:$AL$100,36,FALSE)),0)+IFERROR(IF(VLOOKUP($B17,'PW B-Breakaway'!$B$5:$AL$100,36,FALSE)=" ",0,VLOOKUP($B17,'PW B-Breakaway'!$B$5:$AL$100,36,FALSE)),0)+IFERROR(IF(VLOOKUP($B17,'PW B-Steer Daubing'!$B$5:$AL$100,36,FALSE)=" ",0,VLOOKUP($B17,'PW B-Steer Daubing'!$B$5:$AL$100,36,FALSE)),0)+IFERROR(IF(VLOOKUP($B17,'MM B-Dummy Roping'!$B$5:$AL$100,36,FALSE)=" ",0,VLOOKUP($B17,'MM B-Dummy Roping'!$B$5:$AL$100,36,FALSE)),0)+IFERROR(IF(VLOOKUP($B17,'MM B-Goats'!$B$5:$AL$100,36,FALSE)=" ",0,VLOOKUP($B17,'MM B-Goats'!$B$5:$AL$100,36,FALSE)),0)+IFERROR(IF(VLOOKUP($B17,'MM B-Flags'!$B$5:$AL$100,36,FALSE)=" ",0,VLOOKUP($B17,'MM B-Flags'!$B$5:$AL$100,36,FALSE)),0)+IFERROR(IF(VLOOKUP($B17,'MM B-Figure 8'!$B$5:$AL$100,36,FALSE)=" ",0,VLOOKUP($B17,'MM B-Figure 8'!$B$5:$AL$100,36,FALSE)),0)</f>
        <v>0</v>
      </c>
      <c r="D17" s="95" t="str">
        <f t="shared" si="0"/>
        <v xml:space="preserve"> </v>
      </c>
      <c r="E17" s="122" t="str">
        <f t="shared" si="1"/>
        <v xml:space="preserve"> </v>
      </c>
    </row>
    <row r="18" spans="2:5" x14ac:dyDescent="0.3">
      <c r="B18" s="140"/>
      <c r="C18" s="95">
        <f>IFERROR(IF(VLOOKUP($B18,'SR B-Calf Roping'!$B$5:$AL$100,36,FALSE)=" ",0,VLOOKUP($B18,'SR B-Calf Roping'!$B$5:$AL$100,36,FALSE)),0)+IFERROR(IF(VLOOKUP($B18,'SR B-Steer Wrestling'!$B$5:$AL$100,36,FALSE)=" ",0,VLOOKUP($B18,'SR B-Steer Wrestling'!$B$5:$AL$100,36,FALSE)),0)+IFERROR(IF(VLOOKUP($B18,'SR B-Chute Dogging'!$B$5:$AL$100,36,FALSE)=" ",0,VLOOKUP($B18,'SR B-Chute Dogging'!$B$5:$AL$100,36,FALSE)),0)+IFERROR(IF(VLOOKUP($B18,'SR-Team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B-Steer Riding'!$B$5:$AL$100,36,FALSE)=" ",0,VLOOKUP($B18,'JR B-Steer Riding'!$B$5:$AL$100,36,FALSE)),0)+IFERROR(IF(VLOOKUP($B18,'JR B-Goats'!$B$5:$AL$100,36,FALSE)=" ",0,VLOOKUP($B18,'JR B-Goats'!$B$5:$AL$100,36,FALSE)),0)+IFERROR(IF(VLOOKUP($B18,'JR B-Calf Tying'!$B$5:$AL$100,36,FALSE)=" ",0,VLOOKUP($B18,'JR B-Calf Tying'!$B$5:$AL$100,36,FALSE)),0)+IFERROR(IF(VLOOKUP($B18,'JR B-Breakaway'!$B$5:$AL$100,36,FALSE)=" ",0,VLOOKUP($B18,'JR B-Breakaway'!$B$5:$AL$100,36,FALSE)),0)+IFERROR(IF(VLOOKUP($B18,'JR-Team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B-Calf Riding'!$B$5:$AL$100,36,FALSE)=" ",0,VLOOKUP($B18,'PW B-Calf Riding'!$B$5:$AL$100,36,FALSE)),0)+IFERROR(IF(VLOOKUP($B18,'PW B-Goats'!$B$5:$AL$102,36,FALSE)=" ",0,VLOOKUP($B18,'PW B-Goats'!$B$5:$AL$102,36,FALSE)),0)+IFERROR(IF(VLOOKUP($B18,'PW B-Flags'!$B$5:$AL$100,36,FALSE)=" ",0,VLOOKUP($B18,'PW B-Flags'!$B$5:$AL$100,36,FALSE)),0)+IFERROR(IF(VLOOKUP($B18,'PW B-Breakaway'!$B$5:$AL$100,36,FALSE)=" ",0,VLOOKUP($B18,'PW B-Breakaway'!$B$5:$AL$100,36,FALSE)),0)+IFERROR(IF(VLOOKUP($B18,'PW B-Steer Daubing'!$B$5:$AL$100,36,FALSE)=" ",0,VLOOKUP($B18,'PW B-Steer Daubing'!$B$5:$AL$100,36,FALSE)),0)+IFERROR(IF(VLOOKUP($B18,'MM B-Dummy Roping'!$B$5:$AL$100,36,FALSE)=" ",0,VLOOKUP($B18,'MM B-Dummy Roping'!$B$5:$AL$100,36,FALSE)),0)+IFERROR(IF(VLOOKUP($B18,'MM B-Goats'!$B$5:$AL$100,36,FALSE)=" ",0,VLOOKUP($B18,'MM B-Goats'!$B$5:$AL$100,36,FALSE)),0)+IFERROR(IF(VLOOKUP($B18,'MM B-Flags'!$B$5:$AL$100,36,FALSE)=" ",0,VLOOKUP($B18,'MM B-Flags'!$B$5:$AL$100,36,FALSE)),0)+IFERROR(IF(VLOOKUP($B18,'MM B-Figure 8'!$B$5:$AL$100,36,FALSE)=" ",0,VLOOKUP($B18,'MM B-Figure 8'!$B$5:$AL$100,36,FALSE)),0)</f>
        <v>0</v>
      </c>
      <c r="D18" s="95" t="str">
        <f t="shared" si="0"/>
        <v xml:space="preserve"> </v>
      </c>
      <c r="E18" s="122" t="str">
        <f t="shared" si="1"/>
        <v xml:space="preserve"> </v>
      </c>
    </row>
    <row r="19" spans="2:5" x14ac:dyDescent="0.3">
      <c r="B19" s="140"/>
      <c r="C19" s="95">
        <f>IFERROR(IF(VLOOKUP($B19,'SR B-Calf Roping'!$B$5:$AL$100,36,FALSE)=" ",0,VLOOKUP($B19,'SR B-Calf Roping'!$B$5:$AL$100,36,FALSE)),0)+IFERROR(IF(VLOOKUP($B19,'SR B-Steer Wrestling'!$B$5:$AL$100,36,FALSE)=" ",0,VLOOKUP($B19,'SR B-Steer Wrestling'!$B$5:$AL$100,36,FALSE)),0)+IFERROR(IF(VLOOKUP($B19,'SR B-Chute Dogging'!$B$5:$AL$100,36,FALSE)=" ",0,VLOOKUP($B19,'SR B-Chute Dogging'!$B$5:$AL$100,36,FALSE)),0)+IFERROR(IF(VLOOKUP($B19,'SR-Team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B-Steer Riding'!$B$5:$AL$100,36,FALSE)=" ",0,VLOOKUP($B19,'JR B-Steer Riding'!$B$5:$AL$100,36,FALSE)),0)+IFERROR(IF(VLOOKUP($B19,'JR B-Goats'!$B$5:$AL$100,36,FALSE)=" ",0,VLOOKUP($B19,'JR B-Goats'!$B$5:$AL$100,36,FALSE)),0)+IFERROR(IF(VLOOKUP($B19,'JR B-Calf Tying'!$B$5:$AL$100,36,FALSE)=" ",0,VLOOKUP($B19,'JR B-Calf Tying'!$B$5:$AL$100,36,FALSE)),0)+IFERROR(IF(VLOOKUP($B19,'JR B-Breakaway'!$B$5:$AL$100,36,FALSE)=" ",0,VLOOKUP($B19,'JR B-Breakaway'!$B$5:$AL$100,36,FALSE)),0)+IFERROR(IF(VLOOKUP($B19,'JR-Team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B-Calf Riding'!$B$5:$AL$100,36,FALSE)=" ",0,VLOOKUP($B19,'PW B-Calf Riding'!$B$5:$AL$100,36,FALSE)),0)+IFERROR(IF(VLOOKUP($B19,'PW B-Goats'!$B$5:$AL$102,36,FALSE)=" ",0,VLOOKUP($B19,'PW B-Goats'!$B$5:$AL$102,36,FALSE)),0)+IFERROR(IF(VLOOKUP($B19,'PW B-Flags'!$B$5:$AL$100,36,FALSE)=" ",0,VLOOKUP($B19,'PW B-Flags'!$B$5:$AL$100,36,FALSE)),0)+IFERROR(IF(VLOOKUP($B19,'PW B-Breakaway'!$B$5:$AL$100,36,FALSE)=" ",0,VLOOKUP($B19,'PW B-Breakaway'!$B$5:$AL$100,36,FALSE)),0)+IFERROR(IF(VLOOKUP($B19,'PW B-Steer Daubing'!$B$5:$AL$100,36,FALSE)=" ",0,VLOOKUP($B19,'PW B-Steer Daubing'!$B$5:$AL$100,36,FALSE)),0)+IFERROR(IF(VLOOKUP($B19,'MM B-Dummy Roping'!$B$5:$AL$100,36,FALSE)=" ",0,VLOOKUP($B19,'MM B-Dummy Roping'!$B$5:$AL$100,36,FALSE)),0)+IFERROR(IF(VLOOKUP($B19,'MM B-Goats'!$B$5:$AL$100,36,FALSE)=" ",0,VLOOKUP($B19,'MM B-Goats'!$B$5:$AL$100,36,FALSE)),0)+IFERROR(IF(VLOOKUP($B19,'MM B-Flags'!$B$5:$AL$100,36,FALSE)=" ",0,VLOOKUP($B19,'MM B-Flags'!$B$5:$AL$100,36,FALSE)),0)+IFERROR(IF(VLOOKUP($B19,'MM B-Figure 8'!$B$5:$AL$100,36,FALSE)=" ",0,VLOOKUP($B19,'MM B-Figure 8'!$B$5:$AL$100,36,FALSE)),0)</f>
        <v>0</v>
      </c>
      <c r="D19" s="95" t="str">
        <f t="shared" si="0"/>
        <v xml:space="preserve"> </v>
      </c>
      <c r="E19" s="91" t="str">
        <f t="shared" si="1"/>
        <v xml:space="preserve"> </v>
      </c>
    </row>
    <row r="20" spans="2:5" x14ac:dyDescent="0.3">
      <c r="B20" s="140"/>
      <c r="C20" s="95">
        <f>IFERROR(IF(VLOOKUP($B20,'SR B-Calf Roping'!$B$5:$AL$100,36,FALSE)=" ",0,VLOOKUP($B20,'SR B-Calf Roping'!$B$5:$AL$100,36,FALSE)),0)+IFERROR(IF(VLOOKUP($B20,'SR B-Steer Wrestling'!$B$5:$AL$100,36,FALSE)=" ",0,VLOOKUP($B20,'SR B-Steer Wrestling'!$B$5:$AL$100,36,FALSE)),0)+IFERROR(IF(VLOOKUP($B20,'SR B-Chute Dogging'!$B$5:$AL$100,36,FALSE)=" ",0,VLOOKUP($B20,'SR B-Chute Dogging'!$B$5:$AL$100,36,FALSE)),0)+IFERROR(IF(VLOOKUP($B20,'SR-Team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B-Steer Riding'!$B$5:$AL$100,36,FALSE)=" ",0,VLOOKUP($B20,'JR B-Steer Riding'!$B$5:$AL$100,36,FALSE)),0)+IFERROR(IF(VLOOKUP($B20,'JR B-Goats'!$B$5:$AL$100,36,FALSE)=" ",0,VLOOKUP($B20,'JR B-Goats'!$B$5:$AL$100,36,FALSE)),0)+IFERROR(IF(VLOOKUP($B20,'JR B-Calf Tying'!$B$5:$AL$100,36,FALSE)=" ",0,VLOOKUP($B20,'JR B-Calf Tying'!$B$5:$AL$100,36,FALSE)),0)+IFERROR(IF(VLOOKUP($B20,'JR B-Breakaway'!$B$5:$AL$100,36,FALSE)=" ",0,VLOOKUP($B20,'JR B-Breakaway'!$B$5:$AL$100,36,FALSE)),0)+IFERROR(IF(VLOOKUP($B20,'JR-Team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B-Calf Riding'!$B$5:$AL$100,36,FALSE)=" ",0,VLOOKUP($B20,'PW B-Calf Riding'!$B$5:$AL$100,36,FALSE)),0)+IFERROR(IF(VLOOKUP($B20,'PW B-Goats'!$B$5:$AL$102,36,FALSE)=" ",0,VLOOKUP($B20,'PW B-Goats'!$B$5:$AL$102,36,FALSE)),0)+IFERROR(IF(VLOOKUP($B20,'PW B-Flags'!$B$5:$AL$100,36,FALSE)=" ",0,VLOOKUP($B20,'PW B-Flags'!$B$5:$AL$100,36,FALSE)),0)+IFERROR(IF(VLOOKUP($B20,'PW B-Breakaway'!$B$5:$AL$100,36,FALSE)=" ",0,VLOOKUP($B20,'PW B-Breakaway'!$B$5:$AL$100,36,FALSE)),0)+IFERROR(IF(VLOOKUP($B20,'PW B-Steer Daubing'!$B$5:$AL$100,36,FALSE)=" ",0,VLOOKUP($B20,'PW B-Steer Daubing'!$B$5:$AL$100,36,FALSE)),0)+IFERROR(IF(VLOOKUP($B20,'MM B-Dummy Roping'!$B$5:$AL$100,36,FALSE)=" ",0,VLOOKUP($B20,'MM B-Dummy Roping'!$B$5:$AL$100,36,FALSE)),0)+IFERROR(IF(VLOOKUP($B20,'MM B-Goats'!$B$5:$AL$100,36,FALSE)=" ",0,VLOOKUP($B20,'MM B-Goats'!$B$5:$AL$100,36,FALSE)),0)+IFERROR(IF(VLOOKUP($B20,'MM B-Flags'!$B$5:$AL$100,36,FALSE)=" ",0,VLOOKUP($B20,'MM B-Flags'!$B$5:$AL$100,36,FALSE)),0)+IFERROR(IF(VLOOKUP($B20,'MM B-Figure 8'!$B$5:$AL$100,36,FALSE)=" ",0,VLOOKUP($B20,'MM B-Figure 8'!$B$5:$AL$100,36,FALSE)),0)</f>
        <v>0</v>
      </c>
      <c r="D20" s="95" t="str">
        <f t="shared" si="0"/>
        <v xml:space="preserve"> </v>
      </c>
      <c r="E20" s="91" t="str">
        <f t="shared" si="1"/>
        <v xml:space="preserve"> </v>
      </c>
    </row>
    <row r="21" spans="2:5" x14ac:dyDescent="0.3">
      <c r="B21" s="140"/>
      <c r="C21" s="95">
        <f>IFERROR(IF(VLOOKUP($B21,'SR B-Calf Roping'!$B$5:$AL$100,36,FALSE)=" ",0,VLOOKUP($B21,'SR B-Calf Roping'!$B$5:$AL$100,36,FALSE)),0)+IFERROR(IF(VLOOKUP($B21,'SR B-Steer Wrestling'!$B$5:$AL$100,36,FALSE)=" ",0,VLOOKUP($B21,'SR B-Steer Wrestling'!$B$5:$AL$100,36,FALSE)),0)+IFERROR(IF(VLOOKUP($B21,'SR B-Chute Dogging'!$B$5:$AL$100,36,FALSE)=" ",0,VLOOKUP($B21,'SR B-Chute Dogging'!$B$5:$AL$100,36,FALSE)),0)+IFERROR(IF(VLOOKUP($B21,'SR-Team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B-Steer Riding'!$B$5:$AL$100,36,FALSE)=" ",0,VLOOKUP($B21,'JR B-Steer Riding'!$B$5:$AL$100,36,FALSE)),0)+IFERROR(IF(VLOOKUP($B21,'JR B-Goats'!$B$5:$AL$100,36,FALSE)=" ",0,VLOOKUP($B21,'JR B-Goats'!$B$5:$AL$100,36,FALSE)),0)+IFERROR(IF(VLOOKUP($B21,'JR B-Calf Tying'!$B$5:$AL$100,36,FALSE)=" ",0,VLOOKUP($B21,'JR B-Calf Tying'!$B$5:$AL$100,36,FALSE)),0)+IFERROR(IF(VLOOKUP($B21,'JR B-Breakaway'!$B$5:$AL$100,36,FALSE)=" ",0,VLOOKUP($B21,'JR B-Breakaway'!$B$5:$AL$100,36,FALSE)),0)+IFERROR(IF(VLOOKUP($B21,'JR-Team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B-Calf Riding'!$B$5:$AL$100,36,FALSE)=" ",0,VLOOKUP($B21,'PW B-Calf Riding'!$B$5:$AL$100,36,FALSE)),0)+IFERROR(IF(VLOOKUP($B21,'PW B-Goats'!$B$5:$AL$102,36,FALSE)=" ",0,VLOOKUP($B21,'PW B-Goats'!$B$5:$AL$102,36,FALSE)),0)+IFERROR(IF(VLOOKUP($B21,'PW B-Flags'!$B$5:$AL$100,36,FALSE)=" ",0,VLOOKUP($B21,'PW B-Flags'!$B$5:$AL$100,36,FALSE)),0)+IFERROR(IF(VLOOKUP($B21,'PW B-Breakaway'!$B$5:$AL$100,36,FALSE)=" ",0,VLOOKUP($B21,'PW B-Breakaway'!$B$5:$AL$100,36,FALSE)),0)+IFERROR(IF(VLOOKUP($B21,'PW B-Steer Daubing'!$B$5:$AL$100,36,FALSE)=" ",0,VLOOKUP($B21,'PW B-Steer Daubing'!$B$5:$AL$100,36,FALSE)),0)+IFERROR(IF(VLOOKUP($B21,'MM B-Dummy Roping'!$B$5:$AL$100,36,FALSE)=" ",0,VLOOKUP($B21,'MM B-Dummy Roping'!$B$5:$AL$100,36,FALSE)),0)+IFERROR(IF(VLOOKUP($B21,'MM B-Goats'!$B$5:$AL$100,36,FALSE)=" ",0,VLOOKUP($B21,'MM B-Goats'!$B$5:$AL$100,36,FALSE)),0)+IFERROR(IF(VLOOKUP($B21,'MM B-Flags'!$B$5:$AL$100,36,FALSE)=" ",0,VLOOKUP($B21,'MM B-Flags'!$B$5:$AL$100,36,FALSE)),0)+IFERROR(IF(VLOOKUP($B21,'MM B-Figure 8'!$B$5:$AL$100,36,FALSE)=" ",0,VLOOKUP($B21,'MM B-Figure 8'!$B$5:$AL$100,36,FALSE)),0)</f>
        <v>0</v>
      </c>
      <c r="D21" s="95" t="str">
        <f t="shared" si="0"/>
        <v xml:space="preserve"> </v>
      </c>
      <c r="E21" s="91" t="str">
        <f t="shared" si="1"/>
        <v xml:space="preserve"> </v>
      </c>
    </row>
    <row r="22" spans="2:5" x14ac:dyDescent="0.3">
      <c r="B22" s="140"/>
      <c r="C22" s="95">
        <f>IFERROR(IF(VLOOKUP($B22,'SR B-Calf Roping'!$B$5:$AL$100,36,FALSE)=" ",0,VLOOKUP($B22,'SR B-Calf Roping'!$B$5:$AL$100,36,FALSE)),0)+IFERROR(IF(VLOOKUP($B22,'SR B-Steer Wrestling'!$B$5:$AL$100,36,FALSE)=" ",0,VLOOKUP($B22,'SR B-Steer Wrestling'!$B$5:$AL$100,36,FALSE)),0)+IFERROR(IF(VLOOKUP($B22,'SR B-Chute Dogging'!$B$5:$AL$100,36,FALSE)=" ",0,VLOOKUP($B22,'SR B-Chute Dogging'!$B$5:$AL$100,36,FALSE)),0)+IFERROR(IF(VLOOKUP($B22,'SR-Team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B-Steer Riding'!$B$5:$AL$100,36,FALSE)=" ",0,VLOOKUP($B22,'JR B-Steer Riding'!$B$5:$AL$100,36,FALSE)),0)+IFERROR(IF(VLOOKUP($B22,'JR B-Goats'!$B$5:$AL$100,36,FALSE)=" ",0,VLOOKUP($B22,'JR B-Goats'!$B$5:$AL$100,36,FALSE)),0)+IFERROR(IF(VLOOKUP($B22,'JR B-Calf Tying'!$B$5:$AL$100,36,FALSE)=" ",0,VLOOKUP($B22,'JR B-Calf Tying'!$B$5:$AL$100,36,FALSE)),0)+IFERROR(IF(VLOOKUP($B22,'JR B-Breakaway'!$B$5:$AL$100,36,FALSE)=" ",0,VLOOKUP($B22,'JR B-Breakaway'!$B$5:$AL$100,36,FALSE)),0)+IFERROR(IF(VLOOKUP($B22,'JR-Team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B-Calf Riding'!$B$5:$AL$100,36,FALSE)=" ",0,VLOOKUP($B22,'PW B-Calf Riding'!$B$5:$AL$100,36,FALSE)),0)+IFERROR(IF(VLOOKUP($B22,'PW B-Goats'!$B$5:$AL$102,36,FALSE)=" ",0,VLOOKUP($B22,'PW B-Goats'!$B$5:$AL$102,36,FALSE)),0)+IFERROR(IF(VLOOKUP($B22,'PW B-Flags'!$B$5:$AL$100,36,FALSE)=" ",0,VLOOKUP($B22,'PW B-Flags'!$B$5:$AL$100,36,FALSE)),0)+IFERROR(IF(VLOOKUP($B22,'PW B-Breakaway'!$B$5:$AL$100,36,FALSE)=" ",0,VLOOKUP($B22,'PW B-Breakaway'!$B$5:$AL$100,36,FALSE)),0)+IFERROR(IF(VLOOKUP($B22,'PW B-Steer Daubing'!$B$5:$AL$100,36,FALSE)=" ",0,VLOOKUP($B22,'PW B-Steer Daubing'!$B$5:$AL$100,36,FALSE)),0)+IFERROR(IF(VLOOKUP($B22,'MM B-Dummy Roping'!$B$5:$AL$100,36,FALSE)=" ",0,VLOOKUP($B22,'MM B-Dummy Roping'!$B$5:$AL$100,36,FALSE)),0)+IFERROR(IF(VLOOKUP($B22,'MM B-Goats'!$B$5:$AL$100,36,FALSE)=" ",0,VLOOKUP($B22,'MM B-Goats'!$B$5:$AL$100,36,FALSE)),0)+IFERROR(IF(VLOOKUP($B22,'MM B-Flags'!$B$5:$AL$100,36,FALSE)=" ",0,VLOOKUP($B22,'MM B-Flags'!$B$5:$AL$100,36,FALSE)),0)+IFERROR(IF(VLOOKUP($B22,'MM B-Figure 8'!$B$5:$AL$100,36,FALSE)=" ",0,VLOOKUP($B22,'MM B-Figure 8'!$B$5:$AL$100,36,FALSE)),0)</f>
        <v>0</v>
      </c>
      <c r="D22" s="95" t="str">
        <f t="shared" si="0"/>
        <v xml:space="preserve"> </v>
      </c>
      <c r="E22" s="91" t="str">
        <f t="shared" si="1"/>
        <v xml:space="preserve"> </v>
      </c>
    </row>
    <row r="23" spans="2:5" x14ac:dyDescent="0.3">
      <c r="B23" s="140"/>
      <c r="C23" s="95">
        <f>IFERROR(IF(VLOOKUP($B23,'SR B-Calf Roping'!$B$5:$AL$100,36,FALSE)=" ",0,VLOOKUP($B23,'SR B-Calf Roping'!$B$5:$AL$100,36,FALSE)),0)+IFERROR(IF(VLOOKUP($B23,'SR B-Steer Wrestling'!$B$5:$AL$100,36,FALSE)=" ",0,VLOOKUP($B23,'SR B-Steer Wrestling'!$B$5:$AL$100,36,FALSE)),0)+IFERROR(IF(VLOOKUP($B23,'SR B-Chute Dogging'!$B$5:$AL$100,36,FALSE)=" ",0,VLOOKUP($B23,'SR B-Chute Dogging'!$B$5:$AL$100,36,FALSE)),0)+IFERROR(IF(VLOOKUP($B23,'SR-Team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B-Steer Riding'!$B$5:$AL$100,36,FALSE)=" ",0,VLOOKUP($B23,'JR B-Steer Riding'!$B$5:$AL$100,36,FALSE)),0)+IFERROR(IF(VLOOKUP($B23,'JR B-Goats'!$B$5:$AL$100,36,FALSE)=" ",0,VLOOKUP($B23,'JR B-Goats'!$B$5:$AL$100,36,FALSE)),0)+IFERROR(IF(VLOOKUP($B23,'JR B-Calf Tying'!$B$5:$AL$100,36,FALSE)=" ",0,VLOOKUP($B23,'JR B-Calf Tying'!$B$5:$AL$100,36,FALSE)),0)+IFERROR(IF(VLOOKUP($B23,'JR B-Breakaway'!$B$5:$AL$100,36,FALSE)=" ",0,VLOOKUP($B23,'JR B-Breakaway'!$B$5:$AL$100,36,FALSE)),0)+IFERROR(IF(VLOOKUP($B23,'JR-Team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B-Calf Riding'!$B$5:$AL$100,36,FALSE)=" ",0,VLOOKUP($B23,'PW B-Calf Riding'!$B$5:$AL$100,36,FALSE)),0)+IFERROR(IF(VLOOKUP($B23,'PW B-Goats'!$B$5:$AL$102,36,FALSE)=" ",0,VLOOKUP($B23,'PW B-Goats'!$B$5:$AL$102,36,FALSE)),0)+IFERROR(IF(VLOOKUP($B23,'PW B-Flags'!$B$5:$AL$100,36,FALSE)=" ",0,VLOOKUP($B23,'PW B-Flags'!$B$5:$AL$100,36,FALSE)),0)+IFERROR(IF(VLOOKUP($B23,'PW B-Breakaway'!$B$5:$AL$100,36,FALSE)=" ",0,VLOOKUP($B23,'PW B-Breakaway'!$B$5:$AL$100,36,FALSE)),0)+IFERROR(IF(VLOOKUP($B23,'PW B-Steer Daubing'!$B$5:$AL$100,36,FALSE)=" ",0,VLOOKUP($B23,'PW B-Steer Daubing'!$B$5:$AL$100,36,FALSE)),0)+IFERROR(IF(VLOOKUP($B23,'MM B-Dummy Roping'!$B$5:$AL$100,36,FALSE)=" ",0,VLOOKUP($B23,'MM B-Dummy Roping'!$B$5:$AL$100,36,FALSE)),0)+IFERROR(IF(VLOOKUP($B23,'MM B-Goats'!$B$5:$AL$100,36,FALSE)=" ",0,VLOOKUP($B23,'MM B-Goats'!$B$5:$AL$100,36,FALSE)),0)+IFERROR(IF(VLOOKUP($B23,'MM B-Flags'!$B$5:$AL$100,36,FALSE)=" ",0,VLOOKUP($B23,'MM B-Flags'!$B$5:$AL$100,36,FALSE)),0)+IFERROR(IF(VLOOKUP($B23,'MM B-Figure 8'!$B$5:$AL$100,36,FALSE)=" ",0,VLOOKUP($B23,'MM B-Figure 8'!$B$5:$AL$100,36,FALSE)),0)</f>
        <v>0</v>
      </c>
      <c r="D23" s="95" t="str">
        <f t="shared" si="0"/>
        <v xml:space="preserve"> </v>
      </c>
      <c r="E23" s="91" t="str">
        <f t="shared" si="1"/>
        <v xml:space="preserve"> </v>
      </c>
    </row>
    <row r="24" spans="2:5" ht="14.5" thickBot="1" x14ac:dyDescent="0.35">
      <c r="B24" s="142"/>
      <c r="C24" s="105">
        <f>IFERROR(IF(VLOOKUP($B24,'SR B-Calf Roping'!$B$5:$AL$100,36,FALSE)=" ",0,VLOOKUP($B24,'SR B-Calf Roping'!$B$5:$AL$100,36,FALSE)),0)+IFERROR(IF(VLOOKUP($B24,'SR B-Steer Wrestling'!$B$5:$AL$100,36,FALSE)=" ",0,VLOOKUP($B24,'SR B-Steer Wrestling'!$B$5:$AL$100,36,FALSE)),0)+IFERROR(IF(VLOOKUP($B24,'SR B-Chute Dogging'!$B$5:$AL$100,36,FALSE)=" ",0,VLOOKUP($B24,'SR B-Chute Dogging'!$B$5:$AL$100,36,FALSE)),0)+IFERROR(IF(VLOOKUP($B24,'SR-Team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B-Steer Riding'!$B$5:$AL$100,36,FALSE)=" ",0,VLOOKUP($B24,'JR B-Steer Riding'!$B$5:$AL$100,36,FALSE)),0)+IFERROR(IF(VLOOKUP($B24,'JR B-Goats'!$B$5:$AL$100,36,FALSE)=" ",0,VLOOKUP($B24,'JR B-Goats'!$B$5:$AL$100,36,FALSE)),0)+IFERROR(IF(VLOOKUP($B24,'JR B-Calf Tying'!$B$5:$AL$100,36,FALSE)=" ",0,VLOOKUP($B24,'JR B-Calf Tying'!$B$5:$AL$100,36,FALSE)),0)+IFERROR(IF(VLOOKUP($B24,'JR B-Breakaway'!$B$5:$AL$100,36,FALSE)=" ",0,VLOOKUP($B24,'JR B-Breakaway'!$B$5:$AL$100,36,FALSE)),0)+IFERROR(IF(VLOOKUP($B24,'JR-Team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B-Calf Riding'!$B$5:$AL$100,36,FALSE)=" ",0,VLOOKUP($B24,'PW B-Calf Riding'!$B$5:$AL$100,36,FALSE)),0)+IFERROR(IF(VLOOKUP($B24,'PW B-Goats'!$B$5:$AL$102,36,FALSE)=" ",0,VLOOKUP($B24,'PW B-Goats'!$B$5:$AL$102,36,FALSE)),0)+IFERROR(IF(VLOOKUP($B24,'PW B-Flags'!$B$5:$AL$100,36,FALSE)=" ",0,VLOOKUP($B24,'PW B-Flags'!$B$5:$AL$100,36,FALSE)),0)+IFERROR(IF(VLOOKUP($B24,'PW B-Breakaway'!$B$5:$AL$100,36,FALSE)=" ",0,VLOOKUP($B24,'PW B-Breakaway'!$B$5:$AL$100,36,FALSE)),0)+IFERROR(IF(VLOOKUP($B24,'PW B-Steer Daubing'!$B$5:$AL$100,36,FALSE)=" ",0,VLOOKUP($B24,'PW B-Steer Daubing'!$B$5:$AL$100,36,FALSE)),0)+IFERROR(IF(VLOOKUP($B24,'MM B-Dummy Roping'!$B$5:$AL$100,36,FALSE)=" ",0,VLOOKUP($B24,'MM B-Dummy Roping'!$B$5:$AL$100,36,FALSE)),0)+IFERROR(IF(VLOOKUP($B24,'MM B-Goats'!$B$5:$AL$100,36,FALSE)=" ",0,VLOOKUP($B24,'MM B-Goats'!$B$5:$AL$100,36,FALSE)),0)+IFERROR(IF(VLOOKUP($B24,'MM B-Flags'!$B$5:$AL$100,36,FALSE)=" ",0,VLOOKUP($B24,'MM B-Flags'!$B$5:$AL$100,36,FALSE)),0)+IFERROR(IF(VLOOKUP($B24,'MM B-Figure 8'!$B$5:$AL$100,36,FALSE)=" ",0,VLOOKUP($B24,'MM B-Figure 8'!$B$5:$AL$100,36,FALSE)),0)</f>
        <v>0</v>
      </c>
      <c r="D24" s="105" t="str">
        <f t="shared" si="0"/>
        <v xml:space="preserve"> </v>
      </c>
      <c r="E24" s="101" t="str">
        <f t="shared" si="1"/>
        <v xml:space="preserve"> </v>
      </c>
    </row>
    <row r="25" spans="2:5" ht="14.5" thickBot="1" x14ac:dyDescent="0.35">
      <c r="B25" s="125" t="s">
        <v>191</v>
      </c>
    </row>
    <row r="27" spans="2:5" x14ac:dyDescent="0.3">
      <c r="C27" s="126"/>
      <c r="D27" s="126"/>
    </row>
    <row r="28" spans="2:5" x14ac:dyDescent="0.3">
      <c r="C28" s="126"/>
      <c r="D28" s="126"/>
    </row>
  </sheetData>
  <sheetProtection algorithmName="SHA-512" hashValue="TcKbTbaUTjtHFQeiapovj13lTLREpBSa4rilTzK8XlBkS6ED5KXsr7881W7o5ns0qVFoWhvYeL+C7iPxcGqw4w==" saltValue="oOuoCIInui/bcafsW5tFsg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ignoredErrors>
    <ignoredError sqref="E5:E24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7">
    <tabColor theme="9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47" style="62" customWidth="1"/>
    <col min="3" max="3" width="11.7265625" style="60" hidden="1" customWidth="1"/>
    <col min="4" max="4" width="11.7265625" style="60" customWidth="1"/>
    <col min="5" max="5" width="11.7265625" style="57" customWidth="1"/>
    <col min="6" max="6" width="11.7265625" style="60" hidden="1" customWidth="1"/>
    <col min="7" max="7" width="11.7265625" style="60" customWidth="1"/>
    <col min="8" max="8" width="11.7265625" style="57" customWidth="1"/>
    <col min="9" max="9" width="11.7265625" style="60" hidden="1" customWidth="1"/>
    <col min="10" max="10" width="11.7265625" style="60" customWidth="1"/>
    <col min="11" max="11" width="11.7265625" style="57" customWidth="1"/>
    <col min="12" max="12" width="11.7265625" style="60" hidden="1" customWidth="1"/>
    <col min="13" max="13" width="11.7265625" style="60" customWidth="1"/>
    <col min="14" max="14" width="11.7265625" style="57" customWidth="1"/>
    <col min="15" max="15" width="11.7265625" style="60" hidden="1" customWidth="1"/>
    <col min="16" max="16" width="11.7265625" style="60" customWidth="1"/>
    <col min="17" max="17" width="11.7265625" style="57" customWidth="1"/>
    <col min="18" max="18" width="11.7265625" style="60" hidden="1" customWidth="1"/>
    <col min="19" max="19" width="11.7265625" style="60" customWidth="1"/>
    <col min="20" max="20" width="11.7265625" style="57" customWidth="1"/>
    <col min="21" max="21" width="11.7265625" style="60" hidden="1" customWidth="1"/>
    <col min="22" max="22" width="11.7265625" style="60" customWidth="1"/>
    <col min="23" max="23" width="11.7265625" style="57" customWidth="1"/>
    <col min="24" max="24" width="11.7265625" style="60" hidden="1" customWidth="1"/>
    <col min="25" max="25" width="11.7265625" style="60" customWidth="1"/>
    <col min="26" max="26" width="11.7265625" style="57" customWidth="1"/>
    <col min="27" max="27" width="11.7265625" style="60" hidden="1" customWidth="1"/>
    <col min="28" max="28" width="11.7265625" style="60" customWidth="1"/>
    <col min="29" max="29" width="11.7265625" style="57" customWidth="1"/>
    <col min="30" max="16384" width="9.1796875" style="62"/>
  </cols>
  <sheetData>
    <row r="1" spans="2:29" ht="18.5" thickBot="1" x14ac:dyDescent="0.45">
      <c r="B1" s="54"/>
    </row>
    <row r="2" spans="2:29" s="64" customFormat="1" ht="18" x14ac:dyDescent="0.4">
      <c r="B2" s="138" t="s">
        <v>126</v>
      </c>
      <c r="C2" s="179">
        <v>43954</v>
      </c>
      <c r="D2" s="177"/>
      <c r="E2" s="178"/>
      <c r="F2" s="172">
        <v>43996</v>
      </c>
      <c r="G2" s="173"/>
      <c r="H2" s="174"/>
      <c r="I2" s="172">
        <v>44023</v>
      </c>
      <c r="J2" s="173"/>
      <c r="K2" s="174"/>
      <c r="L2" s="172">
        <v>44024</v>
      </c>
      <c r="M2" s="173"/>
      <c r="N2" s="174"/>
      <c r="O2" s="172">
        <v>44045</v>
      </c>
      <c r="P2" s="173"/>
      <c r="Q2" s="174"/>
      <c r="R2" s="172" t="s">
        <v>203</v>
      </c>
      <c r="S2" s="173"/>
      <c r="T2" s="174"/>
      <c r="U2" s="172" t="s">
        <v>204</v>
      </c>
      <c r="V2" s="173"/>
      <c r="W2" s="174"/>
      <c r="X2" s="172" t="s">
        <v>3</v>
      </c>
      <c r="Y2" s="173"/>
      <c r="Z2" s="174"/>
      <c r="AA2" s="172" t="s">
        <v>4</v>
      </c>
      <c r="AB2" s="173"/>
      <c r="AC2" s="174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39" t="s">
        <v>167</v>
      </c>
      <c r="C5" s="118">
        <f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f>
        <v>0</v>
      </c>
      <c r="D5" s="88" t="str">
        <f t="shared" ref="D5:D24" si="0">IF(C5&gt;0,C5," ")</f>
        <v xml:space="preserve"> </v>
      </c>
      <c r="E5" s="84" t="str">
        <f t="shared" ref="E5:E24" si="1">IF(C5=0," ",RANK(C5,C$5:C$24,0))</f>
        <v xml:space="preserve"> </v>
      </c>
      <c r="F5" s="119">
        <f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f>
        <v>36</v>
      </c>
      <c r="G5" s="88">
        <f t="shared" ref="G5:G24" si="2">IF(F5&gt;0,F5," ")</f>
        <v>36</v>
      </c>
      <c r="H5" s="84">
        <f t="shared" ref="H5:H24" si="3">IF(F5=0," ",RANK(F5,F$5:F$24,0))</f>
        <v>1</v>
      </c>
      <c r="I5" s="119">
        <f>IFERROR(IF(VLOOKUP($B5,'SR G-Breakaway'!$B$5:$AI$24,14,FALSE)=" ",0,VLOOKUP($B5,'SR G-Breakaway'!$B$5:$AI$24,14,FALSE)),0)+IFERROR(IF(VLOOKUP($B5,'SR G-Barrels'!$B$5:$AI$24,14,FALSE)=" ",0,VLOOKUP($B5,'SR G-Barrels'!$B$5:$AI$24,14,FALSE)),0)+IFERROR(IF(VLOOKUP($B5,'SR G-Poles'!$B$5:$AI$24,14,FALSE)=" ",0,VLOOKUP($B5,'SR G-Poles'!$B$5:$AI$24,14,FALSE)),0)+IFERROR(IF(VLOOKUP($B5,'SR G-Goats'!$B$5:$AI$24,14,FALSE)=" ",0,VLOOKUP($B5,'SR G-Goats'!$B$5:$AI$24,14,FALSE)),0)+IFERROR(IF(VLOOKUP($B5,'SR-Team Roping-Header'!$B$5:$N$24,5,FALSE)=" ",0,VLOOKUP($B5,'SR-Team Roping-Header'!$B$5:$N$24,5,FALSE)),0)+IFERROR(IF(VLOOKUP($B5,'SR-Team Roping-Heeler'!$B$5:$N$24,5,FALSE)=" ",0,VLOOKUP($B5,'SR-Team Roping-Heeler'!$B$5:$N$24,5,FALSE)),0)</f>
        <v>54</v>
      </c>
      <c r="J5" s="88">
        <f t="shared" ref="J5:J24" si="4">IF(I5&gt;0,I5," ")</f>
        <v>54</v>
      </c>
      <c r="K5" s="84">
        <f t="shared" ref="K5:K24" si="5">IF(I5=0," ",RANK(I5,I$5:I$24,0))</f>
        <v>2</v>
      </c>
      <c r="L5" s="119">
        <f>IFERROR(IF(VLOOKUP($B5,'SR G-Breakaway'!$B$5:$AI$24,18,FALSE)=" ",0,VLOOKUP($B5,'SR G-Breakaway'!$B$5:$AI$24,18,FALSE)),0)+IFERROR(IF(VLOOKUP($B5,'SR G-Barrels'!$B$5:$AI$24,18,FALSE)=" ",0,VLOOKUP($B5,'SR G-Barrels'!$B$5:$AI$24,18,FALSE)),0)+IFERROR(IF(VLOOKUP($B5,'SR G-Poles'!$B$5:$AI$24,18,FALSE)=" ",0,VLOOKUP($B5,'SR G-Poles'!$B$5:$AI$24,18,FALSE)),0)+IFERROR(IF(VLOOKUP($B5,'SR G-Goats'!$B$5:$AI$24,18,FALSE)=" ",0,VLOOKUP($B5,'SR G-Goats'!$B$5:$AI$24,18,FALSE)),0)+IFERROR(IF(VLOOKUP($B5,'SR-Team Roping-Header'!$B$5:$N$24,6,FALSE)=" ",0,VLOOKUP($B5,'SR-Team Roping-Header'!$B$5:$N$24,6,FALSE)),0)+IFERROR(IF(VLOOKUP($B5,'SR-Team Roping-Heeler'!$B$5:$N$24,6,FALSE)=" ",0,VLOOKUP($B5,'SR-Team Roping-Heeler'!$B$5:$N$24,6,FALSE)),0)</f>
        <v>36</v>
      </c>
      <c r="M5" s="88">
        <f t="shared" ref="M5:M24" si="6">IF(L5&gt;0,L5," ")</f>
        <v>36</v>
      </c>
      <c r="N5" s="84">
        <f t="shared" ref="N5:N24" si="7">IF(L5=0," ",RANK(L5,L$5:L$24,0))</f>
        <v>3</v>
      </c>
      <c r="O5" s="119">
        <f>IFERROR(IF(VLOOKUP($B5,'SR G-Breakaway'!$B$5:$AI$24,22,FALSE)=" ",0,VLOOKUP($B5,'SR G-Breakaway'!$B$5:$AI$24,22,FALSE)),0)+IFERROR(IF(VLOOKUP($B5,'SR G-Barrels'!$B$5:$AI$24,22,FALSE)=" ",0,VLOOKUP($B5,'SR G-Barrels'!$B$5:$AI$24,22,FALSE)),0)+IFERROR(IF(VLOOKUP($B5,'SR G-Poles'!$B$5:$AI$24,22,FALSE)=" ",0,VLOOKUP($B5,'SR G-Poles'!$B$5:$AI$24,22,FALSE)),0)+IFERROR(IF(VLOOKUP($B5,'SR G-Goats'!$B$5:$AI$24,22,FALSE)=" ",0,VLOOKUP($B5,'SR G-Goats'!$B$5:$AI$24,22,FALSE)),0)+IFERROR(IF(VLOOKUP($B5,'SR-Team Roping-Header'!$B$5:$N$24,7,FALSE)=" ",0,VLOOKUP($B5,'SR-Team Roping-Header'!$B$5:$N$24,7,FALSE)),0)+IFERROR(IF(VLOOKUP($B5,'SR-Team Roping-Heeler'!$B$5:$N$24,7,FALSE)=" ",0,VLOOKUP($B5,'SR-Team Roping-Heeler'!$B$5:$N$24,7,FALSE)),0)</f>
        <v>0</v>
      </c>
      <c r="P5" s="88" t="str">
        <f t="shared" ref="P5:P24" si="8">IF(O5&gt;0,O5," ")</f>
        <v xml:space="preserve"> </v>
      </c>
      <c r="Q5" s="84" t="str">
        <f t="shared" ref="Q5:Q24" si="9">IF(O5=0," ",RANK(O5,O$5:O$24,0))</f>
        <v xml:space="preserve"> </v>
      </c>
      <c r="R5" s="118">
        <f>IFERROR(IF(VLOOKUP($B5,'SR G-Breakaway'!$B$5:$AI$24,26,FALSE)=" ",0,VLOOKUP($B5,'SR G-Breakaway'!$B$5:$AI$24,26,FALSE)),0)+IFERROR(IF(VLOOKUP($B5,'SR G-Barrels'!$B$5:$AI$24,26,FALSE)=" ",0,VLOOKUP($B5,'SR G-Barrels'!$B$5:$AI$24,26,FALSE)),0)+IFERROR(IF(VLOOKUP($B5,'SR G-Poles'!$B$5:$AI$24,26,FALSE)=" ",0,VLOOKUP($B5,'SR G-Poles'!$B$5:$AI$24,26,FALSE)),0)+IFERROR(IF(VLOOKUP($B5,'SR G-Goats'!$B$5:$AI$24,26,FALSE)=" ",0,VLOOKUP($B5,'SR G-Goats'!$B$5:$AI$24,26,FALSE)),0)+IFERROR(IF(VLOOKUP($B5,'SR-Team Roping-Header'!$B$5:$N$24,8,FALSE)=" ",0,VLOOKUP($B5,'SR-Team Roping-Header'!$B$5:$N$24,8,FALSE)),0)+IFERROR(IF(VLOOKUP($B5,'SR-Team Roping-Heeler'!$B$5:$N$24,8,FALSE)=" ",0,VLOOKUP($B5,'SR-Team Roping-Heeler'!$B$5:$N$24,8,FALSE)),0)</f>
        <v>0</v>
      </c>
      <c r="S5" s="88" t="str">
        <f t="shared" ref="S5:S24" si="10">IF(R5&gt;0,R5," ")</f>
        <v xml:space="preserve"> </v>
      </c>
      <c r="T5" s="84" t="str">
        <f t="shared" ref="T5:T24" si="11">IF(R5=0," ",RANK(R5,R$5:R$24,0))</f>
        <v xml:space="preserve"> </v>
      </c>
      <c r="U5" s="119">
        <f>IFERROR(IF(VLOOKUP($B5,'SR G-Breakaway'!$B$5:$AI$24,30,FALSE)=" ",0,VLOOKUP($B5,'SR G-Breakaway'!$B$5:$AI$24,30,FALSE)),0)+IFERROR(IF(VLOOKUP($B5,'SR G-Barrels'!$B$5:$AI$24,30,FALSE)=" ",0,VLOOKUP($B5,'SR G-Barrels'!$B$5:$AI$24,30,FALSE)),0)+IFERROR(IF(VLOOKUP($B5,'SR G-Poles'!$B$5:$AI$24,30,FALSE)=" ",0,VLOOKUP($B5,'SR G-Poles'!$B$5:$AI$24,30,FALSE)),0)+IFERROR(IF(VLOOKUP($B5,'SR G-Goats'!$B$5:$AI$24,30,FALSE)=" ",0,VLOOKUP($B5,'SR G-Goats'!$B$5:$AI$24,30,FALSE)),0)+IFERROR(IF(VLOOKUP($B5,'SR-Team Roping-Header'!$B$5:$N$24,9,FALSE)=" ",0,VLOOKUP($B5,'SR-Team Roping-Header'!$B$5:$N$24,9,FALSE)),0)+IFERROR(IF(VLOOKUP($B5,'SR-Team Roping-Heeler'!$B$5:$N$24,9,FALSE)=" ",0,VLOOKUP($B5,'SR-Team Roping-Heeler'!$B$5:$N$24,9,FALSE)),0)</f>
        <v>0</v>
      </c>
      <c r="V5" s="88" t="str">
        <f t="shared" ref="V5:V24" si="12">IF(U5&gt;0,U5," ")</f>
        <v xml:space="preserve"> </v>
      </c>
      <c r="W5" s="84" t="str">
        <f t="shared" ref="W5:W24" si="13">IF(U5=0," ",RANK(U5,U$5:U$24,0))</f>
        <v xml:space="preserve"> </v>
      </c>
      <c r="X5" s="119">
        <f>IFERROR(IF(VLOOKUP($B5,'SR G-Breakaway'!$B$5:$AI$24,34,FALSE)=" ",0,VLOOKUP($B5,'SR G-Breakaway'!$B$5:$AI$24,34,FALSE)),0)+IFERROR(IF(VLOOKUP($B5,'SR G-Barrels'!$B$5:$AI$24,34,FALSE)=" ",0,VLOOKUP($B5,'SR G-Barrels'!$B$5:$AI$24,34,FALSE)),0)+IFERROR(IF(VLOOKUP($B5,'SR G-Poles'!$B$5:$AI$24,34,FALSE)=" ",0,VLOOKUP($B5,'SR G-Poles'!$B$5:$AI$24,34,FALSE)),0)+IFERROR(IF(VLOOKUP($B5,'SR G-Goats'!$B$5:$AI$24,34,FALSE)=" ",0,VLOOKUP($B5,'SR G-Goats'!$B$5:$AI$24,34,FALSE)),0)+IFERROR(IF(VLOOKUP($B5,'SR-Team Roping-Header'!$B$5:$N$24,10,FALSE)=" ",0,VLOOKUP($B5,'SR-Team Roping-Header'!$B$5:$N$24,10,FALSE)),0)+IFERROR(IF(VLOOKUP($B5,'SR-Team Roping-Heeler'!$B$5:$N$24,10,FALSE)=" ",0,VLOOKUP($B5,'SR-Team Roping-Heeler'!$B$5:$N$24,10,FALSE)),0)</f>
        <v>0</v>
      </c>
      <c r="Y5" s="88" t="str">
        <f t="shared" ref="Y5:Y24" si="14">IF(X5&gt;0,X5," ")</f>
        <v xml:space="preserve"> </v>
      </c>
      <c r="Z5" s="84" t="str">
        <f t="shared" ref="Z5:Z24" si="15">IF(X5=0," ",RANK(X5,X$5:X$24,0))</f>
        <v xml:space="preserve"> </v>
      </c>
      <c r="AA5" s="119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126</v>
      </c>
      <c r="AB5" s="88">
        <f t="shared" ref="AB5:AB24" si="16">IF(AA5&gt;0,AA5," ")</f>
        <v>126</v>
      </c>
      <c r="AC5" s="84">
        <f t="shared" ref="AC5:AC24" si="17">IF(AB5=" "," ",RANK(AB5,AB$5:AB$24))</f>
        <v>1</v>
      </c>
    </row>
    <row r="6" spans="2:29" x14ac:dyDescent="0.3">
      <c r="B6" s="152" t="s">
        <v>279</v>
      </c>
      <c r="C6" s="120">
        <f>IFERROR(IF(VLOOKUP($B6,'SR G-Breakaway'!$B$5:$AI$24,6,FALSE)=" ",0,VLOOKUP($B6,'SR G-Breakaway'!$B$5:$AI$24,6,FALSE)),0)+IFERROR(IF(VLOOKUP($B6,'SR G-Barrels'!$B$5:$AI$24,6,FALSE)=" ",0,VLOOKUP($B6,'SR G-Barrels'!$B$5:$AI$24,6,FALSE)),0)+IFERROR(IF(VLOOKUP($B6,'SR G-Poles'!$B$5:$AI$24,6,FALSE)=" ",0,VLOOKUP($B6,'SR G-Poles'!$B$5:$AI$24,6,FALSE)),0)+IFERROR(IF(VLOOKUP($B6,'SR G-Goats'!$B$5:$AI$24,6,FALSE)=" ",0,VLOOKUP($B6,'SR G-Goats'!$B$5:$AI$24,6,FALSE)),0)+IFERROR(IF(VLOOKUP($B6,'SR-Team Roping-Header'!$B$5:$N$24,3,FALSE)=" ",0,VLOOKUP($B6,'SR-Team Roping-Header'!$B$5:$N$24,3,FALSE)),0)+IFERROR(IF(VLOOKUP($B6,'SR-Team Roping-Heeler'!$B$5:$N$24,3,FALSE)=" ",0,VLOOKUP($B6,'SR-Team Roping-Heeler'!$B$5:$N$24,3,FALSE)),0)</f>
        <v>0</v>
      </c>
      <c r="D6" s="95" t="str">
        <f t="shared" si="0"/>
        <v xml:space="preserve"> </v>
      </c>
      <c r="E6" s="91" t="str">
        <f t="shared" si="1"/>
        <v xml:space="preserve"> </v>
      </c>
      <c r="F6" s="121">
        <f>IFERROR(IF(VLOOKUP($B6,'SR G-Breakaway'!$B$5:$AI$24,10,FALSE)=" ",0,VLOOKUP($B6,'SR G-Breakaway'!$B$5:$AI$24,10,FALSE)),0)+IFERROR(IF(VLOOKUP($B6,'SR G-Barrels'!$B$5:$AI$24,10,FALSE)=" ",0,VLOOKUP($B6,'SR G-Barrels'!$B$5:$AI$24,10,FALSE)),0)+IFERROR(IF(VLOOKUP($B6,'SR G-Poles'!$B$5:$AI$24,10,FALSE)=" ",0,VLOOKUP($B6,'SR G-Poles'!$B$5:$AI$24,10,FALSE)),0)+IFERROR(IF(VLOOKUP($B6,'SR G-Goats'!$B$5:$AI$24,10,FALSE)=" ",0,VLOOKUP($B6,'SR G-Goats'!$B$5:$AI$24,10,FALSE)),0)+IFERROR(IF(VLOOKUP($B6,'SR-Team Roping-Header'!$B$5:$N$24,4,FALSE)=" ",0,VLOOKUP($B6,'SR-Team Roping-Header'!$B$5:$N$24,4,FALSE)),0)+IFERROR(IF(VLOOKUP($B6,'SR-Team Roping-Heeler'!$B$5:$N$24,4,FALSE)=" ",0,VLOOKUP($B6,'SR-Team Roping-Heeler'!$B$5:$N$24,4,FALSE)),0)</f>
        <v>0</v>
      </c>
      <c r="G6" s="95" t="str">
        <f t="shared" si="2"/>
        <v xml:space="preserve"> </v>
      </c>
      <c r="H6" s="91" t="str">
        <f t="shared" si="3"/>
        <v xml:space="preserve"> </v>
      </c>
      <c r="I6" s="121">
        <f>IFERROR(IF(VLOOKUP($B6,'SR G-Breakaway'!$B$5:$AI$24,14,FALSE)=" ",0,VLOOKUP($B6,'SR G-Breakaway'!$B$5:$AI$24,14,FALSE)),0)+IFERROR(IF(VLOOKUP($B6,'SR G-Barrels'!$B$5:$AI$24,14,FALSE)=" ",0,VLOOKUP($B6,'SR G-Barrels'!$B$5:$AI$24,14,FALSE)),0)+IFERROR(IF(VLOOKUP($B6,'SR G-Poles'!$B$5:$AI$24,14,FALSE)=" ",0,VLOOKUP($B6,'SR G-Poles'!$B$5:$AI$24,14,FALSE)),0)+IFERROR(IF(VLOOKUP($B6,'SR G-Goats'!$B$5:$AI$24,14,FALSE)=" ",0,VLOOKUP($B6,'SR G-Goats'!$B$5:$AI$24,14,FALSE)),0)+IFERROR(IF(VLOOKUP($B6,'SR-Team Roping-Header'!$B$5:$N$24,5,FALSE)=" ",0,VLOOKUP($B6,'SR-Team Roping-Header'!$B$5:$N$24,5,FALSE)),0)+IFERROR(IF(VLOOKUP($B6,'SR-Team Roping-Heeler'!$B$5:$N$24,5,FALSE)=" ",0,VLOOKUP($B6,'SR-Team Roping-Heeler'!$B$5:$N$24,5,FALSE)),0)</f>
        <v>72</v>
      </c>
      <c r="J6" s="95">
        <f t="shared" si="4"/>
        <v>72</v>
      </c>
      <c r="K6" s="91">
        <f t="shared" si="5"/>
        <v>1</v>
      </c>
      <c r="L6" s="121">
        <f>IFERROR(IF(VLOOKUP($B6,'SR G-Breakaway'!$B$5:$AI$24,18,FALSE)=" ",0,VLOOKUP($B6,'SR G-Breakaway'!$B$5:$AI$24,18,FALSE)),0)+IFERROR(IF(VLOOKUP($B6,'SR G-Barrels'!$B$5:$AI$24,18,FALSE)=" ",0,VLOOKUP($B6,'SR G-Barrels'!$B$5:$AI$24,18,FALSE)),0)+IFERROR(IF(VLOOKUP($B6,'SR G-Poles'!$B$5:$AI$24,18,FALSE)=" ",0,VLOOKUP($B6,'SR G-Poles'!$B$5:$AI$24,18,FALSE)),0)+IFERROR(IF(VLOOKUP($B6,'SR G-Goats'!$B$5:$AI$24,18,FALSE)=" ",0,VLOOKUP($B6,'SR G-Goats'!$B$5:$AI$24,18,FALSE)),0)+IFERROR(IF(VLOOKUP($B6,'SR-Team Roping-Header'!$B$5:$N$24,6,FALSE)=" ",0,VLOOKUP($B6,'SR-Team Roping-Header'!$B$5:$N$24,6,FALSE)),0)+IFERROR(IF(VLOOKUP($B6,'SR-Team Roping-Heeler'!$B$5:$N$24,6,FALSE)=" ",0,VLOOKUP($B6,'SR-Team Roping-Heeler'!$B$5:$N$24,6,FALSE)),0)</f>
        <v>48</v>
      </c>
      <c r="M6" s="95">
        <f t="shared" si="6"/>
        <v>48</v>
      </c>
      <c r="N6" s="91">
        <f t="shared" si="7"/>
        <v>1</v>
      </c>
      <c r="O6" s="121">
        <f>IFERROR(IF(VLOOKUP($B6,'SR G-Breakaway'!$B$5:$AI$24,22,FALSE)=" ",0,VLOOKUP($B6,'SR G-Breakaway'!$B$5:$AI$24,22,FALSE)),0)+IFERROR(IF(VLOOKUP($B6,'SR G-Barrels'!$B$5:$AI$24,22,FALSE)=" ",0,VLOOKUP($B6,'SR G-Barrels'!$B$5:$AI$24,22,FALSE)),0)+IFERROR(IF(VLOOKUP($B6,'SR G-Poles'!$B$5:$AI$24,22,FALSE)=" ",0,VLOOKUP($B6,'SR G-Poles'!$B$5:$AI$24,22,FALSE)),0)+IFERROR(IF(VLOOKUP($B6,'SR G-Goats'!$B$5:$AI$24,22,FALSE)=" ",0,VLOOKUP($B6,'SR G-Goats'!$B$5:$AI$24,22,FALSE)),0)+IFERROR(IF(VLOOKUP($B6,'SR-Team Roping-Header'!$B$5:$N$24,7,FALSE)=" ",0,VLOOKUP($B6,'SR-Team Roping-Header'!$B$5:$N$24,7,FALSE)),0)+IFERROR(IF(VLOOKUP($B6,'SR-Team Roping-Heeler'!$B$5:$N$24,7,FALSE)=" ",0,VLOOKUP($B6,'SR-Team Roping-Heeler'!$B$5:$N$24,7,FALSE)),0)</f>
        <v>0</v>
      </c>
      <c r="P6" s="95" t="str">
        <f t="shared" si="8"/>
        <v xml:space="preserve"> </v>
      </c>
      <c r="Q6" s="91" t="str">
        <f t="shared" si="9"/>
        <v xml:space="preserve"> </v>
      </c>
      <c r="R6" s="121">
        <f>IFERROR(IF(VLOOKUP($B6,'SR G-Breakaway'!$B$5:$AI$24,26,FALSE)=" ",0,VLOOKUP($B6,'SR G-Breakaway'!$B$5:$AI$24,26,FALSE)),0)+IFERROR(IF(VLOOKUP($B6,'SR G-Barrels'!$B$5:$AI$24,26,FALSE)=" ",0,VLOOKUP($B6,'SR G-Barrels'!$B$5:$AI$24,26,FALSE)),0)+IFERROR(IF(VLOOKUP($B6,'SR G-Poles'!$B$5:$AI$24,26,FALSE)=" ",0,VLOOKUP($B6,'SR G-Poles'!$B$5:$AI$24,26,FALSE)),0)+IFERROR(IF(VLOOKUP($B6,'SR G-Goats'!$B$5:$AI$24,26,FALSE)=" ",0,VLOOKUP($B6,'SR G-Goats'!$B$5:$AI$24,26,FALSE)),0)+IFERROR(IF(VLOOKUP($B6,'SR-Team Roping-Header'!$B$5:$N$24,8,FALSE)=" ",0,VLOOKUP($B6,'SR-Team Roping-Header'!$B$5:$N$24,8,FALSE)),0)+IFERROR(IF(VLOOKUP($B6,'SR-Team Roping-Heeler'!$B$5:$N$24,8,FALSE)=" ",0,VLOOKUP($B6,'SR-Team Roping-Heeler'!$B$5:$N$24,8,FALSE)),0)</f>
        <v>0</v>
      </c>
      <c r="S6" s="95" t="str">
        <f t="shared" si="10"/>
        <v xml:space="preserve"> </v>
      </c>
      <c r="T6" s="91" t="str">
        <f t="shared" si="11"/>
        <v xml:space="preserve"> </v>
      </c>
      <c r="U6" s="121">
        <f>IFERROR(IF(VLOOKUP($B6,'SR G-Breakaway'!$B$5:$AI$24,30,FALSE)=" ",0,VLOOKUP($B6,'SR G-Breakaway'!$B$5:$AI$24,30,FALSE)),0)+IFERROR(IF(VLOOKUP($B6,'SR G-Barrels'!$B$5:$AI$24,30,FALSE)=" ",0,VLOOKUP($B6,'SR G-Barrels'!$B$5:$AI$24,30,FALSE)),0)+IFERROR(IF(VLOOKUP($B6,'SR G-Poles'!$B$5:$AI$24,30,FALSE)=" ",0,VLOOKUP($B6,'SR G-Poles'!$B$5:$AI$24,30,FALSE)),0)+IFERROR(IF(VLOOKUP($B6,'SR G-Goats'!$B$5:$AI$24,30,FALSE)=" ",0,VLOOKUP($B6,'SR G-Goats'!$B$5:$AI$24,30,FALSE)),0)+IFERROR(IF(VLOOKUP($B6,'SR-Team Roping-Header'!$B$5:$N$24,9,FALSE)=" ",0,VLOOKUP($B6,'SR-Team Roping-Header'!$B$5:$N$24,9,FALSE)),0)+IFERROR(IF(VLOOKUP($B6,'SR-Team Roping-Heeler'!$B$5:$N$24,9,FALSE)=" ",0,VLOOKUP($B6,'SR-Team Roping-Heeler'!$B$5:$N$24,9,FALSE)),0)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IFERROR(IF(VLOOKUP($B6,'SR G-Breakaway'!$B$5:$AI$24,34,FALSE)=" ",0,VLOOKUP($B6,'SR G-Breakaway'!$B$5:$AI$24,34,FALSE)),0)+IFERROR(IF(VLOOKUP($B6,'SR G-Barrels'!$B$5:$AI$24,34,FALSE)=" ",0,VLOOKUP($B6,'SR G-Barrels'!$B$5:$AI$24,34,FALSE)),0)+IFERROR(IF(VLOOKUP($B6,'SR G-Poles'!$B$5:$AI$24,34,FALSE)=" ",0,VLOOKUP($B6,'SR G-Poles'!$B$5:$AI$24,34,FALSE)),0)+IFERROR(IF(VLOOKUP($B6,'SR G-Goats'!$B$5:$AI$24,34,FALSE)=" ",0,VLOOKUP($B6,'SR G-Goats'!$B$5:$AI$24,34,FALSE)),0)+IFERROR(IF(VLOOKUP($B6,'SR-Team Roping-Header'!$B$5:$N$24,10,FALSE)=" ",0,VLOOKUP($B6,'SR-Team Roping-Header'!$B$5:$N$24,10,FALSE)),0)+IFERROR(IF(VLOOKUP($B6,'SR-Team Roping-Heeler'!$B$5:$N$24,10,FALSE)=" ",0,VLOOKUP($B6,'SR-Team Roping-Heeler'!$B$5:$N$24,10,FALSE)),0)</f>
        <v>0</v>
      </c>
      <c r="Y6" s="95" t="str">
        <f t="shared" si="14"/>
        <v xml:space="preserve"> </v>
      </c>
      <c r="Z6" s="91" t="str">
        <f t="shared" si="15"/>
        <v xml:space="preserve"> </v>
      </c>
      <c r="AA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120</v>
      </c>
      <c r="AB6" s="95">
        <f t="shared" si="16"/>
        <v>120</v>
      </c>
      <c r="AC6" s="91">
        <f t="shared" si="17"/>
        <v>2</v>
      </c>
    </row>
    <row r="7" spans="2:29" x14ac:dyDescent="0.3">
      <c r="B7" s="152" t="s">
        <v>164</v>
      </c>
      <c r="C7" s="120">
        <f>IFERROR(IF(VLOOKUP($B7,'SR G-Breakaway'!$B$5:$AI$24,6,FALSE)=" ",0,VLOOKUP($B7,'SR G-Breakaway'!$B$5:$AI$24,6,FALSE)),0)+IFERROR(IF(VLOOKUP($B7,'SR G-Barrels'!$B$5:$AI$24,6,FALSE)=" ",0,VLOOKUP($B7,'SR G-Barrels'!$B$5:$AI$24,6,FALSE)),0)+IFERROR(IF(VLOOKUP($B7,'SR G-Poles'!$B$5:$AI$24,6,FALSE)=" ",0,VLOOKUP($B7,'SR G-Poles'!$B$5:$AI$24,6,FALSE)),0)+IFERROR(IF(VLOOKUP($B7,'SR G-Goats'!$B$5:$AI$24,6,FALSE)=" ",0,VLOOKUP($B7,'SR G-Goats'!$B$5:$AI$24,6,FALSE)),0)+IFERROR(IF(VLOOKUP($B7,'SR-Team Roping-Header'!$B$5:$N$24,3,FALSE)=" ",0,VLOOKUP($B7,'SR-Team Roping-Header'!$B$5:$N$24,3,FALSE)),0)+IFERROR(IF(VLOOKUP($B7,'SR-Team Roping-Heeler'!$B$5:$N$24,3,FALSE)=" ",0,VLOOKUP($B7,'SR-Team Roping-Heeler'!$B$5:$N$24,3,FALSE)),0)</f>
        <v>0</v>
      </c>
      <c r="D7" s="95" t="str">
        <f t="shared" si="0"/>
        <v xml:space="preserve"> </v>
      </c>
      <c r="E7" s="122" t="str">
        <f t="shared" si="1"/>
        <v xml:space="preserve"> </v>
      </c>
      <c r="F7" s="121">
        <f>IFERROR(IF(VLOOKUP($B7,'SR G-Breakaway'!$B$5:$AI$24,10,FALSE)=" ",0,VLOOKUP($B7,'SR G-Breakaway'!$B$5:$AI$24,10,FALSE)),0)+IFERROR(IF(VLOOKUP($B7,'SR G-Barrels'!$B$5:$AI$24,10,FALSE)=" ",0,VLOOKUP($B7,'SR G-Barrels'!$B$5:$AI$24,10,FALSE)),0)+IFERROR(IF(VLOOKUP($B7,'SR G-Poles'!$B$5:$AI$24,10,FALSE)=" ",0,VLOOKUP($B7,'SR G-Poles'!$B$5:$AI$24,10,FALSE)),0)+IFERROR(IF(VLOOKUP($B7,'SR G-Goats'!$B$5:$AI$24,10,FALSE)=" ",0,VLOOKUP($B7,'SR G-Goats'!$B$5:$AI$24,10,FALSE)),0)+IFERROR(IF(VLOOKUP($B7,'SR-Team Roping-Header'!$B$5:$N$24,4,FALSE)=" ",0,VLOOKUP($B7,'SR-Team Roping-Header'!$B$5:$N$24,4,FALSE)),0)+IFERROR(IF(VLOOKUP($B7,'SR-Team Roping-Heeler'!$B$5:$N$24,4,FALSE)=" ",0,VLOOKUP($B7,'SR-Team Roping-Heeler'!$B$5:$N$24,4,FALSE)),0)</f>
        <v>18</v>
      </c>
      <c r="G7" s="95">
        <f t="shared" si="2"/>
        <v>18</v>
      </c>
      <c r="H7" s="122">
        <f t="shared" si="3"/>
        <v>3</v>
      </c>
      <c r="I7" s="121">
        <f>IFERROR(IF(VLOOKUP($B7,'SR G-Breakaway'!$B$5:$AI$24,14,FALSE)=" ",0,VLOOKUP($B7,'SR G-Breakaway'!$B$5:$AI$24,14,FALSE)),0)+IFERROR(IF(VLOOKUP($B7,'SR G-Barrels'!$B$5:$AI$24,14,FALSE)=" ",0,VLOOKUP($B7,'SR G-Barrels'!$B$5:$AI$24,14,FALSE)),0)+IFERROR(IF(VLOOKUP($B7,'SR G-Poles'!$B$5:$AI$24,14,FALSE)=" ",0,VLOOKUP($B7,'SR G-Poles'!$B$5:$AI$24,14,FALSE)),0)+IFERROR(IF(VLOOKUP($B7,'SR G-Goats'!$B$5:$AI$24,14,FALSE)=" ",0,VLOOKUP($B7,'SR G-Goats'!$B$5:$AI$24,14,FALSE)),0)+IFERROR(IF(VLOOKUP($B7,'SR-Team Roping-Header'!$B$5:$N$24,5,FALSE)=" ",0,VLOOKUP($B7,'SR-Team Roping-Header'!$B$5:$N$24,5,FALSE)),0)+IFERROR(IF(VLOOKUP($B7,'SR-Team Roping-Heeler'!$B$5:$N$24,5,FALSE)=" ",0,VLOOKUP($B7,'SR-Team Roping-Heeler'!$B$5:$N$24,5,FALSE)),0)</f>
        <v>48</v>
      </c>
      <c r="J7" s="95">
        <f t="shared" si="4"/>
        <v>48</v>
      </c>
      <c r="K7" s="122">
        <f t="shared" si="5"/>
        <v>3</v>
      </c>
      <c r="L7" s="121">
        <f>IFERROR(IF(VLOOKUP($B7,'SR G-Breakaway'!$B$5:$AI$24,18,FALSE)=" ",0,VLOOKUP($B7,'SR G-Breakaway'!$B$5:$AI$24,18,FALSE)),0)+IFERROR(IF(VLOOKUP($B7,'SR G-Barrels'!$B$5:$AI$24,18,FALSE)=" ",0,VLOOKUP($B7,'SR G-Barrels'!$B$5:$AI$24,18,FALSE)),0)+IFERROR(IF(VLOOKUP($B7,'SR G-Poles'!$B$5:$AI$24,18,FALSE)=" ",0,VLOOKUP($B7,'SR G-Poles'!$B$5:$AI$24,18,FALSE)),0)+IFERROR(IF(VLOOKUP($B7,'SR G-Goats'!$B$5:$AI$24,18,FALSE)=" ",0,VLOOKUP($B7,'SR G-Goats'!$B$5:$AI$24,18,FALSE)),0)+IFERROR(IF(VLOOKUP($B7,'SR-Team Roping-Header'!$B$5:$N$24,6,FALSE)=" ",0,VLOOKUP($B7,'SR-Team Roping-Header'!$B$5:$N$24,6,FALSE)),0)+IFERROR(IF(VLOOKUP($B7,'SR-Team Roping-Heeler'!$B$5:$N$24,6,FALSE)=" ",0,VLOOKUP($B7,'SR-Team Roping-Heeler'!$B$5:$N$24,6,FALSE)),0)</f>
        <v>30</v>
      </c>
      <c r="M7" s="95">
        <f t="shared" si="6"/>
        <v>30</v>
      </c>
      <c r="N7" s="122">
        <f t="shared" si="7"/>
        <v>4</v>
      </c>
      <c r="O7" s="121">
        <f>IFERROR(IF(VLOOKUP($B7,'SR G-Breakaway'!$B$5:$AI$24,22,FALSE)=" ",0,VLOOKUP($B7,'SR G-Breakaway'!$B$5:$AI$24,22,FALSE)),0)+IFERROR(IF(VLOOKUP($B7,'SR G-Barrels'!$B$5:$AI$24,22,FALSE)=" ",0,VLOOKUP($B7,'SR G-Barrels'!$B$5:$AI$24,22,FALSE)),0)+IFERROR(IF(VLOOKUP($B7,'SR G-Poles'!$B$5:$AI$24,22,FALSE)=" ",0,VLOOKUP($B7,'SR G-Poles'!$B$5:$AI$24,22,FALSE)),0)+IFERROR(IF(VLOOKUP($B7,'SR G-Goats'!$B$5:$AI$24,22,FALSE)=" ",0,VLOOKUP($B7,'SR G-Goats'!$B$5:$AI$24,22,FALSE)),0)+IFERROR(IF(VLOOKUP($B7,'SR-Team Roping-Header'!$B$5:$N$24,7,FALSE)=" ",0,VLOOKUP($B7,'SR-Team Roping-Header'!$B$5:$N$24,7,FALSE)),0)+IFERROR(IF(VLOOKUP($B7,'SR-Team Roping-Heeler'!$B$5:$N$24,7,FALSE)=" ",0,VLOOKUP($B7,'SR-Team Roping-Heeler'!$B$5:$N$24,7,FALSE)),0)</f>
        <v>0</v>
      </c>
      <c r="P7" s="95" t="str">
        <f t="shared" si="8"/>
        <v xml:space="preserve"> </v>
      </c>
      <c r="Q7" s="122" t="str">
        <f t="shared" si="9"/>
        <v xml:space="preserve"> </v>
      </c>
      <c r="R7" s="121">
        <f>IFERROR(IF(VLOOKUP($B7,'SR G-Breakaway'!$B$5:$AI$24,26,FALSE)=" ",0,VLOOKUP($B7,'SR G-Breakaway'!$B$5:$AI$24,26,FALSE)),0)+IFERROR(IF(VLOOKUP($B7,'SR G-Barrels'!$B$5:$AI$24,26,FALSE)=" ",0,VLOOKUP($B7,'SR G-Barrels'!$B$5:$AI$24,26,FALSE)),0)+IFERROR(IF(VLOOKUP($B7,'SR G-Poles'!$B$5:$AI$24,26,FALSE)=" ",0,VLOOKUP($B7,'SR G-Poles'!$B$5:$AI$24,26,FALSE)),0)+IFERROR(IF(VLOOKUP($B7,'SR G-Goats'!$B$5:$AI$24,26,FALSE)=" ",0,VLOOKUP($B7,'SR G-Goats'!$B$5:$AI$24,26,FALSE)),0)+IFERROR(IF(VLOOKUP($B7,'SR-Team Roping-Header'!$B$5:$N$24,8,FALSE)=" ",0,VLOOKUP($B7,'SR-Team Roping-Header'!$B$5:$N$24,8,FALSE)),0)+IFERROR(IF(VLOOKUP($B7,'SR-Team Roping-Heeler'!$B$5:$N$24,8,FALSE)=" ",0,VLOOKUP($B7,'SR-Team Roping-Heeler'!$B$5:$N$24,8,FALSE)),0)</f>
        <v>0</v>
      </c>
      <c r="S7" s="95" t="str">
        <f t="shared" si="10"/>
        <v xml:space="preserve"> </v>
      </c>
      <c r="T7" s="122" t="str">
        <f t="shared" si="11"/>
        <v xml:space="preserve"> </v>
      </c>
      <c r="U7" s="121">
        <f>IFERROR(IF(VLOOKUP($B7,'SR G-Breakaway'!$B$5:$AI$24,30,FALSE)=" ",0,VLOOKUP($B7,'SR G-Breakaway'!$B$5:$AI$24,30,FALSE)),0)+IFERROR(IF(VLOOKUP($B7,'SR G-Barrels'!$B$5:$AI$24,30,FALSE)=" ",0,VLOOKUP($B7,'SR G-Barrels'!$B$5:$AI$24,30,FALSE)),0)+IFERROR(IF(VLOOKUP($B7,'SR G-Poles'!$B$5:$AI$24,30,FALSE)=" ",0,VLOOKUP($B7,'SR G-Poles'!$B$5:$AI$24,30,FALSE)),0)+IFERROR(IF(VLOOKUP($B7,'SR G-Goats'!$B$5:$AI$24,30,FALSE)=" ",0,VLOOKUP($B7,'SR G-Goats'!$B$5:$AI$24,30,FALSE)),0)+IFERROR(IF(VLOOKUP($B7,'SR-Team Roping-Header'!$B$5:$N$24,9,FALSE)=" ",0,VLOOKUP($B7,'SR-Team Roping-Header'!$B$5:$N$24,9,FALSE)),0)+IFERROR(IF(VLOOKUP($B7,'SR-Team Roping-Heeler'!$B$5:$N$24,9,FALSE)=" ",0,VLOOKUP($B7,'SR-Team Roping-Heeler'!$B$5:$N$24,9,FALSE)),0)</f>
        <v>0</v>
      </c>
      <c r="V7" s="95" t="str">
        <f t="shared" si="12"/>
        <v xml:space="preserve"> </v>
      </c>
      <c r="W7" s="122" t="str">
        <f t="shared" si="13"/>
        <v xml:space="preserve"> </v>
      </c>
      <c r="X7" s="121">
        <f>IFERROR(IF(VLOOKUP($B7,'SR G-Breakaway'!$B$5:$AI$24,34,FALSE)=" ",0,VLOOKUP($B7,'SR G-Breakaway'!$B$5:$AI$24,34,FALSE)),0)+IFERROR(IF(VLOOKUP($B7,'SR G-Barrels'!$B$5:$AI$24,34,FALSE)=" ",0,VLOOKUP($B7,'SR G-Barrels'!$B$5:$AI$24,34,FALSE)),0)+IFERROR(IF(VLOOKUP($B7,'SR G-Poles'!$B$5:$AI$24,34,FALSE)=" ",0,VLOOKUP($B7,'SR G-Poles'!$B$5:$AI$24,34,FALSE)),0)+IFERROR(IF(VLOOKUP($B7,'SR G-Goats'!$B$5:$AI$24,34,FALSE)=" ",0,VLOOKUP($B7,'SR G-Goats'!$B$5:$AI$24,34,FALSE)),0)+IFERROR(IF(VLOOKUP($B7,'SR-Team Roping-Header'!$B$5:$N$24,10,FALSE)=" ",0,VLOOKUP($B7,'SR-Team Roping-Header'!$B$5:$N$24,10,FALSE)),0)+IFERROR(IF(VLOOKUP($B7,'SR-Team Roping-Heeler'!$B$5:$N$24,10,FALSE)=" ",0,VLOOKUP($B7,'SR-Team Roping-Heeler'!$B$5:$N$24,10,FALSE)),0)</f>
        <v>0</v>
      </c>
      <c r="Y7" s="95" t="str">
        <f t="shared" si="14"/>
        <v xml:space="preserve"> </v>
      </c>
      <c r="Z7" s="122" t="str">
        <f t="shared" si="15"/>
        <v xml:space="preserve"> </v>
      </c>
      <c r="AA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96</v>
      </c>
      <c r="AB7" s="95">
        <f t="shared" si="16"/>
        <v>96</v>
      </c>
      <c r="AC7" s="122">
        <f t="shared" si="17"/>
        <v>3</v>
      </c>
    </row>
    <row r="8" spans="2:29" x14ac:dyDescent="0.3">
      <c r="B8" s="152" t="s">
        <v>280</v>
      </c>
      <c r="C8" s="120">
        <f>IFERROR(IF(VLOOKUP($B8,'SR G-Breakaway'!$B$5:$AI$24,6,FALSE)=" ",0,VLOOKUP($B8,'SR G-Breakaway'!$B$5:$AI$24,6,FALSE)),0)+IFERROR(IF(VLOOKUP($B8,'SR G-Barrels'!$B$5:$AI$24,6,FALSE)=" ",0,VLOOKUP($B8,'SR G-Barrels'!$B$5:$AI$24,6,FALSE)),0)+IFERROR(IF(VLOOKUP($B8,'SR G-Poles'!$B$5:$AI$24,6,FALSE)=" ",0,VLOOKUP($B8,'SR G-Poles'!$B$5:$AI$24,6,FALSE)),0)+IFERROR(IF(VLOOKUP($B8,'SR G-Goats'!$B$5:$AI$24,6,FALSE)=" ",0,VLOOKUP($B8,'SR G-Goats'!$B$5:$AI$24,6,FALSE)),0)+IFERROR(IF(VLOOKUP($B8,'SR-Team Roping-Header'!$B$5:$N$24,3,FALSE)=" ",0,VLOOKUP($B8,'SR-Team Roping-Header'!$B$5:$N$24,3,FALSE)),0)+IFERROR(IF(VLOOKUP($B8,'SR-Team Roping-Heeler'!$B$5:$N$24,3,FALSE)=" ",0,VLOOKUP($B8,'SR-Team Roping-Heeler'!$B$5:$N$24,3,FALSE)),0)</f>
        <v>0</v>
      </c>
      <c r="D8" s="95" t="str">
        <f t="shared" si="0"/>
        <v xml:space="preserve"> </v>
      </c>
      <c r="E8" s="122" t="str">
        <f t="shared" si="1"/>
        <v xml:space="preserve"> </v>
      </c>
      <c r="F8" s="121">
        <f>IFERROR(IF(VLOOKUP($B8,'SR G-Breakaway'!$B$5:$AI$24,10,FALSE)=" ",0,VLOOKUP($B8,'SR G-Breakaway'!$B$5:$AI$24,10,FALSE)),0)+IFERROR(IF(VLOOKUP($B8,'SR G-Barrels'!$B$5:$AI$24,10,FALSE)=" ",0,VLOOKUP($B8,'SR G-Barrels'!$B$5:$AI$24,10,FALSE)),0)+IFERROR(IF(VLOOKUP($B8,'SR G-Poles'!$B$5:$AI$24,10,FALSE)=" ",0,VLOOKUP($B8,'SR G-Poles'!$B$5:$AI$24,10,FALSE)),0)+IFERROR(IF(VLOOKUP($B8,'SR G-Goats'!$B$5:$AI$24,10,FALSE)=" ",0,VLOOKUP($B8,'SR G-Goats'!$B$5:$AI$24,10,FALSE)),0)+IFERROR(IF(VLOOKUP($B8,'SR-Team Roping-Header'!$B$5:$N$24,4,FALSE)=" ",0,VLOOKUP($B8,'SR-Team Roping-Header'!$B$5:$N$24,4,FALSE)),0)+IFERROR(IF(VLOOKUP($B8,'SR-Team Roping-Heeler'!$B$5:$N$24,4,FALSE)=" ",0,VLOOKUP($B8,'SR-Team Roping-Heeler'!$B$5:$N$24,4,FALSE)),0)</f>
        <v>0</v>
      </c>
      <c r="G8" s="95" t="str">
        <f t="shared" si="2"/>
        <v xml:space="preserve"> </v>
      </c>
      <c r="H8" s="122" t="str">
        <f t="shared" si="3"/>
        <v xml:space="preserve"> </v>
      </c>
      <c r="I8" s="121">
        <f>IFERROR(IF(VLOOKUP($B8,'SR G-Breakaway'!$B$5:$AI$24,14,FALSE)=" ",0,VLOOKUP($B8,'SR G-Breakaway'!$B$5:$AI$24,14,FALSE)),0)+IFERROR(IF(VLOOKUP($B8,'SR G-Barrels'!$B$5:$AI$24,14,FALSE)=" ",0,VLOOKUP($B8,'SR G-Barrels'!$B$5:$AI$24,14,FALSE)),0)+IFERROR(IF(VLOOKUP($B8,'SR G-Poles'!$B$5:$AI$24,14,FALSE)=" ",0,VLOOKUP($B8,'SR G-Poles'!$B$5:$AI$24,14,FALSE)),0)+IFERROR(IF(VLOOKUP($B8,'SR G-Goats'!$B$5:$AI$24,14,FALSE)=" ",0,VLOOKUP($B8,'SR G-Goats'!$B$5:$AI$24,14,FALSE)),0)+IFERROR(IF(VLOOKUP($B8,'SR-Team Roping-Header'!$B$5:$N$24,5,FALSE)=" ",0,VLOOKUP($B8,'SR-Team Roping-Header'!$B$5:$N$24,5,FALSE)),0)+IFERROR(IF(VLOOKUP($B8,'SR-Team Roping-Heeler'!$B$5:$N$24,5,FALSE)=" ",0,VLOOKUP($B8,'SR-Team Roping-Heeler'!$B$5:$N$24,5,FALSE)),0)</f>
        <v>18</v>
      </c>
      <c r="J8" s="95">
        <f t="shared" si="4"/>
        <v>18</v>
      </c>
      <c r="K8" s="122">
        <f t="shared" si="5"/>
        <v>6</v>
      </c>
      <c r="L8" s="121">
        <f>IFERROR(IF(VLOOKUP($B8,'SR G-Breakaway'!$B$5:$AI$24,18,FALSE)=" ",0,VLOOKUP($B8,'SR G-Breakaway'!$B$5:$AI$24,18,FALSE)),0)+IFERROR(IF(VLOOKUP($B8,'SR G-Barrels'!$B$5:$AI$24,18,FALSE)=" ",0,VLOOKUP($B8,'SR G-Barrels'!$B$5:$AI$24,18,FALSE)),0)+IFERROR(IF(VLOOKUP($B8,'SR G-Poles'!$B$5:$AI$24,18,FALSE)=" ",0,VLOOKUP($B8,'SR G-Poles'!$B$5:$AI$24,18,FALSE)),0)+IFERROR(IF(VLOOKUP($B8,'SR G-Goats'!$B$5:$AI$24,18,FALSE)=" ",0,VLOOKUP($B8,'SR G-Goats'!$B$5:$AI$24,18,FALSE)),0)+IFERROR(IF(VLOOKUP($B8,'SR-Team Roping-Header'!$B$5:$N$24,6,FALSE)=" ",0,VLOOKUP($B8,'SR-Team Roping-Header'!$B$5:$N$24,6,FALSE)),0)+IFERROR(IF(VLOOKUP($B8,'SR-Team Roping-Heeler'!$B$5:$N$24,6,FALSE)=" ",0,VLOOKUP($B8,'SR-Team Roping-Heeler'!$B$5:$N$24,6,FALSE)),0)</f>
        <v>39</v>
      </c>
      <c r="M8" s="95">
        <f t="shared" si="6"/>
        <v>39</v>
      </c>
      <c r="N8" s="122">
        <f t="shared" si="7"/>
        <v>2</v>
      </c>
      <c r="O8" s="121">
        <f>IFERROR(IF(VLOOKUP($B8,'SR G-Breakaway'!$B$5:$AI$24,22,FALSE)=" ",0,VLOOKUP($B8,'SR G-Breakaway'!$B$5:$AI$24,22,FALSE)),0)+IFERROR(IF(VLOOKUP($B8,'SR G-Barrels'!$B$5:$AI$24,22,FALSE)=" ",0,VLOOKUP($B8,'SR G-Barrels'!$B$5:$AI$24,22,FALSE)),0)+IFERROR(IF(VLOOKUP($B8,'SR G-Poles'!$B$5:$AI$24,22,FALSE)=" ",0,VLOOKUP($B8,'SR G-Poles'!$B$5:$AI$24,22,FALSE)),0)+IFERROR(IF(VLOOKUP($B8,'SR G-Goats'!$B$5:$AI$24,22,FALSE)=" ",0,VLOOKUP($B8,'SR G-Goats'!$B$5:$AI$24,22,FALSE)),0)+IFERROR(IF(VLOOKUP($B8,'SR-Team Roping-Header'!$B$5:$N$24,7,FALSE)=" ",0,VLOOKUP($B8,'SR-Team Roping-Header'!$B$5:$N$24,7,FALSE)),0)+IFERROR(IF(VLOOKUP($B8,'SR-Team Roping-Heeler'!$B$5:$N$24,7,FALSE)=" ",0,VLOOKUP($B8,'SR-Team Roping-Heeler'!$B$5:$N$24,7,FALSE)),0)</f>
        <v>0</v>
      </c>
      <c r="P8" s="95" t="str">
        <f t="shared" si="8"/>
        <v xml:space="preserve"> </v>
      </c>
      <c r="Q8" s="122" t="str">
        <f t="shared" si="9"/>
        <v xml:space="preserve"> </v>
      </c>
      <c r="R8" s="121">
        <f>IFERROR(IF(VLOOKUP($B8,'SR G-Breakaway'!$B$5:$AI$24,26,FALSE)=" ",0,VLOOKUP($B8,'SR G-Breakaway'!$B$5:$AI$24,26,FALSE)),0)+IFERROR(IF(VLOOKUP($B8,'SR G-Barrels'!$B$5:$AI$24,26,FALSE)=" ",0,VLOOKUP($B8,'SR G-Barrels'!$B$5:$AI$24,26,FALSE)),0)+IFERROR(IF(VLOOKUP($B8,'SR G-Poles'!$B$5:$AI$24,26,FALSE)=" ",0,VLOOKUP($B8,'SR G-Poles'!$B$5:$AI$24,26,FALSE)),0)+IFERROR(IF(VLOOKUP($B8,'SR G-Goats'!$B$5:$AI$24,26,FALSE)=" ",0,VLOOKUP($B8,'SR G-Goats'!$B$5:$AI$24,26,FALSE)),0)+IFERROR(IF(VLOOKUP($B8,'SR-Team Roping-Header'!$B$5:$N$24,8,FALSE)=" ",0,VLOOKUP($B8,'SR-Team Roping-Header'!$B$5:$N$24,8,FALSE)),0)+IFERROR(IF(VLOOKUP($B8,'SR-Team Roping-Heeler'!$B$5:$N$24,8,FALSE)=" ",0,VLOOKUP($B8,'SR-Team Roping-Heeler'!$B$5:$N$24,8,FALSE)),0)</f>
        <v>0</v>
      </c>
      <c r="S8" s="95" t="str">
        <f t="shared" si="10"/>
        <v xml:space="preserve"> </v>
      </c>
      <c r="T8" s="122" t="str">
        <f t="shared" si="11"/>
        <v xml:space="preserve"> </v>
      </c>
      <c r="U8" s="121">
        <f>IFERROR(IF(VLOOKUP($B8,'SR G-Breakaway'!$B$5:$AI$24,30,FALSE)=" ",0,VLOOKUP($B8,'SR G-Breakaway'!$B$5:$AI$24,30,FALSE)),0)+IFERROR(IF(VLOOKUP($B8,'SR G-Barrels'!$B$5:$AI$24,30,FALSE)=" ",0,VLOOKUP($B8,'SR G-Barrels'!$B$5:$AI$24,30,FALSE)),0)+IFERROR(IF(VLOOKUP($B8,'SR G-Poles'!$B$5:$AI$24,30,FALSE)=" ",0,VLOOKUP($B8,'SR G-Poles'!$B$5:$AI$24,30,FALSE)),0)+IFERROR(IF(VLOOKUP($B8,'SR G-Goats'!$B$5:$AI$24,30,FALSE)=" ",0,VLOOKUP($B8,'SR G-Goats'!$B$5:$AI$24,30,FALSE)),0)+IFERROR(IF(VLOOKUP($B8,'SR-Team Roping-Header'!$B$5:$N$24,9,FALSE)=" ",0,VLOOKUP($B8,'SR-Team Roping-Header'!$B$5:$N$24,9,FALSE)),0)+IFERROR(IF(VLOOKUP($B8,'SR-Team Roping-Heeler'!$B$5:$N$24,9,FALSE)=" ",0,VLOOKUP($B8,'SR-Team Roping-Heeler'!$B$5:$N$24,9,FALSE)),0)</f>
        <v>0</v>
      </c>
      <c r="V8" s="95" t="str">
        <f t="shared" si="12"/>
        <v xml:space="preserve"> </v>
      </c>
      <c r="W8" s="122" t="str">
        <f t="shared" si="13"/>
        <v xml:space="preserve"> </v>
      </c>
      <c r="X8" s="121">
        <f>IFERROR(IF(VLOOKUP($B8,'SR G-Breakaway'!$B$5:$AI$24,34,FALSE)=" ",0,VLOOKUP($B8,'SR G-Breakaway'!$B$5:$AI$24,34,FALSE)),0)+IFERROR(IF(VLOOKUP($B8,'SR G-Barrels'!$B$5:$AI$24,34,FALSE)=" ",0,VLOOKUP($B8,'SR G-Barrels'!$B$5:$AI$24,34,FALSE)),0)+IFERROR(IF(VLOOKUP($B8,'SR G-Poles'!$B$5:$AI$24,34,FALSE)=" ",0,VLOOKUP($B8,'SR G-Poles'!$B$5:$AI$24,34,FALSE)),0)+IFERROR(IF(VLOOKUP($B8,'SR G-Goats'!$B$5:$AI$24,34,FALSE)=" ",0,VLOOKUP($B8,'SR G-Goats'!$B$5:$AI$24,34,FALSE)),0)+IFERROR(IF(VLOOKUP($B8,'SR-Team Roping-Header'!$B$5:$N$24,10,FALSE)=" ",0,VLOOKUP($B8,'SR-Team Roping-Header'!$B$5:$N$24,10,FALSE)),0)+IFERROR(IF(VLOOKUP($B8,'SR-Team Roping-Heeler'!$B$5:$N$24,10,FALSE)=" ",0,VLOOKUP($B8,'SR-Team Roping-Heeler'!$B$5:$N$24,10,FALSE)),0)</f>
        <v>0</v>
      </c>
      <c r="Y8" s="95" t="str">
        <f t="shared" si="14"/>
        <v xml:space="preserve"> </v>
      </c>
      <c r="Z8" s="122" t="str">
        <f t="shared" si="15"/>
        <v xml:space="preserve"> </v>
      </c>
      <c r="AA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57</v>
      </c>
      <c r="AB8" s="95">
        <f t="shared" si="16"/>
        <v>57</v>
      </c>
      <c r="AC8" s="122">
        <f t="shared" si="17"/>
        <v>4</v>
      </c>
    </row>
    <row r="9" spans="2:29" x14ac:dyDescent="0.3">
      <c r="B9" s="152" t="s">
        <v>152</v>
      </c>
      <c r="C9" s="120">
        <f>IFERROR(IF(VLOOKUP($B9,'SR G-Breakaway'!$B$5:$AI$24,6,FALSE)=" ",0,VLOOKUP($B9,'SR G-Breakaway'!$B$5:$AI$24,6,FALSE)),0)+IFERROR(IF(VLOOKUP($B9,'SR G-Barrels'!$B$5:$AI$24,6,FALSE)=" ",0,VLOOKUP($B9,'SR G-Barrels'!$B$5:$AI$24,6,FALSE)),0)+IFERROR(IF(VLOOKUP($B9,'SR G-Poles'!$B$5:$AI$24,6,FALSE)=" ",0,VLOOKUP($B9,'SR G-Poles'!$B$5:$AI$24,6,FALSE)),0)+IFERROR(IF(VLOOKUP($B9,'SR G-Goats'!$B$5:$AI$24,6,FALSE)=" ",0,VLOOKUP($B9,'SR G-Goats'!$B$5:$AI$24,6,FALSE)),0)+IFERROR(IF(VLOOKUP($B9,'SR-Team Roping-Header'!$B$5:$N$24,3,FALSE)=" ",0,VLOOKUP($B9,'SR-Team Roping-Header'!$B$5:$N$24,3,FALSE)),0)+IFERROR(IF(VLOOKUP($B9,'SR-Team Roping-Heeler'!$B$5:$N$24,3,FALSE)=" ",0,VLOOKUP($B9,'SR-Team Roping-Heeler'!$B$5:$N$24,3,FALSE)),0)</f>
        <v>0</v>
      </c>
      <c r="D9" s="95" t="str">
        <f t="shared" si="0"/>
        <v xml:space="preserve"> </v>
      </c>
      <c r="E9" s="122" t="str">
        <f t="shared" si="1"/>
        <v xml:space="preserve"> </v>
      </c>
      <c r="F9" s="121">
        <f>IFERROR(IF(VLOOKUP($B9,'SR G-Breakaway'!$B$5:$AI$24,10,FALSE)=" ",0,VLOOKUP($B9,'SR G-Breakaway'!$B$5:$AI$24,10,FALSE)),0)+IFERROR(IF(VLOOKUP($B9,'SR G-Barrels'!$B$5:$AI$24,10,FALSE)=" ",0,VLOOKUP($B9,'SR G-Barrels'!$B$5:$AI$24,10,FALSE)),0)+IFERROR(IF(VLOOKUP($B9,'SR G-Poles'!$B$5:$AI$24,10,FALSE)=" ",0,VLOOKUP($B9,'SR G-Poles'!$B$5:$AI$24,10,FALSE)),0)+IFERROR(IF(VLOOKUP($B9,'SR G-Goats'!$B$5:$AI$24,10,FALSE)=" ",0,VLOOKUP($B9,'SR G-Goats'!$B$5:$AI$24,10,FALSE)),0)+IFERROR(IF(VLOOKUP($B9,'SR-Team Roping-Header'!$B$5:$N$24,4,FALSE)=" ",0,VLOOKUP($B9,'SR-Team Roping-Header'!$B$5:$N$24,4,FALSE)),0)+IFERROR(IF(VLOOKUP($B9,'SR-Team Roping-Heeler'!$B$5:$N$24,4,FALSE)=" ",0,VLOOKUP($B9,'SR-Team Roping-Heeler'!$B$5:$N$24,4,FALSE)),0)</f>
        <v>12</v>
      </c>
      <c r="G9" s="95">
        <f t="shared" si="2"/>
        <v>12</v>
      </c>
      <c r="H9" s="122">
        <f t="shared" si="3"/>
        <v>6</v>
      </c>
      <c r="I9" s="121">
        <f>IFERROR(IF(VLOOKUP($B9,'SR G-Breakaway'!$B$5:$AI$24,14,FALSE)=" ",0,VLOOKUP($B9,'SR G-Breakaway'!$B$5:$AI$24,14,FALSE)),0)+IFERROR(IF(VLOOKUP($B9,'SR G-Barrels'!$B$5:$AI$24,14,FALSE)=" ",0,VLOOKUP($B9,'SR G-Barrels'!$B$5:$AI$24,14,FALSE)),0)+IFERROR(IF(VLOOKUP($B9,'SR G-Poles'!$B$5:$AI$24,14,FALSE)=" ",0,VLOOKUP($B9,'SR G-Poles'!$B$5:$AI$24,14,FALSE)),0)+IFERROR(IF(VLOOKUP($B9,'SR G-Goats'!$B$5:$AI$24,14,FALSE)=" ",0,VLOOKUP($B9,'SR G-Goats'!$B$5:$AI$24,14,FALSE)),0)+IFERROR(IF(VLOOKUP($B9,'SR-Team Roping-Header'!$B$5:$N$24,5,FALSE)=" ",0,VLOOKUP($B9,'SR-Team Roping-Header'!$B$5:$N$24,5,FALSE)),0)+IFERROR(IF(VLOOKUP($B9,'SR-Team Roping-Heeler'!$B$5:$N$24,5,FALSE)=" ",0,VLOOKUP($B9,'SR-Team Roping-Heeler'!$B$5:$N$24,5,FALSE)),0)</f>
        <v>21</v>
      </c>
      <c r="J9" s="95">
        <f t="shared" si="4"/>
        <v>21</v>
      </c>
      <c r="K9" s="122">
        <f t="shared" si="5"/>
        <v>5</v>
      </c>
      <c r="L9" s="121">
        <f>IFERROR(IF(VLOOKUP($B9,'SR G-Breakaway'!$B$5:$AI$24,18,FALSE)=" ",0,VLOOKUP($B9,'SR G-Breakaway'!$B$5:$AI$24,18,FALSE)),0)+IFERROR(IF(VLOOKUP($B9,'SR G-Barrels'!$B$5:$AI$24,18,FALSE)=" ",0,VLOOKUP($B9,'SR G-Barrels'!$B$5:$AI$24,18,FALSE)),0)+IFERROR(IF(VLOOKUP($B9,'SR G-Poles'!$B$5:$AI$24,18,FALSE)=" ",0,VLOOKUP($B9,'SR G-Poles'!$B$5:$AI$24,18,FALSE)),0)+IFERROR(IF(VLOOKUP($B9,'SR G-Goats'!$B$5:$AI$24,18,FALSE)=" ",0,VLOOKUP($B9,'SR G-Goats'!$B$5:$AI$24,18,FALSE)),0)+IFERROR(IF(VLOOKUP($B9,'SR-Team Roping-Header'!$B$5:$N$24,6,FALSE)=" ",0,VLOOKUP($B9,'SR-Team Roping-Header'!$B$5:$N$24,6,FALSE)),0)+IFERROR(IF(VLOOKUP($B9,'SR-Team Roping-Heeler'!$B$5:$N$24,6,FALSE)=" ",0,VLOOKUP($B9,'SR-Team Roping-Heeler'!$B$5:$N$24,6,FALSE)),0)</f>
        <v>24</v>
      </c>
      <c r="M9" s="95">
        <f t="shared" si="6"/>
        <v>24</v>
      </c>
      <c r="N9" s="122">
        <f t="shared" si="7"/>
        <v>5</v>
      </c>
      <c r="O9" s="121">
        <f>IFERROR(IF(VLOOKUP($B9,'SR G-Breakaway'!$B$5:$AI$24,22,FALSE)=" ",0,VLOOKUP($B9,'SR G-Breakaway'!$B$5:$AI$24,22,FALSE)),0)+IFERROR(IF(VLOOKUP($B9,'SR G-Barrels'!$B$5:$AI$24,22,FALSE)=" ",0,VLOOKUP($B9,'SR G-Barrels'!$B$5:$AI$24,22,FALSE)),0)+IFERROR(IF(VLOOKUP($B9,'SR G-Poles'!$B$5:$AI$24,22,FALSE)=" ",0,VLOOKUP($B9,'SR G-Poles'!$B$5:$AI$24,22,FALSE)),0)+IFERROR(IF(VLOOKUP($B9,'SR G-Goats'!$B$5:$AI$24,22,FALSE)=" ",0,VLOOKUP($B9,'SR G-Goats'!$B$5:$AI$24,22,FALSE)),0)+IFERROR(IF(VLOOKUP($B9,'SR-Team Roping-Header'!$B$5:$N$24,7,FALSE)=" ",0,VLOOKUP($B9,'SR-Team Roping-Header'!$B$5:$N$24,7,FALSE)),0)+IFERROR(IF(VLOOKUP($B9,'SR-Team Roping-Heeler'!$B$5:$N$24,7,FALSE)=" ",0,VLOOKUP($B9,'SR-Team Roping-Heeler'!$B$5:$N$24,7,FALSE)),0)</f>
        <v>0</v>
      </c>
      <c r="P9" s="95" t="str">
        <f t="shared" si="8"/>
        <v xml:space="preserve"> </v>
      </c>
      <c r="Q9" s="122" t="str">
        <f t="shared" si="9"/>
        <v xml:space="preserve"> </v>
      </c>
      <c r="R9" s="121">
        <f>IFERROR(IF(VLOOKUP($B9,'SR G-Breakaway'!$B$5:$AI$24,26,FALSE)=" ",0,VLOOKUP($B9,'SR G-Breakaway'!$B$5:$AI$24,26,FALSE)),0)+IFERROR(IF(VLOOKUP($B9,'SR G-Barrels'!$B$5:$AI$24,26,FALSE)=" ",0,VLOOKUP($B9,'SR G-Barrels'!$B$5:$AI$24,26,FALSE)),0)+IFERROR(IF(VLOOKUP($B9,'SR G-Poles'!$B$5:$AI$24,26,FALSE)=" ",0,VLOOKUP($B9,'SR G-Poles'!$B$5:$AI$24,26,FALSE)),0)+IFERROR(IF(VLOOKUP($B9,'SR G-Goats'!$B$5:$AI$24,26,FALSE)=" ",0,VLOOKUP($B9,'SR G-Goats'!$B$5:$AI$24,26,FALSE)),0)+IFERROR(IF(VLOOKUP($B9,'SR-Team Roping-Header'!$B$5:$N$24,8,FALSE)=" ",0,VLOOKUP($B9,'SR-Team Roping-Header'!$B$5:$N$24,8,FALSE)),0)+IFERROR(IF(VLOOKUP($B9,'SR-Team Roping-Heeler'!$B$5:$N$24,8,FALSE)=" ",0,VLOOKUP($B9,'SR-Team Roping-Heeler'!$B$5:$N$24,8,FALSE)),0)</f>
        <v>0</v>
      </c>
      <c r="S9" s="95" t="str">
        <f t="shared" si="10"/>
        <v xml:space="preserve"> </v>
      </c>
      <c r="T9" s="122" t="str">
        <f t="shared" si="11"/>
        <v xml:space="preserve"> </v>
      </c>
      <c r="U9" s="121">
        <f>IFERROR(IF(VLOOKUP($B9,'SR G-Breakaway'!$B$5:$AI$24,30,FALSE)=" ",0,VLOOKUP($B9,'SR G-Breakaway'!$B$5:$AI$24,30,FALSE)),0)+IFERROR(IF(VLOOKUP($B9,'SR G-Barrels'!$B$5:$AI$24,30,FALSE)=" ",0,VLOOKUP($B9,'SR G-Barrels'!$B$5:$AI$24,30,FALSE)),0)+IFERROR(IF(VLOOKUP($B9,'SR G-Poles'!$B$5:$AI$24,30,FALSE)=" ",0,VLOOKUP($B9,'SR G-Poles'!$B$5:$AI$24,30,FALSE)),0)+IFERROR(IF(VLOOKUP($B9,'SR G-Goats'!$B$5:$AI$24,30,FALSE)=" ",0,VLOOKUP($B9,'SR G-Goats'!$B$5:$AI$24,30,FALSE)),0)+IFERROR(IF(VLOOKUP($B9,'SR-Team Roping-Header'!$B$5:$N$24,9,FALSE)=" ",0,VLOOKUP($B9,'SR-Team Roping-Header'!$B$5:$N$24,9,FALSE)),0)+IFERROR(IF(VLOOKUP($B9,'SR-Team Roping-Heeler'!$B$5:$N$24,9,FALSE)=" ",0,VLOOKUP($B9,'SR-Team Roping-Heeler'!$B$5:$N$24,9,FALSE)),0)</f>
        <v>0</v>
      </c>
      <c r="V9" s="95" t="str">
        <f t="shared" si="12"/>
        <v xml:space="preserve"> </v>
      </c>
      <c r="W9" s="122" t="str">
        <f t="shared" si="13"/>
        <v xml:space="preserve"> </v>
      </c>
      <c r="X9" s="121">
        <f>IFERROR(IF(VLOOKUP($B9,'SR G-Breakaway'!$B$5:$AI$24,34,FALSE)=" ",0,VLOOKUP($B9,'SR G-Breakaway'!$B$5:$AI$24,34,FALSE)),0)+IFERROR(IF(VLOOKUP($B9,'SR G-Barrels'!$B$5:$AI$24,34,FALSE)=" ",0,VLOOKUP($B9,'SR G-Barrels'!$B$5:$AI$24,34,FALSE)),0)+IFERROR(IF(VLOOKUP($B9,'SR G-Poles'!$B$5:$AI$24,34,FALSE)=" ",0,VLOOKUP($B9,'SR G-Poles'!$B$5:$AI$24,34,FALSE)),0)+IFERROR(IF(VLOOKUP($B9,'SR G-Goats'!$B$5:$AI$24,34,FALSE)=" ",0,VLOOKUP($B9,'SR G-Goats'!$B$5:$AI$24,34,FALSE)),0)+IFERROR(IF(VLOOKUP($B9,'SR-Team Roping-Header'!$B$5:$N$24,10,FALSE)=" ",0,VLOOKUP($B9,'SR-Team Roping-Header'!$B$5:$N$24,10,FALSE)),0)+IFERROR(IF(VLOOKUP($B9,'SR-Team Roping-Heeler'!$B$5:$N$24,10,FALSE)=" ",0,VLOOKUP($B9,'SR-Team Roping-Heeler'!$B$5:$N$24,10,FALSE)),0)</f>
        <v>0</v>
      </c>
      <c r="Y9" s="95" t="str">
        <f t="shared" si="14"/>
        <v xml:space="preserve"> </v>
      </c>
      <c r="Z9" s="122" t="str">
        <f t="shared" si="15"/>
        <v xml:space="preserve"> </v>
      </c>
      <c r="AA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57</v>
      </c>
      <c r="AB9" s="95">
        <f t="shared" si="16"/>
        <v>57</v>
      </c>
      <c r="AC9" s="122">
        <f t="shared" si="17"/>
        <v>4</v>
      </c>
    </row>
    <row r="10" spans="2:29" x14ac:dyDescent="0.3">
      <c r="B10" s="152" t="s">
        <v>163</v>
      </c>
      <c r="C10" s="120">
        <f>IFERROR(IF(VLOOKUP($B10,'SR G-Breakaway'!$B$5:$AI$24,6,FALSE)=" ",0,VLOOKUP($B10,'SR G-Breakaway'!$B$5:$AI$24,6,FALSE)),0)+IFERROR(IF(VLOOKUP($B10,'SR G-Barrels'!$B$5:$AI$24,6,FALSE)=" ",0,VLOOKUP($B10,'SR G-Barrels'!$B$5:$AI$24,6,FALSE)),0)+IFERROR(IF(VLOOKUP($B10,'SR G-Poles'!$B$5:$AI$24,6,FALSE)=" ",0,VLOOKUP($B10,'SR G-Poles'!$B$5:$AI$24,6,FALSE)),0)+IFERROR(IF(VLOOKUP($B10,'SR G-Goats'!$B$5:$AI$24,6,FALSE)=" ",0,VLOOKUP($B10,'SR G-Goats'!$B$5:$AI$24,6,FALSE)),0)+IFERROR(IF(VLOOKUP($B10,'SR-Team Roping-Header'!$B$5:$N$24,3,FALSE)=" ",0,VLOOKUP($B10,'SR-Team Roping-Header'!$B$5:$N$24,3,FALSE)),0)+IFERROR(IF(VLOOKUP($B10,'SR-Team Roping-Heeler'!$B$5:$N$24,3,FALSE)=" ",0,VLOOKUP($B10,'SR-Team Roping-Heeler'!$B$5:$N$24,3,FALSE)),0)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IFERROR(IF(VLOOKUP($B10,'SR G-Breakaway'!$B$5:$AI$24,10,FALSE)=" ",0,VLOOKUP($B10,'SR G-Breakaway'!$B$5:$AI$24,10,FALSE)),0)+IFERROR(IF(VLOOKUP($B10,'SR G-Barrels'!$B$5:$AI$24,10,FALSE)=" ",0,VLOOKUP($B10,'SR G-Barrels'!$B$5:$AI$24,10,FALSE)),0)+IFERROR(IF(VLOOKUP($B10,'SR G-Poles'!$B$5:$AI$24,10,FALSE)=" ",0,VLOOKUP($B10,'SR G-Poles'!$B$5:$AI$24,10,FALSE)),0)+IFERROR(IF(VLOOKUP($B10,'SR G-Goats'!$B$5:$AI$24,10,FALSE)=" ",0,VLOOKUP($B10,'SR G-Goats'!$B$5:$AI$24,10,FALSE)),0)+IFERROR(IF(VLOOKUP($B10,'SR-Team Roping-Header'!$B$5:$N$24,4,FALSE)=" ",0,VLOOKUP($B10,'SR-Team Roping-Header'!$B$5:$N$24,4,FALSE)),0)+IFERROR(IF(VLOOKUP($B10,'SR-Team Roping-Heeler'!$B$5:$N$24,4,FALSE)=" ",0,VLOOKUP($B10,'SR-Team Roping-Heeler'!$B$5:$N$24,4,FALSE)),0)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IFERROR(IF(VLOOKUP($B10,'SR G-Breakaway'!$B$5:$AI$24,14,FALSE)=" ",0,VLOOKUP($B10,'SR G-Breakaway'!$B$5:$AI$24,14,FALSE)),0)+IFERROR(IF(VLOOKUP($B10,'SR G-Barrels'!$B$5:$AI$24,14,FALSE)=" ",0,VLOOKUP($B10,'SR G-Barrels'!$B$5:$AI$24,14,FALSE)),0)+IFERROR(IF(VLOOKUP($B10,'SR G-Poles'!$B$5:$AI$24,14,FALSE)=" ",0,VLOOKUP($B10,'SR G-Poles'!$B$5:$AI$24,14,FALSE)),0)+IFERROR(IF(VLOOKUP($B10,'SR G-Goats'!$B$5:$AI$24,14,FALSE)=" ",0,VLOOKUP($B10,'SR G-Goats'!$B$5:$AI$24,14,FALSE)),0)+IFERROR(IF(VLOOKUP($B10,'SR-Team Roping-Header'!$B$5:$N$24,5,FALSE)=" ",0,VLOOKUP($B10,'SR-Team Roping-Header'!$B$5:$N$24,5,FALSE)),0)+IFERROR(IF(VLOOKUP($B10,'SR-Team Roping-Heeler'!$B$5:$N$24,5,FALSE)=" ",0,VLOOKUP($B10,'SR-Team Roping-Heeler'!$B$5:$N$24,5,FALSE)),0)</f>
        <v>30</v>
      </c>
      <c r="J10" s="95">
        <f t="shared" si="4"/>
        <v>30</v>
      </c>
      <c r="K10" s="91">
        <f t="shared" si="5"/>
        <v>4</v>
      </c>
      <c r="L10" s="121">
        <f>IFERROR(IF(VLOOKUP($B10,'SR G-Breakaway'!$B$5:$AI$24,18,FALSE)=" ",0,VLOOKUP($B10,'SR G-Breakaway'!$B$5:$AI$24,18,FALSE)),0)+IFERROR(IF(VLOOKUP($B10,'SR G-Barrels'!$B$5:$AI$24,18,FALSE)=" ",0,VLOOKUP($B10,'SR G-Barrels'!$B$5:$AI$24,18,FALSE)),0)+IFERROR(IF(VLOOKUP($B10,'SR G-Poles'!$B$5:$AI$24,18,FALSE)=" ",0,VLOOKUP($B10,'SR G-Poles'!$B$5:$AI$24,18,FALSE)),0)+IFERROR(IF(VLOOKUP($B10,'SR G-Goats'!$B$5:$AI$24,18,FALSE)=" ",0,VLOOKUP($B10,'SR G-Goats'!$B$5:$AI$24,18,FALSE)),0)+IFERROR(IF(VLOOKUP($B10,'SR-Team Roping-Header'!$B$5:$N$24,6,FALSE)=" ",0,VLOOKUP($B10,'SR-Team Roping-Header'!$B$5:$N$24,6,FALSE)),0)+IFERROR(IF(VLOOKUP($B10,'SR-Team Roping-Heeler'!$B$5:$N$24,6,FALSE)=" ",0,VLOOKUP($B10,'SR-Team Roping-Heeler'!$B$5:$N$24,6,FALSE)),0)</f>
        <v>24</v>
      </c>
      <c r="M10" s="95">
        <f t="shared" si="6"/>
        <v>24</v>
      </c>
      <c r="N10" s="91">
        <f t="shared" si="7"/>
        <v>5</v>
      </c>
      <c r="O10" s="121">
        <f>IFERROR(IF(VLOOKUP($B10,'SR G-Breakaway'!$B$5:$AI$24,22,FALSE)=" ",0,VLOOKUP($B10,'SR G-Breakaway'!$B$5:$AI$24,22,FALSE)),0)+IFERROR(IF(VLOOKUP($B10,'SR G-Barrels'!$B$5:$AI$24,22,FALSE)=" ",0,VLOOKUP($B10,'SR G-Barrels'!$B$5:$AI$24,22,FALSE)),0)+IFERROR(IF(VLOOKUP($B10,'SR G-Poles'!$B$5:$AI$24,22,FALSE)=" ",0,VLOOKUP($B10,'SR G-Poles'!$B$5:$AI$24,22,FALSE)),0)+IFERROR(IF(VLOOKUP($B10,'SR G-Goats'!$B$5:$AI$24,22,FALSE)=" ",0,VLOOKUP($B10,'SR G-Goats'!$B$5:$AI$24,22,FALSE)),0)+IFERROR(IF(VLOOKUP($B10,'SR-Team Roping-Header'!$B$5:$N$24,7,FALSE)=" ",0,VLOOKUP($B10,'SR-Team Roping-Header'!$B$5:$N$24,7,FALSE)),0)+IFERROR(IF(VLOOKUP($B10,'SR-Team Roping-Heeler'!$B$5:$N$24,7,FALSE)=" ",0,VLOOKUP($B10,'SR-Team Roping-Heeler'!$B$5:$N$24,7,FALSE)),0)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IFERROR(IF(VLOOKUP($B10,'SR G-Breakaway'!$B$5:$AI$24,26,FALSE)=" ",0,VLOOKUP($B10,'SR G-Breakaway'!$B$5:$AI$24,26,FALSE)),0)+IFERROR(IF(VLOOKUP($B10,'SR G-Barrels'!$B$5:$AI$24,26,FALSE)=" ",0,VLOOKUP($B10,'SR G-Barrels'!$B$5:$AI$24,26,FALSE)),0)+IFERROR(IF(VLOOKUP($B10,'SR G-Poles'!$B$5:$AI$24,26,FALSE)=" ",0,VLOOKUP($B10,'SR G-Poles'!$B$5:$AI$24,26,FALSE)),0)+IFERROR(IF(VLOOKUP($B10,'SR G-Goats'!$B$5:$AI$24,26,FALSE)=" ",0,VLOOKUP($B10,'SR G-Goats'!$B$5:$AI$24,26,FALSE)),0)+IFERROR(IF(VLOOKUP($B10,'SR-Team Roping-Header'!$B$5:$N$24,8,FALSE)=" ",0,VLOOKUP($B10,'SR-Team Roping-Header'!$B$5:$N$24,8,FALSE)),0)+IFERROR(IF(VLOOKUP($B10,'SR-Team Roping-Heeler'!$B$5:$N$24,8,FALSE)=" ",0,VLOOKUP($B10,'SR-Team Roping-Heeler'!$B$5:$N$24,8,FALSE)),0)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 G-Breakaway'!$B$5:$AI$24,30,FALSE)=" ",0,VLOOKUP($B10,'SR G-Breakaway'!$B$5:$AI$24,30,FALSE)),0)+IFERROR(IF(VLOOKUP($B10,'SR G-Barrels'!$B$5:$AI$24,30,FALSE)=" ",0,VLOOKUP($B10,'SR G-Barrels'!$B$5:$AI$24,30,FALSE)),0)+IFERROR(IF(VLOOKUP($B10,'SR G-Poles'!$B$5:$AI$24,30,FALSE)=" ",0,VLOOKUP($B10,'SR G-Poles'!$B$5:$AI$24,30,FALSE)),0)+IFERROR(IF(VLOOKUP($B10,'SR G-Goats'!$B$5:$AI$24,30,FALSE)=" ",0,VLOOKUP($B10,'SR G-Goats'!$B$5:$AI$24,30,FALSE)),0)+IFERROR(IF(VLOOKUP($B10,'SR-Team Roping-Header'!$B$5:$N$24,9,FALSE)=" ",0,VLOOKUP($B10,'SR-Team Roping-Header'!$B$5:$N$24,9,FALSE)),0)+IFERROR(IF(VLOOKUP($B10,'SR-Team Roping-Heeler'!$B$5:$N$24,9,FALSE)=" ",0,VLOOKUP($B10,'SR-Team Roping-Heeler'!$B$5:$N$24,9,FALSE)),0)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 G-Breakaway'!$B$5:$AI$24,34,FALSE)=" ",0,VLOOKUP($B10,'SR G-Breakaway'!$B$5:$AI$24,34,FALSE)),0)+IFERROR(IF(VLOOKUP($B10,'SR G-Barrels'!$B$5:$AI$24,34,FALSE)=" ",0,VLOOKUP($B10,'SR G-Barrels'!$B$5:$AI$24,34,FALSE)),0)+IFERROR(IF(VLOOKUP($B10,'SR G-Poles'!$B$5:$AI$24,34,FALSE)=" ",0,VLOOKUP($B10,'SR G-Poles'!$B$5:$AI$24,34,FALSE)),0)+IFERROR(IF(VLOOKUP($B10,'SR G-Goats'!$B$5:$AI$24,34,FALSE)=" ",0,VLOOKUP($B10,'SR G-Goats'!$B$5:$AI$24,34,FALSE)),0)+IFERROR(IF(VLOOKUP($B10,'SR-Team Roping-Header'!$B$5:$N$24,10,FALSE)=" ",0,VLOOKUP($B10,'SR-Team Roping-Header'!$B$5:$N$24,10,FALSE)),0)+IFERROR(IF(VLOOKUP($B10,'SR-Team Roping-Heeler'!$B$5:$N$24,10,FALSE)=" ",0,VLOOKUP($B10,'SR-Team Roping-Heeler'!$B$5:$N$24,10,FALSE)),0)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54</v>
      </c>
      <c r="AB10" s="95">
        <f t="shared" si="16"/>
        <v>54</v>
      </c>
      <c r="AC10" s="91">
        <f t="shared" si="17"/>
        <v>6</v>
      </c>
    </row>
    <row r="11" spans="2:29" x14ac:dyDescent="0.3">
      <c r="B11" s="152" t="s">
        <v>207</v>
      </c>
      <c r="C11" s="120">
        <f>IFERROR(IF(VLOOKUP($B11,'SR G-Breakaway'!$B$5:$AI$24,6,FALSE)=" ",0,VLOOKUP($B11,'SR G-Breakaway'!$B$5:$AI$24,6,FALSE)),0)+IFERROR(IF(VLOOKUP($B11,'SR G-Barrels'!$B$5:$AI$24,6,FALSE)=" ",0,VLOOKUP($B11,'SR G-Barrels'!$B$5:$AI$24,6,FALSE)),0)+IFERROR(IF(VLOOKUP($B11,'SR G-Poles'!$B$5:$AI$24,6,FALSE)=" ",0,VLOOKUP($B11,'SR G-Poles'!$B$5:$AI$24,6,FALSE)),0)+IFERROR(IF(VLOOKUP($B11,'SR G-Goats'!$B$5:$AI$24,6,FALSE)=" ",0,VLOOKUP($B11,'SR G-Goats'!$B$5:$AI$24,6,FALSE)),0)+IFERROR(IF(VLOOKUP($B11,'SR-Team Roping-Header'!$B$5:$N$24,3,FALSE)=" ",0,VLOOKUP($B11,'SR-Team Roping-Header'!$B$5:$N$24,3,FALSE)),0)+IFERROR(IF(VLOOKUP($B11,'SR-Team Roping-Heeler'!$B$5:$N$24,3,FALSE)=" ",0,VLOOKUP($B11,'SR-Team Roping-Heeler'!$B$5:$N$24,3,FALSE)),0)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IFERROR(IF(VLOOKUP($B11,'SR G-Breakaway'!$B$5:$AI$24,10,FALSE)=" ",0,VLOOKUP($B11,'SR G-Breakaway'!$B$5:$AI$24,10,FALSE)),0)+IFERROR(IF(VLOOKUP($B11,'SR G-Barrels'!$B$5:$AI$24,10,FALSE)=" ",0,VLOOKUP($B11,'SR G-Barrels'!$B$5:$AI$24,10,FALSE)),0)+IFERROR(IF(VLOOKUP($B11,'SR G-Poles'!$B$5:$AI$24,10,FALSE)=" ",0,VLOOKUP($B11,'SR G-Poles'!$B$5:$AI$24,10,FALSE)),0)+IFERROR(IF(VLOOKUP($B11,'SR G-Goats'!$B$5:$AI$24,10,FALSE)=" ",0,VLOOKUP($B11,'SR G-Goats'!$B$5:$AI$24,10,FALSE)),0)+IFERROR(IF(VLOOKUP($B11,'SR-Team Roping-Header'!$B$5:$N$24,4,FALSE)=" ",0,VLOOKUP($B11,'SR-Team Roping-Header'!$B$5:$N$24,4,FALSE)),0)+IFERROR(IF(VLOOKUP($B11,'SR-Team Roping-Heeler'!$B$5:$N$24,4,FALSE)=" ",0,VLOOKUP($B11,'SR-Team Roping-Heeler'!$B$5:$N$24,4,FALSE)),0)</f>
        <v>15</v>
      </c>
      <c r="G11" s="95">
        <f t="shared" si="2"/>
        <v>15</v>
      </c>
      <c r="H11" s="122">
        <f t="shared" si="3"/>
        <v>4</v>
      </c>
      <c r="I11" s="121">
        <f>IFERROR(IF(VLOOKUP($B11,'SR G-Breakaway'!$B$5:$AI$24,14,FALSE)=" ",0,VLOOKUP($B11,'SR G-Breakaway'!$B$5:$AI$24,14,FALSE)),0)+IFERROR(IF(VLOOKUP($B11,'SR G-Barrels'!$B$5:$AI$24,14,FALSE)=" ",0,VLOOKUP($B11,'SR G-Barrels'!$B$5:$AI$24,14,FALSE)),0)+IFERROR(IF(VLOOKUP($B11,'SR G-Poles'!$B$5:$AI$24,14,FALSE)=" ",0,VLOOKUP($B11,'SR G-Poles'!$B$5:$AI$24,14,FALSE)),0)+IFERROR(IF(VLOOKUP($B11,'SR G-Goats'!$B$5:$AI$24,14,FALSE)=" ",0,VLOOKUP($B11,'SR G-Goats'!$B$5:$AI$24,14,FALSE)),0)+IFERROR(IF(VLOOKUP($B11,'SR-Team Roping-Header'!$B$5:$N$24,5,FALSE)=" ",0,VLOOKUP($B11,'SR-Team Roping-Header'!$B$5:$N$24,5,FALSE)),0)+IFERROR(IF(VLOOKUP($B11,'SR-Team Roping-Heeler'!$B$5:$N$24,5,FALSE)=" ",0,VLOOKUP($B11,'SR-Team Roping-Heeler'!$B$5:$N$24,5,FALSE)),0)</f>
        <v>12</v>
      </c>
      <c r="J11" s="95">
        <f t="shared" si="4"/>
        <v>12</v>
      </c>
      <c r="K11" s="122">
        <f t="shared" si="5"/>
        <v>7</v>
      </c>
      <c r="L11" s="121">
        <f>IFERROR(IF(VLOOKUP($B11,'SR G-Breakaway'!$B$5:$AI$24,18,FALSE)=" ",0,VLOOKUP($B11,'SR G-Breakaway'!$B$5:$AI$24,18,FALSE)),0)+IFERROR(IF(VLOOKUP($B11,'SR G-Barrels'!$B$5:$AI$24,18,FALSE)=" ",0,VLOOKUP($B11,'SR G-Barrels'!$B$5:$AI$24,18,FALSE)),0)+IFERROR(IF(VLOOKUP($B11,'SR G-Poles'!$B$5:$AI$24,18,FALSE)=" ",0,VLOOKUP($B11,'SR G-Poles'!$B$5:$AI$24,18,FALSE)),0)+IFERROR(IF(VLOOKUP($B11,'SR G-Goats'!$B$5:$AI$24,18,FALSE)=" ",0,VLOOKUP($B11,'SR G-Goats'!$B$5:$AI$24,18,FALSE)),0)+IFERROR(IF(VLOOKUP($B11,'SR-Team Roping-Header'!$B$5:$N$24,6,FALSE)=" ",0,VLOOKUP($B11,'SR-Team Roping-Header'!$B$5:$N$24,6,FALSE)),0)+IFERROR(IF(VLOOKUP($B11,'SR-Team Roping-Heeler'!$B$5:$N$24,6,FALSE)=" ",0,VLOOKUP($B11,'SR-Team Roping-Heeler'!$B$5:$N$24,6,FALSE)),0)</f>
        <v>9</v>
      </c>
      <c r="M11" s="95">
        <f t="shared" si="6"/>
        <v>9</v>
      </c>
      <c r="N11" s="122">
        <f t="shared" si="7"/>
        <v>8</v>
      </c>
      <c r="O11" s="121">
        <f>IFERROR(IF(VLOOKUP($B11,'SR G-Breakaway'!$B$5:$AI$24,22,FALSE)=" ",0,VLOOKUP($B11,'SR G-Breakaway'!$B$5:$AI$24,22,FALSE)),0)+IFERROR(IF(VLOOKUP($B11,'SR G-Barrels'!$B$5:$AI$24,22,FALSE)=" ",0,VLOOKUP($B11,'SR G-Barrels'!$B$5:$AI$24,22,FALSE)),0)+IFERROR(IF(VLOOKUP($B11,'SR G-Poles'!$B$5:$AI$24,22,FALSE)=" ",0,VLOOKUP($B11,'SR G-Poles'!$B$5:$AI$24,22,FALSE)),0)+IFERROR(IF(VLOOKUP($B11,'SR G-Goats'!$B$5:$AI$24,22,FALSE)=" ",0,VLOOKUP($B11,'SR G-Goats'!$B$5:$AI$24,22,FALSE)),0)+IFERROR(IF(VLOOKUP($B11,'SR-Team Roping-Header'!$B$5:$N$24,7,FALSE)=" ",0,VLOOKUP($B11,'SR-Team Roping-Header'!$B$5:$N$24,7,FALSE)),0)+IFERROR(IF(VLOOKUP($B11,'SR-Team Roping-Heeler'!$B$5:$N$24,7,FALSE)=" ",0,VLOOKUP($B11,'SR-Team Roping-Heeler'!$B$5:$N$24,7,FALSE)),0)</f>
        <v>0</v>
      </c>
      <c r="P11" s="95" t="str">
        <f t="shared" si="8"/>
        <v xml:space="preserve"> </v>
      </c>
      <c r="Q11" s="122" t="str">
        <f t="shared" si="9"/>
        <v xml:space="preserve"> </v>
      </c>
      <c r="R11" s="121">
        <f>IFERROR(IF(VLOOKUP($B11,'SR G-Breakaway'!$B$5:$AI$24,26,FALSE)=" ",0,VLOOKUP($B11,'SR G-Breakaway'!$B$5:$AI$24,26,FALSE)),0)+IFERROR(IF(VLOOKUP($B11,'SR G-Barrels'!$B$5:$AI$24,26,FALSE)=" ",0,VLOOKUP($B11,'SR G-Barrels'!$B$5:$AI$24,26,FALSE)),0)+IFERROR(IF(VLOOKUP($B11,'SR G-Poles'!$B$5:$AI$24,26,FALSE)=" ",0,VLOOKUP($B11,'SR G-Poles'!$B$5:$AI$24,26,FALSE)),0)+IFERROR(IF(VLOOKUP($B11,'SR G-Goats'!$B$5:$AI$24,26,FALSE)=" ",0,VLOOKUP($B11,'SR G-Goats'!$B$5:$AI$24,26,FALSE)),0)+IFERROR(IF(VLOOKUP($B11,'SR-Team Roping-Header'!$B$5:$N$24,8,FALSE)=" ",0,VLOOKUP($B11,'SR-Team Roping-Header'!$B$5:$N$24,8,FALSE)),0)+IFERROR(IF(VLOOKUP($B11,'SR-Team Roping-Heeler'!$B$5:$N$24,8,FALSE)=" ",0,VLOOKUP($B11,'SR-Team Roping-Heeler'!$B$5:$N$24,8,FALSE)),0)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IFERROR(IF(VLOOKUP($B11,'SR G-Breakaway'!$B$5:$AI$24,30,FALSE)=" ",0,VLOOKUP($B11,'SR G-Breakaway'!$B$5:$AI$24,30,FALSE)),0)+IFERROR(IF(VLOOKUP($B11,'SR G-Barrels'!$B$5:$AI$24,30,FALSE)=" ",0,VLOOKUP($B11,'SR G-Barrels'!$B$5:$AI$24,30,FALSE)),0)+IFERROR(IF(VLOOKUP($B11,'SR G-Poles'!$B$5:$AI$24,30,FALSE)=" ",0,VLOOKUP($B11,'SR G-Poles'!$B$5:$AI$24,30,FALSE)),0)+IFERROR(IF(VLOOKUP($B11,'SR G-Goats'!$B$5:$AI$24,30,FALSE)=" ",0,VLOOKUP($B11,'SR G-Goats'!$B$5:$AI$24,30,FALSE)),0)+IFERROR(IF(VLOOKUP($B11,'SR-Team Roping-Header'!$B$5:$N$24,9,FALSE)=" ",0,VLOOKUP($B11,'SR-Team Roping-Header'!$B$5:$N$24,9,FALSE)),0)+IFERROR(IF(VLOOKUP($B11,'SR-Team Roping-Heeler'!$B$5:$N$24,9,FALSE)=" ",0,VLOOKUP($B11,'SR-Team Roping-Heeler'!$B$5:$N$24,9,FALSE)),0)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IFERROR(IF(VLOOKUP($B11,'SR G-Breakaway'!$B$5:$AI$24,34,FALSE)=" ",0,VLOOKUP($B11,'SR G-Breakaway'!$B$5:$AI$24,34,FALSE)),0)+IFERROR(IF(VLOOKUP($B11,'SR G-Barrels'!$B$5:$AI$24,34,FALSE)=" ",0,VLOOKUP($B11,'SR G-Barrels'!$B$5:$AI$24,34,FALSE)),0)+IFERROR(IF(VLOOKUP($B11,'SR G-Poles'!$B$5:$AI$24,34,FALSE)=" ",0,VLOOKUP($B11,'SR G-Poles'!$B$5:$AI$24,34,FALSE)),0)+IFERROR(IF(VLOOKUP($B11,'SR G-Goats'!$B$5:$AI$24,34,FALSE)=" ",0,VLOOKUP($B11,'SR G-Goats'!$B$5:$AI$24,34,FALSE)),0)+IFERROR(IF(VLOOKUP($B11,'SR-Team Roping-Header'!$B$5:$N$24,10,FALSE)=" ",0,VLOOKUP($B11,'SR-Team Roping-Header'!$B$5:$N$24,10,FALSE)),0)+IFERROR(IF(VLOOKUP($B11,'SR-Team Roping-Heeler'!$B$5:$N$24,10,FALSE)=" ",0,VLOOKUP($B11,'SR-Team Roping-Heeler'!$B$5:$N$24,10,FALSE)),0)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36</v>
      </c>
      <c r="AB11" s="95">
        <f t="shared" si="16"/>
        <v>36</v>
      </c>
      <c r="AC11" s="122">
        <f t="shared" si="17"/>
        <v>7</v>
      </c>
    </row>
    <row r="12" spans="2:29" x14ac:dyDescent="0.3">
      <c r="B12" s="152" t="s">
        <v>282</v>
      </c>
      <c r="C12" s="120">
        <f>IFERROR(IF(VLOOKUP($B12,'SR G-Breakaway'!$B$5:$AI$24,6,FALSE)=" ",0,VLOOKUP($B12,'SR G-Breakaway'!$B$5:$AI$24,6,FALSE)),0)+IFERROR(IF(VLOOKUP($B12,'SR G-Barrels'!$B$5:$AI$24,6,FALSE)=" ",0,VLOOKUP($B12,'SR G-Barrels'!$B$5:$AI$24,6,FALSE)),0)+IFERROR(IF(VLOOKUP($B12,'SR G-Poles'!$B$5:$AI$24,6,FALSE)=" ",0,VLOOKUP($B12,'SR G-Poles'!$B$5:$AI$24,6,FALSE)),0)+IFERROR(IF(VLOOKUP($B12,'SR G-Goats'!$B$5:$AI$24,6,FALSE)=" ",0,VLOOKUP($B12,'SR G-Goats'!$B$5:$AI$24,6,FALSE)),0)+IFERROR(IF(VLOOKUP($B12,'SR-Team Roping-Header'!$B$5:$N$24,3,FALSE)=" ",0,VLOOKUP($B12,'SR-Team Roping-Header'!$B$5:$N$24,3,FALSE)),0)+IFERROR(IF(VLOOKUP($B12,'SR-Team Roping-Heeler'!$B$5:$N$24,3,FALSE)=" ",0,VLOOKUP($B12,'SR-Team Roping-Heeler'!$B$5:$N$24,3,FALSE)),0)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IFERROR(IF(VLOOKUP($B12,'SR G-Breakaway'!$B$5:$AI$24,10,FALSE)=" ",0,VLOOKUP($B12,'SR G-Breakaway'!$B$5:$AI$24,10,FALSE)),0)+IFERROR(IF(VLOOKUP($B12,'SR G-Barrels'!$B$5:$AI$24,10,FALSE)=" ",0,VLOOKUP($B12,'SR G-Barrels'!$B$5:$AI$24,10,FALSE)),0)+IFERROR(IF(VLOOKUP($B12,'SR G-Poles'!$B$5:$AI$24,10,FALSE)=" ",0,VLOOKUP($B12,'SR G-Poles'!$B$5:$AI$24,10,FALSE)),0)+IFERROR(IF(VLOOKUP($B12,'SR G-Goats'!$B$5:$AI$24,10,FALSE)=" ",0,VLOOKUP($B12,'SR G-Goats'!$B$5:$AI$24,10,FALSE)),0)+IFERROR(IF(VLOOKUP($B12,'SR-Team Roping-Header'!$B$5:$N$24,4,FALSE)=" ",0,VLOOKUP($B12,'SR-Team Roping-Header'!$B$5:$N$24,4,FALSE)),0)+IFERROR(IF(VLOOKUP($B12,'SR-Team Roping-Heeler'!$B$5:$N$24,4,FALSE)=" ",0,VLOOKUP($B12,'SR-Team Roping-Heeler'!$B$5:$N$24,4,FALSE)),0)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IFERROR(IF(VLOOKUP($B12,'SR G-Breakaway'!$B$5:$AI$24,14,FALSE)=" ",0,VLOOKUP($B12,'SR G-Breakaway'!$B$5:$AI$24,14,FALSE)),0)+IFERROR(IF(VLOOKUP($B12,'SR G-Barrels'!$B$5:$AI$24,14,FALSE)=" ",0,VLOOKUP($B12,'SR G-Barrels'!$B$5:$AI$24,14,FALSE)),0)+IFERROR(IF(VLOOKUP($B12,'SR G-Poles'!$B$5:$AI$24,14,FALSE)=" ",0,VLOOKUP($B12,'SR G-Poles'!$B$5:$AI$24,14,FALSE)),0)+IFERROR(IF(VLOOKUP($B12,'SR G-Goats'!$B$5:$AI$24,14,FALSE)=" ",0,VLOOKUP($B12,'SR G-Goats'!$B$5:$AI$24,14,FALSE)),0)+IFERROR(IF(VLOOKUP($B12,'SR-Team Roping-Header'!$B$5:$N$24,5,FALSE)=" ",0,VLOOKUP($B12,'SR-Team Roping-Header'!$B$5:$N$24,5,FALSE)),0)+IFERROR(IF(VLOOKUP($B12,'SR-Team Roping-Heeler'!$B$5:$N$24,5,FALSE)=" ",0,VLOOKUP($B12,'SR-Team Roping-Heeler'!$B$5:$N$24,5,FALSE)),0)</f>
        <v>9</v>
      </c>
      <c r="J12" s="95">
        <f t="shared" si="4"/>
        <v>9</v>
      </c>
      <c r="K12" s="91">
        <f t="shared" si="5"/>
        <v>8</v>
      </c>
      <c r="L12" s="121">
        <f>IFERROR(IF(VLOOKUP($B12,'SR G-Breakaway'!$B$5:$AI$24,18,FALSE)=" ",0,VLOOKUP($B12,'SR G-Breakaway'!$B$5:$AI$24,18,FALSE)),0)+IFERROR(IF(VLOOKUP($B12,'SR G-Barrels'!$B$5:$AI$24,18,FALSE)=" ",0,VLOOKUP($B12,'SR G-Barrels'!$B$5:$AI$24,18,FALSE)),0)+IFERROR(IF(VLOOKUP($B12,'SR G-Poles'!$B$5:$AI$24,18,FALSE)=" ",0,VLOOKUP($B12,'SR G-Poles'!$B$5:$AI$24,18,FALSE)),0)+IFERROR(IF(VLOOKUP($B12,'SR G-Goats'!$B$5:$AI$24,18,FALSE)=" ",0,VLOOKUP($B12,'SR G-Goats'!$B$5:$AI$24,18,FALSE)),0)+IFERROR(IF(VLOOKUP($B12,'SR-Team Roping-Header'!$B$5:$N$24,6,FALSE)=" ",0,VLOOKUP($B12,'SR-Team Roping-Header'!$B$5:$N$24,6,FALSE)),0)+IFERROR(IF(VLOOKUP($B12,'SR-Team Roping-Heeler'!$B$5:$N$24,6,FALSE)=" ",0,VLOOKUP($B12,'SR-Team Roping-Heeler'!$B$5:$N$24,6,FALSE)),0)</f>
        <v>18</v>
      </c>
      <c r="M12" s="95">
        <f t="shared" si="6"/>
        <v>18</v>
      </c>
      <c r="N12" s="91">
        <f t="shared" si="7"/>
        <v>7</v>
      </c>
      <c r="O12" s="121">
        <f>IFERROR(IF(VLOOKUP($B12,'SR G-Breakaway'!$B$5:$AI$24,22,FALSE)=" ",0,VLOOKUP($B12,'SR G-Breakaway'!$B$5:$AI$24,22,FALSE)),0)+IFERROR(IF(VLOOKUP($B12,'SR G-Barrels'!$B$5:$AI$24,22,FALSE)=" ",0,VLOOKUP($B12,'SR G-Barrels'!$B$5:$AI$24,22,FALSE)),0)+IFERROR(IF(VLOOKUP($B12,'SR G-Poles'!$B$5:$AI$24,22,FALSE)=" ",0,VLOOKUP($B12,'SR G-Poles'!$B$5:$AI$24,22,FALSE)),0)+IFERROR(IF(VLOOKUP($B12,'SR G-Goats'!$B$5:$AI$24,22,FALSE)=" ",0,VLOOKUP($B12,'SR G-Goats'!$B$5:$AI$24,22,FALSE)),0)+IFERROR(IF(VLOOKUP($B12,'SR-Team Roping-Header'!$B$5:$N$24,7,FALSE)=" ",0,VLOOKUP($B12,'SR-Team Roping-Header'!$B$5:$N$24,7,FALSE)),0)+IFERROR(IF(VLOOKUP($B12,'SR-Team Roping-Heeler'!$B$5:$N$24,7,FALSE)=" ",0,VLOOKUP($B12,'SR-Team Roping-Heeler'!$B$5:$N$24,7,FALSE)),0)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IFERROR(IF(VLOOKUP($B12,'SR G-Breakaway'!$B$5:$AI$24,26,FALSE)=" ",0,VLOOKUP($B12,'SR G-Breakaway'!$B$5:$AI$24,26,FALSE)),0)+IFERROR(IF(VLOOKUP($B12,'SR G-Barrels'!$B$5:$AI$24,26,FALSE)=" ",0,VLOOKUP($B12,'SR G-Barrels'!$B$5:$AI$24,26,FALSE)),0)+IFERROR(IF(VLOOKUP($B12,'SR G-Poles'!$B$5:$AI$24,26,FALSE)=" ",0,VLOOKUP($B12,'SR G-Poles'!$B$5:$AI$24,26,FALSE)),0)+IFERROR(IF(VLOOKUP($B12,'SR G-Goats'!$B$5:$AI$24,26,FALSE)=" ",0,VLOOKUP($B12,'SR G-Goats'!$B$5:$AI$24,26,FALSE)),0)+IFERROR(IF(VLOOKUP($B12,'SR-Team Roping-Header'!$B$5:$N$24,8,FALSE)=" ",0,VLOOKUP($B12,'SR-Team Roping-Header'!$B$5:$N$24,8,FALSE)),0)+IFERROR(IF(VLOOKUP($B12,'SR-Team Roping-Heeler'!$B$5:$N$24,8,FALSE)=" ",0,VLOOKUP($B12,'SR-Team Roping-Heeler'!$B$5:$N$24,8,FALSE)),0)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 G-Breakaway'!$B$5:$AI$24,30,FALSE)=" ",0,VLOOKUP($B12,'SR G-Breakaway'!$B$5:$AI$24,30,FALSE)),0)+IFERROR(IF(VLOOKUP($B12,'SR G-Barrels'!$B$5:$AI$24,30,FALSE)=" ",0,VLOOKUP($B12,'SR G-Barrels'!$B$5:$AI$24,30,FALSE)),0)+IFERROR(IF(VLOOKUP($B12,'SR G-Poles'!$B$5:$AI$24,30,FALSE)=" ",0,VLOOKUP($B12,'SR G-Poles'!$B$5:$AI$24,30,FALSE)),0)+IFERROR(IF(VLOOKUP($B12,'SR G-Goats'!$B$5:$AI$24,30,FALSE)=" ",0,VLOOKUP($B12,'SR G-Goats'!$B$5:$AI$24,30,FALSE)),0)+IFERROR(IF(VLOOKUP($B12,'SR-Team Roping-Header'!$B$5:$N$24,9,FALSE)=" ",0,VLOOKUP($B12,'SR-Team Roping-Header'!$B$5:$N$24,9,FALSE)),0)+IFERROR(IF(VLOOKUP($B12,'SR-Team Roping-Heeler'!$B$5:$N$24,9,FALSE)=" ",0,VLOOKUP($B12,'SR-Team Roping-Heeler'!$B$5:$N$24,9,FALSE)),0)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 G-Breakaway'!$B$5:$AI$24,34,FALSE)=" ",0,VLOOKUP($B12,'SR G-Breakaway'!$B$5:$AI$24,34,FALSE)),0)+IFERROR(IF(VLOOKUP($B12,'SR G-Barrels'!$B$5:$AI$24,34,FALSE)=" ",0,VLOOKUP($B12,'SR G-Barrels'!$B$5:$AI$24,34,FALSE)),0)+IFERROR(IF(VLOOKUP($B12,'SR G-Poles'!$B$5:$AI$24,34,FALSE)=" ",0,VLOOKUP($B12,'SR G-Poles'!$B$5:$AI$24,34,FALSE)),0)+IFERROR(IF(VLOOKUP($B12,'SR G-Goats'!$B$5:$AI$24,34,FALSE)=" ",0,VLOOKUP($B12,'SR G-Goats'!$B$5:$AI$24,34,FALSE)),0)+IFERROR(IF(VLOOKUP($B12,'SR-Team Roping-Header'!$B$5:$N$24,10,FALSE)=" ",0,VLOOKUP($B12,'SR-Team Roping-Header'!$B$5:$N$24,10,FALSE)),0)+IFERROR(IF(VLOOKUP($B12,'SR-Team Roping-Heeler'!$B$5:$N$24,10,FALSE)=" ",0,VLOOKUP($B12,'SR-Team Roping-Heeler'!$B$5:$N$24,10,FALSE)),0)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</v>
      </c>
      <c r="AB12" s="95">
        <f t="shared" si="16"/>
        <v>27</v>
      </c>
      <c r="AC12" s="91">
        <f t="shared" si="17"/>
        <v>8</v>
      </c>
    </row>
    <row r="13" spans="2:29" x14ac:dyDescent="0.3">
      <c r="B13" s="152" t="s">
        <v>210</v>
      </c>
      <c r="C13" s="120">
        <f>IFERROR(IF(VLOOKUP($B13,'SR G-Breakaway'!$B$5:$AI$24,6,FALSE)=" ",0,VLOOKUP($B13,'SR G-Breakaway'!$B$5:$AI$24,6,FALSE)),0)+IFERROR(IF(VLOOKUP($B13,'SR G-Barrels'!$B$5:$AI$24,6,FALSE)=" ",0,VLOOKUP($B13,'SR G-Barrels'!$B$5:$AI$24,6,FALSE)),0)+IFERROR(IF(VLOOKUP($B13,'SR G-Poles'!$B$5:$AI$24,6,FALSE)=" ",0,VLOOKUP($B13,'SR G-Poles'!$B$5:$AI$24,6,FALSE)),0)+IFERROR(IF(VLOOKUP($B13,'SR G-Goats'!$B$5:$AI$24,6,FALSE)=" ",0,VLOOKUP($B13,'SR G-Goats'!$B$5:$AI$24,6,FALSE)),0)+IFERROR(IF(VLOOKUP($B13,'SR-Team Roping-Header'!$B$5:$N$24,3,FALSE)=" ",0,VLOOKUP($B13,'SR-Team Roping-Header'!$B$5:$N$24,3,FALSE)),0)+IFERROR(IF(VLOOKUP($B13,'SR-Team Roping-Heeler'!$B$5:$N$24,3,FALSE)=" ",0,VLOOKUP($B13,'SR-Team Roping-Heeler'!$B$5:$N$24,3,FALSE)),0)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IFERROR(IF(VLOOKUP($B13,'SR G-Breakaway'!$B$5:$AI$24,10,FALSE)=" ",0,VLOOKUP($B13,'SR G-Breakaway'!$B$5:$AI$24,10,FALSE)),0)+IFERROR(IF(VLOOKUP($B13,'SR G-Barrels'!$B$5:$AI$24,10,FALSE)=" ",0,VLOOKUP($B13,'SR G-Barrels'!$B$5:$AI$24,10,FALSE)),0)+IFERROR(IF(VLOOKUP($B13,'SR G-Poles'!$B$5:$AI$24,10,FALSE)=" ",0,VLOOKUP($B13,'SR G-Poles'!$B$5:$AI$24,10,FALSE)),0)+IFERROR(IF(VLOOKUP($B13,'SR G-Goats'!$B$5:$AI$24,10,FALSE)=" ",0,VLOOKUP($B13,'SR G-Goats'!$B$5:$AI$24,10,FALSE)),0)+IFERROR(IF(VLOOKUP($B13,'SR-Team Roping-Header'!$B$5:$N$24,4,FALSE)=" ",0,VLOOKUP($B13,'SR-Team Roping-Header'!$B$5:$N$24,4,FALSE)),0)+IFERROR(IF(VLOOKUP($B13,'SR-Team Roping-Heeler'!$B$5:$N$24,4,FALSE)=" ",0,VLOOKUP($B13,'SR-Team Roping-Heeler'!$B$5:$N$24,4,FALSE)),0)</f>
        <v>27</v>
      </c>
      <c r="G13" s="95">
        <f t="shared" si="2"/>
        <v>27</v>
      </c>
      <c r="H13" s="91">
        <f t="shared" si="3"/>
        <v>2</v>
      </c>
      <c r="I13" s="121">
        <f>IFERROR(IF(VLOOKUP($B13,'SR G-Breakaway'!$B$5:$AI$24,14,FALSE)=" ",0,VLOOKUP($B13,'SR G-Breakaway'!$B$5:$AI$24,14,FALSE)),0)+IFERROR(IF(VLOOKUP($B13,'SR G-Barrels'!$B$5:$AI$24,14,FALSE)=" ",0,VLOOKUP($B13,'SR G-Barrels'!$B$5:$AI$24,14,FALSE)),0)+IFERROR(IF(VLOOKUP($B13,'SR G-Poles'!$B$5:$AI$24,14,FALSE)=" ",0,VLOOKUP($B13,'SR G-Poles'!$B$5:$AI$24,14,FALSE)),0)+IFERROR(IF(VLOOKUP($B13,'SR G-Goats'!$B$5:$AI$24,14,FALSE)=" ",0,VLOOKUP($B13,'SR G-Goats'!$B$5:$AI$24,14,FALSE)),0)+IFERROR(IF(VLOOKUP($B13,'SR-Team Roping-Header'!$B$5:$N$24,5,FALSE)=" ",0,VLOOKUP($B13,'SR-Team Roping-Header'!$B$5:$N$24,5,FALSE)),0)+IFERROR(IF(VLOOKUP($B13,'SR-Team Roping-Heeler'!$B$5:$N$24,5,FALSE)=" ",0,VLOOKUP($B13,'SR-Team Roping-Heeler'!$B$5:$N$24,5,FALSE)),0)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IFERROR(IF(VLOOKUP($B13,'SR G-Breakaway'!$B$5:$AI$24,18,FALSE)=" ",0,VLOOKUP($B13,'SR G-Breakaway'!$B$5:$AI$24,18,FALSE)),0)+IFERROR(IF(VLOOKUP($B13,'SR G-Barrels'!$B$5:$AI$24,18,FALSE)=" ",0,VLOOKUP($B13,'SR G-Barrels'!$B$5:$AI$24,18,FALSE)),0)+IFERROR(IF(VLOOKUP($B13,'SR G-Poles'!$B$5:$AI$24,18,FALSE)=" ",0,VLOOKUP($B13,'SR G-Poles'!$B$5:$AI$24,18,FALSE)),0)+IFERROR(IF(VLOOKUP($B13,'SR G-Goats'!$B$5:$AI$24,18,FALSE)=" ",0,VLOOKUP($B13,'SR G-Goats'!$B$5:$AI$24,18,FALSE)),0)+IFERROR(IF(VLOOKUP($B13,'SR-Team Roping-Header'!$B$5:$N$24,6,FALSE)=" ",0,VLOOKUP($B13,'SR-Team Roping-Header'!$B$5:$N$24,6,FALSE)),0)+IFERROR(IF(VLOOKUP($B13,'SR-Team Roping-Heeler'!$B$5:$N$24,6,FALSE)=" ",0,VLOOKUP($B13,'SR-Team Roping-Heeler'!$B$5:$N$24,6,FALSE)),0)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IFERROR(IF(VLOOKUP($B13,'SR G-Breakaway'!$B$5:$AI$24,22,FALSE)=" ",0,VLOOKUP($B13,'SR G-Breakaway'!$B$5:$AI$24,22,FALSE)),0)+IFERROR(IF(VLOOKUP($B13,'SR G-Barrels'!$B$5:$AI$24,22,FALSE)=" ",0,VLOOKUP($B13,'SR G-Barrels'!$B$5:$AI$24,22,FALSE)),0)+IFERROR(IF(VLOOKUP($B13,'SR G-Poles'!$B$5:$AI$24,22,FALSE)=" ",0,VLOOKUP($B13,'SR G-Poles'!$B$5:$AI$24,22,FALSE)),0)+IFERROR(IF(VLOOKUP($B13,'SR G-Goats'!$B$5:$AI$24,22,FALSE)=" ",0,VLOOKUP($B13,'SR G-Goats'!$B$5:$AI$24,22,FALSE)),0)+IFERROR(IF(VLOOKUP($B13,'SR-Team Roping-Header'!$B$5:$N$24,7,FALSE)=" ",0,VLOOKUP($B13,'SR-Team Roping-Header'!$B$5:$N$24,7,FALSE)),0)+IFERROR(IF(VLOOKUP($B13,'SR-Team Roping-Heeler'!$B$5:$N$24,7,FALSE)=" ",0,VLOOKUP($B13,'SR-Team Roping-Heeler'!$B$5:$N$24,7,FALSE)),0)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 G-Breakaway'!$B$5:$AI$24,26,FALSE)=" ",0,VLOOKUP($B13,'SR G-Breakaway'!$B$5:$AI$24,26,FALSE)),0)+IFERROR(IF(VLOOKUP($B13,'SR G-Barrels'!$B$5:$AI$24,26,FALSE)=" ",0,VLOOKUP($B13,'SR G-Barrels'!$B$5:$AI$24,26,FALSE)),0)+IFERROR(IF(VLOOKUP($B13,'SR G-Poles'!$B$5:$AI$24,26,FALSE)=" ",0,VLOOKUP($B13,'SR G-Poles'!$B$5:$AI$24,26,FALSE)),0)+IFERROR(IF(VLOOKUP($B13,'SR G-Goats'!$B$5:$AI$24,26,FALSE)=" ",0,VLOOKUP($B13,'SR G-Goats'!$B$5:$AI$24,26,FALSE)),0)+IFERROR(IF(VLOOKUP($B13,'SR-Team Roping-Header'!$B$5:$N$24,8,FALSE)=" ",0,VLOOKUP($B13,'SR-Team Roping-Header'!$B$5:$N$24,8,FALSE)),0)+IFERROR(IF(VLOOKUP($B13,'SR-Team Roping-Heeler'!$B$5:$N$24,8,FALSE)=" ",0,VLOOKUP($B13,'SR-Team Roping-Heeler'!$B$5:$N$24,8,FALSE)),0)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IFERROR(IF(VLOOKUP($B13,'SR G-Breakaway'!$B$5:$AI$24,30,FALSE)=" ",0,VLOOKUP($B13,'SR G-Breakaway'!$B$5:$AI$24,30,FALSE)),0)+IFERROR(IF(VLOOKUP($B13,'SR G-Barrels'!$B$5:$AI$24,30,FALSE)=" ",0,VLOOKUP($B13,'SR G-Barrels'!$B$5:$AI$24,30,FALSE)),0)+IFERROR(IF(VLOOKUP($B13,'SR G-Poles'!$B$5:$AI$24,30,FALSE)=" ",0,VLOOKUP($B13,'SR G-Poles'!$B$5:$AI$24,30,FALSE)),0)+IFERROR(IF(VLOOKUP($B13,'SR G-Goats'!$B$5:$AI$24,30,FALSE)=" ",0,VLOOKUP($B13,'SR G-Goats'!$B$5:$AI$24,30,FALSE)),0)+IFERROR(IF(VLOOKUP($B13,'SR-Team Roping-Header'!$B$5:$N$24,9,FALSE)=" ",0,VLOOKUP($B13,'SR-Team Roping-Header'!$B$5:$N$24,9,FALSE)),0)+IFERROR(IF(VLOOKUP($B13,'SR-Team Roping-Heeler'!$B$5:$N$24,9,FALSE)=" ",0,VLOOKUP($B13,'SR-Team Roping-Heeler'!$B$5:$N$24,9,FALSE)),0)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IFERROR(IF(VLOOKUP($B13,'SR G-Breakaway'!$B$5:$AI$24,34,FALSE)=" ",0,VLOOKUP($B13,'SR G-Breakaway'!$B$5:$AI$24,34,FALSE)),0)+IFERROR(IF(VLOOKUP($B13,'SR G-Barrels'!$B$5:$AI$24,34,FALSE)=" ",0,VLOOKUP($B13,'SR G-Barrels'!$B$5:$AI$24,34,FALSE)),0)+IFERROR(IF(VLOOKUP($B13,'SR G-Poles'!$B$5:$AI$24,34,FALSE)=" ",0,VLOOKUP($B13,'SR G-Poles'!$B$5:$AI$24,34,FALSE)),0)+IFERROR(IF(VLOOKUP($B13,'SR G-Goats'!$B$5:$AI$24,34,FALSE)=" ",0,VLOOKUP($B13,'SR G-Goats'!$B$5:$AI$24,34,FALSE)),0)+IFERROR(IF(VLOOKUP($B13,'SR-Team Roping-Header'!$B$5:$N$24,10,FALSE)=" ",0,VLOOKUP($B13,'SR-Team Roping-Header'!$B$5:$N$24,10,FALSE)),0)+IFERROR(IF(VLOOKUP($B13,'SR-Team Roping-Heeler'!$B$5:$N$24,10,FALSE)=" ",0,VLOOKUP($B13,'SR-Team Roping-Heeler'!$B$5:$N$24,10,FALSE)),0)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</v>
      </c>
      <c r="AB13" s="95">
        <f t="shared" si="16"/>
        <v>27</v>
      </c>
      <c r="AC13" s="91">
        <f t="shared" si="17"/>
        <v>8</v>
      </c>
    </row>
    <row r="14" spans="2:29" x14ac:dyDescent="0.3">
      <c r="B14" s="152" t="s">
        <v>196</v>
      </c>
      <c r="C14" s="120">
        <f>IFERROR(IF(VLOOKUP($B14,'SR G-Breakaway'!$B$5:$AI$24,6,FALSE)=" ",0,VLOOKUP($B14,'SR G-Breakaway'!$B$5:$AI$24,6,FALSE)),0)+IFERROR(IF(VLOOKUP($B14,'SR G-Barrels'!$B$5:$AI$24,6,FALSE)=" ",0,VLOOKUP($B14,'SR G-Barrels'!$B$5:$AI$24,6,FALSE)),0)+IFERROR(IF(VLOOKUP($B14,'SR G-Poles'!$B$5:$AI$24,6,FALSE)=" ",0,VLOOKUP($B14,'SR G-Poles'!$B$5:$AI$24,6,FALSE)),0)+IFERROR(IF(VLOOKUP($B14,'SR G-Goats'!$B$5:$AI$24,6,FALSE)=" ",0,VLOOKUP($B14,'SR G-Goats'!$B$5:$AI$24,6,FALSE)),0)+IFERROR(IF(VLOOKUP($B14,'SR-Team Roping-Header'!$B$5:$N$24,3,FALSE)=" ",0,VLOOKUP($B14,'SR-Team Roping-Header'!$B$5:$N$24,3,FALSE)),0)+IFERROR(IF(VLOOKUP($B14,'SR-Team Roping-Heeler'!$B$5:$N$24,3,FALSE)=" ",0,VLOOKUP($B14,'SR-Team Roping-Heeler'!$B$5:$N$24,3,FALSE)),0)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IFERROR(IF(VLOOKUP($B14,'SR G-Breakaway'!$B$5:$AI$24,10,FALSE)=" ",0,VLOOKUP($B14,'SR G-Breakaway'!$B$5:$AI$24,10,FALSE)),0)+IFERROR(IF(VLOOKUP($B14,'SR G-Barrels'!$B$5:$AI$24,10,FALSE)=" ",0,VLOOKUP($B14,'SR G-Barrels'!$B$5:$AI$24,10,FALSE)),0)+IFERROR(IF(VLOOKUP($B14,'SR G-Poles'!$B$5:$AI$24,10,FALSE)=" ",0,VLOOKUP($B14,'SR G-Poles'!$B$5:$AI$24,10,FALSE)),0)+IFERROR(IF(VLOOKUP($B14,'SR G-Goats'!$B$5:$AI$24,10,FALSE)=" ",0,VLOOKUP($B14,'SR G-Goats'!$B$5:$AI$24,10,FALSE)),0)+IFERROR(IF(VLOOKUP($B14,'SR-Team Roping-Header'!$B$5:$N$24,4,FALSE)=" ",0,VLOOKUP($B14,'SR-Team Roping-Header'!$B$5:$N$24,4,FALSE)),0)+IFERROR(IF(VLOOKUP($B14,'SR-Team Roping-Heeler'!$B$5:$N$24,4,FALSE)=" ",0,VLOOKUP($B14,'SR-Team Roping-Heeler'!$B$5:$N$24,4,FALSE)),0)</f>
        <v>15</v>
      </c>
      <c r="G14" s="95">
        <f t="shared" si="2"/>
        <v>15</v>
      </c>
      <c r="H14" s="91">
        <f t="shared" si="3"/>
        <v>4</v>
      </c>
      <c r="I14" s="121">
        <f>IFERROR(IF(VLOOKUP($B14,'SR G-Breakaway'!$B$5:$AI$24,14,FALSE)=" ",0,VLOOKUP($B14,'SR G-Breakaway'!$B$5:$AI$24,14,FALSE)),0)+IFERROR(IF(VLOOKUP($B14,'SR G-Barrels'!$B$5:$AI$24,14,FALSE)=" ",0,VLOOKUP($B14,'SR G-Barrels'!$B$5:$AI$24,14,FALSE)),0)+IFERROR(IF(VLOOKUP($B14,'SR G-Poles'!$B$5:$AI$24,14,FALSE)=" ",0,VLOOKUP($B14,'SR G-Poles'!$B$5:$AI$24,14,FALSE)),0)+IFERROR(IF(VLOOKUP($B14,'SR G-Goats'!$B$5:$AI$24,14,FALSE)=" ",0,VLOOKUP($B14,'SR G-Goats'!$B$5:$AI$24,14,FALSE)),0)+IFERROR(IF(VLOOKUP($B14,'SR-Team Roping-Header'!$B$5:$N$24,5,FALSE)=" ",0,VLOOKUP($B14,'SR-Team Roping-Header'!$B$5:$N$24,5,FALSE)),0)+IFERROR(IF(VLOOKUP($B14,'SR-Team Roping-Heeler'!$B$5:$N$24,5,FALSE)=" ",0,VLOOKUP($B14,'SR-Team Roping-Heeler'!$B$5:$N$24,5,FALSE)),0)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IFERROR(IF(VLOOKUP($B14,'SR G-Breakaway'!$B$5:$AI$24,18,FALSE)=" ",0,VLOOKUP($B14,'SR G-Breakaway'!$B$5:$AI$24,18,FALSE)),0)+IFERROR(IF(VLOOKUP($B14,'SR G-Barrels'!$B$5:$AI$24,18,FALSE)=" ",0,VLOOKUP($B14,'SR G-Barrels'!$B$5:$AI$24,18,FALSE)),0)+IFERROR(IF(VLOOKUP($B14,'SR G-Poles'!$B$5:$AI$24,18,FALSE)=" ",0,VLOOKUP($B14,'SR G-Poles'!$B$5:$AI$24,18,FALSE)),0)+IFERROR(IF(VLOOKUP($B14,'SR G-Goats'!$B$5:$AI$24,18,FALSE)=" ",0,VLOOKUP($B14,'SR G-Goats'!$B$5:$AI$24,18,FALSE)),0)+IFERROR(IF(VLOOKUP($B14,'SR-Team Roping-Header'!$B$5:$N$24,6,FALSE)=" ",0,VLOOKUP($B14,'SR-Team Roping-Header'!$B$5:$N$24,6,FALSE)),0)+IFERROR(IF(VLOOKUP($B14,'SR-Team Roping-Heeler'!$B$5:$N$24,6,FALSE)=" ",0,VLOOKUP($B14,'SR-Team Roping-Heeler'!$B$5:$N$24,6,FALSE)),0)</f>
        <v>9</v>
      </c>
      <c r="M14" s="95">
        <f t="shared" si="6"/>
        <v>9</v>
      </c>
      <c r="N14" s="91">
        <f t="shared" si="7"/>
        <v>8</v>
      </c>
      <c r="O14" s="121">
        <f>IFERROR(IF(VLOOKUP($B14,'SR G-Breakaway'!$B$5:$AI$24,22,FALSE)=" ",0,VLOOKUP($B14,'SR G-Breakaway'!$B$5:$AI$24,22,FALSE)),0)+IFERROR(IF(VLOOKUP($B14,'SR G-Barrels'!$B$5:$AI$24,22,FALSE)=" ",0,VLOOKUP($B14,'SR G-Barrels'!$B$5:$AI$24,22,FALSE)),0)+IFERROR(IF(VLOOKUP($B14,'SR G-Poles'!$B$5:$AI$24,22,FALSE)=" ",0,VLOOKUP($B14,'SR G-Poles'!$B$5:$AI$24,22,FALSE)),0)+IFERROR(IF(VLOOKUP($B14,'SR G-Goats'!$B$5:$AI$24,22,FALSE)=" ",0,VLOOKUP($B14,'SR G-Goats'!$B$5:$AI$24,22,FALSE)),0)+IFERROR(IF(VLOOKUP($B14,'SR-Team Roping-Header'!$B$5:$N$24,7,FALSE)=" ",0,VLOOKUP($B14,'SR-Team Roping-Header'!$B$5:$N$24,7,FALSE)),0)+IFERROR(IF(VLOOKUP($B14,'SR-Team Roping-Heeler'!$B$5:$N$24,7,FALSE)=" ",0,VLOOKUP($B14,'SR-Team Roping-Heeler'!$B$5:$N$24,7,FALSE)),0)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IFERROR(IF(VLOOKUP($B14,'SR G-Breakaway'!$B$5:$AI$24,26,FALSE)=" ",0,VLOOKUP($B14,'SR G-Breakaway'!$B$5:$AI$24,26,FALSE)),0)+IFERROR(IF(VLOOKUP($B14,'SR G-Barrels'!$B$5:$AI$24,26,FALSE)=" ",0,VLOOKUP($B14,'SR G-Barrels'!$B$5:$AI$24,26,FALSE)),0)+IFERROR(IF(VLOOKUP($B14,'SR G-Poles'!$B$5:$AI$24,26,FALSE)=" ",0,VLOOKUP($B14,'SR G-Poles'!$B$5:$AI$24,26,FALSE)),0)+IFERROR(IF(VLOOKUP($B14,'SR G-Goats'!$B$5:$AI$24,26,FALSE)=" ",0,VLOOKUP($B14,'SR G-Goats'!$B$5:$AI$24,26,FALSE)),0)+IFERROR(IF(VLOOKUP($B14,'SR-Team Roping-Header'!$B$5:$N$24,8,FALSE)=" ",0,VLOOKUP($B14,'SR-Team Roping-Header'!$B$5:$N$24,8,FALSE)),0)+IFERROR(IF(VLOOKUP($B14,'SR-Team Roping-Heeler'!$B$5:$N$24,8,FALSE)=" ",0,VLOOKUP($B14,'SR-Team Roping-Heeler'!$B$5:$N$24,8,FALSE)),0)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IFERROR(IF(VLOOKUP($B14,'SR G-Breakaway'!$B$5:$AI$24,30,FALSE)=" ",0,VLOOKUP($B14,'SR G-Breakaway'!$B$5:$AI$24,30,FALSE)),0)+IFERROR(IF(VLOOKUP($B14,'SR G-Barrels'!$B$5:$AI$24,30,FALSE)=" ",0,VLOOKUP($B14,'SR G-Barrels'!$B$5:$AI$24,30,FALSE)),0)+IFERROR(IF(VLOOKUP($B14,'SR G-Poles'!$B$5:$AI$24,30,FALSE)=" ",0,VLOOKUP($B14,'SR G-Poles'!$B$5:$AI$24,30,FALSE)),0)+IFERROR(IF(VLOOKUP($B14,'SR G-Goats'!$B$5:$AI$24,30,FALSE)=" ",0,VLOOKUP($B14,'SR G-Goats'!$B$5:$AI$24,30,FALSE)),0)+IFERROR(IF(VLOOKUP($B14,'SR-Team Roping-Header'!$B$5:$N$24,9,FALSE)=" ",0,VLOOKUP($B14,'SR-Team Roping-Header'!$B$5:$N$24,9,FALSE)),0)+IFERROR(IF(VLOOKUP($B14,'SR-Team Roping-Heeler'!$B$5:$N$24,9,FALSE)=" ",0,VLOOKUP($B14,'SR-Team Roping-Heeler'!$B$5:$N$24,9,FALSE)),0)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IFERROR(IF(VLOOKUP($B14,'SR G-Breakaway'!$B$5:$AI$24,34,FALSE)=" ",0,VLOOKUP($B14,'SR G-Breakaway'!$B$5:$AI$24,34,FALSE)),0)+IFERROR(IF(VLOOKUP($B14,'SR G-Barrels'!$B$5:$AI$24,34,FALSE)=" ",0,VLOOKUP($B14,'SR G-Barrels'!$B$5:$AI$24,34,FALSE)),0)+IFERROR(IF(VLOOKUP($B14,'SR G-Poles'!$B$5:$AI$24,34,FALSE)=" ",0,VLOOKUP($B14,'SR G-Poles'!$B$5:$AI$24,34,FALSE)),0)+IFERROR(IF(VLOOKUP($B14,'SR G-Goats'!$B$5:$AI$24,34,FALSE)=" ",0,VLOOKUP($B14,'SR G-Goats'!$B$5:$AI$24,34,FALSE)),0)+IFERROR(IF(VLOOKUP($B14,'SR-Team Roping-Header'!$B$5:$N$24,10,FALSE)=" ",0,VLOOKUP($B14,'SR-Team Roping-Header'!$B$5:$N$24,10,FALSE)),0)+IFERROR(IF(VLOOKUP($B14,'SR-Team Roping-Heeler'!$B$5:$N$24,10,FALSE)=" ",0,VLOOKUP($B14,'SR-Team Roping-Heeler'!$B$5:$N$24,10,FALSE)),0)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24</v>
      </c>
      <c r="AB14" s="95">
        <f t="shared" si="16"/>
        <v>24</v>
      </c>
      <c r="AC14" s="91">
        <f t="shared" si="17"/>
        <v>10</v>
      </c>
    </row>
    <row r="15" spans="2:29" x14ac:dyDescent="0.3">
      <c r="B15" s="141" t="s">
        <v>213</v>
      </c>
      <c r="C15" s="120">
        <f>IFERROR(IF(VLOOKUP($B15,'SR G-Breakaway'!$B$5:$AI$24,6,FALSE)=" ",0,VLOOKUP($B15,'SR G-Breakaway'!$B$5:$AI$24,6,FALSE)),0)+IFERROR(IF(VLOOKUP($B15,'SR G-Barrels'!$B$5:$AI$24,6,FALSE)=" ",0,VLOOKUP($B15,'SR G-Barrels'!$B$5:$AI$24,6,FALSE)),0)+IFERROR(IF(VLOOKUP($B15,'SR G-Poles'!$B$5:$AI$24,6,FALSE)=" ",0,VLOOKUP($B15,'SR G-Poles'!$B$5:$AI$24,6,FALSE)),0)+IFERROR(IF(VLOOKUP($B15,'SR G-Goats'!$B$5:$AI$24,6,FALSE)=" ",0,VLOOKUP($B15,'SR G-Goats'!$B$5:$AI$24,6,FALSE)),0)+IFERROR(IF(VLOOKUP($B15,'SR-Team Roping-Header'!$B$5:$N$24,3,FALSE)=" ",0,VLOOKUP($B15,'SR-Team Roping-Header'!$B$5:$N$24,3,FALSE)),0)+IFERROR(IF(VLOOKUP($B15,'SR-Team Roping-Heeler'!$B$5:$N$24,3,FALSE)=" ",0,VLOOKUP($B15,'SR-Team Roping-Heeler'!$B$5:$N$24,3,FALSE)),0)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IFERROR(IF(VLOOKUP($B15,'SR G-Breakaway'!$B$5:$AI$24,10,FALSE)=" ",0,VLOOKUP($B15,'SR G-Breakaway'!$B$5:$AI$24,10,FALSE)),0)+IFERROR(IF(VLOOKUP($B15,'SR G-Barrels'!$B$5:$AI$24,10,FALSE)=" ",0,VLOOKUP($B15,'SR G-Barrels'!$B$5:$AI$24,10,FALSE)),0)+IFERROR(IF(VLOOKUP($B15,'SR G-Poles'!$B$5:$AI$24,10,FALSE)=" ",0,VLOOKUP($B15,'SR G-Poles'!$B$5:$AI$24,10,FALSE)),0)+IFERROR(IF(VLOOKUP($B15,'SR G-Goats'!$B$5:$AI$24,10,FALSE)=" ",0,VLOOKUP($B15,'SR G-Goats'!$B$5:$AI$24,10,FALSE)),0)+IFERROR(IF(VLOOKUP($B15,'SR-Team Roping-Header'!$B$5:$N$24,4,FALSE)=" ",0,VLOOKUP($B15,'SR-Team Roping-Header'!$B$5:$N$24,4,FALSE)),0)+IFERROR(IF(VLOOKUP($B15,'SR-Team Roping-Heeler'!$B$5:$N$24,4,FALSE)=" ",0,VLOOKUP($B15,'SR-Team Roping-Heeler'!$B$5:$N$24,4,FALSE)),0)</f>
        <v>12</v>
      </c>
      <c r="G15" s="95">
        <f t="shared" si="2"/>
        <v>12</v>
      </c>
      <c r="H15" s="91">
        <f t="shared" si="3"/>
        <v>6</v>
      </c>
      <c r="I15" s="121">
        <f>IFERROR(IF(VLOOKUP($B15,'SR G-Breakaway'!$B$5:$AI$24,14,FALSE)=" ",0,VLOOKUP($B15,'SR G-Breakaway'!$B$5:$AI$24,14,FALSE)),0)+IFERROR(IF(VLOOKUP($B15,'SR G-Barrels'!$B$5:$AI$24,14,FALSE)=" ",0,VLOOKUP($B15,'SR G-Barrels'!$B$5:$AI$24,14,FALSE)),0)+IFERROR(IF(VLOOKUP($B15,'SR G-Poles'!$B$5:$AI$24,14,FALSE)=" ",0,VLOOKUP($B15,'SR G-Poles'!$B$5:$AI$24,14,FALSE)),0)+IFERROR(IF(VLOOKUP($B15,'SR G-Goats'!$B$5:$AI$24,14,FALSE)=" ",0,VLOOKUP($B15,'SR G-Goats'!$B$5:$AI$24,14,FALSE)),0)+IFERROR(IF(VLOOKUP($B15,'SR-Team Roping-Header'!$B$5:$N$24,5,FALSE)=" ",0,VLOOKUP($B15,'SR-Team Roping-Header'!$B$5:$N$24,5,FALSE)),0)+IFERROR(IF(VLOOKUP($B15,'SR-Team Roping-Heeler'!$B$5:$N$24,5,FALSE)=" ",0,VLOOKUP($B15,'SR-Team Roping-Heeler'!$B$5:$N$24,5,FALSE)),0)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IFERROR(IF(VLOOKUP($B15,'SR G-Breakaway'!$B$5:$AI$24,18,FALSE)=" ",0,VLOOKUP($B15,'SR G-Breakaway'!$B$5:$AI$24,18,FALSE)),0)+IFERROR(IF(VLOOKUP($B15,'SR G-Barrels'!$B$5:$AI$24,18,FALSE)=" ",0,VLOOKUP($B15,'SR G-Barrels'!$B$5:$AI$24,18,FALSE)),0)+IFERROR(IF(VLOOKUP($B15,'SR G-Poles'!$B$5:$AI$24,18,FALSE)=" ",0,VLOOKUP($B15,'SR G-Poles'!$B$5:$AI$24,18,FALSE)),0)+IFERROR(IF(VLOOKUP($B15,'SR G-Goats'!$B$5:$AI$24,18,FALSE)=" ",0,VLOOKUP($B15,'SR G-Goats'!$B$5:$AI$24,18,FALSE)),0)+IFERROR(IF(VLOOKUP($B15,'SR-Team Roping-Header'!$B$5:$N$24,6,FALSE)=" ",0,VLOOKUP($B15,'SR-Team Roping-Header'!$B$5:$N$24,6,FALSE)),0)+IFERROR(IF(VLOOKUP($B15,'SR-Team Roping-Heeler'!$B$5:$N$24,6,FALSE)=" ",0,VLOOKUP($B15,'SR-Team Roping-Heeler'!$B$5:$N$24,6,FALSE)),0)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IFERROR(IF(VLOOKUP($B15,'SR G-Breakaway'!$B$5:$AI$24,22,FALSE)=" ",0,VLOOKUP($B15,'SR G-Breakaway'!$B$5:$AI$24,22,FALSE)),0)+IFERROR(IF(VLOOKUP($B15,'SR G-Barrels'!$B$5:$AI$24,22,FALSE)=" ",0,VLOOKUP($B15,'SR G-Barrels'!$B$5:$AI$24,22,FALSE)),0)+IFERROR(IF(VLOOKUP($B15,'SR G-Poles'!$B$5:$AI$24,22,FALSE)=" ",0,VLOOKUP($B15,'SR G-Poles'!$B$5:$AI$24,22,FALSE)),0)+IFERROR(IF(VLOOKUP($B15,'SR G-Goats'!$B$5:$AI$24,22,FALSE)=" ",0,VLOOKUP($B15,'SR G-Goats'!$B$5:$AI$24,22,FALSE)),0)+IFERROR(IF(VLOOKUP($B15,'SR-Team Roping-Header'!$B$5:$N$24,7,FALSE)=" ",0,VLOOKUP($B15,'SR-Team Roping-Header'!$B$5:$N$24,7,FALSE)),0)+IFERROR(IF(VLOOKUP($B15,'SR-Team Roping-Heeler'!$B$5:$N$24,7,FALSE)=" ",0,VLOOKUP($B15,'SR-Team Roping-Heeler'!$B$5:$N$24,7,FALSE)),0)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IFERROR(IF(VLOOKUP($B15,'SR G-Breakaway'!$B$5:$AI$24,26,FALSE)=" ",0,VLOOKUP($B15,'SR G-Breakaway'!$B$5:$AI$24,26,FALSE)),0)+IFERROR(IF(VLOOKUP($B15,'SR G-Barrels'!$B$5:$AI$24,26,FALSE)=" ",0,VLOOKUP($B15,'SR G-Barrels'!$B$5:$AI$24,26,FALSE)),0)+IFERROR(IF(VLOOKUP($B15,'SR G-Poles'!$B$5:$AI$24,26,FALSE)=" ",0,VLOOKUP($B15,'SR G-Poles'!$B$5:$AI$24,26,FALSE)),0)+IFERROR(IF(VLOOKUP($B15,'SR G-Goats'!$B$5:$AI$24,26,FALSE)=" ",0,VLOOKUP($B15,'SR G-Goats'!$B$5:$AI$24,26,FALSE)),0)+IFERROR(IF(VLOOKUP($B15,'SR-Team Roping-Header'!$B$5:$N$24,8,FALSE)=" ",0,VLOOKUP($B15,'SR-Team Roping-Header'!$B$5:$N$24,8,FALSE)),0)+IFERROR(IF(VLOOKUP($B15,'SR-Team Roping-Heeler'!$B$5:$N$24,8,FALSE)=" ",0,VLOOKUP($B15,'SR-Team Roping-Heeler'!$B$5:$N$24,8,FALSE)),0)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IFERROR(IF(VLOOKUP($B15,'SR G-Breakaway'!$B$5:$AI$24,30,FALSE)=" ",0,VLOOKUP($B15,'SR G-Breakaway'!$B$5:$AI$24,30,FALSE)),0)+IFERROR(IF(VLOOKUP($B15,'SR G-Barrels'!$B$5:$AI$24,30,FALSE)=" ",0,VLOOKUP($B15,'SR G-Barrels'!$B$5:$AI$24,30,FALSE)),0)+IFERROR(IF(VLOOKUP($B15,'SR G-Poles'!$B$5:$AI$24,30,FALSE)=" ",0,VLOOKUP($B15,'SR G-Poles'!$B$5:$AI$24,30,FALSE)),0)+IFERROR(IF(VLOOKUP($B15,'SR G-Goats'!$B$5:$AI$24,30,FALSE)=" ",0,VLOOKUP($B15,'SR G-Goats'!$B$5:$AI$24,30,FALSE)),0)+IFERROR(IF(VLOOKUP($B15,'SR-Team Roping-Header'!$B$5:$N$24,9,FALSE)=" ",0,VLOOKUP($B15,'SR-Team Roping-Header'!$B$5:$N$24,9,FALSE)),0)+IFERROR(IF(VLOOKUP($B15,'SR-Team Roping-Heeler'!$B$5:$N$24,9,FALSE)=" ",0,VLOOKUP($B15,'SR-Team Roping-Heeler'!$B$5:$N$24,9,FALSE)),0)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IFERROR(IF(VLOOKUP($B15,'SR G-Breakaway'!$B$5:$AI$24,34,FALSE)=" ",0,VLOOKUP($B15,'SR G-Breakaway'!$B$5:$AI$24,34,FALSE)),0)+IFERROR(IF(VLOOKUP($B15,'SR G-Barrels'!$B$5:$AI$24,34,FALSE)=" ",0,VLOOKUP($B15,'SR G-Barrels'!$B$5:$AI$24,34,FALSE)),0)+IFERROR(IF(VLOOKUP($B15,'SR G-Poles'!$B$5:$AI$24,34,FALSE)=" ",0,VLOOKUP($B15,'SR G-Poles'!$B$5:$AI$24,34,FALSE)),0)+IFERROR(IF(VLOOKUP($B15,'SR G-Goats'!$B$5:$AI$24,34,FALSE)=" ",0,VLOOKUP($B15,'SR G-Goats'!$B$5:$AI$24,34,FALSE)),0)+IFERROR(IF(VLOOKUP($B15,'SR-Team Roping-Header'!$B$5:$N$24,10,FALSE)=" ",0,VLOOKUP($B15,'SR-Team Roping-Header'!$B$5:$N$24,10,FALSE)),0)+IFERROR(IF(VLOOKUP($B15,'SR-Team Roping-Heeler'!$B$5:$N$24,10,FALSE)=" ",0,VLOOKUP($B15,'SR-Team Roping-Heeler'!$B$5:$N$24,10,FALSE)),0)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</v>
      </c>
      <c r="AB15" s="95">
        <f t="shared" si="16"/>
        <v>12</v>
      </c>
      <c r="AC15" s="91">
        <f t="shared" si="17"/>
        <v>11</v>
      </c>
    </row>
    <row r="16" spans="2:29" x14ac:dyDescent="0.3">
      <c r="B16" s="141" t="s">
        <v>211</v>
      </c>
      <c r="C16" s="120">
        <f>IFERROR(IF(VLOOKUP($B16,'SR G-Breakaway'!$B$5:$AI$24,6,FALSE)=" ",0,VLOOKUP($B16,'SR G-Breakaway'!$B$5:$AI$24,6,FALSE)),0)+IFERROR(IF(VLOOKUP($B16,'SR G-Barrels'!$B$5:$AI$24,6,FALSE)=" ",0,VLOOKUP($B16,'SR G-Barrels'!$B$5:$AI$24,6,FALSE)),0)+IFERROR(IF(VLOOKUP($B16,'SR G-Poles'!$B$5:$AI$24,6,FALSE)=" ",0,VLOOKUP($B16,'SR G-Poles'!$B$5:$AI$24,6,FALSE)),0)+IFERROR(IF(VLOOKUP($B16,'SR G-Goats'!$B$5:$AI$24,6,FALSE)=" ",0,VLOOKUP($B16,'SR G-Goats'!$B$5:$AI$24,6,FALSE)),0)+IFERROR(IF(VLOOKUP($B16,'SR-Team Roping-Header'!$B$5:$N$24,3,FALSE)=" ",0,VLOOKUP($B16,'SR-Team Roping-Header'!$B$5:$N$24,3,FALSE)),0)+IFERROR(IF(VLOOKUP($B16,'SR-Team Roping-Heeler'!$B$5:$N$24,3,FALSE)=" ",0,VLOOKUP($B16,'SR-Team Roping-Heeler'!$B$5:$N$24,3,FALSE)),0)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 G-Breakaway'!$B$5:$AI$24,10,FALSE)=" ",0,VLOOKUP($B16,'SR G-Breakaway'!$B$5:$AI$24,10,FALSE)),0)+IFERROR(IF(VLOOKUP($B16,'SR G-Barrels'!$B$5:$AI$24,10,FALSE)=" ",0,VLOOKUP($B16,'SR G-Barrels'!$B$5:$AI$24,10,FALSE)),0)+IFERROR(IF(VLOOKUP($B16,'SR G-Poles'!$B$5:$AI$24,10,FALSE)=" ",0,VLOOKUP($B16,'SR G-Poles'!$B$5:$AI$24,10,FALSE)),0)+IFERROR(IF(VLOOKUP($B16,'SR G-Goats'!$B$5:$AI$24,10,FALSE)=" ",0,VLOOKUP($B16,'SR G-Goats'!$B$5:$AI$24,10,FALSE)),0)+IFERROR(IF(VLOOKUP($B16,'SR-Team Roping-Header'!$B$5:$N$24,4,FALSE)=" ",0,VLOOKUP($B16,'SR-Team Roping-Header'!$B$5:$N$24,4,FALSE)),0)+IFERROR(IF(VLOOKUP($B16,'SR-Team Roping-Heeler'!$B$5:$N$24,4,FALSE)=" ",0,VLOOKUP($B16,'SR-Team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 G-Breakaway'!$B$5:$AI$24,14,FALSE)=" ",0,VLOOKUP($B16,'SR G-Breakaway'!$B$5:$AI$24,14,FALSE)),0)+IFERROR(IF(VLOOKUP($B16,'SR G-Barrels'!$B$5:$AI$24,14,FALSE)=" ",0,VLOOKUP($B16,'SR G-Barrels'!$B$5:$AI$24,14,FALSE)),0)+IFERROR(IF(VLOOKUP($B16,'SR G-Poles'!$B$5:$AI$24,14,FALSE)=" ",0,VLOOKUP($B16,'SR G-Poles'!$B$5:$AI$24,14,FALSE)),0)+IFERROR(IF(VLOOKUP($B16,'SR G-Goats'!$B$5:$AI$24,14,FALSE)=" ",0,VLOOKUP($B16,'SR G-Goats'!$B$5:$AI$24,14,FALSE)),0)+IFERROR(IF(VLOOKUP($B16,'SR-Team Roping-Header'!$B$5:$N$24,5,FALSE)=" ",0,VLOOKUP($B16,'SR-Team Roping-Header'!$B$5:$N$24,5,FALSE)),0)+IFERROR(IF(VLOOKUP($B16,'SR-Team Roping-Heeler'!$B$5:$N$24,5,FALSE)=" ",0,VLOOKUP($B16,'SR-Team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 G-Breakaway'!$B$5:$AI$24,18,FALSE)=" ",0,VLOOKUP($B16,'SR G-Breakaway'!$B$5:$AI$24,18,FALSE)),0)+IFERROR(IF(VLOOKUP($B16,'SR G-Barrels'!$B$5:$AI$24,18,FALSE)=" ",0,VLOOKUP($B16,'SR G-Barrels'!$B$5:$AI$24,18,FALSE)),0)+IFERROR(IF(VLOOKUP($B16,'SR G-Poles'!$B$5:$AI$24,18,FALSE)=" ",0,VLOOKUP($B16,'SR G-Poles'!$B$5:$AI$24,18,FALSE)),0)+IFERROR(IF(VLOOKUP($B16,'SR G-Goats'!$B$5:$AI$24,18,FALSE)=" ",0,VLOOKUP($B16,'SR G-Goats'!$B$5:$AI$24,18,FALSE)),0)+IFERROR(IF(VLOOKUP($B16,'SR-Team Roping-Header'!$B$5:$N$24,6,FALSE)=" ",0,VLOOKUP($B16,'SR-Team Roping-Header'!$B$5:$N$24,6,FALSE)),0)+IFERROR(IF(VLOOKUP($B16,'SR-Team Roping-Heeler'!$B$5:$N$24,6,FALSE)=" ",0,VLOOKUP($B16,'SR-Team Roping-Heeler'!$B$5:$N$24,6,FALSE)),0)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 G-Breakaway'!$B$5:$AI$24,22,FALSE)=" ",0,VLOOKUP($B16,'SR G-Breakaway'!$B$5:$AI$24,22,FALSE)),0)+IFERROR(IF(VLOOKUP($B16,'SR G-Barrels'!$B$5:$AI$24,22,FALSE)=" ",0,VLOOKUP($B16,'SR G-Barrels'!$B$5:$AI$24,22,FALSE)),0)+IFERROR(IF(VLOOKUP($B16,'SR G-Poles'!$B$5:$AI$24,22,FALSE)=" ",0,VLOOKUP($B16,'SR G-Poles'!$B$5:$AI$24,22,FALSE)),0)+IFERROR(IF(VLOOKUP($B16,'SR G-Goats'!$B$5:$AI$24,22,FALSE)=" ",0,VLOOKUP($B16,'SR G-Goats'!$B$5:$AI$24,22,FALSE)),0)+IFERROR(IF(VLOOKUP($B16,'SR-Team Roping-Header'!$B$5:$N$24,7,FALSE)=" ",0,VLOOKUP($B16,'SR-Team Roping-Header'!$B$5:$N$24,7,FALSE)),0)+IFERROR(IF(VLOOKUP($B16,'SR-Team Roping-Heeler'!$B$5:$N$24,7,FALSE)=" ",0,VLOOKUP($B16,'SR-Team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 G-Breakaway'!$B$5:$AI$24,26,FALSE)=" ",0,VLOOKUP($B16,'SR G-Breakaway'!$B$5:$AI$24,26,FALSE)),0)+IFERROR(IF(VLOOKUP($B16,'SR G-Barrels'!$B$5:$AI$24,26,FALSE)=" ",0,VLOOKUP($B16,'SR G-Barrels'!$B$5:$AI$24,26,FALSE)),0)+IFERROR(IF(VLOOKUP($B16,'SR G-Poles'!$B$5:$AI$24,26,FALSE)=" ",0,VLOOKUP($B16,'SR G-Poles'!$B$5:$AI$24,26,FALSE)),0)+IFERROR(IF(VLOOKUP($B16,'SR G-Goats'!$B$5:$AI$24,26,FALSE)=" ",0,VLOOKUP($B16,'SR G-Goats'!$B$5:$AI$24,26,FALSE)),0)+IFERROR(IF(VLOOKUP($B16,'SR-Team Roping-Header'!$B$5:$N$24,8,FALSE)=" ",0,VLOOKUP($B16,'SR-Team Roping-Header'!$B$5:$N$24,8,FALSE)),0)+IFERROR(IF(VLOOKUP($B16,'SR-Team Roping-Heeler'!$B$5:$N$24,8,FALSE)=" ",0,VLOOKUP($B16,'SR-Team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 G-Breakaway'!$B$5:$AI$24,30,FALSE)=" ",0,VLOOKUP($B16,'SR G-Breakaway'!$B$5:$AI$24,30,FALSE)),0)+IFERROR(IF(VLOOKUP($B16,'SR G-Barrels'!$B$5:$AI$24,30,FALSE)=" ",0,VLOOKUP($B16,'SR G-Barrels'!$B$5:$AI$24,30,FALSE)),0)+IFERROR(IF(VLOOKUP($B16,'SR G-Poles'!$B$5:$AI$24,30,FALSE)=" ",0,VLOOKUP($B16,'SR G-Poles'!$B$5:$AI$24,30,FALSE)),0)+IFERROR(IF(VLOOKUP($B16,'SR G-Goats'!$B$5:$AI$24,30,FALSE)=" ",0,VLOOKUP($B16,'SR G-Goats'!$B$5:$AI$24,30,FALSE)),0)+IFERROR(IF(VLOOKUP($B16,'SR-Team Roping-Header'!$B$5:$N$24,9,FALSE)=" ",0,VLOOKUP($B16,'SR-Team Roping-Header'!$B$5:$N$24,9,FALSE)),0)+IFERROR(IF(VLOOKUP($B16,'SR-Team Roping-Heeler'!$B$5:$N$24,9,FALSE)=" ",0,VLOOKUP($B16,'SR-Team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 G-Breakaway'!$B$5:$AI$24,34,FALSE)=" ",0,VLOOKUP($B16,'SR G-Breakaway'!$B$5:$AI$24,34,FALSE)),0)+IFERROR(IF(VLOOKUP($B16,'SR G-Barrels'!$B$5:$AI$24,34,FALSE)=" ",0,VLOOKUP($B16,'SR G-Barrels'!$B$5:$AI$24,34,FALSE)),0)+IFERROR(IF(VLOOKUP($B16,'SR G-Poles'!$B$5:$AI$24,34,FALSE)=" ",0,VLOOKUP($B16,'SR G-Poles'!$B$5:$AI$24,34,FALSE)),0)+IFERROR(IF(VLOOKUP($B16,'SR G-Goats'!$B$5:$AI$24,34,FALSE)=" ",0,VLOOKUP($B16,'SR G-Goats'!$B$5:$AI$24,34,FALSE)),0)+IFERROR(IF(VLOOKUP($B16,'SR-Team Roping-Header'!$B$5:$N$24,10,FALSE)=" ",0,VLOOKUP($B16,'SR-Team Roping-Header'!$B$5:$N$24,10,FALSE)),0)+IFERROR(IF(VLOOKUP($B16,'SR-Team Roping-Heeler'!$B$5:$N$24,10,FALSE)=" ",0,VLOOKUP($B16,'SR-Team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3">
      <c r="B17" s="141" t="s">
        <v>208</v>
      </c>
      <c r="C17" s="120">
        <f>IFERROR(IF(VLOOKUP($B17,'SR G-Breakaway'!$B$5:$AI$24,6,FALSE)=" ",0,VLOOKUP($B17,'SR G-Breakaway'!$B$5:$AI$24,6,FALSE)),0)+IFERROR(IF(VLOOKUP($B17,'SR G-Barrels'!$B$5:$AI$24,6,FALSE)=" ",0,VLOOKUP($B17,'SR G-Barrels'!$B$5:$AI$24,6,FALSE)),0)+IFERROR(IF(VLOOKUP($B17,'SR G-Poles'!$B$5:$AI$24,6,FALSE)=" ",0,VLOOKUP($B17,'SR G-Poles'!$B$5:$AI$24,6,FALSE)),0)+IFERROR(IF(VLOOKUP($B17,'SR G-Goats'!$B$5:$AI$24,6,FALSE)=" ",0,VLOOKUP($B17,'SR G-Goats'!$B$5:$AI$24,6,FALSE)),0)+IFERROR(IF(VLOOKUP($B17,'SR-Team Roping-Header'!$B$5:$N$24,3,FALSE)=" ",0,VLOOKUP($B17,'SR-Team Roping-Header'!$B$5:$N$24,3,FALSE)),0)+IFERROR(IF(VLOOKUP($B17,'SR-Team Roping-Heeler'!$B$5:$N$24,3,FALSE)=" ",0,VLOOKUP($B17,'SR-Team Roping-Heeler'!$B$5:$N$24,3,FALSE)),0)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IFERROR(IF(VLOOKUP($B17,'SR G-Breakaway'!$B$5:$AI$24,10,FALSE)=" ",0,VLOOKUP($B17,'SR G-Breakaway'!$B$5:$AI$24,10,FALSE)),0)+IFERROR(IF(VLOOKUP($B17,'SR G-Barrels'!$B$5:$AI$24,10,FALSE)=" ",0,VLOOKUP($B17,'SR G-Barrels'!$B$5:$AI$24,10,FALSE)),0)+IFERROR(IF(VLOOKUP($B17,'SR G-Poles'!$B$5:$AI$24,10,FALSE)=" ",0,VLOOKUP($B17,'SR G-Poles'!$B$5:$AI$24,10,FALSE)),0)+IFERROR(IF(VLOOKUP($B17,'SR G-Goats'!$B$5:$AI$24,10,FALSE)=" ",0,VLOOKUP($B17,'SR G-Goats'!$B$5:$AI$24,10,FALSE)),0)+IFERROR(IF(VLOOKUP($B17,'SR-Team Roping-Header'!$B$5:$N$24,4,FALSE)=" ",0,VLOOKUP($B17,'SR-Team Roping-Header'!$B$5:$N$24,4,FALSE)),0)+IFERROR(IF(VLOOKUP($B17,'SR-Team Roping-Heeler'!$B$5:$N$24,4,FALSE)=" ",0,VLOOKUP($B17,'SR-Team Roping-Heeler'!$B$5:$N$24,4,FALSE)),0)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IFERROR(IF(VLOOKUP($B17,'SR G-Breakaway'!$B$5:$AI$24,14,FALSE)=" ",0,VLOOKUP($B17,'SR G-Breakaway'!$B$5:$AI$24,14,FALSE)),0)+IFERROR(IF(VLOOKUP($B17,'SR G-Barrels'!$B$5:$AI$24,14,FALSE)=" ",0,VLOOKUP($B17,'SR G-Barrels'!$B$5:$AI$24,14,FALSE)),0)+IFERROR(IF(VLOOKUP($B17,'SR G-Poles'!$B$5:$AI$24,14,FALSE)=" ",0,VLOOKUP($B17,'SR G-Poles'!$B$5:$AI$24,14,FALSE)),0)+IFERROR(IF(VLOOKUP($B17,'SR G-Goats'!$B$5:$AI$24,14,FALSE)=" ",0,VLOOKUP($B17,'SR G-Goats'!$B$5:$AI$24,14,FALSE)),0)+IFERROR(IF(VLOOKUP($B17,'SR-Team Roping-Header'!$B$5:$N$24,5,FALSE)=" ",0,VLOOKUP($B17,'SR-Team Roping-Header'!$B$5:$N$24,5,FALSE)),0)+IFERROR(IF(VLOOKUP($B17,'SR-Team Roping-Heeler'!$B$5:$N$24,5,FALSE)=" ",0,VLOOKUP($B17,'SR-Team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IFERROR(IF(VLOOKUP($B17,'SR G-Breakaway'!$B$5:$AI$24,18,FALSE)=" ",0,VLOOKUP($B17,'SR G-Breakaway'!$B$5:$AI$24,18,FALSE)),0)+IFERROR(IF(VLOOKUP($B17,'SR G-Barrels'!$B$5:$AI$24,18,FALSE)=" ",0,VLOOKUP($B17,'SR G-Barrels'!$B$5:$AI$24,18,FALSE)),0)+IFERROR(IF(VLOOKUP($B17,'SR G-Poles'!$B$5:$AI$24,18,FALSE)=" ",0,VLOOKUP($B17,'SR G-Poles'!$B$5:$AI$24,18,FALSE)),0)+IFERROR(IF(VLOOKUP($B17,'SR G-Goats'!$B$5:$AI$24,18,FALSE)=" ",0,VLOOKUP($B17,'SR G-Goats'!$B$5:$AI$24,18,FALSE)),0)+IFERROR(IF(VLOOKUP($B17,'SR-Team Roping-Header'!$B$5:$N$24,6,FALSE)=" ",0,VLOOKUP($B17,'SR-Team Roping-Header'!$B$5:$N$24,6,FALSE)),0)+IFERROR(IF(VLOOKUP($B17,'SR-Team Roping-Heeler'!$B$5:$N$24,6,FALSE)=" ",0,VLOOKUP($B17,'SR-Team Roping-Heeler'!$B$5:$N$24,6,FALSE)),0)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IFERROR(IF(VLOOKUP($B17,'SR G-Breakaway'!$B$5:$AI$24,22,FALSE)=" ",0,VLOOKUP($B17,'SR G-Breakaway'!$B$5:$AI$24,22,FALSE)),0)+IFERROR(IF(VLOOKUP($B17,'SR G-Barrels'!$B$5:$AI$24,22,FALSE)=" ",0,VLOOKUP($B17,'SR G-Barrels'!$B$5:$AI$24,22,FALSE)),0)+IFERROR(IF(VLOOKUP($B17,'SR G-Poles'!$B$5:$AI$24,22,FALSE)=" ",0,VLOOKUP($B17,'SR G-Poles'!$B$5:$AI$24,22,FALSE)),0)+IFERROR(IF(VLOOKUP($B17,'SR G-Goats'!$B$5:$AI$24,22,FALSE)=" ",0,VLOOKUP($B17,'SR G-Goats'!$B$5:$AI$24,22,FALSE)),0)+IFERROR(IF(VLOOKUP($B17,'SR-Team Roping-Header'!$B$5:$N$24,7,FALSE)=" ",0,VLOOKUP($B17,'SR-Team Roping-Header'!$B$5:$N$24,7,FALSE)),0)+IFERROR(IF(VLOOKUP($B17,'SR-Team Roping-Heeler'!$B$5:$N$24,7,FALSE)=" ",0,VLOOKUP($B17,'SR-Team Roping-Heeler'!$B$5:$N$24,7,FALSE)),0)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IFERROR(IF(VLOOKUP($B17,'SR G-Breakaway'!$B$5:$AI$24,26,FALSE)=" ",0,VLOOKUP($B17,'SR G-Breakaway'!$B$5:$AI$24,26,FALSE)),0)+IFERROR(IF(VLOOKUP($B17,'SR G-Barrels'!$B$5:$AI$24,26,FALSE)=" ",0,VLOOKUP($B17,'SR G-Barrels'!$B$5:$AI$24,26,FALSE)),0)+IFERROR(IF(VLOOKUP($B17,'SR G-Poles'!$B$5:$AI$24,26,FALSE)=" ",0,VLOOKUP($B17,'SR G-Poles'!$B$5:$AI$24,26,FALSE)),0)+IFERROR(IF(VLOOKUP($B17,'SR G-Goats'!$B$5:$AI$24,26,FALSE)=" ",0,VLOOKUP($B17,'SR G-Goats'!$B$5:$AI$24,26,FALSE)),0)+IFERROR(IF(VLOOKUP($B17,'SR-Team Roping-Header'!$B$5:$N$24,8,FALSE)=" ",0,VLOOKUP($B17,'SR-Team Roping-Header'!$B$5:$N$24,8,FALSE)),0)+IFERROR(IF(VLOOKUP($B17,'SR-Team Roping-Heeler'!$B$5:$N$24,8,FALSE)=" ",0,VLOOKUP($B17,'SR-Team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IFERROR(IF(VLOOKUP($B17,'SR G-Breakaway'!$B$5:$AI$24,30,FALSE)=" ",0,VLOOKUP($B17,'SR G-Breakaway'!$B$5:$AI$24,30,FALSE)),0)+IFERROR(IF(VLOOKUP($B17,'SR G-Barrels'!$B$5:$AI$24,30,FALSE)=" ",0,VLOOKUP($B17,'SR G-Barrels'!$B$5:$AI$24,30,FALSE)),0)+IFERROR(IF(VLOOKUP($B17,'SR G-Poles'!$B$5:$AI$24,30,FALSE)=" ",0,VLOOKUP($B17,'SR G-Poles'!$B$5:$AI$24,30,FALSE)),0)+IFERROR(IF(VLOOKUP($B17,'SR G-Goats'!$B$5:$AI$24,30,FALSE)=" ",0,VLOOKUP($B17,'SR G-Goats'!$B$5:$AI$24,30,FALSE)),0)+IFERROR(IF(VLOOKUP($B17,'SR-Team Roping-Header'!$B$5:$N$24,9,FALSE)=" ",0,VLOOKUP($B17,'SR-Team Roping-Header'!$B$5:$N$24,9,FALSE)),0)+IFERROR(IF(VLOOKUP($B17,'SR-Team Roping-Heeler'!$B$5:$N$24,9,FALSE)=" ",0,VLOOKUP($B17,'SR-Team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IFERROR(IF(VLOOKUP($B17,'SR G-Breakaway'!$B$5:$AI$24,34,FALSE)=" ",0,VLOOKUP($B17,'SR G-Breakaway'!$B$5:$AI$24,34,FALSE)),0)+IFERROR(IF(VLOOKUP($B17,'SR G-Barrels'!$B$5:$AI$24,34,FALSE)=" ",0,VLOOKUP($B17,'SR G-Barrels'!$B$5:$AI$24,34,FALSE)),0)+IFERROR(IF(VLOOKUP($B17,'SR G-Poles'!$B$5:$AI$24,34,FALSE)=" ",0,VLOOKUP($B17,'SR G-Poles'!$B$5:$AI$24,34,FALSE)),0)+IFERROR(IF(VLOOKUP($B17,'SR G-Goats'!$B$5:$AI$24,34,FALSE)=" ",0,VLOOKUP($B17,'SR G-Goats'!$B$5:$AI$24,34,FALSE)),0)+IFERROR(IF(VLOOKUP($B17,'SR-Team Roping-Header'!$B$5:$N$24,10,FALSE)=" ",0,VLOOKUP($B17,'SR-Team Roping-Header'!$B$5:$N$24,10,FALSE)),0)+IFERROR(IF(VLOOKUP($B17,'SR-Team Roping-Heeler'!$B$5:$N$24,10,FALSE)=" ",0,VLOOKUP($B17,'SR-Team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3">
      <c r="B18" s="141" t="s">
        <v>206</v>
      </c>
      <c r="C18" s="120">
        <f>IFERROR(IF(VLOOKUP($B18,'SR G-Breakaway'!$B$5:$AI$24,6,FALSE)=" ",0,VLOOKUP($B18,'SR G-Breakaway'!$B$5:$AI$24,6,FALSE)),0)+IFERROR(IF(VLOOKUP($B18,'SR G-Barrels'!$B$5:$AI$24,6,FALSE)=" ",0,VLOOKUP($B18,'SR G-Barrels'!$B$5:$AI$24,6,FALSE)),0)+IFERROR(IF(VLOOKUP($B18,'SR G-Poles'!$B$5:$AI$24,6,FALSE)=" ",0,VLOOKUP($B18,'SR G-Poles'!$B$5:$AI$24,6,FALSE)),0)+IFERROR(IF(VLOOKUP($B18,'SR G-Goats'!$B$5:$AI$24,6,FALSE)=" ",0,VLOOKUP($B18,'SR G-Goats'!$B$5:$AI$24,6,FALSE)),0)+IFERROR(IF(VLOOKUP($B18,'SR-Team Roping-Header'!$B$5:$N$24,3,FALSE)=" ",0,VLOOKUP($B18,'SR-Team Roping-Header'!$B$5:$N$24,3,FALSE)),0)+IFERROR(IF(VLOOKUP($B18,'SR-Team Roping-Heeler'!$B$5:$N$24,3,FALSE)=" ",0,VLOOKUP($B18,'SR-Team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IFERROR(IF(VLOOKUP($B18,'SR G-Breakaway'!$B$5:$AI$24,10,FALSE)=" ",0,VLOOKUP($B18,'SR G-Breakaway'!$B$5:$AI$24,10,FALSE)),0)+IFERROR(IF(VLOOKUP($B18,'SR G-Barrels'!$B$5:$AI$24,10,FALSE)=" ",0,VLOOKUP($B18,'SR G-Barrels'!$B$5:$AI$24,10,FALSE)),0)+IFERROR(IF(VLOOKUP($B18,'SR G-Poles'!$B$5:$AI$24,10,FALSE)=" ",0,VLOOKUP($B18,'SR G-Poles'!$B$5:$AI$24,10,FALSE)),0)+IFERROR(IF(VLOOKUP($B18,'SR G-Goats'!$B$5:$AI$24,10,FALSE)=" ",0,VLOOKUP($B18,'SR G-Goats'!$B$5:$AI$24,10,FALSE)),0)+IFERROR(IF(VLOOKUP($B18,'SR-Team Roping-Header'!$B$5:$N$24,4,FALSE)=" ",0,VLOOKUP($B18,'SR-Team Roping-Header'!$B$5:$N$24,4,FALSE)),0)+IFERROR(IF(VLOOKUP($B18,'SR-Team Roping-Heeler'!$B$5:$N$24,4,FALSE)=" ",0,VLOOKUP($B18,'SR-Team Roping-Heeler'!$B$5:$N$24,4,FALSE)),0)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IFERROR(IF(VLOOKUP($B18,'SR G-Breakaway'!$B$5:$AI$24,14,FALSE)=" ",0,VLOOKUP($B18,'SR G-Breakaway'!$B$5:$AI$24,14,FALSE)),0)+IFERROR(IF(VLOOKUP($B18,'SR G-Barrels'!$B$5:$AI$24,14,FALSE)=" ",0,VLOOKUP($B18,'SR G-Barrels'!$B$5:$AI$24,14,FALSE)),0)+IFERROR(IF(VLOOKUP($B18,'SR G-Poles'!$B$5:$AI$24,14,FALSE)=" ",0,VLOOKUP($B18,'SR G-Poles'!$B$5:$AI$24,14,FALSE)),0)+IFERROR(IF(VLOOKUP($B18,'SR G-Goats'!$B$5:$AI$24,14,FALSE)=" ",0,VLOOKUP($B18,'SR G-Goats'!$B$5:$AI$24,14,FALSE)),0)+IFERROR(IF(VLOOKUP($B18,'SR-Team Roping-Header'!$B$5:$N$24,5,FALSE)=" ",0,VLOOKUP($B18,'SR-Team Roping-Header'!$B$5:$N$24,5,FALSE)),0)+IFERROR(IF(VLOOKUP($B18,'SR-Team Roping-Heeler'!$B$5:$N$24,5,FALSE)=" ",0,VLOOKUP($B18,'SR-Team Roping-Heeler'!$B$5:$N$24,5,FALSE)),0)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IFERROR(IF(VLOOKUP($B18,'SR G-Breakaway'!$B$5:$AI$24,18,FALSE)=" ",0,VLOOKUP($B18,'SR G-Breakaway'!$B$5:$AI$24,18,FALSE)),0)+IFERROR(IF(VLOOKUP($B18,'SR G-Barrels'!$B$5:$AI$24,18,FALSE)=" ",0,VLOOKUP($B18,'SR G-Barrels'!$B$5:$AI$24,18,FALSE)),0)+IFERROR(IF(VLOOKUP($B18,'SR G-Poles'!$B$5:$AI$24,18,FALSE)=" ",0,VLOOKUP($B18,'SR G-Poles'!$B$5:$AI$24,18,FALSE)),0)+IFERROR(IF(VLOOKUP($B18,'SR G-Goats'!$B$5:$AI$24,18,FALSE)=" ",0,VLOOKUP($B18,'SR G-Goats'!$B$5:$AI$24,18,FALSE)),0)+IFERROR(IF(VLOOKUP($B18,'SR-Team Roping-Header'!$B$5:$N$24,6,FALSE)=" ",0,VLOOKUP($B18,'SR-Team Roping-Header'!$B$5:$N$24,6,FALSE)),0)+IFERROR(IF(VLOOKUP($B18,'SR-Team Roping-Heeler'!$B$5:$N$24,6,FALSE)=" ",0,VLOOKUP($B18,'SR-Team Roping-Heeler'!$B$5:$N$24,6,FALSE)),0)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IFERROR(IF(VLOOKUP($B18,'SR G-Breakaway'!$B$5:$AI$24,22,FALSE)=" ",0,VLOOKUP($B18,'SR G-Breakaway'!$B$5:$AI$24,22,FALSE)),0)+IFERROR(IF(VLOOKUP($B18,'SR G-Barrels'!$B$5:$AI$24,22,FALSE)=" ",0,VLOOKUP($B18,'SR G-Barrels'!$B$5:$AI$24,22,FALSE)),0)+IFERROR(IF(VLOOKUP($B18,'SR G-Poles'!$B$5:$AI$24,22,FALSE)=" ",0,VLOOKUP($B18,'SR G-Poles'!$B$5:$AI$24,22,FALSE)),0)+IFERROR(IF(VLOOKUP($B18,'SR G-Goats'!$B$5:$AI$24,22,FALSE)=" ",0,VLOOKUP($B18,'SR G-Goats'!$B$5:$AI$24,22,FALSE)),0)+IFERROR(IF(VLOOKUP($B18,'SR-Team Roping-Header'!$B$5:$N$24,7,FALSE)=" ",0,VLOOKUP($B18,'SR-Team Roping-Header'!$B$5:$N$24,7,FALSE)),0)+IFERROR(IF(VLOOKUP($B18,'SR-Team Roping-Heeler'!$B$5:$N$24,7,FALSE)=" ",0,VLOOKUP($B18,'SR-Team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IFERROR(IF(VLOOKUP($B18,'SR G-Breakaway'!$B$5:$AI$24,26,FALSE)=" ",0,VLOOKUP($B18,'SR G-Breakaway'!$B$5:$AI$24,26,FALSE)),0)+IFERROR(IF(VLOOKUP($B18,'SR G-Barrels'!$B$5:$AI$24,26,FALSE)=" ",0,VLOOKUP($B18,'SR G-Barrels'!$B$5:$AI$24,26,FALSE)),0)+IFERROR(IF(VLOOKUP($B18,'SR G-Poles'!$B$5:$AI$24,26,FALSE)=" ",0,VLOOKUP($B18,'SR G-Poles'!$B$5:$AI$24,26,FALSE)),0)+IFERROR(IF(VLOOKUP($B18,'SR G-Goats'!$B$5:$AI$24,26,FALSE)=" ",0,VLOOKUP($B18,'SR G-Goats'!$B$5:$AI$24,26,FALSE)),0)+IFERROR(IF(VLOOKUP($B18,'SR-Team Roping-Header'!$B$5:$N$24,8,FALSE)=" ",0,VLOOKUP($B18,'SR-Team Roping-Header'!$B$5:$N$24,8,FALSE)),0)+IFERROR(IF(VLOOKUP($B18,'SR-Team Roping-Heeler'!$B$5:$N$24,8,FALSE)=" ",0,VLOOKUP($B18,'SR-Team Roping-Heeler'!$B$5:$N$24,8,FALSE)),0)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IFERROR(IF(VLOOKUP($B18,'SR G-Breakaway'!$B$5:$AI$24,30,FALSE)=" ",0,VLOOKUP($B18,'SR G-Breakaway'!$B$5:$AI$24,30,FALSE)),0)+IFERROR(IF(VLOOKUP($B18,'SR G-Barrels'!$B$5:$AI$24,30,FALSE)=" ",0,VLOOKUP($B18,'SR G-Barrels'!$B$5:$AI$24,30,FALSE)),0)+IFERROR(IF(VLOOKUP($B18,'SR G-Poles'!$B$5:$AI$24,30,FALSE)=" ",0,VLOOKUP($B18,'SR G-Poles'!$B$5:$AI$24,30,FALSE)),0)+IFERROR(IF(VLOOKUP($B18,'SR G-Goats'!$B$5:$AI$24,30,FALSE)=" ",0,VLOOKUP($B18,'SR G-Goats'!$B$5:$AI$24,30,FALSE)),0)+IFERROR(IF(VLOOKUP($B18,'SR-Team Roping-Header'!$B$5:$N$24,9,FALSE)=" ",0,VLOOKUP($B18,'SR-Team Roping-Header'!$B$5:$N$24,9,FALSE)),0)+IFERROR(IF(VLOOKUP($B18,'SR-Team Roping-Heeler'!$B$5:$N$24,9,FALSE)=" ",0,VLOOKUP($B18,'SR-Team Roping-Heeler'!$B$5:$N$24,9,FALSE)),0)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IFERROR(IF(VLOOKUP($B18,'SR G-Breakaway'!$B$5:$AI$24,34,FALSE)=" ",0,VLOOKUP($B18,'SR G-Breakaway'!$B$5:$AI$24,34,FALSE)),0)+IFERROR(IF(VLOOKUP($B18,'SR G-Barrels'!$B$5:$AI$24,34,FALSE)=" ",0,VLOOKUP($B18,'SR G-Barrels'!$B$5:$AI$24,34,FALSE)),0)+IFERROR(IF(VLOOKUP($B18,'SR G-Poles'!$B$5:$AI$24,34,FALSE)=" ",0,VLOOKUP($B18,'SR G-Poles'!$B$5:$AI$24,34,FALSE)),0)+IFERROR(IF(VLOOKUP($B18,'SR G-Goats'!$B$5:$AI$24,34,FALSE)=" ",0,VLOOKUP($B18,'SR G-Goats'!$B$5:$AI$24,34,FALSE)),0)+IFERROR(IF(VLOOKUP($B18,'SR-Team Roping-Header'!$B$5:$N$24,10,FALSE)=" ",0,VLOOKUP($B18,'SR-Team Roping-Header'!$B$5:$N$24,10,FALSE)),0)+IFERROR(IF(VLOOKUP($B18,'SR-Team Roping-Heeler'!$B$5:$N$24,10,FALSE)=" ",0,VLOOKUP($B18,'SR-Team Roping-Heeler'!$B$5:$N$24,10,FALSE)),0)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52"/>
      <c r="C19" s="120">
        <f>IFERROR(IF(VLOOKUP($B19,'SR G-Breakaway'!$B$5:$AI$24,6,FALSE)=" ",0,VLOOKUP($B19,'SR G-Breakaway'!$B$5:$AI$24,6,FALSE)),0)+IFERROR(IF(VLOOKUP($B19,'SR G-Barrels'!$B$5:$AI$24,6,FALSE)=" ",0,VLOOKUP($B19,'SR G-Barrels'!$B$5:$AI$24,6,FALSE)),0)+IFERROR(IF(VLOOKUP($B19,'SR G-Poles'!$B$5:$AI$24,6,FALSE)=" ",0,VLOOKUP($B19,'SR G-Poles'!$B$5:$AI$24,6,FALSE)),0)+IFERROR(IF(VLOOKUP($B19,'SR G-Goats'!$B$5:$AI$24,6,FALSE)=" ",0,VLOOKUP($B19,'SR G-Goats'!$B$5:$AI$24,6,FALSE)),0)+IFERROR(IF(VLOOKUP($B19,'SR-Team Roping-Header'!$B$5:$N$24,3,FALSE)=" ",0,VLOOKUP($B19,'SR-Team Roping-Header'!$B$5:$N$24,3,FALSE)),0)+IFERROR(IF(VLOOKUP($B19,'SR-Team Roping-Heeler'!$B$5:$N$24,3,FALSE)=" ",0,VLOOKUP($B19,'SR-Team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 G-Breakaway'!$B$5:$AI$24,10,FALSE)=" ",0,VLOOKUP($B19,'SR G-Breakaway'!$B$5:$AI$24,10,FALSE)),0)+IFERROR(IF(VLOOKUP($B19,'SR G-Barrels'!$B$5:$AI$24,10,FALSE)=" ",0,VLOOKUP($B19,'SR G-Barrels'!$B$5:$AI$24,10,FALSE)),0)+IFERROR(IF(VLOOKUP($B19,'SR G-Poles'!$B$5:$AI$24,10,FALSE)=" ",0,VLOOKUP($B19,'SR G-Poles'!$B$5:$AI$24,10,FALSE)),0)+IFERROR(IF(VLOOKUP($B19,'SR G-Goats'!$B$5:$AI$24,10,FALSE)=" ",0,VLOOKUP($B19,'SR G-Goats'!$B$5:$AI$24,10,FALSE)),0)+IFERROR(IF(VLOOKUP($B19,'SR-Team Roping-Header'!$B$5:$N$24,4,FALSE)=" ",0,VLOOKUP($B19,'SR-Team Roping-Header'!$B$5:$N$24,4,FALSE)),0)+IFERROR(IF(VLOOKUP($B19,'SR-Team Roping-Heeler'!$B$5:$N$24,4,FALSE)=" ",0,VLOOKUP($B19,'SR-Team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 G-Breakaway'!$B$5:$AI$24,14,FALSE)=" ",0,VLOOKUP($B19,'SR G-Breakaway'!$B$5:$AI$24,14,FALSE)),0)+IFERROR(IF(VLOOKUP($B19,'SR G-Barrels'!$B$5:$AI$24,14,FALSE)=" ",0,VLOOKUP($B19,'SR G-Barrels'!$B$5:$AI$24,14,FALSE)),0)+IFERROR(IF(VLOOKUP($B19,'SR G-Poles'!$B$5:$AI$24,14,FALSE)=" ",0,VLOOKUP($B19,'SR G-Poles'!$B$5:$AI$24,14,FALSE)),0)+IFERROR(IF(VLOOKUP($B19,'SR G-Goats'!$B$5:$AI$24,14,FALSE)=" ",0,VLOOKUP($B19,'SR G-Goats'!$B$5:$AI$24,14,FALSE)),0)+IFERROR(IF(VLOOKUP($B19,'SR-Team Roping-Header'!$B$5:$N$24,5,FALSE)=" ",0,VLOOKUP($B19,'SR-Team Roping-Header'!$B$5:$N$24,5,FALSE)),0)+IFERROR(IF(VLOOKUP($B19,'SR-Team Roping-Heeler'!$B$5:$N$24,5,FALSE)=" ",0,VLOOKUP($B19,'SR-Team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 G-Breakaway'!$B$5:$AI$24,18,FALSE)=" ",0,VLOOKUP($B19,'SR G-Breakaway'!$B$5:$AI$24,18,FALSE)),0)+IFERROR(IF(VLOOKUP($B19,'SR G-Barrels'!$B$5:$AI$24,18,FALSE)=" ",0,VLOOKUP($B19,'SR G-Barrels'!$B$5:$AI$24,18,FALSE)),0)+IFERROR(IF(VLOOKUP($B19,'SR G-Poles'!$B$5:$AI$24,18,FALSE)=" ",0,VLOOKUP($B19,'SR G-Poles'!$B$5:$AI$24,18,FALSE)),0)+IFERROR(IF(VLOOKUP($B19,'SR G-Goats'!$B$5:$AI$24,18,FALSE)=" ",0,VLOOKUP($B19,'SR G-Goats'!$B$5:$AI$24,18,FALSE)),0)+IFERROR(IF(VLOOKUP($B19,'SR-Team Roping-Header'!$B$5:$N$24,6,FALSE)=" ",0,VLOOKUP($B19,'SR-Team Roping-Header'!$B$5:$N$24,6,FALSE)),0)+IFERROR(IF(VLOOKUP($B19,'SR-Team Roping-Heeler'!$B$5:$N$24,6,FALSE)=" ",0,VLOOKUP($B19,'SR-Team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 G-Breakaway'!$B$5:$AI$24,22,FALSE)=" ",0,VLOOKUP($B19,'SR G-Breakaway'!$B$5:$AI$24,22,FALSE)),0)+IFERROR(IF(VLOOKUP($B19,'SR G-Barrels'!$B$5:$AI$24,22,FALSE)=" ",0,VLOOKUP($B19,'SR G-Barrels'!$B$5:$AI$24,22,FALSE)),0)+IFERROR(IF(VLOOKUP($B19,'SR G-Poles'!$B$5:$AI$24,22,FALSE)=" ",0,VLOOKUP($B19,'SR G-Poles'!$B$5:$AI$24,22,FALSE)),0)+IFERROR(IF(VLOOKUP($B19,'SR G-Goats'!$B$5:$AI$24,22,FALSE)=" ",0,VLOOKUP($B19,'SR G-Goats'!$B$5:$AI$24,22,FALSE)),0)+IFERROR(IF(VLOOKUP($B19,'SR-Team Roping-Header'!$B$5:$N$24,7,FALSE)=" ",0,VLOOKUP($B19,'SR-Team Roping-Header'!$B$5:$N$24,7,FALSE)),0)+IFERROR(IF(VLOOKUP($B19,'SR-Team Roping-Heeler'!$B$5:$N$24,7,FALSE)=" ",0,VLOOKUP($B19,'SR-Team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 G-Breakaway'!$B$5:$AI$24,26,FALSE)=" ",0,VLOOKUP($B19,'SR G-Breakaway'!$B$5:$AI$24,26,FALSE)),0)+IFERROR(IF(VLOOKUP($B19,'SR G-Barrels'!$B$5:$AI$24,26,FALSE)=" ",0,VLOOKUP($B19,'SR G-Barrels'!$B$5:$AI$24,26,FALSE)),0)+IFERROR(IF(VLOOKUP($B19,'SR G-Poles'!$B$5:$AI$24,26,FALSE)=" ",0,VLOOKUP($B19,'SR G-Poles'!$B$5:$AI$24,26,FALSE)),0)+IFERROR(IF(VLOOKUP($B19,'SR G-Goats'!$B$5:$AI$24,26,FALSE)=" ",0,VLOOKUP($B19,'SR G-Goats'!$B$5:$AI$24,26,FALSE)),0)+IFERROR(IF(VLOOKUP($B19,'SR-Team Roping-Header'!$B$5:$N$24,8,FALSE)=" ",0,VLOOKUP($B19,'SR-Team Roping-Header'!$B$5:$N$24,8,FALSE)),0)+IFERROR(IF(VLOOKUP($B19,'SR-Team Roping-Heeler'!$B$5:$N$24,8,FALSE)=" ",0,VLOOKUP($B19,'SR-Team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 G-Breakaway'!$B$5:$AI$24,30,FALSE)=" ",0,VLOOKUP($B19,'SR G-Breakaway'!$B$5:$AI$24,30,FALSE)),0)+IFERROR(IF(VLOOKUP($B19,'SR G-Barrels'!$B$5:$AI$24,30,FALSE)=" ",0,VLOOKUP($B19,'SR G-Barrels'!$B$5:$AI$24,30,FALSE)),0)+IFERROR(IF(VLOOKUP($B19,'SR G-Poles'!$B$5:$AI$24,30,FALSE)=" ",0,VLOOKUP($B19,'SR G-Poles'!$B$5:$AI$24,30,FALSE)),0)+IFERROR(IF(VLOOKUP($B19,'SR G-Goats'!$B$5:$AI$24,30,FALSE)=" ",0,VLOOKUP($B19,'SR G-Goats'!$B$5:$AI$24,30,FALSE)),0)+IFERROR(IF(VLOOKUP($B19,'SR-Team Roping-Header'!$B$5:$N$24,9,FALSE)=" ",0,VLOOKUP($B19,'SR-Team Roping-Header'!$B$5:$N$24,9,FALSE)),0)+IFERROR(IF(VLOOKUP($B19,'SR-Team Roping-Heeler'!$B$5:$N$24,9,FALSE)=" ",0,VLOOKUP($B19,'SR-Team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 G-Breakaway'!$B$5:$AI$24,34,FALSE)=" ",0,VLOOKUP($B19,'SR G-Breakaway'!$B$5:$AI$24,34,FALSE)),0)+IFERROR(IF(VLOOKUP($B19,'SR G-Barrels'!$B$5:$AI$24,34,FALSE)=" ",0,VLOOKUP($B19,'SR G-Barrels'!$B$5:$AI$24,34,FALSE)),0)+IFERROR(IF(VLOOKUP($B19,'SR G-Poles'!$B$5:$AI$24,34,FALSE)=" ",0,VLOOKUP($B19,'SR G-Poles'!$B$5:$AI$24,34,FALSE)),0)+IFERROR(IF(VLOOKUP($B19,'SR G-Goats'!$B$5:$AI$24,34,FALSE)=" ",0,VLOOKUP($B19,'SR G-Goats'!$B$5:$AI$24,34,FALSE)),0)+IFERROR(IF(VLOOKUP($B19,'SR-Team Roping-Header'!$B$5:$N$24,10,FALSE)=" ",0,VLOOKUP($B19,'SR-Team Roping-Header'!$B$5:$N$24,10,FALSE)),0)+IFERROR(IF(VLOOKUP($B19,'SR-Team Roping-Heeler'!$B$5:$N$24,10,FALSE)=" ",0,VLOOKUP($B19,'SR-Team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52"/>
      <c r="C20" s="120">
        <f>IFERROR(IF(VLOOKUP($B20,'SR G-Breakaway'!$B$5:$AI$24,6,FALSE)=" ",0,VLOOKUP($B20,'SR G-Breakaway'!$B$5:$AI$24,6,FALSE)),0)+IFERROR(IF(VLOOKUP($B20,'SR G-Barrels'!$B$5:$AI$24,6,FALSE)=" ",0,VLOOKUP($B20,'SR G-Barrels'!$B$5:$AI$24,6,FALSE)),0)+IFERROR(IF(VLOOKUP($B20,'SR G-Poles'!$B$5:$AI$24,6,FALSE)=" ",0,VLOOKUP($B20,'SR G-Poles'!$B$5:$AI$24,6,FALSE)),0)+IFERROR(IF(VLOOKUP($B20,'SR G-Goats'!$B$5:$AI$24,6,FALSE)=" ",0,VLOOKUP($B20,'SR G-Goats'!$B$5:$AI$24,6,FALSE)),0)+IFERROR(IF(VLOOKUP($B20,'SR-Team Roping-Header'!$B$5:$N$24,3,FALSE)=" ",0,VLOOKUP($B20,'SR-Team Roping-Header'!$B$5:$N$24,3,FALSE)),0)+IFERROR(IF(VLOOKUP($B20,'SR-Team Roping-Heeler'!$B$5:$N$24,3,FALSE)=" ",0,VLOOKUP($B20,'SR-Team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 G-Breakaway'!$B$5:$AI$24,10,FALSE)=" ",0,VLOOKUP($B20,'SR G-Breakaway'!$B$5:$AI$24,10,FALSE)),0)+IFERROR(IF(VLOOKUP($B20,'SR G-Barrels'!$B$5:$AI$24,10,FALSE)=" ",0,VLOOKUP($B20,'SR G-Barrels'!$B$5:$AI$24,10,FALSE)),0)+IFERROR(IF(VLOOKUP($B20,'SR G-Poles'!$B$5:$AI$24,10,FALSE)=" ",0,VLOOKUP($B20,'SR G-Poles'!$B$5:$AI$24,10,FALSE)),0)+IFERROR(IF(VLOOKUP($B20,'SR G-Goats'!$B$5:$AI$24,10,FALSE)=" ",0,VLOOKUP($B20,'SR G-Goats'!$B$5:$AI$24,10,FALSE)),0)+IFERROR(IF(VLOOKUP($B20,'SR-Team Roping-Header'!$B$5:$N$24,4,FALSE)=" ",0,VLOOKUP($B20,'SR-Team Roping-Header'!$B$5:$N$24,4,FALSE)),0)+IFERROR(IF(VLOOKUP($B20,'SR-Team Roping-Heeler'!$B$5:$N$24,4,FALSE)=" ",0,VLOOKUP($B20,'SR-Team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 G-Breakaway'!$B$5:$AI$24,14,FALSE)=" ",0,VLOOKUP($B20,'SR G-Breakaway'!$B$5:$AI$24,14,FALSE)),0)+IFERROR(IF(VLOOKUP($B20,'SR G-Barrels'!$B$5:$AI$24,14,FALSE)=" ",0,VLOOKUP($B20,'SR G-Barrels'!$B$5:$AI$24,14,FALSE)),0)+IFERROR(IF(VLOOKUP($B20,'SR G-Poles'!$B$5:$AI$24,14,FALSE)=" ",0,VLOOKUP($B20,'SR G-Poles'!$B$5:$AI$24,14,FALSE)),0)+IFERROR(IF(VLOOKUP($B20,'SR G-Goats'!$B$5:$AI$24,14,FALSE)=" ",0,VLOOKUP($B20,'SR G-Goats'!$B$5:$AI$24,14,FALSE)),0)+IFERROR(IF(VLOOKUP($B20,'SR-Team Roping-Header'!$B$5:$N$24,5,FALSE)=" ",0,VLOOKUP($B20,'SR-Team Roping-Header'!$B$5:$N$24,5,FALSE)),0)+IFERROR(IF(VLOOKUP($B20,'SR-Team Roping-Heeler'!$B$5:$N$24,5,FALSE)=" ",0,VLOOKUP($B20,'SR-Team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 G-Breakaway'!$B$5:$AI$24,18,FALSE)=" ",0,VLOOKUP($B20,'SR G-Breakaway'!$B$5:$AI$24,18,FALSE)),0)+IFERROR(IF(VLOOKUP($B20,'SR G-Barrels'!$B$5:$AI$24,18,FALSE)=" ",0,VLOOKUP($B20,'SR G-Barrels'!$B$5:$AI$24,18,FALSE)),0)+IFERROR(IF(VLOOKUP($B20,'SR G-Poles'!$B$5:$AI$24,18,FALSE)=" ",0,VLOOKUP($B20,'SR G-Poles'!$B$5:$AI$24,18,FALSE)),0)+IFERROR(IF(VLOOKUP($B20,'SR G-Goats'!$B$5:$AI$24,18,FALSE)=" ",0,VLOOKUP($B20,'SR G-Goats'!$B$5:$AI$24,18,FALSE)),0)+IFERROR(IF(VLOOKUP($B20,'SR-Team Roping-Header'!$B$5:$N$24,6,FALSE)=" ",0,VLOOKUP($B20,'SR-Team Roping-Header'!$B$5:$N$24,6,FALSE)),0)+IFERROR(IF(VLOOKUP($B20,'SR-Team Roping-Heeler'!$B$5:$N$24,6,FALSE)=" ",0,VLOOKUP($B20,'SR-Team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 G-Breakaway'!$B$5:$AI$24,22,FALSE)=" ",0,VLOOKUP($B20,'SR G-Breakaway'!$B$5:$AI$24,22,FALSE)),0)+IFERROR(IF(VLOOKUP($B20,'SR G-Barrels'!$B$5:$AI$24,22,FALSE)=" ",0,VLOOKUP($B20,'SR G-Barrels'!$B$5:$AI$24,22,FALSE)),0)+IFERROR(IF(VLOOKUP($B20,'SR G-Poles'!$B$5:$AI$24,22,FALSE)=" ",0,VLOOKUP($B20,'SR G-Poles'!$B$5:$AI$24,22,FALSE)),0)+IFERROR(IF(VLOOKUP($B20,'SR G-Goats'!$B$5:$AI$24,22,FALSE)=" ",0,VLOOKUP($B20,'SR G-Goats'!$B$5:$AI$24,22,FALSE)),0)+IFERROR(IF(VLOOKUP($B20,'SR-Team Roping-Header'!$B$5:$N$24,7,FALSE)=" ",0,VLOOKUP($B20,'SR-Team Roping-Header'!$B$5:$N$24,7,FALSE)),0)+IFERROR(IF(VLOOKUP($B20,'SR-Team Roping-Heeler'!$B$5:$N$24,7,FALSE)=" ",0,VLOOKUP($B20,'SR-Team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 G-Breakaway'!$B$5:$AI$24,26,FALSE)=" ",0,VLOOKUP($B20,'SR G-Breakaway'!$B$5:$AI$24,26,FALSE)),0)+IFERROR(IF(VLOOKUP($B20,'SR G-Barrels'!$B$5:$AI$24,26,FALSE)=" ",0,VLOOKUP($B20,'SR G-Barrels'!$B$5:$AI$24,26,FALSE)),0)+IFERROR(IF(VLOOKUP($B20,'SR G-Poles'!$B$5:$AI$24,26,FALSE)=" ",0,VLOOKUP($B20,'SR G-Poles'!$B$5:$AI$24,26,FALSE)),0)+IFERROR(IF(VLOOKUP($B20,'SR G-Goats'!$B$5:$AI$24,26,FALSE)=" ",0,VLOOKUP($B20,'SR G-Goats'!$B$5:$AI$24,26,FALSE)),0)+IFERROR(IF(VLOOKUP($B20,'SR-Team Roping-Header'!$B$5:$N$24,8,FALSE)=" ",0,VLOOKUP($B20,'SR-Team Roping-Header'!$B$5:$N$24,8,FALSE)),0)+IFERROR(IF(VLOOKUP($B20,'SR-Team Roping-Heeler'!$B$5:$N$24,8,FALSE)=" ",0,VLOOKUP($B20,'SR-Team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 G-Breakaway'!$B$5:$AI$24,30,FALSE)=" ",0,VLOOKUP($B20,'SR G-Breakaway'!$B$5:$AI$24,30,FALSE)),0)+IFERROR(IF(VLOOKUP($B20,'SR G-Barrels'!$B$5:$AI$24,30,FALSE)=" ",0,VLOOKUP($B20,'SR G-Barrels'!$B$5:$AI$24,30,FALSE)),0)+IFERROR(IF(VLOOKUP($B20,'SR G-Poles'!$B$5:$AI$24,30,FALSE)=" ",0,VLOOKUP($B20,'SR G-Poles'!$B$5:$AI$24,30,FALSE)),0)+IFERROR(IF(VLOOKUP($B20,'SR G-Goats'!$B$5:$AI$24,30,FALSE)=" ",0,VLOOKUP($B20,'SR G-Goats'!$B$5:$AI$24,30,FALSE)),0)+IFERROR(IF(VLOOKUP($B20,'SR-Team Roping-Header'!$B$5:$N$24,9,FALSE)=" ",0,VLOOKUP($B20,'SR-Team Roping-Header'!$B$5:$N$24,9,FALSE)),0)+IFERROR(IF(VLOOKUP($B20,'SR-Team Roping-Heeler'!$B$5:$N$24,9,FALSE)=" ",0,VLOOKUP($B20,'SR-Team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 G-Breakaway'!$B$5:$AI$24,34,FALSE)=" ",0,VLOOKUP($B20,'SR G-Breakaway'!$B$5:$AI$24,34,FALSE)),0)+IFERROR(IF(VLOOKUP($B20,'SR G-Barrels'!$B$5:$AI$24,34,FALSE)=" ",0,VLOOKUP($B20,'SR G-Barrels'!$B$5:$AI$24,34,FALSE)),0)+IFERROR(IF(VLOOKUP($B20,'SR G-Poles'!$B$5:$AI$24,34,FALSE)=" ",0,VLOOKUP($B20,'SR G-Poles'!$B$5:$AI$24,34,FALSE)),0)+IFERROR(IF(VLOOKUP($B20,'SR G-Goats'!$B$5:$AI$24,34,FALSE)=" ",0,VLOOKUP($B20,'SR G-Goats'!$B$5:$AI$24,34,FALSE)),0)+IFERROR(IF(VLOOKUP($B20,'SR-Team Roping-Header'!$B$5:$N$24,10,FALSE)=" ",0,VLOOKUP($B20,'SR-Team Roping-Header'!$B$5:$N$24,10,FALSE)),0)+IFERROR(IF(VLOOKUP($B20,'SR-Team Roping-Heeler'!$B$5:$N$24,10,FALSE)=" ",0,VLOOKUP($B20,'SR-Team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40"/>
      <c r="C21" s="120">
        <f>IFERROR(IF(VLOOKUP($B21,'SR G-Breakaway'!$B$5:$AI$24,6,FALSE)=" ",0,VLOOKUP($B21,'SR G-Breakaway'!$B$5:$AI$24,6,FALSE)),0)+IFERROR(IF(VLOOKUP($B21,'SR G-Barrels'!$B$5:$AI$24,6,FALSE)=" ",0,VLOOKUP($B21,'SR G-Barrels'!$B$5:$AI$24,6,FALSE)),0)+IFERROR(IF(VLOOKUP($B21,'SR G-Poles'!$B$5:$AI$24,6,FALSE)=" ",0,VLOOKUP($B21,'SR G-Poles'!$B$5:$AI$24,6,FALSE)),0)+IFERROR(IF(VLOOKUP($B21,'SR G-Goats'!$B$5:$AI$24,6,FALSE)=" ",0,VLOOKUP($B21,'SR G-Goats'!$B$5:$AI$24,6,FALSE)),0)+IFERROR(IF(VLOOKUP($B21,'SR-Team Roping-Header'!$B$5:$N$24,3,FALSE)=" ",0,VLOOKUP($B21,'SR-Team Roping-Header'!$B$5:$N$24,3,FALSE)),0)+IFERROR(IF(VLOOKUP($B21,'SR-Team Roping-Heeler'!$B$5:$N$24,3,FALSE)=" ",0,VLOOKUP($B21,'SR-Team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 G-Breakaway'!$B$5:$AI$24,10,FALSE)=" ",0,VLOOKUP($B21,'SR G-Breakaway'!$B$5:$AI$24,10,FALSE)),0)+IFERROR(IF(VLOOKUP($B21,'SR G-Barrels'!$B$5:$AI$24,10,FALSE)=" ",0,VLOOKUP($B21,'SR G-Barrels'!$B$5:$AI$24,10,FALSE)),0)+IFERROR(IF(VLOOKUP($B21,'SR G-Poles'!$B$5:$AI$24,10,FALSE)=" ",0,VLOOKUP($B21,'SR G-Poles'!$B$5:$AI$24,10,FALSE)),0)+IFERROR(IF(VLOOKUP($B21,'SR G-Goats'!$B$5:$AI$24,10,FALSE)=" ",0,VLOOKUP($B21,'SR G-Goats'!$B$5:$AI$24,10,FALSE)),0)+IFERROR(IF(VLOOKUP($B21,'SR-Team Roping-Header'!$B$5:$N$24,4,FALSE)=" ",0,VLOOKUP($B21,'SR-Team Roping-Header'!$B$5:$N$24,4,FALSE)),0)+IFERROR(IF(VLOOKUP($B21,'SR-Team Roping-Heeler'!$B$5:$N$24,4,FALSE)=" ",0,VLOOKUP($B21,'SR-Team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 G-Breakaway'!$B$5:$AI$24,14,FALSE)=" ",0,VLOOKUP($B21,'SR G-Breakaway'!$B$5:$AI$24,14,FALSE)),0)+IFERROR(IF(VLOOKUP($B21,'SR G-Barrels'!$B$5:$AI$24,14,FALSE)=" ",0,VLOOKUP($B21,'SR G-Barrels'!$B$5:$AI$24,14,FALSE)),0)+IFERROR(IF(VLOOKUP($B21,'SR G-Poles'!$B$5:$AI$24,14,FALSE)=" ",0,VLOOKUP($B21,'SR G-Poles'!$B$5:$AI$24,14,FALSE)),0)+IFERROR(IF(VLOOKUP($B21,'SR G-Goats'!$B$5:$AI$24,14,FALSE)=" ",0,VLOOKUP($B21,'SR G-Goats'!$B$5:$AI$24,14,FALSE)),0)+IFERROR(IF(VLOOKUP($B21,'SR-Team Roping-Header'!$B$5:$N$24,5,FALSE)=" ",0,VLOOKUP($B21,'SR-Team Roping-Header'!$B$5:$N$24,5,FALSE)),0)+IFERROR(IF(VLOOKUP($B21,'SR-Team Roping-Heeler'!$B$5:$N$24,5,FALSE)=" ",0,VLOOKUP($B21,'SR-Team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 G-Breakaway'!$B$5:$AI$24,18,FALSE)=" ",0,VLOOKUP($B21,'SR G-Breakaway'!$B$5:$AI$24,18,FALSE)),0)+IFERROR(IF(VLOOKUP($B21,'SR G-Barrels'!$B$5:$AI$24,18,FALSE)=" ",0,VLOOKUP($B21,'SR G-Barrels'!$B$5:$AI$24,18,FALSE)),0)+IFERROR(IF(VLOOKUP($B21,'SR G-Poles'!$B$5:$AI$24,18,FALSE)=" ",0,VLOOKUP($B21,'SR G-Poles'!$B$5:$AI$24,18,FALSE)),0)+IFERROR(IF(VLOOKUP($B21,'SR G-Goats'!$B$5:$AI$24,18,FALSE)=" ",0,VLOOKUP($B21,'SR G-Goats'!$B$5:$AI$24,18,FALSE)),0)+IFERROR(IF(VLOOKUP($B21,'SR-Team Roping-Header'!$B$5:$N$24,6,FALSE)=" ",0,VLOOKUP($B21,'SR-Team Roping-Header'!$B$5:$N$24,6,FALSE)),0)+IFERROR(IF(VLOOKUP($B21,'SR-Team Roping-Heeler'!$B$5:$N$24,6,FALSE)=" ",0,VLOOKUP($B21,'SR-Team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 G-Breakaway'!$B$5:$AI$24,22,FALSE)=" ",0,VLOOKUP($B21,'SR G-Breakaway'!$B$5:$AI$24,22,FALSE)),0)+IFERROR(IF(VLOOKUP($B21,'SR G-Barrels'!$B$5:$AI$24,22,FALSE)=" ",0,VLOOKUP($B21,'SR G-Barrels'!$B$5:$AI$24,22,FALSE)),0)+IFERROR(IF(VLOOKUP($B21,'SR G-Poles'!$B$5:$AI$24,22,FALSE)=" ",0,VLOOKUP($B21,'SR G-Poles'!$B$5:$AI$24,22,FALSE)),0)+IFERROR(IF(VLOOKUP($B21,'SR G-Goats'!$B$5:$AI$24,22,FALSE)=" ",0,VLOOKUP($B21,'SR G-Goats'!$B$5:$AI$24,22,FALSE)),0)+IFERROR(IF(VLOOKUP($B21,'SR-Team Roping-Header'!$B$5:$N$24,7,FALSE)=" ",0,VLOOKUP($B21,'SR-Team Roping-Header'!$B$5:$N$24,7,FALSE)),0)+IFERROR(IF(VLOOKUP($B21,'SR-Team Roping-Heeler'!$B$5:$N$24,7,FALSE)=" ",0,VLOOKUP($B21,'SR-Team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 G-Breakaway'!$B$5:$AI$24,26,FALSE)=" ",0,VLOOKUP($B21,'SR G-Breakaway'!$B$5:$AI$24,26,FALSE)),0)+IFERROR(IF(VLOOKUP($B21,'SR G-Barrels'!$B$5:$AI$24,26,FALSE)=" ",0,VLOOKUP($B21,'SR G-Barrels'!$B$5:$AI$24,26,FALSE)),0)+IFERROR(IF(VLOOKUP($B21,'SR G-Poles'!$B$5:$AI$24,26,FALSE)=" ",0,VLOOKUP($B21,'SR G-Poles'!$B$5:$AI$24,26,FALSE)),0)+IFERROR(IF(VLOOKUP($B21,'SR G-Goats'!$B$5:$AI$24,26,FALSE)=" ",0,VLOOKUP($B21,'SR G-Goats'!$B$5:$AI$24,26,FALSE)),0)+IFERROR(IF(VLOOKUP($B21,'SR-Team Roping-Header'!$B$5:$N$24,8,FALSE)=" ",0,VLOOKUP($B21,'SR-Team Roping-Header'!$B$5:$N$24,8,FALSE)),0)+IFERROR(IF(VLOOKUP($B21,'SR-Team Roping-Heeler'!$B$5:$N$24,8,FALSE)=" ",0,VLOOKUP($B21,'SR-Team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 G-Breakaway'!$B$5:$AI$24,30,FALSE)=" ",0,VLOOKUP($B21,'SR G-Breakaway'!$B$5:$AI$24,30,FALSE)),0)+IFERROR(IF(VLOOKUP($B21,'SR G-Barrels'!$B$5:$AI$24,30,FALSE)=" ",0,VLOOKUP($B21,'SR G-Barrels'!$B$5:$AI$24,30,FALSE)),0)+IFERROR(IF(VLOOKUP($B21,'SR G-Poles'!$B$5:$AI$24,30,FALSE)=" ",0,VLOOKUP($B21,'SR G-Poles'!$B$5:$AI$24,30,FALSE)),0)+IFERROR(IF(VLOOKUP($B21,'SR G-Goats'!$B$5:$AI$24,30,FALSE)=" ",0,VLOOKUP($B21,'SR G-Goats'!$B$5:$AI$24,30,FALSE)),0)+IFERROR(IF(VLOOKUP($B21,'SR-Team Roping-Header'!$B$5:$N$24,9,FALSE)=" ",0,VLOOKUP($B21,'SR-Team Roping-Header'!$B$5:$N$24,9,FALSE)),0)+IFERROR(IF(VLOOKUP($B21,'SR-Team Roping-Heeler'!$B$5:$N$24,9,FALSE)=" ",0,VLOOKUP($B21,'SR-Team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 G-Breakaway'!$B$5:$AI$24,34,FALSE)=" ",0,VLOOKUP($B21,'SR G-Breakaway'!$B$5:$AI$24,34,FALSE)),0)+IFERROR(IF(VLOOKUP($B21,'SR G-Barrels'!$B$5:$AI$24,34,FALSE)=" ",0,VLOOKUP($B21,'SR G-Barrels'!$B$5:$AI$24,34,FALSE)),0)+IFERROR(IF(VLOOKUP($B21,'SR G-Poles'!$B$5:$AI$24,34,FALSE)=" ",0,VLOOKUP($B21,'SR G-Poles'!$B$5:$AI$24,34,FALSE)),0)+IFERROR(IF(VLOOKUP($B21,'SR G-Goats'!$B$5:$AI$24,34,FALSE)=" ",0,VLOOKUP($B21,'SR G-Goats'!$B$5:$AI$24,34,FALSE)),0)+IFERROR(IF(VLOOKUP($B21,'SR-Team Roping-Header'!$B$5:$N$24,10,FALSE)=" ",0,VLOOKUP($B21,'SR-Team Roping-Header'!$B$5:$N$24,10,FALSE)),0)+IFERROR(IF(VLOOKUP($B21,'SR-Team Roping-Heeler'!$B$5:$N$24,10,FALSE)=" ",0,VLOOKUP($B21,'SR-Team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40"/>
      <c r="C22" s="120">
        <f>IFERROR(IF(VLOOKUP($B22,'SR G-Breakaway'!$B$5:$AI$24,6,FALSE)=" ",0,VLOOKUP($B22,'SR G-Breakaway'!$B$5:$AI$24,6,FALSE)),0)+IFERROR(IF(VLOOKUP($B22,'SR G-Barrels'!$B$5:$AI$24,6,FALSE)=" ",0,VLOOKUP($B22,'SR G-Barrels'!$B$5:$AI$24,6,FALSE)),0)+IFERROR(IF(VLOOKUP($B22,'SR G-Poles'!$B$5:$AI$24,6,FALSE)=" ",0,VLOOKUP($B22,'SR G-Poles'!$B$5:$AI$24,6,FALSE)),0)+IFERROR(IF(VLOOKUP($B22,'SR G-Goats'!$B$5:$AI$24,6,FALSE)=" ",0,VLOOKUP($B22,'SR G-Goats'!$B$5:$AI$24,6,FALSE)),0)+IFERROR(IF(VLOOKUP($B22,'SR-Team Roping-Header'!$B$5:$N$24,3,FALSE)=" ",0,VLOOKUP($B22,'SR-Team Roping-Header'!$B$5:$N$24,3,FALSE)),0)+IFERROR(IF(VLOOKUP($B22,'SR-Team Roping-Heeler'!$B$5:$N$24,3,FALSE)=" ",0,VLOOKUP($B22,'SR-Team Roping-Heeler'!$B$5:$N$24,3,FALSE)),0)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 G-Breakaway'!$B$5:$AI$24,10,FALSE)=" ",0,VLOOKUP($B22,'SR G-Breakaway'!$B$5:$AI$24,10,FALSE)),0)+IFERROR(IF(VLOOKUP($B22,'SR G-Barrels'!$B$5:$AI$24,10,FALSE)=" ",0,VLOOKUP($B22,'SR G-Barrels'!$B$5:$AI$24,10,FALSE)),0)+IFERROR(IF(VLOOKUP($B22,'SR G-Poles'!$B$5:$AI$24,10,FALSE)=" ",0,VLOOKUP($B22,'SR G-Poles'!$B$5:$AI$24,10,FALSE)),0)+IFERROR(IF(VLOOKUP($B22,'SR G-Goats'!$B$5:$AI$24,10,FALSE)=" ",0,VLOOKUP($B22,'SR G-Goats'!$B$5:$AI$24,10,FALSE)),0)+IFERROR(IF(VLOOKUP($B22,'SR-Team Roping-Header'!$B$5:$N$24,4,FALSE)=" ",0,VLOOKUP($B22,'SR-Team Roping-Header'!$B$5:$N$24,4,FALSE)),0)+IFERROR(IF(VLOOKUP($B22,'SR-Team Roping-Heeler'!$B$5:$N$24,4,FALSE)=" ",0,VLOOKUP($B22,'SR-Team Roping-Heeler'!$B$5:$N$24,4,FALSE)),0)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 G-Breakaway'!$B$5:$AI$24,14,FALSE)=" ",0,VLOOKUP($B22,'SR G-Breakaway'!$B$5:$AI$24,14,FALSE)),0)+IFERROR(IF(VLOOKUP($B22,'SR G-Barrels'!$B$5:$AI$24,14,FALSE)=" ",0,VLOOKUP($B22,'SR G-Barrels'!$B$5:$AI$24,14,FALSE)),0)+IFERROR(IF(VLOOKUP($B22,'SR G-Poles'!$B$5:$AI$24,14,FALSE)=" ",0,VLOOKUP($B22,'SR G-Poles'!$B$5:$AI$24,14,FALSE)),0)+IFERROR(IF(VLOOKUP($B22,'SR G-Goats'!$B$5:$AI$24,14,FALSE)=" ",0,VLOOKUP($B22,'SR G-Goats'!$B$5:$AI$24,14,FALSE)),0)+IFERROR(IF(VLOOKUP($B22,'SR-Team Roping-Header'!$B$5:$N$24,5,FALSE)=" ",0,VLOOKUP($B22,'SR-Team Roping-Header'!$B$5:$N$24,5,FALSE)),0)+IFERROR(IF(VLOOKUP($B22,'SR-Team Roping-Heeler'!$B$5:$N$24,5,FALSE)=" ",0,VLOOKUP($B22,'SR-Team Roping-Heeler'!$B$5:$N$24,5,FALSE)),0)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 G-Breakaway'!$B$5:$AI$24,18,FALSE)=" ",0,VLOOKUP($B22,'SR G-Breakaway'!$B$5:$AI$24,18,FALSE)),0)+IFERROR(IF(VLOOKUP($B22,'SR G-Barrels'!$B$5:$AI$24,18,FALSE)=" ",0,VLOOKUP($B22,'SR G-Barrels'!$B$5:$AI$24,18,FALSE)),0)+IFERROR(IF(VLOOKUP($B22,'SR G-Poles'!$B$5:$AI$24,18,FALSE)=" ",0,VLOOKUP($B22,'SR G-Poles'!$B$5:$AI$24,18,FALSE)),0)+IFERROR(IF(VLOOKUP($B22,'SR G-Goats'!$B$5:$AI$24,18,FALSE)=" ",0,VLOOKUP($B22,'SR G-Goats'!$B$5:$AI$24,18,FALSE)),0)+IFERROR(IF(VLOOKUP($B22,'SR-Team Roping-Header'!$B$5:$N$24,6,FALSE)=" ",0,VLOOKUP($B22,'SR-Team Roping-Header'!$B$5:$N$24,6,FALSE)),0)+IFERROR(IF(VLOOKUP($B22,'SR-Team Roping-Heeler'!$B$5:$N$24,6,FALSE)=" ",0,VLOOKUP($B22,'SR-Team Roping-Heeler'!$B$5:$N$24,6,FALSE)),0)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 G-Breakaway'!$B$5:$AI$24,22,FALSE)=" ",0,VLOOKUP($B22,'SR G-Breakaway'!$B$5:$AI$24,22,FALSE)),0)+IFERROR(IF(VLOOKUP($B22,'SR G-Barrels'!$B$5:$AI$24,22,FALSE)=" ",0,VLOOKUP($B22,'SR G-Barrels'!$B$5:$AI$24,22,FALSE)),0)+IFERROR(IF(VLOOKUP($B22,'SR G-Poles'!$B$5:$AI$24,22,FALSE)=" ",0,VLOOKUP($B22,'SR G-Poles'!$B$5:$AI$24,22,FALSE)),0)+IFERROR(IF(VLOOKUP($B22,'SR G-Goats'!$B$5:$AI$24,22,FALSE)=" ",0,VLOOKUP($B22,'SR G-Goats'!$B$5:$AI$24,22,FALSE)),0)+IFERROR(IF(VLOOKUP($B22,'SR-Team Roping-Header'!$B$5:$N$24,7,FALSE)=" ",0,VLOOKUP($B22,'SR-Team Roping-Header'!$B$5:$N$24,7,FALSE)),0)+IFERROR(IF(VLOOKUP($B22,'SR-Team Roping-Heeler'!$B$5:$N$24,7,FALSE)=" ",0,VLOOKUP($B22,'SR-Team Roping-Heeler'!$B$5:$N$24,7,FALSE)),0)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 G-Breakaway'!$B$5:$AI$24,26,FALSE)=" ",0,VLOOKUP($B22,'SR G-Breakaway'!$B$5:$AI$24,26,FALSE)),0)+IFERROR(IF(VLOOKUP($B22,'SR G-Barrels'!$B$5:$AI$24,26,FALSE)=" ",0,VLOOKUP($B22,'SR G-Barrels'!$B$5:$AI$24,26,FALSE)),0)+IFERROR(IF(VLOOKUP($B22,'SR G-Poles'!$B$5:$AI$24,26,FALSE)=" ",0,VLOOKUP($B22,'SR G-Poles'!$B$5:$AI$24,26,FALSE)),0)+IFERROR(IF(VLOOKUP($B22,'SR G-Goats'!$B$5:$AI$24,26,FALSE)=" ",0,VLOOKUP($B22,'SR G-Goats'!$B$5:$AI$24,26,FALSE)),0)+IFERROR(IF(VLOOKUP($B22,'SR-Team Roping-Header'!$B$5:$N$24,8,FALSE)=" ",0,VLOOKUP($B22,'SR-Team Roping-Header'!$B$5:$N$24,8,FALSE)),0)+IFERROR(IF(VLOOKUP($B22,'SR-Team Roping-Heeler'!$B$5:$N$24,8,FALSE)=" ",0,VLOOKUP($B22,'SR-Team Roping-Heeler'!$B$5:$N$24,8,FALSE)),0)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 G-Breakaway'!$B$5:$AI$24,30,FALSE)=" ",0,VLOOKUP($B22,'SR G-Breakaway'!$B$5:$AI$24,30,FALSE)),0)+IFERROR(IF(VLOOKUP($B22,'SR G-Barrels'!$B$5:$AI$24,30,FALSE)=" ",0,VLOOKUP($B22,'SR G-Barrels'!$B$5:$AI$24,30,FALSE)),0)+IFERROR(IF(VLOOKUP($B22,'SR G-Poles'!$B$5:$AI$24,30,FALSE)=" ",0,VLOOKUP($B22,'SR G-Poles'!$B$5:$AI$24,30,FALSE)),0)+IFERROR(IF(VLOOKUP($B22,'SR G-Goats'!$B$5:$AI$24,30,FALSE)=" ",0,VLOOKUP($B22,'SR G-Goats'!$B$5:$AI$24,30,FALSE)),0)+IFERROR(IF(VLOOKUP($B22,'SR-Team Roping-Header'!$B$5:$N$24,9,FALSE)=" ",0,VLOOKUP($B22,'SR-Team Roping-Header'!$B$5:$N$24,9,FALSE)),0)+IFERROR(IF(VLOOKUP($B22,'SR-Team Roping-Heeler'!$B$5:$N$24,9,FALSE)=" ",0,VLOOKUP($B22,'SR-Team Roping-Heeler'!$B$5:$N$24,9,FALSE)),0)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 G-Breakaway'!$B$5:$AI$24,34,FALSE)=" ",0,VLOOKUP($B22,'SR G-Breakaway'!$B$5:$AI$24,34,FALSE)),0)+IFERROR(IF(VLOOKUP($B22,'SR G-Barrels'!$B$5:$AI$24,34,FALSE)=" ",0,VLOOKUP($B22,'SR G-Barrels'!$B$5:$AI$24,34,FALSE)),0)+IFERROR(IF(VLOOKUP($B22,'SR G-Poles'!$B$5:$AI$24,34,FALSE)=" ",0,VLOOKUP($B22,'SR G-Poles'!$B$5:$AI$24,34,FALSE)),0)+IFERROR(IF(VLOOKUP($B22,'SR G-Goats'!$B$5:$AI$24,34,FALSE)=" ",0,VLOOKUP($B22,'SR G-Goats'!$B$5:$AI$24,34,FALSE)),0)+IFERROR(IF(VLOOKUP($B22,'SR-Team Roping-Header'!$B$5:$N$24,10,FALSE)=" ",0,VLOOKUP($B22,'SR-Team Roping-Header'!$B$5:$N$24,10,FALSE)),0)+IFERROR(IF(VLOOKUP($B22,'SR-Team Roping-Heeler'!$B$5:$N$24,10,FALSE)=" ",0,VLOOKUP($B22,'SR-Team Roping-Heeler'!$B$5:$N$24,10,FALSE)),0)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40"/>
      <c r="C23" s="120">
        <f>IFERROR(IF(VLOOKUP($B23,'SR G-Breakaway'!$B$5:$AI$24,6,FALSE)=" ",0,VLOOKUP($B23,'SR G-Breakaway'!$B$5:$AI$24,6,FALSE)),0)+IFERROR(IF(VLOOKUP($B23,'SR G-Barrels'!$B$5:$AI$24,6,FALSE)=" ",0,VLOOKUP($B23,'SR G-Barrels'!$B$5:$AI$24,6,FALSE)),0)+IFERROR(IF(VLOOKUP($B23,'SR G-Poles'!$B$5:$AI$24,6,FALSE)=" ",0,VLOOKUP($B23,'SR G-Poles'!$B$5:$AI$24,6,FALSE)),0)+IFERROR(IF(VLOOKUP($B23,'SR G-Goats'!$B$5:$AI$24,6,FALSE)=" ",0,VLOOKUP($B23,'SR G-Goats'!$B$5:$AI$24,6,FALSE)),0)+IFERROR(IF(VLOOKUP($B23,'SR-Team Roping-Header'!$B$5:$N$24,3,FALSE)=" ",0,VLOOKUP($B23,'SR-Team Roping-Header'!$B$5:$N$24,3,FALSE)),0)+IFERROR(IF(VLOOKUP($B23,'SR-Team Roping-Heeler'!$B$5:$N$24,3,FALSE)=" ",0,VLOOKUP($B23,'SR-Team Roping-Heeler'!$B$5:$N$24,3,FALSE)),0)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 G-Breakaway'!$B$5:$AI$24,10,FALSE)=" ",0,VLOOKUP($B23,'SR G-Breakaway'!$B$5:$AI$24,10,FALSE)),0)+IFERROR(IF(VLOOKUP($B23,'SR G-Barrels'!$B$5:$AI$24,10,FALSE)=" ",0,VLOOKUP($B23,'SR G-Barrels'!$B$5:$AI$24,10,FALSE)),0)+IFERROR(IF(VLOOKUP($B23,'SR G-Poles'!$B$5:$AI$24,10,FALSE)=" ",0,VLOOKUP($B23,'SR G-Poles'!$B$5:$AI$24,10,FALSE)),0)+IFERROR(IF(VLOOKUP($B23,'SR G-Goats'!$B$5:$AI$24,10,FALSE)=" ",0,VLOOKUP($B23,'SR G-Goats'!$B$5:$AI$24,10,FALSE)),0)+IFERROR(IF(VLOOKUP($B23,'SR-Team Roping-Header'!$B$5:$N$24,4,FALSE)=" ",0,VLOOKUP($B23,'SR-Team Roping-Header'!$B$5:$N$24,4,FALSE)),0)+IFERROR(IF(VLOOKUP($B23,'SR-Team Roping-Heeler'!$B$5:$N$24,4,FALSE)=" ",0,VLOOKUP($B23,'SR-Team Roping-Heeler'!$B$5:$N$24,4,FALSE)),0)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 G-Breakaway'!$B$5:$AI$24,14,FALSE)=" ",0,VLOOKUP($B23,'SR G-Breakaway'!$B$5:$AI$24,14,FALSE)),0)+IFERROR(IF(VLOOKUP($B23,'SR G-Barrels'!$B$5:$AI$24,14,FALSE)=" ",0,VLOOKUP($B23,'SR G-Barrels'!$B$5:$AI$24,14,FALSE)),0)+IFERROR(IF(VLOOKUP($B23,'SR G-Poles'!$B$5:$AI$24,14,FALSE)=" ",0,VLOOKUP($B23,'SR G-Poles'!$B$5:$AI$24,14,FALSE)),0)+IFERROR(IF(VLOOKUP($B23,'SR G-Goats'!$B$5:$AI$24,14,FALSE)=" ",0,VLOOKUP($B23,'SR G-Goats'!$B$5:$AI$24,14,FALSE)),0)+IFERROR(IF(VLOOKUP($B23,'SR-Team Roping-Header'!$B$5:$N$24,5,FALSE)=" ",0,VLOOKUP($B23,'SR-Team Roping-Header'!$B$5:$N$24,5,FALSE)),0)+IFERROR(IF(VLOOKUP($B23,'SR-Team Roping-Heeler'!$B$5:$N$24,5,FALSE)=" ",0,VLOOKUP($B23,'SR-Team Roping-Heeler'!$B$5:$N$24,5,FALSE)),0)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 G-Breakaway'!$B$5:$AI$24,18,FALSE)=" ",0,VLOOKUP($B23,'SR G-Breakaway'!$B$5:$AI$24,18,FALSE)),0)+IFERROR(IF(VLOOKUP($B23,'SR G-Barrels'!$B$5:$AI$24,18,FALSE)=" ",0,VLOOKUP($B23,'SR G-Barrels'!$B$5:$AI$24,18,FALSE)),0)+IFERROR(IF(VLOOKUP($B23,'SR G-Poles'!$B$5:$AI$24,18,FALSE)=" ",0,VLOOKUP($B23,'SR G-Poles'!$B$5:$AI$24,18,FALSE)),0)+IFERROR(IF(VLOOKUP($B23,'SR G-Goats'!$B$5:$AI$24,18,FALSE)=" ",0,VLOOKUP($B23,'SR G-Goats'!$B$5:$AI$24,18,FALSE)),0)+IFERROR(IF(VLOOKUP($B23,'SR-Team Roping-Header'!$B$5:$N$24,6,FALSE)=" ",0,VLOOKUP($B23,'SR-Team Roping-Header'!$B$5:$N$24,6,FALSE)),0)+IFERROR(IF(VLOOKUP($B23,'SR-Team Roping-Heeler'!$B$5:$N$24,6,FALSE)=" ",0,VLOOKUP($B23,'SR-Team Roping-Heeler'!$B$5:$N$24,6,FALSE)),0)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 G-Breakaway'!$B$5:$AI$24,22,FALSE)=" ",0,VLOOKUP($B23,'SR G-Breakaway'!$B$5:$AI$24,22,FALSE)),0)+IFERROR(IF(VLOOKUP($B23,'SR G-Barrels'!$B$5:$AI$24,22,FALSE)=" ",0,VLOOKUP($B23,'SR G-Barrels'!$B$5:$AI$24,22,FALSE)),0)+IFERROR(IF(VLOOKUP($B23,'SR G-Poles'!$B$5:$AI$24,22,FALSE)=" ",0,VLOOKUP($B23,'SR G-Poles'!$B$5:$AI$24,22,FALSE)),0)+IFERROR(IF(VLOOKUP($B23,'SR G-Goats'!$B$5:$AI$24,22,FALSE)=" ",0,VLOOKUP($B23,'SR G-Goats'!$B$5:$AI$24,22,FALSE)),0)+IFERROR(IF(VLOOKUP($B23,'SR-Team Roping-Header'!$B$5:$N$24,7,FALSE)=" ",0,VLOOKUP($B23,'SR-Team Roping-Header'!$B$5:$N$24,7,FALSE)),0)+IFERROR(IF(VLOOKUP($B23,'SR-Team Roping-Heeler'!$B$5:$N$24,7,FALSE)=" ",0,VLOOKUP($B23,'SR-Team Roping-Heeler'!$B$5:$N$24,7,FALSE)),0)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 G-Breakaway'!$B$5:$AI$24,26,FALSE)=" ",0,VLOOKUP($B23,'SR G-Breakaway'!$B$5:$AI$24,26,FALSE)),0)+IFERROR(IF(VLOOKUP($B23,'SR G-Barrels'!$B$5:$AI$24,26,FALSE)=" ",0,VLOOKUP($B23,'SR G-Barrels'!$B$5:$AI$24,26,FALSE)),0)+IFERROR(IF(VLOOKUP($B23,'SR G-Poles'!$B$5:$AI$24,26,FALSE)=" ",0,VLOOKUP($B23,'SR G-Poles'!$B$5:$AI$24,26,FALSE)),0)+IFERROR(IF(VLOOKUP($B23,'SR G-Goats'!$B$5:$AI$24,26,FALSE)=" ",0,VLOOKUP($B23,'SR G-Goats'!$B$5:$AI$24,26,FALSE)),0)+IFERROR(IF(VLOOKUP($B23,'SR-Team Roping-Header'!$B$5:$N$24,8,FALSE)=" ",0,VLOOKUP($B23,'SR-Team Roping-Header'!$B$5:$N$24,8,FALSE)),0)+IFERROR(IF(VLOOKUP($B23,'SR-Team Roping-Heeler'!$B$5:$N$24,8,FALSE)=" ",0,VLOOKUP($B23,'SR-Team Roping-Heeler'!$B$5:$N$24,8,FALSE)),0)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 G-Breakaway'!$B$5:$AI$24,30,FALSE)=" ",0,VLOOKUP($B23,'SR G-Breakaway'!$B$5:$AI$24,30,FALSE)),0)+IFERROR(IF(VLOOKUP($B23,'SR G-Barrels'!$B$5:$AI$24,30,FALSE)=" ",0,VLOOKUP($B23,'SR G-Barrels'!$B$5:$AI$24,30,FALSE)),0)+IFERROR(IF(VLOOKUP($B23,'SR G-Poles'!$B$5:$AI$24,30,FALSE)=" ",0,VLOOKUP($B23,'SR G-Poles'!$B$5:$AI$24,30,FALSE)),0)+IFERROR(IF(VLOOKUP($B23,'SR G-Goats'!$B$5:$AI$24,30,FALSE)=" ",0,VLOOKUP($B23,'SR G-Goats'!$B$5:$AI$24,30,FALSE)),0)+IFERROR(IF(VLOOKUP($B23,'SR-Team Roping-Header'!$B$5:$N$24,9,FALSE)=" ",0,VLOOKUP($B23,'SR-Team Roping-Header'!$B$5:$N$24,9,FALSE)),0)+IFERROR(IF(VLOOKUP($B23,'SR-Team Roping-Heeler'!$B$5:$N$24,9,FALSE)=" ",0,VLOOKUP($B23,'SR-Team Roping-Heeler'!$B$5:$N$24,9,FALSE)),0)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 G-Breakaway'!$B$5:$AI$24,34,FALSE)=" ",0,VLOOKUP($B23,'SR G-Breakaway'!$B$5:$AI$24,34,FALSE)),0)+IFERROR(IF(VLOOKUP($B23,'SR G-Barrels'!$B$5:$AI$24,34,FALSE)=" ",0,VLOOKUP($B23,'SR G-Barrels'!$B$5:$AI$24,34,FALSE)),0)+IFERROR(IF(VLOOKUP($B23,'SR G-Poles'!$B$5:$AI$24,34,FALSE)=" ",0,VLOOKUP($B23,'SR G-Poles'!$B$5:$AI$24,34,FALSE)),0)+IFERROR(IF(VLOOKUP($B23,'SR G-Goats'!$B$5:$AI$24,34,FALSE)=" ",0,VLOOKUP($B23,'SR G-Goats'!$B$5:$AI$24,34,FALSE)),0)+IFERROR(IF(VLOOKUP($B23,'SR-Team Roping-Header'!$B$5:$N$24,10,FALSE)=" ",0,VLOOKUP($B23,'SR-Team Roping-Header'!$B$5:$N$24,10,FALSE)),0)+IFERROR(IF(VLOOKUP($B23,'SR-Team Roping-Heeler'!$B$5:$N$24,10,FALSE)=" ",0,VLOOKUP($B23,'SR-Team Roping-Heeler'!$B$5:$N$24,10,FALSE)),0)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2"/>
      <c r="C24" s="123">
        <f>IFERROR(IF(VLOOKUP($B24,'SR G-Breakaway'!$B$5:$AI$24,6,FALSE)=" ",0,VLOOKUP($B24,'SR G-Breakaway'!$B$5:$AI$24,6,FALSE)),0)+IFERROR(IF(VLOOKUP($B24,'SR G-Barrels'!$B$5:$AI$24,6,FALSE)=" ",0,VLOOKUP($B24,'SR G-Barrels'!$B$5:$AI$24,6,FALSE)),0)+IFERROR(IF(VLOOKUP($B24,'SR G-Poles'!$B$5:$AI$24,6,FALSE)=" ",0,VLOOKUP($B24,'SR G-Poles'!$B$5:$AI$24,6,FALSE)),0)+IFERROR(IF(VLOOKUP($B24,'SR G-Goats'!$B$5:$AI$24,6,FALSE)=" ",0,VLOOKUP($B24,'SR G-Goats'!$B$5:$AI$24,6,FALSE)),0)+IFERROR(IF(VLOOKUP($B24,'SR-Team Roping-Header'!$B$5:$N$24,3,FALSE)=" ",0,VLOOKUP($B24,'SR-Team Roping-Header'!$B$5:$N$24,3,FALSE)),0)+IFERROR(IF(VLOOKUP($B24,'SR-Team Roping-Heeler'!$B$5:$N$24,3,FALSE)=" ",0,VLOOKUP($B24,'SR-Team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 G-Breakaway'!$B$5:$AI$24,10,FALSE)=" ",0,VLOOKUP($B24,'SR G-Breakaway'!$B$5:$AI$24,10,FALSE)),0)+IFERROR(IF(VLOOKUP($B24,'SR G-Barrels'!$B$5:$AI$24,10,FALSE)=" ",0,VLOOKUP($B24,'SR G-Barrels'!$B$5:$AI$24,10,FALSE)),0)+IFERROR(IF(VLOOKUP($B24,'SR G-Poles'!$B$5:$AI$24,10,FALSE)=" ",0,VLOOKUP($B24,'SR G-Poles'!$B$5:$AI$24,10,FALSE)),0)+IFERROR(IF(VLOOKUP($B24,'SR G-Goats'!$B$5:$AI$24,10,FALSE)=" ",0,VLOOKUP($B24,'SR G-Goats'!$B$5:$AI$24,10,FALSE)),0)+IFERROR(IF(VLOOKUP($B24,'SR-Team Roping-Header'!$B$5:$N$24,4,FALSE)=" ",0,VLOOKUP($B24,'SR-Team Roping-Header'!$B$5:$N$24,4,FALSE)),0)+IFERROR(IF(VLOOKUP($B24,'SR-Team Roping-Heeler'!$B$5:$N$24,4,FALSE)=" ",0,VLOOKUP($B24,'SR-Team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 G-Breakaway'!$B$5:$AI$24,14,FALSE)=" ",0,VLOOKUP($B24,'SR G-Breakaway'!$B$5:$AI$24,14,FALSE)),0)+IFERROR(IF(VLOOKUP($B24,'SR G-Barrels'!$B$5:$AI$24,14,FALSE)=" ",0,VLOOKUP($B24,'SR G-Barrels'!$B$5:$AI$24,14,FALSE)),0)+IFERROR(IF(VLOOKUP($B24,'SR G-Poles'!$B$5:$AI$24,14,FALSE)=" ",0,VLOOKUP($B24,'SR G-Poles'!$B$5:$AI$24,14,FALSE)),0)+IFERROR(IF(VLOOKUP($B24,'SR G-Goats'!$B$5:$AI$24,14,FALSE)=" ",0,VLOOKUP($B24,'SR G-Goats'!$B$5:$AI$24,14,FALSE)),0)+IFERROR(IF(VLOOKUP($B24,'SR-Team Roping-Header'!$B$5:$N$24,5,FALSE)=" ",0,VLOOKUP($B24,'SR-Team Roping-Header'!$B$5:$N$24,5,FALSE)),0)+IFERROR(IF(VLOOKUP($B24,'SR-Team Roping-Heeler'!$B$5:$N$24,5,FALSE)=" ",0,VLOOKUP($B24,'SR-Team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 G-Breakaway'!$B$5:$AI$24,18,FALSE)=" ",0,VLOOKUP($B24,'SR G-Breakaway'!$B$5:$AI$24,18,FALSE)),0)+IFERROR(IF(VLOOKUP($B24,'SR G-Barrels'!$B$5:$AI$24,18,FALSE)=" ",0,VLOOKUP($B24,'SR G-Barrels'!$B$5:$AI$24,18,FALSE)),0)+IFERROR(IF(VLOOKUP($B24,'SR G-Poles'!$B$5:$AI$24,18,FALSE)=" ",0,VLOOKUP($B24,'SR G-Poles'!$B$5:$AI$24,18,FALSE)),0)+IFERROR(IF(VLOOKUP($B24,'SR G-Goats'!$B$5:$AI$24,18,FALSE)=" ",0,VLOOKUP($B24,'SR G-Goats'!$B$5:$AI$24,18,FALSE)),0)+IFERROR(IF(VLOOKUP($B24,'SR-Team Roping-Header'!$B$5:$N$24,6,FALSE)=" ",0,VLOOKUP($B24,'SR-Team Roping-Header'!$B$5:$N$24,6,FALSE)),0)+IFERROR(IF(VLOOKUP($B24,'SR-Team Roping-Heeler'!$B$5:$N$24,6,FALSE)=" ",0,VLOOKUP($B24,'SR-Team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 G-Breakaway'!$B$5:$AI$24,22,FALSE)=" ",0,VLOOKUP($B24,'SR G-Breakaway'!$B$5:$AI$24,22,FALSE)),0)+IFERROR(IF(VLOOKUP($B24,'SR G-Barrels'!$B$5:$AI$24,22,FALSE)=" ",0,VLOOKUP($B24,'SR G-Barrels'!$B$5:$AI$24,22,FALSE)),0)+IFERROR(IF(VLOOKUP($B24,'SR G-Poles'!$B$5:$AI$24,22,FALSE)=" ",0,VLOOKUP($B24,'SR G-Poles'!$B$5:$AI$24,22,FALSE)),0)+IFERROR(IF(VLOOKUP($B24,'SR G-Goats'!$B$5:$AI$24,22,FALSE)=" ",0,VLOOKUP($B24,'SR G-Goats'!$B$5:$AI$24,22,FALSE)),0)+IFERROR(IF(VLOOKUP($B24,'SR-Team Roping-Header'!$B$5:$N$24,7,FALSE)=" ",0,VLOOKUP($B24,'SR-Team Roping-Header'!$B$5:$N$24,7,FALSE)),0)+IFERROR(IF(VLOOKUP($B24,'SR-Team Roping-Heeler'!$B$5:$N$24,7,FALSE)=" ",0,VLOOKUP($B24,'SR-Team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 G-Breakaway'!$B$5:$AI$24,26,FALSE)=" ",0,VLOOKUP($B24,'SR G-Breakaway'!$B$5:$AI$24,26,FALSE)),0)+IFERROR(IF(VLOOKUP($B24,'SR G-Barrels'!$B$5:$AI$24,26,FALSE)=" ",0,VLOOKUP($B24,'SR G-Barrels'!$B$5:$AI$24,26,FALSE)),0)+IFERROR(IF(VLOOKUP($B24,'SR G-Poles'!$B$5:$AI$24,26,FALSE)=" ",0,VLOOKUP($B24,'SR G-Poles'!$B$5:$AI$24,26,FALSE)),0)+IFERROR(IF(VLOOKUP($B24,'SR G-Goats'!$B$5:$AI$24,26,FALSE)=" ",0,VLOOKUP($B24,'SR G-Goats'!$B$5:$AI$24,26,FALSE)),0)+IFERROR(IF(VLOOKUP($B24,'SR-Team Roping-Header'!$B$5:$N$24,8,FALSE)=" ",0,VLOOKUP($B24,'SR-Team Roping-Header'!$B$5:$N$24,8,FALSE)),0)+IFERROR(IF(VLOOKUP($B24,'SR-Team Roping-Heeler'!$B$5:$N$24,8,FALSE)=" ",0,VLOOKUP($B24,'SR-Team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 G-Breakaway'!$B$5:$AI$24,30,FALSE)=" ",0,VLOOKUP($B24,'SR G-Breakaway'!$B$5:$AI$24,30,FALSE)),0)+IFERROR(IF(VLOOKUP($B24,'SR G-Barrels'!$B$5:$AI$24,30,FALSE)=" ",0,VLOOKUP($B24,'SR G-Barrels'!$B$5:$AI$24,30,FALSE)),0)+IFERROR(IF(VLOOKUP($B24,'SR G-Poles'!$B$5:$AI$24,30,FALSE)=" ",0,VLOOKUP($B24,'SR G-Poles'!$B$5:$AI$24,30,FALSE)),0)+IFERROR(IF(VLOOKUP($B24,'SR G-Goats'!$B$5:$AI$24,30,FALSE)=" ",0,VLOOKUP($B24,'SR G-Goats'!$B$5:$AI$24,30,FALSE)),0)+IFERROR(IF(VLOOKUP($B24,'SR-Team Roping-Header'!$B$5:$N$24,9,FALSE)=" ",0,VLOOKUP($B24,'SR-Team Roping-Header'!$B$5:$N$24,9,FALSE)),0)+IFERROR(IF(VLOOKUP($B24,'SR-Team Roping-Heeler'!$B$5:$N$24,9,FALSE)=" ",0,VLOOKUP($B24,'SR-Team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 G-Breakaway'!$B$5:$AI$24,34,FALSE)=" ",0,VLOOKUP($B24,'SR G-Breakaway'!$B$5:$AI$24,34,FALSE)),0)+IFERROR(IF(VLOOKUP($B24,'SR G-Barrels'!$B$5:$AI$24,34,FALSE)=" ",0,VLOOKUP($B24,'SR G-Barrels'!$B$5:$AI$24,34,FALSE)),0)+IFERROR(IF(VLOOKUP($B24,'SR G-Poles'!$B$5:$AI$24,34,FALSE)=" ",0,VLOOKUP($B24,'SR G-Poles'!$B$5:$AI$24,34,FALSE)),0)+IFERROR(IF(VLOOKUP($B24,'SR G-Goats'!$B$5:$AI$24,34,FALSE)=" ",0,VLOOKUP($B24,'SR G-Goats'!$B$5:$AI$24,34,FALSE)),0)+IFERROR(IF(VLOOKUP($B24,'SR-Team Roping-Header'!$B$5:$N$24,10,FALSE)=" ",0,VLOOKUP($B24,'SR-Team Roping-Header'!$B$5:$N$24,10,FALSE)),0)+IFERROR(IF(VLOOKUP($B24,'SR-Team Roping-Heeler'!$B$5:$N$24,10,FALSE)=" ",0,VLOOKUP($B24,'SR-Team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191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tJ1LBQvuVsUFlnBJTcyEM6wAln5Nk8ciMX+skuVYKtvu8TnUYVNQuctJAKOoXRfZxSEmglILQXkK2JS1jUn3DQ==" saltValue="2dJHgmgkiCbTtK9jn3ar4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9">
    <tabColor theme="9" tint="0.59999389629810485"/>
  </sheetPr>
  <dimension ref="B1:AH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35.7265625" style="62" customWidth="1"/>
    <col min="3" max="3" width="11.7265625" style="56" customWidth="1"/>
    <col min="4" max="4" width="11.7265625" style="57" hidden="1" customWidth="1"/>
    <col min="5" max="5" width="11.7265625" style="57" customWidth="1"/>
    <col min="6" max="6" width="11.7265625" style="58" customWidth="1"/>
    <col min="7" max="7" width="11.7265625" style="59" customWidth="1"/>
    <col min="8" max="8" width="11.7265625" style="57" hidden="1" customWidth="1"/>
    <col min="9" max="9" width="11.7265625" style="57" customWidth="1"/>
    <col min="10" max="10" width="11.7265625" style="60" customWidth="1"/>
    <col min="11" max="11" width="12" style="59" customWidth="1"/>
    <col min="12" max="12" width="11.7265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7265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7265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7265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7265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796875" style="62"/>
  </cols>
  <sheetData>
    <row r="1" spans="2:34" ht="18.5" thickBot="1" x14ac:dyDescent="0.45">
      <c r="B1" s="54"/>
    </row>
    <row r="2" spans="2:34" s="64" customFormat="1" ht="18" x14ac:dyDescent="0.4">
      <c r="B2" s="127" t="s">
        <v>154</v>
      </c>
      <c r="C2" s="177">
        <v>43954</v>
      </c>
      <c r="D2" s="177"/>
      <c r="E2" s="177"/>
      <c r="F2" s="178"/>
      <c r="G2" s="172">
        <v>43996</v>
      </c>
      <c r="H2" s="173"/>
      <c r="I2" s="173"/>
      <c r="J2" s="174"/>
      <c r="K2" s="172">
        <v>44023</v>
      </c>
      <c r="L2" s="173"/>
      <c r="M2" s="173"/>
      <c r="N2" s="174"/>
      <c r="O2" s="172">
        <v>44024</v>
      </c>
      <c r="P2" s="173"/>
      <c r="Q2" s="173"/>
      <c r="R2" s="174"/>
      <c r="S2" s="172">
        <v>44045</v>
      </c>
      <c r="T2" s="173"/>
      <c r="U2" s="173"/>
      <c r="V2" s="174"/>
      <c r="W2" s="172" t="s">
        <v>203</v>
      </c>
      <c r="X2" s="173"/>
      <c r="Y2" s="173"/>
      <c r="Z2" s="174"/>
      <c r="AA2" s="172" t="s">
        <v>204</v>
      </c>
      <c r="AB2" s="173"/>
      <c r="AC2" s="173"/>
      <c r="AD2" s="174"/>
      <c r="AE2" s="172" t="s">
        <v>3</v>
      </c>
      <c r="AF2" s="173"/>
      <c r="AG2" s="173"/>
      <c r="AH2" s="174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198</v>
      </c>
      <c r="C5" s="85"/>
      <c r="D5" s="86" t="str">
        <f t="shared" ref="D5:D24" si="0">IF(C5=0," ",_xlfn.RANK.AVG(C5,C$5:C$24,1)-COUNTIF(C$5:C$24,0))</f>
        <v xml:space="preserve"> </v>
      </c>
      <c r="E5" s="86" t="str">
        <f t="shared" ref="E5:E24" si="1">IF(C5=0," ",IF((RANK(C5,C$5:C$24,1)-COUNTIF(C$5:C$24,0)&gt;6)," ",RANK(C5,C$5:C$24,1)-COUNTIF(C$5:C$24,0)))</f>
        <v xml:space="preserve"> </v>
      </c>
      <c r="F5" s="87" t="str">
        <f>IF(E5=" "," ",IFERROR(VLOOKUP(D5,Points!$A$2:$B$14,2,FALSE)," "))</f>
        <v xml:space="preserve"> </v>
      </c>
      <c r="G5" s="85">
        <v>0</v>
      </c>
      <c r="H5" s="86" t="str">
        <f t="shared" ref="H5:H24" si="2">IF(G5=0," ",_xlfn.RANK.AVG(G5,G$5:G$24,1)-COUNTIF(G$5:G$24,0))</f>
        <v xml:space="preserve"> </v>
      </c>
      <c r="I5" s="86" t="str">
        <f t="shared" ref="I5:I24" si="3">IF(G5=0," ",IF((RANK(G5,G$5:G$24,1)-COUNTIF(G$5:G$24,0)&gt;6)," ",RANK(G5,G$5:G$24,1)-COUNTIF(G$5:G$24,0)))</f>
        <v xml:space="preserve"> </v>
      </c>
      <c r="J5" s="87" t="str">
        <f>IF(I5=" "," ",IFERROR(VLOOKUP(H5,Points!$A$2:$B$14,2,FALSE)," "))</f>
        <v xml:space="preserve"> </v>
      </c>
      <c r="K5" s="85">
        <v>0</v>
      </c>
      <c r="L5" s="86" t="str">
        <f t="shared" ref="L5:L24" si="4">IF(K5=0," ",_xlfn.RANK.AVG(K5,K$5:K$24,1)-COUNTIF(K$5:K$24,0))</f>
        <v xml:space="preserve"> </v>
      </c>
      <c r="M5" s="86" t="str">
        <f t="shared" ref="M5:M24" si="5">IF(K5=0," ",IF((RANK(K5,K$5:K$24,1)-COUNTIF(K$5:K$24,0)&gt;6)," ",RANK(K5,K$5:K$24,1)-COUNTIF(K$5:K$24,0)))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24" si="6">IF(O5=0," ",_xlfn.RANK.AVG(O5,O$5:O$24,1)-COUNTIF(O$5:O$24,0))</f>
        <v xml:space="preserve"> </v>
      </c>
      <c r="Q5" s="86" t="str">
        <f t="shared" ref="Q5:Q25" si="7">IF(O5=0," ",IF((RANK(O5,O$5:O$24,1)-COUNTIF(O$5:O$24,0)&gt;6)," ",RANK(O5,O$5:O$24,1)-COUNTIF(O$5:O$24,0)))</f>
        <v xml:space="preserve"> </v>
      </c>
      <c r="R5" s="87" t="str">
        <f>IF(Q5=" "," ",IFERROR(VLOOKUP(P5,Points!$A$2:$B$14,2,FALSE)," "))</f>
        <v xml:space="preserve"> </v>
      </c>
      <c r="S5" s="85"/>
      <c r="T5" s="86" t="str">
        <f t="shared" ref="T5:T24" si="8">IF(S5=0," ",_xlfn.RANK.AVG(S5,S$5:S$24,1)-COUNTIF(S$5:S$24,0))</f>
        <v xml:space="preserve"> </v>
      </c>
      <c r="U5" s="86" t="str">
        <f t="shared" ref="U5:U24" si="9">IF(S5=0," ",IF((RANK(S5,S$5:S$24,1)-COUNTIF(S$5:S$24,0)&gt;6)," ",RANK(S5,S$5:S$24,1)-COUNTIF(S$5:S$24,0)))</f>
        <v xml:space="preserve"> </v>
      </c>
      <c r="V5" s="87" t="str">
        <f>IF(U5=" "," ",IFERROR(VLOOKUP(T5,Points!$A$2:$B$14,2,FALSE)," "))</f>
        <v xml:space="preserve"> </v>
      </c>
      <c r="W5" s="85"/>
      <c r="X5" s="86" t="str">
        <f t="shared" ref="X5:X24" si="10">IF(W5=0," ",_xlfn.RANK.AVG(W5,W$5:W$24,1)-COUNTIF(W$5:W$24,0))</f>
        <v xml:space="preserve"> </v>
      </c>
      <c r="Y5" s="86" t="str">
        <f t="shared" ref="Y5:Y24" si="11">IF(W5=0," ",IF((RANK(W5,W$5:W$24,1)-COUNTIF(W$5:W$24,0)&gt;6)," ",RANK(W5,W$5:W$24,1)-COUNTIF(W$5:W$24,0)))</f>
        <v xml:space="preserve"> </v>
      </c>
      <c r="Z5" s="87" t="str">
        <f>IF(Y5=" "," ",IFERROR(VLOOKUP(X5,Points!$A$2:$B$14,2,FALSE)," "))</f>
        <v xml:space="preserve"> </v>
      </c>
      <c r="AA5" s="85"/>
      <c r="AB5" s="86" t="str">
        <f t="shared" ref="AB5:AB24" si="12">IF(AA5=0," ",_xlfn.RANK.AVG(AA5,AA$5:AA$24,1)-COUNTIF(AA$5:AA$24,0))</f>
        <v xml:space="preserve"> </v>
      </c>
      <c r="AC5" s="86" t="str">
        <f t="shared" ref="AC5:AC24" si="13">IF(AA5=0," ",IF((RANK(AA5,AA$5:AA$24,1)-COUNTIF(AA$5:AA$24,0)&gt;6)," ",RANK(AA5,AA$5:AA$24,1)-COUNTIF(AA$5:AA$24,0)))</f>
        <v xml:space="preserve"> </v>
      </c>
      <c r="AD5" s="87" t="str">
        <f>IF(AC5=" "," ",IFERROR(VLOOKUP(AB5,Points!$A$2:$B$14,2,FALSE)," "))</f>
        <v xml:space="preserve"> </v>
      </c>
      <c r="AE5" s="161"/>
      <c r="AF5" s="86" t="str">
        <f>IF(OR(AE5=0,AE5=" ")," ",_xlfn.RANK.AVG(AE5,AE$5:AE$24,1)-COUNTIF(AE$5:AE$24,0))</f>
        <v xml:space="preserve"> </v>
      </c>
      <c r="AG5" s="86" t="str">
        <f>IF(OR(AE5=0,AE5=" ")," ",IF((RANK(AE5,AE$5:AE$24,1)-COUNTIF(AE$5:AE$24,0)&gt;6)," ",RANK(AE5,AE$5:AE$24,1)-COUNTIF(AE$5:AE$24,0)))</f>
        <v xml:space="preserve"> </v>
      </c>
      <c r="AH5" s="87" t="str">
        <f>IF(AG5=" "," ",IFERROR(VLOOKUP(AG5,Points!$A$2:$B$14,2,FALSE)," "))</f>
        <v xml:space="preserve"> </v>
      </c>
    </row>
    <row r="6" spans="2:34" x14ac:dyDescent="0.3">
      <c r="B6" s="90" t="s">
        <v>219</v>
      </c>
      <c r="C6" s="92"/>
      <c r="D6" s="93" t="str">
        <f t="shared" si="0"/>
        <v xml:space="preserve"> </v>
      </c>
      <c r="E6" s="93" t="str">
        <f t="shared" si="1"/>
        <v xml:space="preserve"> </v>
      </c>
      <c r="F6" s="94" t="str">
        <f>IF(E6=" "," ",IFERROR(VLOOKUP(D6,Points!$A$2:$B$14,2,FALSE)," "))</f>
        <v xml:space="preserve"> </v>
      </c>
      <c r="G6" s="92">
        <v>0</v>
      </c>
      <c r="H6" s="93" t="str">
        <f t="shared" si="2"/>
        <v xml:space="preserve"> </v>
      </c>
      <c r="I6" s="93" t="str">
        <f t="shared" si="3"/>
        <v xml:space="preserve"> </v>
      </c>
      <c r="J6" s="94" t="str">
        <f>IF(I6=" "," ",IFERROR(VLOOKUP(H6,Points!$A$2:$B$14,2,FALSE)," "))</f>
        <v xml:space="preserve"> </v>
      </c>
      <c r="K6" s="92"/>
      <c r="L6" s="93" t="str">
        <f t="shared" si="4"/>
        <v xml:space="preserve"> </v>
      </c>
      <c r="M6" s="93" t="str">
        <f t="shared" si="5"/>
        <v xml:space="preserve"> </v>
      </c>
      <c r="N6" s="94" t="str">
        <f>IF(M6=" "," ",IFERROR(VLOOKUP(L6,Points!$A$2:$B$14,2,FALSE)," "))</f>
        <v xml:space="preserve"> </v>
      </c>
      <c r="O6" s="92"/>
      <c r="P6" s="93" t="str">
        <f t="shared" si="6"/>
        <v xml:space="preserve"> 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/>
      <c r="T6" s="93" t="str">
        <f t="shared" si="8"/>
        <v xml:space="preserve"> </v>
      </c>
      <c r="U6" s="93" t="str">
        <f t="shared" si="9"/>
        <v xml:space="preserve"> </v>
      </c>
      <c r="V6" s="94" t="str">
        <f>IF(U6=" "," ",IFERROR(VLOOKUP(T6,Points!$A$2:$B$14,2,FALSE)," "))</f>
        <v xml:space="preserve"> </v>
      </c>
      <c r="W6" s="92"/>
      <c r="X6" s="93" t="str">
        <f t="shared" si="10"/>
        <v xml:space="preserve"> </v>
      </c>
      <c r="Y6" s="93" t="str">
        <f t="shared" si="11"/>
        <v xml:space="preserve"> </v>
      </c>
      <c r="Z6" s="94" t="str">
        <f>IF(Y6=" "," ",IFERROR(VLOOKUP(X6,Points!$A$2:$B$14,2,FALSE)," "))</f>
        <v xml:space="preserve"> </v>
      </c>
      <c r="AA6" s="92"/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160"/>
      <c r="AF6" s="93" t="str">
        <f>IF(OR(AE6=0,AE6=" ")," ",_xlfn.RANK.AVG(AE6,AE$5:AE$24,1)-COUNTIF(AE$5:AE$24,0))</f>
        <v xml:space="preserve"> </v>
      </c>
      <c r="AG6" s="93" t="str">
        <f>IF(OR(AE6=0,AE6=" ")," ",IF((RANK(AE6,AE$5:AE$24,1)-COUNTIF(AE$5:AE$24,0)&gt;6)," ",RANK(AE6,AE$5:AE$24,1)-COUNTIF(AE$5:AE$24,0)))</f>
        <v xml:space="preserve"> </v>
      </c>
      <c r="AH6" s="94" t="str">
        <f>IF(AG6=" "," ",IFERROR(VLOOKUP(AG6,Points!$A$2:$B$14,2,FALSE)," "))</f>
        <v xml:space="preserve"> </v>
      </c>
    </row>
    <row r="7" spans="2:34" x14ac:dyDescent="0.3">
      <c r="B7" s="90" t="s">
        <v>215</v>
      </c>
      <c r="C7" s="92"/>
      <c r="D7" s="93" t="str">
        <f t="shared" si="0"/>
        <v xml:space="preserve"> </v>
      </c>
      <c r="E7" s="93" t="str">
        <f t="shared" si="1"/>
        <v xml:space="preserve"> </v>
      </c>
      <c r="F7" s="94" t="str">
        <f>IF(E7=" "," ",IFERROR(VLOOKUP(D7,Points!$A$2:$B$14,2,FALSE)," "))</f>
        <v xml:space="preserve"> </v>
      </c>
      <c r="G7" s="92">
        <v>0</v>
      </c>
      <c r="H7" s="93" t="str">
        <f t="shared" si="2"/>
        <v xml:space="preserve"> </v>
      </c>
      <c r="I7" s="93" t="str">
        <f t="shared" si="3"/>
        <v xml:space="preserve"> </v>
      </c>
      <c r="J7" s="94" t="str">
        <f>IF(I7=" "," ",IFERROR(VLOOKUP(H7,Points!$A$2:$B$14,2,FALSE)," "))</f>
        <v xml:space="preserve"> 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/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/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/>
      <c r="X7" s="93" t="str">
        <f t="shared" si="10"/>
        <v xml:space="preserve"> </v>
      </c>
      <c r="Y7" s="93" t="str">
        <f t="shared" si="11"/>
        <v xml:space="preserve"> </v>
      </c>
      <c r="Z7" s="94" t="str">
        <f>IF(Y7=" "," ",IFERROR(VLOOKUP(X7,Points!$A$2:$B$14,2,FALSE)," "))</f>
        <v xml:space="preserve"> </v>
      </c>
      <c r="AA7" s="92"/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/>
      <c r="AF7" s="93"/>
      <c r="AG7" s="93"/>
      <c r="AH7" s="94" t="str">
        <f>IF(AG7=" "," ",IFERROR(VLOOKUP(AG7,Points!$A$2:$B$14,2,FALSE)," "))</f>
        <v xml:space="preserve"> </v>
      </c>
    </row>
    <row r="8" spans="2:34" x14ac:dyDescent="0.3">
      <c r="B8" s="90" t="s">
        <v>218</v>
      </c>
      <c r="C8" s="92"/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0</v>
      </c>
      <c r="H8" s="93" t="str">
        <f t="shared" si="2"/>
        <v xml:space="preserve"> </v>
      </c>
      <c r="I8" s="93" t="str">
        <f t="shared" si="3"/>
        <v xml:space="preserve"> </v>
      </c>
      <c r="J8" s="94" t="str">
        <f>IF(I8=" "," ",IFERROR(VLOOKUP(H8,Points!$A$2:$B$14,2,FALSE)," "))</f>
        <v xml:space="preserve"> </v>
      </c>
      <c r="K8" s="92"/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14.39</v>
      </c>
      <c r="P8" s="93">
        <f t="shared" si="6"/>
        <v>1</v>
      </c>
      <c r="Q8" s="93">
        <f t="shared" si="7"/>
        <v>1</v>
      </c>
      <c r="R8" s="94">
        <f>IF(Q8=" "," ",IFERROR(VLOOKUP(P8,Points!$A$2:$B$14,2,FALSE)," "))</f>
        <v>18</v>
      </c>
      <c r="S8" s="92"/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/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/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160"/>
      <c r="AF8" s="93">
        <v>3</v>
      </c>
      <c r="AG8" s="93" t="str">
        <f t="shared" ref="AG8:AG24" si="14">IF(OR(AE8=0,AE8=" ")," ",IF((RANK(AE8,AE$5:AE$24,1)-COUNTIF(AE$5:AE$24,0)&gt;6)," ",RANK(AE8,AE$5:AE$24,1)-COUNTIF(AE$5:AE$24,0)))</f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217</v>
      </c>
      <c r="C9" s="92"/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0</v>
      </c>
      <c r="H9" s="93" t="str">
        <f t="shared" si="2"/>
        <v xml:space="preserve"> </v>
      </c>
      <c r="I9" s="93" t="str">
        <f t="shared" si="3"/>
        <v xml:space="preserve"> </v>
      </c>
      <c r="J9" s="94" t="str">
        <f>IF(I9=" "," ",IFERROR(VLOOKUP(H9,Points!$A$2:$B$14,2,FALSE)," "))</f>
        <v xml:space="preserve"> </v>
      </c>
      <c r="K9" s="92"/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/>
      <c r="P9" s="93" t="str">
        <f t="shared" si="6"/>
        <v xml:space="preserve"> 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/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160"/>
      <c r="AF9" s="93">
        <v>1</v>
      </c>
      <c r="AG9" s="93" t="str">
        <f t="shared" si="14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216</v>
      </c>
      <c r="C10" s="92"/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0</v>
      </c>
      <c r="H10" s="93" t="str">
        <f t="shared" si="2"/>
        <v xml:space="preserve"> </v>
      </c>
      <c r="I10" s="93" t="str">
        <f t="shared" si="3"/>
        <v xml:space="preserve"> </v>
      </c>
      <c r="J10" s="94" t="str">
        <f>IF(I10=" "," ",IFERROR(VLOOKUP(H10,Points!$A$2:$B$14,2,FALSE)," "))</f>
        <v xml:space="preserve"> </v>
      </c>
      <c r="K10" s="92"/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/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/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/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/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92"/>
      <c r="AF10" s="93" t="str">
        <f>IF(OR(AE10=0,AE10=" ")," ",_xlfn.RANK.AVG(AE10,AE$5:AE$24,1)-COUNTIF(AE$5:AE$24,0))</f>
        <v xml:space="preserve"> </v>
      </c>
      <c r="AG10" s="93" t="str">
        <f t="shared" si="14"/>
        <v xml:space="preserve"> </v>
      </c>
      <c r="AH10" s="94" t="str">
        <f>IF(AG10=" "," ",IFERROR(VLOOKUP(AG10,Points!$A$2:$B$14,2,FALSE)," "))</f>
        <v xml:space="preserve"> </v>
      </c>
    </row>
    <row r="11" spans="2:34" x14ac:dyDescent="0.3">
      <c r="B11" s="90" t="s">
        <v>283</v>
      </c>
      <c r="C11" s="92"/>
      <c r="D11" s="93" t="str">
        <f t="shared" si="0"/>
        <v xml:space="preserve"> </v>
      </c>
      <c r="E11" s="93" t="str">
        <f t="shared" si="1"/>
        <v xml:space="preserve"> </v>
      </c>
      <c r="F11" s="94" t="str">
        <f>IF(E11=" "," ",IFERROR(VLOOKUP(D11,Points!$A$2:$B$14,2,FALSE)," "))</f>
        <v xml:space="preserve"> </v>
      </c>
      <c r="G11" s="92"/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13.59</v>
      </c>
      <c r="L11" s="93">
        <f t="shared" si="4"/>
        <v>1</v>
      </c>
      <c r="M11" s="93">
        <f t="shared" si="5"/>
        <v>1</v>
      </c>
      <c r="N11" s="94">
        <f>IF(M11=" "," ",IFERROR(VLOOKUP(L11,Points!$A$2:$B$14,2,FALSE)," "))</f>
        <v>18</v>
      </c>
      <c r="O11" s="92">
        <v>0</v>
      </c>
      <c r="P11" s="93" t="str">
        <f t="shared" si="6"/>
        <v xml:space="preserve"> </v>
      </c>
      <c r="Q11" s="93" t="str">
        <f t="shared" si="7"/>
        <v xml:space="preserve"> </v>
      </c>
      <c r="R11" s="94" t="str">
        <f>IF(Q11=" "," ",IFERROR(VLOOKUP(P11,Points!$A$2:$B$14,2,FALSE)," "))</f>
        <v xml:space="preserve"> </v>
      </c>
      <c r="S11" s="92"/>
      <c r="T11" s="93" t="str">
        <f t="shared" si="8"/>
        <v xml:space="preserve"> </v>
      </c>
      <c r="U11" s="93" t="str">
        <f t="shared" si="9"/>
        <v xml:space="preserve"> </v>
      </c>
      <c r="V11" s="94" t="str">
        <f>IF(U11=" "," ",IFERROR(VLOOKUP(T11,Points!$A$2:$B$14,2,FALSE)," "))</f>
        <v xml:space="preserve"> </v>
      </c>
      <c r="W11" s="92"/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/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160"/>
      <c r="AF11" s="93">
        <v>2</v>
      </c>
      <c r="AG11" s="93" t="str">
        <f t="shared" si="14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3">
      <c r="B12" s="90" t="s">
        <v>284</v>
      </c>
      <c r="C12" s="92"/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/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>
        <v>0</v>
      </c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>
        <v>0</v>
      </c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160"/>
      <c r="AF12" s="93">
        <v>4</v>
      </c>
      <c r="AG12" s="93" t="str">
        <f t="shared" si="14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285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/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>
        <v>0</v>
      </c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160"/>
      <c r="AF13" s="93" t="str">
        <f t="shared" ref="AF13:AF24" si="15">IF(OR(AE13=0,AE13=" ")," ",_xlfn.RANK.AVG(AE13,AE$5:AE$24,1)-COUNTIF(AE$5:AE$24,0))</f>
        <v xml:space="preserve"> </v>
      </c>
      <c r="AG13" s="93" t="str">
        <f t="shared" si="14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3">
      <c r="B14" s="90" t="s">
        <v>286</v>
      </c>
      <c r="C14" s="92"/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/>
      <c r="H14" s="93" t="str">
        <f t="shared" si="2"/>
        <v xml:space="preserve"> 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14.66</v>
      </c>
      <c r="L14" s="93">
        <f t="shared" si="4"/>
        <v>3</v>
      </c>
      <c r="M14" s="93">
        <f t="shared" si="5"/>
        <v>3</v>
      </c>
      <c r="N14" s="94">
        <f>IF(M14=" "," ",IFERROR(VLOOKUP(L14,Points!$A$2:$B$14,2,FALSE)," "))</f>
        <v>12</v>
      </c>
      <c r="O14" s="92"/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/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/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/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/>
      <c r="AF14" s="93" t="str">
        <f t="shared" si="15"/>
        <v xml:space="preserve"> </v>
      </c>
      <c r="AG14" s="93" t="str">
        <f t="shared" si="14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3">
      <c r="B15" s="90" t="s">
        <v>287</v>
      </c>
      <c r="C15" s="92"/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/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0</v>
      </c>
      <c r="L15" s="93" t="str">
        <f t="shared" si="4"/>
        <v xml:space="preserve"> </v>
      </c>
      <c r="M15" s="93" t="str">
        <f t="shared" si="5"/>
        <v xml:space="preserve"> </v>
      </c>
      <c r="N15" s="94" t="str">
        <f>IF(M15=" "," ",IFERROR(VLOOKUP(L15,Points!$A$2:$B$14,2,FALSE)," "))</f>
        <v xml:space="preserve"> </v>
      </c>
      <c r="O15" s="92">
        <v>20.3</v>
      </c>
      <c r="P15" s="93">
        <f t="shared" si="6"/>
        <v>2</v>
      </c>
      <c r="Q15" s="93">
        <f t="shared" si="7"/>
        <v>2</v>
      </c>
      <c r="R15" s="94">
        <f>IF(Q15=" "," ",IFERROR(VLOOKUP(P15,Points!$A$2:$B$14,2,FALSE)," "))</f>
        <v>15</v>
      </c>
      <c r="S15" s="92"/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/>
      <c r="AF15" s="93" t="str">
        <f t="shared" si="15"/>
        <v xml:space="preserve"> </v>
      </c>
      <c r="AG15" s="93" t="str">
        <f t="shared" si="14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298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/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0</v>
      </c>
      <c r="L16" s="97" t="str">
        <f t="shared" si="4"/>
        <v xml:space="preserve"> </v>
      </c>
      <c r="M16" s="97" t="str">
        <f t="shared" si="5"/>
        <v xml:space="preserve"> </v>
      </c>
      <c r="N16" s="94" t="str">
        <f>IF(M16=" "," ",IFERROR(VLOOKUP(L16,Points!$A$2:$B$14,2,FALSE)," "))</f>
        <v xml:space="preserve"> </v>
      </c>
      <c r="O16" s="92">
        <v>0</v>
      </c>
      <c r="P16" s="97" t="str">
        <f t="shared" si="6"/>
        <v xml:space="preserve"> </v>
      </c>
      <c r="Q16" s="97" t="str">
        <f t="shared" si="7"/>
        <v xml:space="preserve"> </v>
      </c>
      <c r="R16" s="94" t="str">
        <f>IF(Q16=" "," ",IFERROR(VLOOKUP(P16,Points!$A$2:$B$14,2,FALSE)," "))</f>
        <v xml:space="preserve"> </v>
      </c>
      <c r="S16" s="92"/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/>
      <c r="AF16" s="97" t="str">
        <f t="shared" si="15"/>
        <v xml:space="preserve"> </v>
      </c>
      <c r="AG16" s="97" t="str">
        <f t="shared" si="14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288</v>
      </c>
      <c r="C17" s="92"/>
      <c r="D17" s="97" t="str">
        <f t="shared" si="0"/>
        <v xml:space="preserve"> </v>
      </c>
      <c r="E17" s="97" t="str">
        <f t="shared" si="1"/>
        <v xml:space="preserve"> </v>
      </c>
      <c r="F17" s="94" t="str">
        <f>IF(E17=" "," ",IFERROR(VLOOKUP(D17,Points!$A$2:$B$14,2,FALSE)," "))</f>
        <v xml:space="preserve"> </v>
      </c>
      <c r="G17" s="92"/>
      <c r="H17" s="97" t="str">
        <f t="shared" si="2"/>
        <v xml:space="preserve"> </v>
      </c>
      <c r="I17" s="97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14.1</v>
      </c>
      <c r="L17" s="97">
        <f t="shared" si="4"/>
        <v>2</v>
      </c>
      <c r="M17" s="97">
        <f t="shared" si="5"/>
        <v>2</v>
      </c>
      <c r="N17" s="94">
        <f>IF(M17=" "," ",IFERROR(VLOOKUP(L17,Points!$A$2:$B$14,2,FALSE)," "))</f>
        <v>15</v>
      </c>
      <c r="O17" s="92">
        <v>0</v>
      </c>
      <c r="P17" s="97" t="str">
        <f t="shared" si="6"/>
        <v xml:space="preserve"> </v>
      </c>
      <c r="Q17" s="97" t="str">
        <f t="shared" si="7"/>
        <v xml:space="preserve"> </v>
      </c>
      <c r="R17" s="94" t="str">
        <f>IF(Q17=" "," ",IFERROR(VLOOKUP(P17,Points!$A$2:$B$14,2,FALSE)," "))</f>
        <v xml:space="preserve"> </v>
      </c>
      <c r="S17" s="92"/>
      <c r="T17" s="97" t="str">
        <f t="shared" si="8"/>
        <v xml:space="preserve"> </v>
      </c>
      <c r="U17" s="97" t="str">
        <f t="shared" si="9"/>
        <v xml:space="preserve"> </v>
      </c>
      <c r="V17" s="94" t="str">
        <f>IF(U17=" "," ",IFERROR(VLOOKUP(T17,Points!$A$2:$B$14,2,FALSE)," "))</f>
        <v xml:space="preserve"> </v>
      </c>
      <c r="W17" s="92"/>
      <c r="X17" s="97" t="str">
        <f t="shared" si="10"/>
        <v xml:space="preserve"> </v>
      </c>
      <c r="Y17" s="97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7" t="str">
        <f t="shared" si="12"/>
        <v xml:space="preserve"> </v>
      </c>
      <c r="AC17" s="97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/>
      <c r="AF17" s="97" t="str">
        <f t="shared" si="15"/>
        <v xml:space="preserve"> </v>
      </c>
      <c r="AG17" s="97" t="str">
        <f t="shared" si="14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289</v>
      </c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/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>
        <v>0</v>
      </c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>
        <v>0</v>
      </c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/>
      <c r="AF18" s="97" t="str">
        <f t="shared" si="15"/>
        <v xml:space="preserve"> </v>
      </c>
      <c r="AG18" s="97" t="str">
        <f t="shared" si="14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290</v>
      </c>
      <c r="C19" s="92"/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/>
      <c r="H19" s="93" t="str">
        <f t="shared" si="2"/>
        <v xml:space="preserve"> </v>
      </c>
      <c r="I19" s="93" t="str">
        <f t="shared" si="3"/>
        <v xml:space="preserve"> </v>
      </c>
      <c r="J19" s="94" t="str">
        <f>IF(I19=" "," ",IFERROR(VLOOKUP(H19,Points!$A$2:$B$14,2,FALSE)," "))</f>
        <v xml:space="preserve"> </v>
      </c>
      <c r="K19" s="92">
        <v>0</v>
      </c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3" t="str">
        <f t="shared" si="6"/>
        <v xml:space="preserve"> </v>
      </c>
      <c r="Q19" s="93" t="str">
        <f t="shared" si="7"/>
        <v xml:space="preserve"> </v>
      </c>
      <c r="R19" s="94" t="str">
        <f>IF(Q19=" "," ",IFERROR(VLOOKUP(P19,Points!$A$2:$B$14,2,FALSE)," "))</f>
        <v xml:space="preserve"> </v>
      </c>
      <c r="S19" s="92"/>
      <c r="T19" s="93" t="str">
        <f t="shared" si="8"/>
        <v xml:space="preserve"> </v>
      </c>
      <c r="U19" s="93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3" t="str">
        <f t="shared" si="10"/>
        <v xml:space="preserve"> </v>
      </c>
      <c r="Y19" s="93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/>
      <c r="AF19" s="93" t="str">
        <f t="shared" si="15"/>
        <v xml:space="preserve"> </v>
      </c>
      <c r="AG19" s="93" t="str">
        <f t="shared" si="14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3">
      <c r="B20" s="90" t="s">
        <v>291</v>
      </c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/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>
        <v>0</v>
      </c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/>
      <c r="AF20" s="93" t="str">
        <f t="shared" si="15"/>
        <v xml:space="preserve"> </v>
      </c>
      <c r="AG20" s="93" t="str">
        <f t="shared" si="14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299</v>
      </c>
      <c r="C21" s="92"/>
      <c r="D21" s="93" t="str">
        <f t="shared" si="0"/>
        <v xml:space="preserve"> </v>
      </c>
      <c r="E21" s="93" t="str">
        <f t="shared" si="1"/>
        <v xml:space="preserve"> </v>
      </c>
      <c r="F21" s="94" t="str">
        <f>IF(E21=" "," ",IFERROR(VLOOKUP(D21,Points!$A$2:$B$14,2,FALSE)," "))</f>
        <v xml:space="preserve"> </v>
      </c>
      <c r="G21" s="92"/>
      <c r="H21" s="93" t="str">
        <f t="shared" si="2"/>
        <v xml:space="preserve"> </v>
      </c>
      <c r="I21" s="93" t="str">
        <f t="shared" si="3"/>
        <v xml:space="preserve"> </v>
      </c>
      <c r="J21" s="94" t="str">
        <f>IF(I21=" "," ",IFERROR(VLOOKUP(H21,Points!$A$2:$B$14,2,FALSE)," "))</f>
        <v xml:space="preserve"> </v>
      </c>
      <c r="K21" s="92"/>
      <c r="L21" s="93" t="str">
        <f t="shared" si="4"/>
        <v xml:space="preserve"> </v>
      </c>
      <c r="M21" s="93" t="str">
        <f t="shared" si="5"/>
        <v xml:space="preserve"> </v>
      </c>
      <c r="N21" s="94" t="str">
        <f>IF(M21=" "," ",IFERROR(VLOOKUP(L21,Points!$A$2:$B$14,2,FALSE)," "))</f>
        <v xml:space="preserve"> </v>
      </c>
      <c r="O21" s="92">
        <v>0</v>
      </c>
      <c r="P21" s="93" t="str">
        <f t="shared" si="6"/>
        <v xml:space="preserve"> </v>
      </c>
      <c r="Q21" s="93" t="str">
        <f t="shared" si="7"/>
        <v xml:space="preserve"> </v>
      </c>
      <c r="R21" s="94" t="str">
        <f>IF(Q21=" "," ",IFERROR(VLOOKUP(P21,Points!$A$2:$B$14,2,FALSE)," "))</f>
        <v xml:space="preserve"> </v>
      </c>
      <c r="S21" s="92"/>
      <c r="T21" s="93" t="str">
        <f t="shared" si="8"/>
        <v xml:space="preserve"> </v>
      </c>
      <c r="U21" s="93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3" t="str">
        <f t="shared" si="10"/>
        <v xml:space="preserve"> </v>
      </c>
      <c r="Y21" s="93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3" t="str">
        <f t="shared" si="12"/>
        <v xml:space="preserve"> </v>
      </c>
      <c r="AC21" s="93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>IF(OR(W21=0,AA21=0)," ",W21+AA21)</f>
        <v xml:space="preserve"> </v>
      </c>
      <c r="AF21" s="93" t="str">
        <f t="shared" si="15"/>
        <v xml:space="preserve"> </v>
      </c>
      <c r="AG21" s="93" t="str">
        <f t="shared" si="14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292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/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/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>
        <v>0</v>
      </c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>IF(OR(W22=0,AA22=0)," ",W22+AA22)</f>
        <v xml:space="preserve"> </v>
      </c>
      <c r="AF22" s="93" t="str">
        <f t="shared" si="15"/>
        <v xml:space="preserve"> </v>
      </c>
      <c r="AG22" s="93" t="str">
        <f t="shared" si="14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293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/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/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0</v>
      </c>
      <c r="P23" s="93" t="str">
        <f t="shared" si="6"/>
        <v xml:space="preserve"> </v>
      </c>
      <c r="Q23" s="93" t="str">
        <f t="shared" si="7"/>
        <v xml:space="preserve"> </v>
      </c>
      <c r="R23" s="94" t="str">
        <f>IF(Q23=" "," ",IFERROR(VLOOKUP(P23,Points!$A$2:$B$14,2,FALSE)," "))</f>
        <v xml:space="preserve"> 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>IF(OR(W23=0,AA23=0)," ",W23+AA23)</f>
        <v xml:space="preserve"> </v>
      </c>
      <c r="AF23" s="93" t="str">
        <f t="shared" si="15"/>
        <v xml:space="preserve"> </v>
      </c>
      <c r="AG23" s="93" t="str">
        <f t="shared" si="14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294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/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/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0</v>
      </c>
      <c r="P24" s="93" t="str">
        <f t="shared" si="6"/>
        <v xml:space="preserve"> 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3" t="str">
        <f t="shared" si="8"/>
        <v xml:space="preserve"> </v>
      </c>
      <c r="U24" s="93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>IF(OR(W24=0,AA24=0)," ",W24+AA24)</f>
        <v xml:space="preserve"> </v>
      </c>
      <c r="AF24" s="93" t="str">
        <f t="shared" si="15"/>
        <v xml:space="preserve"> </v>
      </c>
      <c r="AG24" s="93" t="str">
        <f t="shared" si="14"/>
        <v xml:space="preserve"> </v>
      </c>
      <c r="AH24" s="94" t="str">
        <f>IF(AG24=" "," ",IFERROR(VLOOKUP(AG24,Points!$A$2:$B$14,2,FALSE)," "))</f>
        <v xml:space="preserve"> </v>
      </c>
    </row>
    <row r="25" spans="2:34" ht="14.5" thickBot="1" x14ac:dyDescent="0.35">
      <c r="B25" s="90"/>
      <c r="C25" s="92"/>
      <c r="D25" s="128" t="str">
        <f>IF(C25=0," ",_xlfn.RANK.AVG(C25,C$5:C$25,1)-COUNTIF(C$5:C$25,0))</f>
        <v xml:space="preserve"> </v>
      </c>
      <c r="E25" s="128" t="str">
        <f>IF(C25=0," ",IF((RANK(C25,C$5:C$25,1)-COUNTIF(C$5:C$25,0)&gt;6)," ",RANK(C25,C$5:C$25,1)-COUNTIF(C$5:C$25,0)))</f>
        <v xml:space="preserve"> </v>
      </c>
      <c r="F25" s="94" t="str">
        <f>IF(E25=" "," ",IFERROR(VLOOKUP(D25,Points!$A$2:$B$14,2,FALSE)," "))</f>
        <v xml:space="preserve"> </v>
      </c>
      <c r="G25" s="92"/>
      <c r="H25" s="128" t="str">
        <f>IF(G25=0," ",_xlfn.RANK.AVG(G25,G$5:G$25,1)-COUNTIF(G$5:G$25,0))</f>
        <v xml:space="preserve"> </v>
      </c>
      <c r="I25" s="128" t="str">
        <f>IF(G25=0," ",IF((RANK(G25,G$5:G$25,1)-COUNTIF(G$5:G$25,0)&gt;6)," ",RANK(G25,G$5:G$25,1)-COUNTIF(G$5:G$25,0)))</f>
        <v xml:space="preserve"> </v>
      </c>
      <c r="J25" s="94" t="str">
        <f>IF(I25=" "," ",IFERROR(VLOOKUP(H25,Points!$A$2:$B$14,2,FALSE)," "))</f>
        <v xml:space="preserve"> </v>
      </c>
      <c r="K25" s="92"/>
      <c r="L25" s="128" t="str">
        <f>IF(K25=0," ",_xlfn.RANK.AVG(K25,K$5:K$25,1)-COUNTIF(K$5:K$25,0))</f>
        <v xml:space="preserve"> </v>
      </c>
      <c r="M25" s="128" t="str">
        <f>IF(K25=0," ",IF((RANK(K25,K$5:K$25,1)-COUNTIF(K$5:K$25,0)&gt;6)," ",RANK(K25,K$5:K$25,1)-COUNTIF(K$5:K$25,0)))</f>
        <v xml:space="preserve"> </v>
      </c>
      <c r="N25" s="94" t="str">
        <f>IF(M25=" "," ",IFERROR(VLOOKUP(L25,Points!$A$2:$B$14,2,FALSE)," "))</f>
        <v xml:space="preserve"> </v>
      </c>
      <c r="O25" s="92"/>
      <c r="P25" s="128" t="str">
        <f>IF(O25=0," ",_xlfn.RANK.AVG(O25,O$5:O$25,1)-COUNTIF(O$5:O$25,0))</f>
        <v xml:space="preserve"> </v>
      </c>
      <c r="Q25" s="128" t="str">
        <f t="shared" si="7"/>
        <v xml:space="preserve"> </v>
      </c>
      <c r="R25" s="94" t="str">
        <f>IF(Q25=" "," ",IFERROR(VLOOKUP(P25,Points!$A$2:$B$14,2,FALSE)," "))</f>
        <v xml:space="preserve"> </v>
      </c>
      <c r="S25" s="92"/>
      <c r="T25" s="128" t="str">
        <f>IF(S25=0," ",_xlfn.RANK.AVG(S25,S$5:S$25,1)-COUNTIF(S$5:S$25,0))</f>
        <v xml:space="preserve"> </v>
      </c>
      <c r="U25" s="128" t="str">
        <f>IF(S25=0," ",IF((RANK(S25,S$5:S$25,1)-COUNTIF(S$5:S$25,0)&gt;6)," ",RANK(S25,S$5:S$25,1)-COUNTIF(S$5:S$25,0)))</f>
        <v xml:space="preserve"> </v>
      </c>
      <c r="V25" s="94" t="str">
        <f>IF(U25=" "," ",IFERROR(VLOOKUP(T25,Points!$A$2:$B$14,2,FALSE)," "))</f>
        <v xml:space="preserve"> </v>
      </c>
      <c r="W25" s="92"/>
      <c r="X25" s="128" t="str">
        <f>IF(W25=0," ",_xlfn.RANK.AVG(W25,W$5:W$25,1)-COUNTIF(W$5:W$25,0))</f>
        <v xml:space="preserve"> </v>
      </c>
      <c r="Y25" s="128" t="str">
        <f>IF(W25=0," ",IF((RANK(W25,W$5:W$25,1)-COUNTIF(W$5:W$25,0)&gt;6)," ",RANK(W25,W$5:W$25,1)-COUNTIF(W$5:W$25,0)))</f>
        <v xml:space="preserve"> </v>
      </c>
      <c r="Z25" s="94" t="str">
        <f>IF(Y25=" "," ",IFERROR(VLOOKUP(X25,Points!$A$2:$B$14,2,FALSE)," "))</f>
        <v xml:space="preserve"> </v>
      </c>
      <c r="AA25" s="92"/>
      <c r="AB25" s="128" t="str">
        <f>IF(AA25=0," ",_xlfn.RANK.AVG(AA25,AA$5:AA$25,1)-COUNTIF(AA$5:AA$25,0))</f>
        <v xml:space="preserve"> </v>
      </c>
      <c r="AC25" s="128" t="str">
        <f>IF(AA25=0," ",IF((RANK(AA25,AA$5:AA$25,1)-COUNTIF(AA$5:AA$25,0)&gt;6)," ",RANK(AA25,AA$5:AA$25,1)-COUNTIF(AA$5:AA$25,0)))</f>
        <v xml:space="preserve"> </v>
      </c>
      <c r="AD25" s="94" t="str">
        <f>IF(AC25=" "," ",IFERROR(VLOOKUP(AB25,Points!$A$2:$B$14,2,FALSE)," "))</f>
        <v xml:space="preserve"> </v>
      </c>
      <c r="AE25" s="92" t="str">
        <f>IF(OR(W25=0,AA25=0)," ",W25+AA25)</f>
        <v xml:space="preserve"> </v>
      </c>
      <c r="AF25" s="129" t="str">
        <f>IF(OR(AE25=0,AE25=" ")," ",_xlfn.RANK.AVG(AE25,AE$5:AE$25,1)-COUNTIF(AE$5:AE$25,0))</f>
        <v xml:space="preserve"> </v>
      </c>
      <c r="AG25" s="128" t="str">
        <f>IF(OR(AE25=0,AE25=" ")," ",IF((RANK(AE25,AE$5:AE$25,1)-COUNTIF(AE$5:AE$25,0)&gt;6)," ",RANK(AE25,AE$5:AE$25,1)-COUNTIF(AE$5:AE$25,0)))</f>
        <v xml:space="preserve"> </v>
      </c>
      <c r="AH25" s="94" t="str">
        <f>IF(AG25=" "," ",IFERROR(VLOOKUP(AG25,Points!$A$2:$B$14,2,FALSE)," "))</f>
        <v xml:space="preserve"> </v>
      </c>
    </row>
    <row r="26" spans="2:34" ht="14.5" thickBot="1" x14ac:dyDescent="0.35">
      <c r="B26" s="106" t="s">
        <v>190</v>
      </c>
    </row>
    <row r="27" spans="2:34" x14ac:dyDescent="0.3">
      <c r="E27" s="107"/>
    </row>
    <row r="28" spans="2:34" x14ac:dyDescent="0.3">
      <c r="E28" s="107"/>
    </row>
    <row r="29" spans="2:34" x14ac:dyDescent="0.3">
      <c r="G29" s="108"/>
    </row>
  </sheetData>
  <sheetProtection algorithmName="SHA-512" hashValue="OiCgBW7pIo9wJ8QlYYsWoMetqQYQQPcDemh56DxKVk8pWfYKhxpavudJU2/eDQlzq+0VFg1AoeOT5P4u7cKTSg==" saltValue="1UzzWU7CzJfH1yVPtwPNdA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0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1796875" defaultRowHeight="14" x14ac:dyDescent="0.3"/>
  <cols>
    <col min="1" max="1" width="9.1796875" style="62"/>
    <col min="2" max="2" width="23.81640625" style="62" customWidth="1"/>
    <col min="3" max="3" width="21.453125" style="57" customWidth="1"/>
    <col min="4" max="4" width="24.7265625" style="58" customWidth="1"/>
    <col min="5" max="11" width="24.7265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796875" style="62"/>
  </cols>
  <sheetData>
    <row r="1" spans="2:14" ht="18.5" thickBot="1" x14ac:dyDescent="0.45">
      <c r="B1" s="54"/>
      <c r="C1" s="55"/>
    </row>
    <row r="2" spans="2:14" s="64" customFormat="1" ht="18" x14ac:dyDescent="0.4">
      <c r="B2" s="175" t="s">
        <v>122</v>
      </c>
      <c r="C2" s="176"/>
      <c r="D2" s="167">
        <v>43954</v>
      </c>
      <c r="E2" s="162">
        <v>43996</v>
      </c>
      <c r="F2" s="162">
        <v>44023</v>
      </c>
      <c r="G2" s="162">
        <v>44024</v>
      </c>
      <c r="H2" s="162">
        <v>44045</v>
      </c>
      <c r="I2" s="162" t="s">
        <v>203</v>
      </c>
      <c r="J2" s="162" t="s">
        <v>204</v>
      </c>
      <c r="K2" s="130" t="s">
        <v>3</v>
      </c>
      <c r="L2" s="163"/>
      <c r="M2" s="173" t="s">
        <v>4</v>
      </c>
      <c r="N2" s="174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199</v>
      </c>
      <c r="C5" s="84"/>
      <c r="D5" s="133"/>
      <c r="E5" s="133"/>
      <c r="F5" s="133"/>
      <c r="G5" s="133">
        <v>18</v>
      </c>
      <c r="H5" s="133"/>
      <c r="I5" s="133"/>
      <c r="J5" s="133"/>
      <c r="K5" s="133"/>
      <c r="L5" s="86">
        <f>IF(Table62202732333417181930514[[#This Row],[Non-Member]]="X"," ",((IF(D5=" ",0,D5))+(IF(E5=" ",0,E5))+(IF(F5=" ",0,F5))+(IF(G5=" ",0,G5))+(IF(H5=" ",0,H5))+(IF(I5=" ",0,I5))+(IF(J5=" ",0,J5))+(IF(K5=" ",0,K5))))</f>
        <v>18</v>
      </c>
      <c r="M5" s="88">
        <f t="shared" ref="M5:M24" si="0">IF(L5=0," ",L5)</f>
        <v>18</v>
      </c>
      <c r="N5" s="89">
        <f t="shared" ref="N5:N24" si="1">IF(M5=" "," ",RANK(M5,$M$5:$M$24))</f>
        <v>1</v>
      </c>
    </row>
    <row r="6" spans="2:14" x14ac:dyDescent="0.3">
      <c r="B6" s="90" t="s">
        <v>279</v>
      </c>
      <c r="C6" s="91"/>
      <c r="D6" s="134"/>
      <c r="E6" s="134"/>
      <c r="F6" s="134">
        <v>18</v>
      </c>
      <c r="G6" s="134"/>
      <c r="H6" s="134"/>
      <c r="I6" s="134"/>
      <c r="J6" s="134"/>
      <c r="K6" s="134"/>
      <c r="L6" s="93">
        <f>IF(Table62202732333417181930514[[#This Row],[Non-Member]]="X"," ",((IF(D6=" ",0,D6))+(IF(E6=" ",0,E6))+(IF(F6=" ",0,F6))+(IF(G6=" ",0,G6))+(IF(H6=" ",0,H6))+(IF(I6=" ",0,I6))+(IF(J6=" ",0,J6))+(IF(K6=" ",0,K6))))</f>
        <v>18</v>
      </c>
      <c r="M6" s="95">
        <f t="shared" si="0"/>
        <v>18</v>
      </c>
      <c r="N6" s="96">
        <f t="shared" si="1"/>
        <v>1</v>
      </c>
    </row>
    <row r="7" spans="2:14" x14ac:dyDescent="0.3">
      <c r="B7" s="90" t="s">
        <v>295</v>
      </c>
      <c r="C7" s="91"/>
      <c r="D7" s="134"/>
      <c r="E7" s="134"/>
      <c r="F7" s="134">
        <v>15</v>
      </c>
      <c r="G7" s="134"/>
      <c r="H7" s="134"/>
      <c r="I7" s="134"/>
      <c r="J7" s="134"/>
      <c r="K7" s="134"/>
      <c r="L7" s="93">
        <f>IF(Table62202732333417181930514[[#This Row],[Non-Member]]="X"," ",((IF(D7=" ",0,D7))+(IF(E7=" ",0,E7))+(IF(F7=" ",0,F7))+(IF(G7=" ",0,G7))+(IF(H7=" ",0,H7))+(IF(I7=" ",0,I7))+(IF(J7=" ",0,J7))+(IF(K7=" ",0,K7))))</f>
        <v>15</v>
      </c>
      <c r="M7" s="95">
        <f t="shared" si="0"/>
        <v>15</v>
      </c>
      <c r="N7" s="96">
        <f t="shared" si="1"/>
        <v>3</v>
      </c>
    </row>
    <row r="8" spans="2:14" x14ac:dyDescent="0.3">
      <c r="B8" s="90" t="s">
        <v>280</v>
      </c>
      <c r="C8" s="91"/>
      <c r="D8" s="134"/>
      <c r="E8" s="134"/>
      <c r="F8" s="134"/>
      <c r="G8" s="134">
        <v>15</v>
      </c>
      <c r="H8" s="134"/>
      <c r="I8" s="134"/>
      <c r="J8" s="134"/>
      <c r="K8" s="134"/>
      <c r="L8" s="93">
        <f>IF(Table62202732333417181930514[[#This Row],[Non-Member]]="X"," ",((IF(D8=" ",0,D8))+(IF(E8=" ",0,E8))+(IF(F8=" ",0,F8))+(IF(G8=" ",0,G8))+(IF(H8=" ",0,H8))+(IF(I8=" ",0,I8))+(IF(J8=" ",0,J8))+(IF(K8=" ",0,K8))))</f>
        <v>15</v>
      </c>
      <c r="M8" s="95">
        <f t="shared" si="0"/>
        <v>15</v>
      </c>
      <c r="N8" s="96">
        <f t="shared" si="1"/>
        <v>3</v>
      </c>
    </row>
    <row r="9" spans="2:14" x14ac:dyDescent="0.3">
      <c r="B9" s="90" t="s">
        <v>296</v>
      </c>
      <c r="C9" s="91"/>
      <c r="D9" s="134"/>
      <c r="E9" s="134"/>
      <c r="F9" s="134">
        <v>12</v>
      </c>
      <c r="G9" s="134"/>
      <c r="H9" s="134"/>
      <c r="I9" s="134"/>
      <c r="J9" s="134"/>
      <c r="K9" s="134"/>
      <c r="L9" s="93">
        <f>IF(Table62202732333417181930514[[#This Row],[Non-Member]]="X"," ",((IF(D9=" ",0,D9))+(IF(E9=" ",0,E9))+(IF(F9=" ",0,F9))+(IF(G9=" ",0,G9))+(IF(H9=" ",0,H9))+(IF(I9=" ",0,I9))+(IF(J9=" ",0,J9))+(IF(K9=" ",0,K9))))</f>
        <v>12</v>
      </c>
      <c r="M9" s="95">
        <f t="shared" si="0"/>
        <v>12</v>
      </c>
      <c r="N9" s="96">
        <f t="shared" si="1"/>
        <v>5</v>
      </c>
    </row>
    <row r="10" spans="2:14" x14ac:dyDescent="0.3">
      <c r="B10" s="90"/>
      <c r="C10" s="91"/>
      <c r="D10" s="134"/>
      <c r="E10" s="134"/>
      <c r="F10" s="134"/>
      <c r="G10" s="134"/>
      <c r="H10" s="134"/>
      <c r="I10" s="134"/>
      <c r="J10" s="134"/>
      <c r="K10" s="134"/>
      <c r="L10" s="93">
        <f>IF(Table62202732333417181930514[[#This Row],[Non-Member]]="X"," ",((IF(D10=" ",0,D10))+(IF(E10=" ",0,E10))+(IF(F10=" ",0,F10))+(IF(G10=" ",0,G10))+(IF(H10=" ",0,H10))+(IF(I10=" ",0,I10))+(IF(J10=" ",0,J10))+(IF(K10=" ",0,K10))))</f>
        <v>0</v>
      </c>
      <c r="M10" s="95" t="str">
        <f t="shared" si="0"/>
        <v xml:space="preserve"> </v>
      </c>
      <c r="N10" s="96" t="str">
        <f t="shared" si="1"/>
        <v xml:space="preserve"> </v>
      </c>
    </row>
    <row r="11" spans="2:14" x14ac:dyDescent="0.3">
      <c r="B11" s="90"/>
      <c r="C11" s="91"/>
      <c r="D11" s="134"/>
      <c r="E11" s="134"/>
      <c r="F11" s="134"/>
      <c r="G11" s="134"/>
      <c r="H11" s="134"/>
      <c r="I11" s="134"/>
      <c r="J11" s="134"/>
      <c r="K11" s="134"/>
      <c r="L11" s="93">
        <f>IF(Table62202732333417181930514[[#This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3">
      <c r="B12" s="90"/>
      <c r="C12" s="91"/>
      <c r="D12" s="134"/>
      <c r="E12" s="134"/>
      <c r="F12" s="134"/>
      <c r="G12" s="134"/>
      <c r="H12" s="134"/>
      <c r="I12" s="134"/>
      <c r="J12" s="134"/>
      <c r="K12" s="134"/>
      <c r="L12" s="93">
        <f>IF(Table62202732333417181930514[[#This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3">
      <c r="B13" s="90"/>
      <c r="C13" s="91"/>
      <c r="D13" s="134"/>
      <c r="E13" s="134"/>
      <c r="F13" s="134"/>
      <c r="G13" s="134"/>
      <c r="H13" s="134"/>
      <c r="I13" s="134"/>
      <c r="J13" s="134"/>
      <c r="K13" s="134"/>
      <c r="L13" s="93">
        <f>IF(Table62202732333417181930514[[#This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3">
      <c r="B14" s="90"/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/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/>
      <c r="C16" s="91"/>
      <c r="D16" s="134"/>
      <c r="E16" s="134"/>
      <c r="F16" s="134"/>
      <c r="G16" s="134"/>
      <c r="H16" s="134"/>
      <c r="I16" s="134"/>
      <c r="J16" s="134"/>
      <c r="K16" s="134"/>
      <c r="L16" s="97">
        <f>IF(Table62202732333417181930514[[#This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7">
        <f>IF(Table62202732333417181930514[[#This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96EB81OlEe9N/0P21d32kgkPVgvFjQPD/rBzcBC5zxdTpkqS2yxM8C+oSb7WfKqEcGyLOoR1W3DnmvJrhv8/3Q==" saltValue="JRO2SLAnJGnep+xa4wiQ7Q==" spinCount="100000" sheet="1" objects="1" scenarios="1"/>
  <mergeCells count="2">
    <mergeCell ref="M2:N2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796875" defaultRowHeight="14" x14ac:dyDescent="0.3"/>
  <cols>
    <col min="1" max="1" width="9.1796875" style="3"/>
    <col min="2" max="2" width="23.81640625" style="3" customWidth="1"/>
    <col min="3" max="3" width="21.453125" style="2" customWidth="1"/>
    <col min="4" max="4" width="11.7265625" style="39" customWidth="1"/>
    <col min="5" max="5" width="11.7265625" style="2" hidden="1" customWidth="1"/>
    <col min="6" max="6" width="11.7265625" style="2" customWidth="1"/>
    <col min="7" max="7" width="11.7265625" style="45" customWidth="1"/>
    <col min="8" max="8" width="11.7265625" style="35" customWidth="1"/>
    <col min="9" max="9" width="11.7265625" style="2" hidden="1" customWidth="1"/>
    <col min="10" max="10" width="11.7265625" style="2" customWidth="1"/>
    <col min="11" max="11" width="11.7265625" style="32" customWidth="1"/>
    <col min="12" max="12" width="12" style="35" customWidth="1"/>
    <col min="13" max="13" width="11.7265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7265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7265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7265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7265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796875" style="3"/>
  </cols>
  <sheetData>
    <row r="1" spans="2:38" ht="18.5" thickBot="1" x14ac:dyDescent="0.45">
      <c r="B1" s="1"/>
      <c r="C1" s="13"/>
    </row>
    <row r="2" spans="2:38" s="4" customFormat="1" ht="18" x14ac:dyDescent="0.4">
      <c r="B2" s="183" t="s">
        <v>122</v>
      </c>
      <c r="C2" s="184"/>
      <c r="D2" s="181">
        <v>43226</v>
      </c>
      <c r="E2" s="181"/>
      <c r="F2" s="181"/>
      <c r="G2" s="182"/>
      <c r="H2" s="180">
        <v>43260</v>
      </c>
      <c r="I2" s="181"/>
      <c r="J2" s="181"/>
      <c r="K2" s="182"/>
      <c r="L2" s="180">
        <v>43288</v>
      </c>
      <c r="M2" s="181"/>
      <c r="N2" s="181"/>
      <c r="O2" s="182"/>
      <c r="P2" s="180">
        <v>43289</v>
      </c>
      <c r="Q2" s="181"/>
      <c r="R2" s="181"/>
      <c r="S2" s="182"/>
      <c r="T2" s="180">
        <v>43316</v>
      </c>
      <c r="U2" s="181"/>
      <c r="V2" s="181"/>
      <c r="W2" s="182"/>
      <c r="X2" s="180" t="s">
        <v>5</v>
      </c>
      <c r="Y2" s="181"/>
      <c r="Z2" s="181"/>
      <c r="AA2" s="182"/>
      <c r="AB2" s="180" t="s">
        <v>6</v>
      </c>
      <c r="AC2" s="181"/>
      <c r="AD2" s="181"/>
      <c r="AE2" s="182"/>
      <c r="AF2" s="180" t="s">
        <v>3</v>
      </c>
      <c r="AG2" s="181"/>
      <c r="AH2" s="181"/>
      <c r="AI2" s="182"/>
      <c r="AJ2" s="28"/>
      <c r="AK2" s="181" t="s">
        <v>4</v>
      </c>
      <c r="AL2" s="182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IF(Table6220273233341718193051[[#This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IF(Table6220273233341718193051[[#This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IF(Table6220273233341718193051[[#This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IF(Table6220273233341718193051[[#This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IF(Table6220273233341718193051[[#This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IF(Table6220273233341718193051[[#This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IF(Table6220273233341718193051[[#This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IF(Table6220273233341718193051[[#This Row],[Non-Member]]="X"," ",IF(AH5=" "," ",IFERROR(VLOOKUP(AG5,Points!$A$2:$B$14,2,FALSE)," ")))</f>
        <v xml:space="preserve"> </v>
      </c>
      <c r="AJ5" s="7">
        <f>IF(Table6220273233341718193051[[#This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IF(Table6220273233341718193051[[#This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IF(Table6220273233341718193051[[#This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IF(Table6220273233341718193051[[#This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IF(Table6220273233341718193051[[#This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IF(Table6220273233341718193051[[#This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IF(Table6220273233341718193051[[#This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IF(Table6220273233341718193051[[#This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IF(Table6220273233341718193051[[#This Row],[Non-Member]]="X"," ",IF(AH6=" "," ",IFERROR(VLOOKUP(AG6,Points!$A$2:$B$14,2,FALSE)," ")))</f>
        <v xml:space="preserve"> </v>
      </c>
      <c r="AJ6" s="9">
        <f>IF(Table6220273233341718193051[[#This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IF(Table6220273233341718193051[[#This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IF(Table6220273233341718193051[[#This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IF(Table6220273233341718193051[[#This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IF(Table6220273233341718193051[[#This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IF(Table6220273233341718193051[[#This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IF(Table6220273233341718193051[[#This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IF(Table6220273233341718193051[[#This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IF(Table6220273233341718193051[[#This Row],[Non-Member]]="X"," ",IF(AH7=" "," ",IFERROR(VLOOKUP(AG7,Points!$A$2:$B$14,2,FALSE)," ")))</f>
        <v xml:space="preserve"> </v>
      </c>
      <c r="AJ7" s="9">
        <f>IF(Table6220273233341718193051[[#This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IF(Table6220273233341718193051[[#This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IF(Table6220273233341718193051[[#This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IF(Table6220273233341718193051[[#This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IF(Table6220273233341718193051[[#This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IF(Table6220273233341718193051[[#This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IF(Table6220273233341718193051[[#This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IF(Table6220273233341718193051[[#This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IF(Table6220273233341718193051[[#This Row],[Non-Member]]="X"," ",IF(AH8=" "," ",IFERROR(VLOOKUP(AG8,Points!$A$2:$B$14,2,FALSE)," ")))</f>
        <v xml:space="preserve"> </v>
      </c>
      <c r="AJ8" s="9">
        <f>IF(Table6220273233341718193051[[#This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IF(Table6220273233341718193051[[#This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IF(Table6220273233341718193051[[#This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IF(Table6220273233341718193051[[#This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IF(Table6220273233341718193051[[#This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IF(Table6220273233341718193051[[#This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IF(Table6220273233341718193051[[#This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IF(Table6220273233341718193051[[#This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IF(Table6220273233341718193051[[#This Row],[Non-Member]]="X"," ",IF(AH9=" "," ",IFERROR(VLOOKUP(AG9,Points!$A$2:$B$14,2,FALSE)," ")))</f>
        <v xml:space="preserve"> </v>
      </c>
      <c r="AJ9" s="9">
        <f>IF(Table6220273233341718193051[[#This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IF(Table6220273233341718193051[[#This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IF(Table6220273233341718193051[[#This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IF(Table6220273233341718193051[[#This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IF(Table6220273233341718193051[[#This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IF(Table6220273233341718193051[[#This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IF(Table6220273233341718193051[[#This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IF(Table6220273233341718193051[[#This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IF(Table6220273233341718193051[[#This Row],[Non-Member]]="X"," ",IF(AH10=" "," ",IFERROR(VLOOKUP(AG10,Points!$A$2:$B$14,2,FALSE)," ")))</f>
        <v xml:space="preserve"> </v>
      </c>
      <c r="AJ10" s="9">
        <f>IF(Table6220273233341718193051[[#This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IF(Table6220273233341718193051[[#This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IF(Table6220273233341718193051[[#This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IF(Table6220273233341718193051[[#This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IF(Table6220273233341718193051[[#This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IF(Table6220273233341718193051[[#This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IF(Table6220273233341718193051[[#This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IF(Table6220273233341718193051[[#This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IF(Table6220273233341718193051[[#This Row],[Non-Member]]="X"," ",IF(AH11=" "," ",IFERROR(VLOOKUP(AG11,Points!$A$2:$B$14,2,FALSE)," ")))</f>
        <v xml:space="preserve"> </v>
      </c>
      <c r="AJ11" s="9">
        <f>IF(Table6220273233341718193051[[#This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IF(Table6220273233341718193051[[#This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IF(Table6220273233341718193051[[#This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IF(Table6220273233341718193051[[#This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IF(Table6220273233341718193051[[#This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IF(Table6220273233341718193051[[#This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IF(Table6220273233341718193051[[#This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IF(Table6220273233341718193051[[#This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IF(Table6220273233341718193051[[#This Row],[Non-Member]]="X"," ",IF(AH12=" "," ",IFERROR(VLOOKUP(AG12,Points!$A$2:$B$14,2,FALSE)," ")))</f>
        <v xml:space="preserve"> </v>
      </c>
      <c r="AJ12" s="9">
        <f>IF(Table6220273233341718193051[[#This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IF(Table6220273233341718193051[[#This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IF(Table6220273233341718193051[[#This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IF(Table6220273233341718193051[[#This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IF(Table6220273233341718193051[[#This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IF(Table6220273233341718193051[[#This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IF(Table6220273233341718193051[[#This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IF(Table6220273233341718193051[[#This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IF(Table6220273233341718193051[[#This Row],[Non-Member]]="X"," ",IF(AH13=" "," ",IFERROR(VLOOKUP(AG13,Points!$A$2:$B$14,2,FALSE)," ")))</f>
        <v xml:space="preserve"> </v>
      </c>
      <c r="AJ13" s="9">
        <f>IF(Table6220273233341718193051[[#This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IF(Table6220273233341718193051[[#This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IF(Table6220273233341718193051[[#This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IF(Table6220273233341718193051[[#This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IF(Table6220273233341718193051[[#This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IF(Table6220273233341718193051[[#This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IF(Table6220273233341718193051[[#This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IF(Table6220273233341718193051[[#This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IF(Table6220273233341718193051[[#This Row],[Non-Member]]="X"," ",IF(AH14=" "," ",IFERROR(VLOOKUP(AG14,Points!$A$2:$B$14,2,FALSE)," ")))</f>
        <v xml:space="preserve"> </v>
      </c>
      <c r="AJ14" s="9">
        <f>IF(Table6220273233341718193051[[#This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IF(Table6220273233341718193051[[#This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IF(Table6220273233341718193051[[#This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IF(Table6220273233341718193051[[#This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IF(Table6220273233341718193051[[#This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IF(Table6220273233341718193051[[#This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IF(Table6220273233341718193051[[#This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IF(Table6220273233341718193051[[#This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IF(Table6220273233341718193051[[#This Row],[Non-Member]]="X"," ",IF(AH15=" "," ",IFERROR(VLOOKUP(AG15,Points!$A$2:$B$14,2,FALSE)," ")))</f>
        <v xml:space="preserve"> </v>
      </c>
      <c r="AJ15" s="9">
        <f>IF(Table6220273233341718193051[[#This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IF(Table6220273233341718193051[[#This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IF(Table6220273233341718193051[[#This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IF(Table6220273233341718193051[[#This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IF(Table6220273233341718193051[[#This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IF(Table6220273233341718193051[[#This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IF(Table6220273233341718193051[[#This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IF(Table6220273233341718193051[[#This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IF(Table6220273233341718193051[[#This Row],[Non-Member]]="X"," ",IF(AH16=" "," ",IFERROR(VLOOKUP(AG16,Points!$A$2:$B$14,2,FALSE)," ")))</f>
        <v xml:space="preserve"> </v>
      </c>
      <c r="AJ16" s="23">
        <f>IF(Table6220273233341718193051[[#This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IF(Table6220273233341718193051[[#This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IF(Table6220273233341718193051[[#This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IF(Table6220273233341718193051[[#This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IF(Table6220273233341718193051[[#This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IF(Table6220273233341718193051[[#This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IF(Table6220273233341718193051[[#This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IF(Table6220273233341718193051[[#This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IF(Table6220273233341718193051[[#This Row],[Non-Member]]="X"," ",IF(AH17=" "," ",IFERROR(VLOOKUP(AG17,Points!$A$2:$B$14,2,FALSE)," ")))</f>
        <v xml:space="preserve"> </v>
      </c>
      <c r="AJ17" s="23">
        <f>IF(Table6220273233341718193051[[#This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IF(Table6220273233341718193051[[#This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IF(Table6220273233341718193051[[#This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IF(Table6220273233341718193051[[#This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IF(Table6220273233341718193051[[#This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IF(Table6220273233341718193051[[#This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IF(Table6220273233341718193051[[#This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IF(Table6220273233341718193051[[#This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IF(Table6220273233341718193051[[#This Row],[Non-Member]]="X"," ",IF(AH18=" "," ",IFERROR(VLOOKUP(AG18,Points!$A$2:$B$14,2,FALSE)," ")))</f>
        <v xml:space="preserve"> </v>
      </c>
      <c r="AJ18" s="23">
        <f>IF(Table6220273233341718193051[[#This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IF(Table6220273233341718193051[[#This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IF(Table6220273233341718193051[[#This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IF(Table6220273233341718193051[[#This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IF(Table6220273233341718193051[[#This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IF(Table6220273233341718193051[[#This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IF(Table6220273233341718193051[[#This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IF(Table6220273233341718193051[[#This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IF(Table6220273233341718193051[[#This Row],[Non-Member]]="X"," ",IF(AH19=" "," ",IFERROR(VLOOKUP(AG19,Points!$A$2:$B$14,2,FALSE)," ")))</f>
        <v xml:space="preserve"> </v>
      </c>
      <c r="AJ19" s="9">
        <f>IF(Table6220273233341718193051[[#This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IF(Table6220273233341718193051[[#This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IF(Table6220273233341718193051[[#This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IF(Table6220273233341718193051[[#This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IF(Table6220273233341718193051[[#This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IF(Table6220273233341718193051[[#This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IF(Table6220273233341718193051[[#This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IF(Table6220273233341718193051[[#This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IF(Table6220273233341718193051[[#This Row],[Non-Member]]="X"," ",IF(AH20=" "," ",IFERROR(VLOOKUP(AG20,Points!$A$2:$B$14,2,FALSE)," ")))</f>
        <v xml:space="preserve"> </v>
      </c>
      <c r="AJ20" s="9">
        <f>IF(Table6220273233341718193051[[#This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IF(Table6220273233341718193051[[#This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IF(Table6220273233341718193051[[#This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IF(Table6220273233341718193051[[#This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IF(Table6220273233341718193051[[#This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IF(Table6220273233341718193051[[#This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IF(Table6220273233341718193051[[#This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IF(Table6220273233341718193051[[#This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IF(Table6220273233341718193051[[#This Row],[Non-Member]]="X"," ",IF(AH21=" "," ",IFERROR(VLOOKUP(AG21,Points!$A$2:$B$14,2,FALSE)," ")))</f>
        <v xml:space="preserve"> </v>
      </c>
      <c r="AJ21" s="9">
        <f>IF(Table6220273233341718193051[[#This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IF(Table6220273233341718193051[[#This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IF(Table6220273233341718193051[[#This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IF(Table6220273233341718193051[[#This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IF(Table6220273233341718193051[[#This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IF(Table6220273233341718193051[[#This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IF(Table6220273233341718193051[[#This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IF(Table6220273233341718193051[[#This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IF(Table6220273233341718193051[[#This Row],[Non-Member]]="X"," ",IF(AH22=" "," ",IFERROR(VLOOKUP(AG22,Points!$A$2:$B$14,2,FALSE)," ")))</f>
        <v xml:space="preserve"> </v>
      </c>
      <c r="AJ22" s="9">
        <f>IF(Table6220273233341718193051[[#This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IF(Table6220273233341718193051[[#This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IF(Table6220273233341718193051[[#This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IF(Table6220273233341718193051[[#This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IF(Table6220273233341718193051[[#This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IF(Table6220273233341718193051[[#This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IF(Table6220273233341718193051[[#This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IF(Table6220273233341718193051[[#This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IF(Table6220273233341718193051[[#This Row],[Non-Member]]="X"," ",IF(AH23=" "," ",IFERROR(VLOOKUP(AG23,Points!$A$2:$B$14,2,FALSE)," ")))</f>
        <v xml:space="preserve"> </v>
      </c>
      <c r="AJ23" s="9">
        <f>IF(Table6220273233341718193051[[#This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IF(Table6220273233341718193051[[#This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IF(Table6220273233341718193051[[#This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IF(Table6220273233341718193051[[#This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IF(Table6220273233341718193051[[#This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IF(Table6220273233341718193051[[#This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IF(Table6220273233341718193051[[#This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IF(Table6220273233341718193051[[#This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IF(Table6220273233341718193051[[#This Row],[Non-Member]]="X"," ",IF(AH24=" "," ",IFERROR(VLOOKUP(AG24,Points!$A$2:$B$14,2,FALSE)," ")))</f>
        <v xml:space="preserve"> </v>
      </c>
      <c r="AJ24" s="9">
        <f>IF(Table6220273233341718193051[[#This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DewYly3SsF0qMDNg9NM1bWO/dgVZULeJvhJXolUdD7z9U0XsCvxyfGYf2MbtbUCKeVwZsa/iYDBz5dCf97mO9Q==" saltValue="KxPlEOmy72B7eWtiCkemq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Points</vt:lpstr>
      <vt:lpstr>SR G-Barrels</vt:lpstr>
      <vt:lpstr>SR G-Poles</vt:lpstr>
      <vt:lpstr>SR G-Goats</vt:lpstr>
      <vt:lpstr>SR G-Breakaway</vt:lpstr>
      <vt:lpstr>SR G-AA</vt:lpstr>
      <vt:lpstr>SR-Team Roping-Results</vt:lpstr>
      <vt:lpstr>SR-Team Roping-Header</vt:lpstr>
      <vt:lpstr>SR-Team Roping-Header (2)</vt:lpstr>
      <vt:lpstr>SR-Team Roping-Heeler (2)</vt:lpstr>
      <vt:lpstr>SR-Team Roping-Heeler</vt:lpstr>
      <vt:lpstr>SR B-Calf Roping</vt:lpstr>
      <vt:lpstr>SR B-Steer Wrestling</vt:lpstr>
      <vt:lpstr>SR B-Chute Dogging</vt:lpstr>
      <vt:lpstr>SR B-AA</vt:lpstr>
      <vt:lpstr>JR G-Barrels</vt:lpstr>
      <vt:lpstr>JR G-Poles</vt:lpstr>
      <vt:lpstr>JR G-Goats</vt:lpstr>
      <vt:lpstr>JR G-Breakaway</vt:lpstr>
      <vt:lpstr>JR G-AA</vt:lpstr>
      <vt:lpstr>JR-Team Roping-Results</vt:lpstr>
      <vt:lpstr>JR-Team Roping-Header</vt:lpstr>
      <vt:lpstr>JR-Team Roping-Header (2)</vt:lpstr>
      <vt:lpstr>JR-Team Roping-Heeler</vt:lpstr>
      <vt:lpstr>JR-Team Roping-Heeler (2)</vt:lpstr>
      <vt:lpstr>JR B-Steer Riding</vt:lpstr>
      <vt:lpstr>JR B-Goats</vt:lpstr>
      <vt:lpstr>JR B-Calf Tying</vt:lpstr>
      <vt:lpstr>JR B-Breakaway</vt:lpstr>
      <vt:lpstr>JR B-AA</vt:lpstr>
      <vt:lpstr>PW G-Barrels</vt:lpstr>
      <vt:lpstr>PW G-Poles</vt:lpstr>
      <vt:lpstr>PW G-Goats</vt:lpstr>
      <vt:lpstr>PW G-Breakaway</vt:lpstr>
      <vt:lpstr>PW G-AA</vt:lpstr>
      <vt:lpstr>PW B-Calf Riding</vt:lpstr>
      <vt:lpstr>PW B-Goats</vt:lpstr>
      <vt:lpstr>PW B-Flags</vt:lpstr>
      <vt:lpstr>PW B-Breakaway</vt:lpstr>
      <vt:lpstr>PW B-Steer Daubing</vt:lpstr>
      <vt:lpstr>PW B-AA</vt:lpstr>
      <vt:lpstr>MM G-Dummy Roping</vt:lpstr>
      <vt:lpstr>MM G-Barrels</vt:lpstr>
      <vt:lpstr>MM G-Figure 8</vt:lpstr>
      <vt:lpstr>MM G-Goats</vt:lpstr>
      <vt:lpstr>MM G-AA</vt:lpstr>
      <vt:lpstr>MM B-Dummy Roping</vt:lpstr>
      <vt:lpstr>MM B-Goats</vt:lpstr>
      <vt:lpstr>MM B-Flags</vt:lpstr>
      <vt:lpstr>MM B-Figure 8</vt:lpstr>
      <vt:lpstr>MM B-AA</vt:lpstr>
      <vt:lpstr>Rookie-G</vt:lpstr>
      <vt:lpstr>Rookie-B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 Seal</cp:lastModifiedBy>
  <cp:lastPrinted>2018-08-21T19:21:05Z</cp:lastPrinted>
  <dcterms:created xsi:type="dcterms:W3CDTF">2018-08-14T20:33:23Z</dcterms:created>
  <dcterms:modified xsi:type="dcterms:W3CDTF">2020-07-13T17:31:19Z</dcterms:modified>
</cp:coreProperties>
</file>