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seal\Documents\GSRA\"/>
    </mc:Choice>
  </mc:AlternateContent>
  <xr:revisionPtr revIDLastSave="0" documentId="13_ncr:1_{F8118FED-8D30-416F-A3C0-7416961168F4}" xr6:coauthVersionLast="43" xr6:coauthVersionMax="43" xr10:uidLastSave="{00000000-0000-0000-0000-000000000000}"/>
  <bookViews>
    <workbookView xWindow="-108" yWindow="-108" windowWidth="23256" windowHeight="12576" firstSheet="1" activeTab="1" xr2:uid="{20C092E4-8E16-499E-8A65-23223F83B5EC}"/>
  </bookViews>
  <sheets>
    <sheet name="Points" sheetId="3" state="hidden" r:id="rId1"/>
    <sheet name="SR G-Barrels" sheetId="94" r:id="rId2"/>
    <sheet name="SR G-Poles" sheetId="95" r:id="rId3"/>
    <sheet name="SR G-Goats" sheetId="96" r:id="rId4"/>
    <sheet name="SR G-Breakaway" sheetId="97" r:id="rId5"/>
    <sheet name="SR G-AA" sheetId="102" r:id="rId6"/>
    <sheet name="SR-Team Roping-Results" sheetId="104" r:id="rId7"/>
    <sheet name="SR-Team Roping-Header" sheetId="106" r:id="rId8"/>
    <sheet name="SR-Team Roping-Header (2)" sheetId="98" state="hidden" r:id="rId9"/>
    <sheet name="SR-Team Roping-Heeler (2)" sheetId="99" state="hidden" r:id="rId10"/>
    <sheet name="SR-Team Roping-Heeler" sheetId="109" r:id="rId11"/>
    <sheet name="SR B-Calf Roping" sheetId="100" r:id="rId12"/>
    <sheet name="SR B-Steer Wrestling" sheetId="101" r:id="rId13"/>
    <sheet name="SR B-Chute Dogging" sheetId="116" r:id="rId14"/>
    <sheet name="SR B-AA" sheetId="103" r:id="rId15"/>
    <sheet name="JR G-Barrels" sheetId="88" r:id="rId16"/>
    <sheet name="JR G-Poles" sheetId="89" r:id="rId17"/>
    <sheet name="JR G-Goats" sheetId="90" r:id="rId18"/>
    <sheet name="JR G-Breakaway" sheetId="91" r:id="rId19"/>
    <sheet name="JR G-AA" sheetId="92" r:id="rId20"/>
    <sheet name="JR-Team Roping-Results" sheetId="112" r:id="rId21"/>
    <sheet name="JR-Team Roping-Header" sheetId="110" r:id="rId22"/>
    <sheet name="JR-Team Roping-Header (2)" sheetId="86" state="hidden" r:id="rId23"/>
    <sheet name="JR-Team Roping-Heeler" sheetId="111" r:id="rId24"/>
    <sheet name="JR-Team Roping-Heeler (2)" sheetId="93" state="hidden" r:id="rId25"/>
    <sheet name="JR B-Steer Riding" sheetId="82" r:id="rId26"/>
    <sheet name="JR B-Goats" sheetId="83" r:id="rId27"/>
    <sheet name="JR B-Calf Tying" sheetId="84" r:id="rId28"/>
    <sheet name="JR B-Breakaway" sheetId="85" r:id="rId29"/>
    <sheet name="JR B-AA" sheetId="87" r:id="rId30"/>
    <sheet name="PW G-Barrels" sheetId="77" r:id="rId31"/>
    <sheet name="PW G-Poles" sheetId="78" r:id="rId32"/>
    <sheet name="PW G-Goats" sheetId="79" r:id="rId33"/>
    <sheet name="PW G-Breakaway" sheetId="80" r:id="rId34"/>
    <sheet name="PW G-AA" sheetId="81" r:id="rId35"/>
    <sheet name="PW B-Calf Riding" sheetId="71" r:id="rId36"/>
    <sheet name="PW B-Goats" sheetId="72" r:id="rId37"/>
    <sheet name="PW B-Flags" sheetId="73" r:id="rId38"/>
    <sheet name="PW B-Breakaway" sheetId="74" r:id="rId39"/>
    <sheet name="PW B-Steer Daubing" sheetId="75" r:id="rId40"/>
    <sheet name="PW B-AA" sheetId="76" r:id="rId41"/>
    <sheet name="MM G-Dummy Roping" sheetId="53" r:id="rId42"/>
    <sheet name="MM G-Barrels" sheetId="54" r:id="rId43"/>
    <sheet name="MM G-Figure 8" sheetId="55" r:id="rId44"/>
    <sheet name="MM G-Goats" sheetId="56" r:id="rId45"/>
    <sheet name="MM G-AA" sheetId="57" r:id="rId46"/>
    <sheet name="MM B-Dummy Roping" sheetId="49" r:id="rId47"/>
    <sheet name="MM B-Goats" sheetId="50" r:id="rId48"/>
    <sheet name="MM B-Flags" sheetId="51" r:id="rId49"/>
    <sheet name="MM B-Figure 8" sheetId="52" r:id="rId50"/>
    <sheet name="MM B-AA" sheetId="70" r:id="rId51"/>
    <sheet name="Rookie-G" sheetId="115" r:id="rId52"/>
    <sheet name="Rookie-B" sheetId="114" r:id="rId5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4" i="85" l="1"/>
  <c r="AH24" i="85" s="1"/>
  <c r="AI24" i="85" s="1"/>
  <c r="AF23" i="85"/>
  <c r="AH23" i="85" s="1"/>
  <c r="AI23" i="85" s="1"/>
  <c r="AF22" i="85"/>
  <c r="AH22" i="85" s="1"/>
  <c r="AI22" i="85" s="1"/>
  <c r="AF21" i="85"/>
  <c r="AH21" i="85" s="1"/>
  <c r="AI21" i="85" s="1"/>
  <c r="AF20" i="85"/>
  <c r="AH20" i="85" s="1"/>
  <c r="AI20" i="85" s="1"/>
  <c r="AF19" i="85"/>
  <c r="AH19" i="85" s="1"/>
  <c r="AI19" i="85" s="1"/>
  <c r="AF18" i="85"/>
  <c r="AH18" i="85" s="1"/>
  <c r="AI18" i="85" s="1"/>
  <c r="AF17" i="85"/>
  <c r="AH17" i="85" s="1"/>
  <c r="AI17" i="85" s="1"/>
  <c r="AF16" i="85"/>
  <c r="AH16" i="85" s="1"/>
  <c r="AI16" i="85" s="1"/>
  <c r="AI15" i="85"/>
  <c r="AF15" i="85"/>
  <c r="AH15" i="85" s="1"/>
  <c r="AF14" i="85"/>
  <c r="AH14" i="85" s="1"/>
  <c r="AI14" i="85" s="1"/>
  <c r="AI12" i="85"/>
  <c r="AF13" i="85"/>
  <c r="AH13" i="85" s="1"/>
  <c r="AI13" i="85" s="1"/>
  <c r="AF11" i="85"/>
  <c r="AH11" i="85" s="1"/>
  <c r="AI11" i="85" s="1"/>
  <c r="AI9" i="85"/>
  <c r="AF7" i="85"/>
  <c r="AF8" i="85"/>
  <c r="AH8" i="85" s="1"/>
  <c r="AI8" i="85" s="1"/>
  <c r="AF5" i="85"/>
  <c r="AF6" i="85"/>
  <c r="AF24" i="84"/>
  <c r="AH24" i="84" s="1"/>
  <c r="AI24" i="84" s="1"/>
  <c r="AF23" i="84"/>
  <c r="AH23" i="84" s="1"/>
  <c r="AI23" i="84" s="1"/>
  <c r="AF22" i="84"/>
  <c r="AH22" i="84" s="1"/>
  <c r="AI22" i="84" s="1"/>
  <c r="AF21" i="84"/>
  <c r="AH21" i="84" s="1"/>
  <c r="AI21" i="84" s="1"/>
  <c r="AF20" i="84"/>
  <c r="AH20" i="84" s="1"/>
  <c r="AI20" i="84" s="1"/>
  <c r="AF19" i="84"/>
  <c r="AH19" i="84" s="1"/>
  <c r="AI19" i="84" s="1"/>
  <c r="AF18" i="84"/>
  <c r="AH18" i="84" s="1"/>
  <c r="AI18" i="84" s="1"/>
  <c r="AF17" i="84"/>
  <c r="AH17" i="84" s="1"/>
  <c r="AI17" i="84" s="1"/>
  <c r="AF16" i="84"/>
  <c r="AH16" i="84" s="1"/>
  <c r="AI16" i="84" s="1"/>
  <c r="AF15" i="84"/>
  <c r="AH15" i="84" s="1"/>
  <c r="AI15" i="84" s="1"/>
  <c r="AI14" i="84"/>
  <c r="AF14" i="84"/>
  <c r="AH14" i="84" s="1"/>
  <c r="AF11" i="84"/>
  <c r="AF13" i="84"/>
  <c r="AH13" i="84" s="1"/>
  <c r="AI13" i="84" s="1"/>
  <c r="AF10" i="84"/>
  <c r="AF12" i="84"/>
  <c r="AH12" i="84" s="1"/>
  <c r="AI12" i="84" s="1"/>
  <c r="AF9" i="84"/>
  <c r="AF8" i="84"/>
  <c r="AF7" i="84"/>
  <c r="AF6" i="84"/>
  <c r="AE28" i="112"/>
  <c r="AG28" i="112" s="1"/>
  <c r="AH28" i="112" s="1"/>
  <c r="AE27" i="112"/>
  <c r="AG27" i="112" s="1"/>
  <c r="AH27" i="112" s="1"/>
  <c r="AE26" i="112"/>
  <c r="AG26" i="112" s="1"/>
  <c r="AH26" i="112" s="1"/>
  <c r="AE25" i="112"/>
  <c r="AG25" i="112" s="1"/>
  <c r="AH25" i="112" s="1"/>
  <c r="AE24" i="112"/>
  <c r="AG24" i="112" s="1"/>
  <c r="AH24" i="112" s="1"/>
  <c r="AE23" i="112"/>
  <c r="AG23" i="112" s="1"/>
  <c r="AH23" i="112" s="1"/>
  <c r="AE22" i="112"/>
  <c r="AG22" i="112" s="1"/>
  <c r="AH22" i="112" s="1"/>
  <c r="AE21" i="112"/>
  <c r="AG21" i="112" s="1"/>
  <c r="AH21" i="112" s="1"/>
  <c r="AH20" i="112"/>
  <c r="AE19" i="112"/>
  <c r="AG19" i="112" s="1"/>
  <c r="AH19" i="112" s="1"/>
  <c r="AE18" i="112"/>
  <c r="AG18" i="112" s="1"/>
  <c r="AH18" i="112" s="1"/>
  <c r="AE17" i="112"/>
  <c r="AG17" i="112" s="1"/>
  <c r="AH17" i="112" s="1"/>
  <c r="AE16" i="112"/>
  <c r="AG16" i="112" s="1"/>
  <c r="AH16" i="112" s="1"/>
  <c r="AE15" i="112"/>
  <c r="AG15" i="112" s="1"/>
  <c r="AH15" i="112" s="1"/>
  <c r="AE14" i="112"/>
  <c r="AG14" i="112" s="1"/>
  <c r="AH14" i="112" s="1"/>
  <c r="AE13" i="112"/>
  <c r="AG13" i="112" s="1"/>
  <c r="AH13" i="112" s="1"/>
  <c r="AE12" i="112"/>
  <c r="AG12" i="112" s="1"/>
  <c r="AH12" i="112" s="1"/>
  <c r="AE11" i="112"/>
  <c r="AG11" i="112" s="1"/>
  <c r="AH11" i="112" s="1"/>
  <c r="AH10" i="112"/>
  <c r="AE9" i="112"/>
  <c r="AG9" i="112" s="1"/>
  <c r="AH9" i="112" s="1"/>
  <c r="AE8" i="112"/>
  <c r="AG8" i="112" s="1"/>
  <c r="AH8" i="112" s="1"/>
  <c r="AE7" i="112"/>
  <c r="AG7" i="112" s="1"/>
  <c r="AH7" i="112" s="1"/>
  <c r="AE5" i="112"/>
  <c r="AG5" i="112" s="1"/>
  <c r="AH5" i="112" s="1"/>
  <c r="AF24" i="91"/>
  <c r="AH24" i="91" s="1"/>
  <c r="AI24" i="91" s="1"/>
  <c r="AF23" i="91"/>
  <c r="AH23" i="91" s="1"/>
  <c r="AI23" i="91" s="1"/>
  <c r="AF22" i="91"/>
  <c r="AH22" i="91" s="1"/>
  <c r="AI22" i="91" s="1"/>
  <c r="AF21" i="91"/>
  <c r="AH21" i="91" s="1"/>
  <c r="AI21" i="91" s="1"/>
  <c r="AF20" i="91"/>
  <c r="AH20" i="91" s="1"/>
  <c r="AI20" i="91" s="1"/>
  <c r="AF19" i="91"/>
  <c r="AH19" i="91" s="1"/>
  <c r="AI19" i="91" s="1"/>
  <c r="AF18" i="91"/>
  <c r="AH18" i="91" s="1"/>
  <c r="AI18" i="91" s="1"/>
  <c r="AF17" i="91"/>
  <c r="AH17" i="91" s="1"/>
  <c r="AI17" i="91" s="1"/>
  <c r="AF16" i="91"/>
  <c r="AH16" i="91" s="1"/>
  <c r="AI16" i="91" s="1"/>
  <c r="AI15" i="91"/>
  <c r="AF15" i="91"/>
  <c r="AH15" i="91" s="1"/>
  <c r="AI14" i="91"/>
  <c r="AF14" i="91"/>
  <c r="AH14" i="91" s="1"/>
  <c r="AI13" i="91"/>
  <c r="AF13" i="91"/>
  <c r="AH13" i="91" s="1"/>
  <c r="AF12" i="91"/>
  <c r="AH12" i="91" s="1"/>
  <c r="AI12" i="91" s="1"/>
  <c r="AF11" i="91"/>
  <c r="AH11" i="91" s="1"/>
  <c r="AI11" i="91" s="1"/>
  <c r="AI10" i="91"/>
  <c r="AF8" i="91"/>
  <c r="AI9" i="91"/>
  <c r="AI7" i="91"/>
  <c r="AI6" i="91"/>
  <c r="AF24" i="100"/>
  <c r="AH24" i="100" s="1"/>
  <c r="AI24" i="100" s="1"/>
  <c r="AF23" i="100"/>
  <c r="AH23" i="100" s="1"/>
  <c r="AI23" i="100" s="1"/>
  <c r="AF22" i="100"/>
  <c r="AH22" i="100" s="1"/>
  <c r="AI22" i="100" s="1"/>
  <c r="AF21" i="100"/>
  <c r="AH21" i="100" s="1"/>
  <c r="AI21" i="100" s="1"/>
  <c r="AF20" i="100"/>
  <c r="AH20" i="100" s="1"/>
  <c r="AI20" i="100" s="1"/>
  <c r="AF19" i="100"/>
  <c r="AH19" i="100" s="1"/>
  <c r="AI19" i="100" s="1"/>
  <c r="AF18" i="100"/>
  <c r="AH18" i="100" s="1"/>
  <c r="AI18" i="100" s="1"/>
  <c r="AF17" i="100"/>
  <c r="AH17" i="100" s="1"/>
  <c r="AI17" i="100" s="1"/>
  <c r="AF16" i="100"/>
  <c r="AH16" i="100" s="1"/>
  <c r="AI16" i="100" s="1"/>
  <c r="AF15" i="100"/>
  <c r="AH15" i="100" s="1"/>
  <c r="AI15" i="100" s="1"/>
  <c r="AF14" i="100"/>
  <c r="AH14" i="100" s="1"/>
  <c r="AI14" i="100" s="1"/>
  <c r="AF13" i="100"/>
  <c r="AH13" i="100" s="1"/>
  <c r="AI13" i="100" s="1"/>
  <c r="AF12" i="100"/>
  <c r="AH12" i="100" s="1"/>
  <c r="AI12" i="100" s="1"/>
  <c r="AI11" i="100"/>
  <c r="AF11" i="100"/>
  <c r="AH11" i="100" s="1"/>
  <c r="AI9" i="100"/>
  <c r="AI10" i="100"/>
  <c r="AF8" i="100"/>
  <c r="AF7" i="100"/>
  <c r="AH7" i="100" s="1"/>
  <c r="AI7" i="100" s="1"/>
  <c r="AF5" i="100"/>
  <c r="AG8" i="85" l="1"/>
  <c r="AG11" i="85"/>
  <c r="AG13" i="85"/>
  <c r="AG14" i="85"/>
  <c r="AG15" i="85"/>
  <c r="AG16" i="85"/>
  <c r="AG17" i="85"/>
  <c r="AG18" i="85"/>
  <c r="AG19" i="85"/>
  <c r="AG20" i="85"/>
  <c r="AG21" i="85"/>
  <c r="AG22" i="85"/>
  <c r="AG23" i="85"/>
  <c r="AG24" i="85"/>
  <c r="AG12" i="84"/>
  <c r="AG13" i="84"/>
  <c r="AG14" i="84"/>
  <c r="AG15" i="84"/>
  <c r="AG16" i="84"/>
  <c r="AG17" i="84"/>
  <c r="AG18" i="84"/>
  <c r="AG19" i="84"/>
  <c r="AG20" i="84"/>
  <c r="AG21" i="84"/>
  <c r="AG22" i="84"/>
  <c r="AG23" i="84"/>
  <c r="AG24" i="84"/>
  <c r="AF5" i="112"/>
  <c r="AF7" i="112"/>
  <c r="AF8" i="112"/>
  <c r="AF9" i="112"/>
  <c r="AF11" i="112"/>
  <c r="AF12" i="112"/>
  <c r="AF13" i="112"/>
  <c r="AF14" i="112"/>
  <c r="AF15" i="112"/>
  <c r="AF16" i="112"/>
  <c r="AF17" i="112"/>
  <c r="AF18" i="112"/>
  <c r="AF19" i="112"/>
  <c r="AF21" i="112"/>
  <c r="AF22" i="112"/>
  <c r="AF23" i="112"/>
  <c r="AF24" i="112"/>
  <c r="AF25" i="112"/>
  <c r="AF26" i="112"/>
  <c r="AF27" i="112"/>
  <c r="AF28" i="112"/>
  <c r="AG11" i="91"/>
  <c r="AG12" i="91"/>
  <c r="AG13" i="91"/>
  <c r="AG14" i="91"/>
  <c r="AG15" i="91"/>
  <c r="AG16" i="91"/>
  <c r="AG17" i="91"/>
  <c r="AG18" i="91"/>
  <c r="AG19" i="91"/>
  <c r="AG20" i="91"/>
  <c r="AG21" i="91"/>
  <c r="AG22" i="91"/>
  <c r="AG23" i="91"/>
  <c r="AG24" i="91"/>
  <c r="AG7" i="100"/>
  <c r="AG11" i="100"/>
  <c r="AG12" i="100"/>
  <c r="AG13" i="100"/>
  <c r="AG14" i="100"/>
  <c r="AG15" i="100"/>
  <c r="AG16" i="100"/>
  <c r="AG17" i="100"/>
  <c r="AG18" i="100"/>
  <c r="AG19" i="100"/>
  <c r="AG20" i="100"/>
  <c r="AG21" i="100"/>
  <c r="AG22" i="100"/>
  <c r="AG23" i="100"/>
  <c r="AG24" i="100"/>
  <c r="AI29" i="54"/>
  <c r="AF29" i="54"/>
  <c r="AH29" i="54" s="1"/>
  <c r="AI28" i="54"/>
  <c r="AF28" i="54"/>
  <c r="AH28" i="54" s="1"/>
  <c r="AF27" i="54"/>
  <c r="AF26" i="54"/>
  <c r="AF25" i="54"/>
  <c r="AF14" i="54"/>
  <c r="AF24" i="54"/>
  <c r="AF23" i="54"/>
  <c r="AF22" i="54"/>
  <c r="AH22" i="54" s="1"/>
  <c r="AI22" i="54" s="1"/>
  <c r="AF21" i="54"/>
  <c r="AH21" i="54" s="1"/>
  <c r="AI21" i="54" s="1"/>
  <c r="AF20" i="54"/>
  <c r="AF19" i="54"/>
  <c r="AF18" i="54"/>
  <c r="AH18" i="54" s="1"/>
  <c r="AI18" i="54" s="1"/>
  <c r="AI17" i="54"/>
  <c r="AF17" i="54"/>
  <c r="AH17" i="54" s="1"/>
  <c r="AF16" i="54"/>
  <c r="AF15" i="54"/>
  <c r="AH15" i="54" s="1"/>
  <c r="AI15" i="54" s="1"/>
  <c r="AF13" i="54"/>
  <c r="AF12" i="54"/>
  <c r="AH12" i="54" s="1"/>
  <c r="AI12" i="54" s="1"/>
  <c r="AF10" i="54"/>
  <c r="AF9" i="54"/>
  <c r="AF11" i="54"/>
  <c r="AF8" i="54"/>
  <c r="AF7" i="54"/>
  <c r="AF6" i="54"/>
  <c r="AF5" i="54"/>
  <c r="AF24" i="75"/>
  <c r="AH24" i="75" s="1"/>
  <c r="AI24" i="75" s="1"/>
  <c r="AF23" i="75"/>
  <c r="AH23" i="75" s="1"/>
  <c r="AI23" i="75" s="1"/>
  <c r="AF22" i="75"/>
  <c r="AH22" i="75" s="1"/>
  <c r="AI22" i="75" s="1"/>
  <c r="AF21" i="75"/>
  <c r="AH21" i="75" s="1"/>
  <c r="AI21" i="75" s="1"/>
  <c r="AF20" i="75"/>
  <c r="AH20" i="75" s="1"/>
  <c r="AI20" i="75" s="1"/>
  <c r="AF19" i="75"/>
  <c r="AH19" i="75" s="1"/>
  <c r="AI19" i="75" s="1"/>
  <c r="AF18" i="75"/>
  <c r="AH18" i="75" s="1"/>
  <c r="AI18" i="75" s="1"/>
  <c r="AF17" i="75"/>
  <c r="AH17" i="75" s="1"/>
  <c r="AI17" i="75" s="1"/>
  <c r="AF16" i="75"/>
  <c r="AH16" i="75" s="1"/>
  <c r="AI16" i="75" s="1"/>
  <c r="AF15" i="75"/>
  <c r="AH15" i="75" s="1"/>
  <c r="AI15" i="75" s="1"/>
  <c r="AI14" i="75"/>
  <c r="AF14" i="75"/>
  <c r="AH14" i="75" s="1"/>
  <c r="AI13" i="75"/>
  <c r="AF13" i="75"/>
  <c r="AH13" i="75" s="1"/>
  <c r="AF11" i="75"/>
  <c r="AF12" i="75"/>
  <c r="AH12" i="75" s="1"/>
  <c r="AI12" i="75" s="1"/>
  <c r="AF10" i="75"/>
  <c r="AF8" i="75"/>
  <c r="AI7" i="75"/>
  <c r="AF9" i="75"/>
  <c r="AH9" i="75" s="1"/>
  <c r="AI9" i="75" s="1"/>
  <c r="AF5" i="75"/>
  <c r="AF24" i="52"/>
  <c r="AH24" i="52" s="1"/>
  <c r="AI24" i="52" s="1"/>
  <c r="AF23" i="52"/>
  <c r="AH23" i="52" s="1"/>
  <c r="AI23" i="52" s="1"/>
  <c r="AF22" i="52"/>
  <c r="AH22" i="52" s="1"/>
  <c r="AI22" i="52" s="1"/>
  <c r="AF21" i="52"/>
  <c r="AH21" i="52" s="1"/>
  <c r="AI21" i="52" s="1"/>
  <c r="AF20" i="52"/>
  <c r="AH20" i="52" s="1"/>
  <c r="AI20" i="52" s="1"/>
  <c r="AF19" i="52"/>
  <c r="AH19" i="52" s="1"/>
  <c r="AI19" i="52" s="1"/>
  <c r="AF18" i="52"/>
  <c r="AH18" i="52" s="1"/>
  <c r="AI18" i="52" s="1"/>
  <c r="AF17" i="52"/>
  <c r="AH17" i="52" s="1"/>
  <c r="AI17" i="52" s="1"/>
  <c r="AF16" i="52"/>
  <c r="AH16" i="52" s="1"/>
  <c r="AI16" i="52" s="1"/>
  <c r="AF15" i="52"/>
  <c r="AH15" i="52" s="1"/>
  <c r="AI15" i="52" s="1"/>
  <c r="AF14" i="52"/>
  <c r="AH14" i="52" s="1"/>
  <c r="AI14" i="52" s="1"/>
  <c r="AF13" i="52"/>
  <c r="AH13" i="52" s="1"/>
  <c r="AI13" i="52" s="1"/>
  <c r="AI12" i="52"/>
  <c r="AF12" i="52"/>
  <c r="AH12" i="52" s="1"/>
  <c r="AF11" i="52"/>
  <c r="AF10" i="52"/>
  <c r="AH10" i="52" s="1"/>
  <c r="AI10" i="52" s="1"/>
  <c r="AF9" i="52"/>
  <c r="AF7" i="52"/>
  <c r="AF8" i="52"/>
  <c r="AF5" i="52"/>
  <c r="AI9" i="51"/>
  <c r="AF24" i="51"/>
  <c r="AH24" i="51" s="1"/>
  <c r="AI24" i="51" s="1"/>
  <c r="AF23" i="51"/>
  <c r="AH23" i="51" s="1"/>
  <c r="AI23" i="51" s="1"/>
  <c r="AF22" i="51"/>
  <c r="AH22" i="51" s="1"/>
  <c r="AI22" i="51" s="1"/>
  <c r="AF21" i="51"/>
  <c r="AH21" i="51" s="1"/>
  <c r="AI21" i="51" s="1"/>
  <c r="AF20" i="51"/>
  <c r="AH20" i="51" s="1"/>
  <c r="AI20" i="51" s="1"/>
  <c r="AF19" i="51"/>
  <c r="AH19" i="51" s="1"/>
  <c r="AI19" i="51" s="1"/>
  <c r="AF18" i="51"/>
  <c r="AH18" i="51" s="1"/>
  <c r="AI18" i="51" s="1"/>
  <c r="AF17" i="51"/>
  <c r="AH17" i="51" s="1"/>
  <c r="AI17" i="51" s="1"/>
  <c r="AF16" i="51"/>
  <c r="AH16" i="51" s="1"/>
  <c r="AI16" i="51" s="1"/>
  <c r="AF15" i="51"/>
  <c r="AH15" i="51" s="1"/>
  <c r="AI15" i="51" s="1"/>
  <c r="AF14" i="51"/>
  <c r="AH14" i="51" s="1"/>
  <c r="AI14" i="51" s="1"/>
  <c r="AF13" i="51"/>
  <c r="AH13" i="51" s="1"/>
  <c r="AI13" i="51" s="1"/>
  <c r="AI12" i="51"/>
  <c r="AF12" i="51"/>
  <c r="AH12" i="51" s="1"/>
  <c r="AI11" i="51"/>
  <c r="AF8" i="51"/>
  <c r="AF10" i="51"/>
  <c r="AF7" i="51"/>
  <c r="AH7" i="51" s="1"/>
  <c r="AI7" i="51" s="1"/>
  <c r="AF6" i="51"/>
  <c r="AH9" i="54" l="1"/>
  <c r="AH8" i="54"/>
  <c r="AH7" i="54"/>
  <c r="AH11" i="54"/>
  <c r="AH13" i="54"/>
  <c r="AI13" i="54" s="1"/>
  <c r="AH10" i="54"/>
  <c r="AH20" i="54"/>
  <c r="AI20" i="54" s="1"/>
  <c r="AH24" i="54"/>
  <c r="AH27" i="54"/>
  <c r="AI27" i="54" s="1"/>
  <c r="AH19" i="54"/>
  <c r="AH6" i="54"/>
  <c r="AH25" i="54"/>
  <c r="AH14" i="54"/>
  <c r="AH16" i="54"/>
  <c r="AI16" i="54" s="1"/>
  <c r="AH23" i="54"/>
  <c r="AI23" i="54" s="1"/>
  <c r="AH26" i="54"/>
  <c r="AG6" i="54"/>
  <c r="AG7" i="54"/>
  <c r="AG8" i="54"/>
  <c r="AI8" i="54" s="1"/>
  <c r="AG11" i="54"/>
  <c r="AI11" i="54" s="1"/>
  <c r="AG9" i="54"/>
  <c r="AI9" i="54" s="1"/>
  <c r="AG10" i="54"/>
  <c r="AI10" i="54" s="1"/>
  <c r="AG12" i="54"/>
  <c r="AG13" i="54"/>
  <c r="AG15" i="54"/>
  <c r="AG16" i="54"/>
  <c r="AG17" i="54"/>
  <c r="AG18" i="54"/>
  <c r="AG19" i="54"/>
  <c r="AG20" i="54"/>
  <c r="AG21" i="54"/>
  <c r="AG22" i="54"/>
  <c r="AG23" i="54"/>
  <c r="AG24" i="54"/>
  <c r="AG14" i="54"/>
  <c r="AG25" i="54"/>
  <c r="AI25" i="54" s="1"/>
  <c r="AG26" i="54"/>
  <c r="AG27" i="54"/>
  <c r="AG28" i="54"/>
  <c r="AG29" i="54"/>
  <c r="AG5" i="54"/>
  <c r="AH5" i="54"/>
  <c r="AG9" i="75"/>
  <c r="AG12" i="75"/>
  <c r="AG13" i="75"/>
  <c r="AG14" i="75"/>
  <c r="AG15" i="75"/>
  <c r="AG16" i="75"/>
  <c r="AG17" i="75"/>
  <c r="AG18" i="75"/>
  <c r="AG19" i="75"/>
  <c r="AG20" i="75"/>
  <c r="AG21" i="75"/>
  <c r="AG22" i="75"/>
  <c r="AG23" i="75"/>
  <c r="AG24" i="75"/>
  <c r="AG10" i="52"/>
  <c r="AG12" i="52"/>
  <c r="AG13" i="52"/>
  <c r="AG14" i="52"/>
  <c r="AG15" i="52"/>
  <c r="AG16" i="52"/>
  <c r="AG17" i="52"/>
  <c r="AG18" i="52"/>
  <c r="AG19" i="52"/>
  <c r="AG20" i="52"/>
  <c r="AG21" i="52"/>
  <c r="AG22" i="52"/>
  <c r="AG23" i="52"/>
  <c r="AG24" i="52"/>
  <c r="AG7" i="51"/>
  <c r="AG12" i="51"/>
  <c r="AG13" i="51"/>
  <c r="AG14" i="51"/>
  <c r="AG15" i="51"/>
  <c r="AG16" i="51"/>
  <c r="AG17" i="51"/>
  <c r="AG18" i="51"/>
  <c r="AG19" i="51"/>
  <c r="AG20" i="51"/>
  <c r="AG21" i="51"/>
  <c r="AG22" i="51"/>
  <c r="AG23" i="51"/>
  <c r="AG24" i="51"/>
  <c r="O16" i="83"/>
  <c r="AI5" i="54" l="1"/>
  <c r="AI24" i="54"/>
  <c r="AI7" i="54"/>
  <c r="AI19" i="54"/>
  <c r="AI6" i="54"/>
  <c r="AI26" i="54"/>
  <c r="AI14" i="54"/>
  <c r="D25" i="112"/>
  <c r="E25" i="112"/>
  <c r="F25" i="112" s="1"/>
  <c r="H25" i="112"/>
  <c r="I25" i="112"/>
  <c r="J25" i="112" s="1"/>
  <c r="L25" i="112"/>
  <c r="M25" i="112"/>
  <c r="N25" i="112" s="1"/>
  <c r="P25" i="112"/>
  <c r="Q25" i="112"/>
  <c r="R25" i="112" s="1"/>
  <c r="T25" i="112"/>
  <c r="U25" i="112"/>
  <c r="V25" i="112" s="1"/>
  <c r="X25" i="112"/>
  <c r="Y25" i="112"/>
  <c r="Z25" i="112" s="1"/>
  <c r="AB25" i="112"/>
  <c r="AC25" i="112"/>
  <c r="AD25" i="112" s="1"/>
  <c r="E24" i="78" l="1"/>
  <c r="F24" i="78"/>
  <c r="G24" i="78"/>
  <c r="I24" i="78"/>
  <c r="J24" i="78"/>
  <c r="K24" i="78" s="1"/>
  <c r="M24" i="78"/>
  <c r="N24" i="78"/>
  <c r="O24" i="78" s="1"/>
  <c r="Q24" i="78"/>
  <c r="R24" i="78"/>
  <c r="S24" i="78" s="1"/>
  <c r="U24" i="78"/>
  <c r="V24" i="78"/>
  <c r="W24" i="78" s="1"/>
  <c r="Y24" i="78"/>
  <c r="Z24" i="78"/>
  <c r="AA24" i="78"/>
  <c r="AC24" i="78"/>
  <c r="AD24" i="78"/>
  <c r="AE24" i="78" s="1"/>
  <c r="AF24" i="78"/>
  <c r="E16" i="77"/>
  <c r="F16" i="77"/>
  <c r="G16" i="77"/>
  <c r="I16" i="77"/>
  <c r="J16" i="77"/>
  <c r="K16" i="77"/>
  <c r="M16" i="77"/>
  <c r="N16" i="77"/>
  <c r="O16" i="77" s="1"/>
  <c r="Q16" i="77"/>
  <c r="R16" i="77"/>
  <c r="S16" i="77"/>
  <c r="U16" i="77"/>
  <c r="V16" i="77"/>
  <c r="W16" i="77"/>
  <c r="Y16" i="77"/>
  <c r="Z16" i="77"/>
  <c r="AA16" i="77" s="1"/>
  <c r="AC16" i="77"/>
  <c r="AD16" i="77"/>
  <c r="AE16" i="77" s="1"/>
  <c r="AF16" i="77"/>
  <c r="AH16" i="77" s="1"/>
  <c r="AI16" i="77" s="1"/>
  <c r="AG16" i="77"/>
  <c r="D27" i="112"/>
  <c r="E27" i="112"/>
  <c r="F27" i="112" s="1"/>
  <c r="H27" i="112"/>
  <c r="I27" i="112"/>
  <c r="J27" i="112" s="1"/>
  <c r="L27" i="112"/>
  <c r="M27" i="112"/>
  <c r="N27" i="112" s="1"/>
  <c r="P27" i="112"/>
  <c r="Q27" i="112"/>
  <c r="R27" i="112" s="1"/>
  <c r="T27" i="112"/>
  <c r="U27" i="112"/>
  <c r="V27" i="112" s="1"/>
  <c r="X27" i="112"/>
  <c r="Y27" i="112"/>
  <c r="Z27" i="112" s="1"/>
  <c r="AB27" i="112"/>
  <c r="AC27" i="112"/>
  <c r="AD27" i="112" s="1"/>
  <c r="D26" i="112"/>
  <c r="E26" i="112"/>
  <c r="F26" i="112" s="1"/>
  <c r="H26" i="112"/>
  <c r="I26" i="112"/>
  <c r="J26" i="112" s="1"/>
  <c r="L26" i="112"/>
  <c r="M26" i="112"/>
  <c r="N26" i="112" s="1"/>
  <c r="P26" i="112"/>
  <c r="Q26" i="112"/>
  <c r="R26" i="112" s="1"/>
  <c r="T26" i="112"/>
  <c r="U26" i="112"/>
  <c r="V26" i="112" s="1"/>
  <c r="X26" i="112"/>
  <c r="Y26" i="112"/>
  <c r="Z26" i="112" s="1"/>
  <c r="AB26" i="112"/>
  <c r="AC26" i="112"/>
  <c r="AD26" i="112" s="1"/>
  <c r="D24" i="112"/>
  <c r="E24" i="112"/>
  <c r="F24" i="112" s="1"/>
  <c r="H24" i="112"/>
  <c r="I24" i="112"/>
  <c r="J24" i="112" s="1"/>
  <c r="L24" i="112"/>
  <c r="M24" i="112"/>
  <c r="N24" i="112" s="1"/>
  <c r="P24" i="112"/>
  <c r="Q24" i="112"/>
  <c r="R24" i="112" s="1"/>
  <c r="T24" i="112"/>
  <c r="U24" i="112"/>
  <c r="V24" i="112" s="1"/>
  <c r="X24" i="112"/>
  <c r="Y24" i="112"/>
  <c r="Z24" i="112" s="1"/>
  <c r="AB24" i="112"/>
  <c r="AC24" i="112"/>
  <c r="AD24" i="112" s="1"/>
  <c r="AJ16" i="77" l="1"/>
  <c r="AK16" i="77" s="1"/>
  <c r="AL16" i="77" s="1"/>
  <c r="C24" i="114"/>
  <c r="D24" i="114" s="1"/>
  <c r="E24" i="114" s="1"/>
  <c r="C23" i="114"/>
  <c r="D23" i="114" s="1"/>
  <c r="E23" i="114" s="1"/>
  <c r="C22" i="114"/>
  <c r="D22" i="114" s="1"/>
  <c r="E22" i="114" s="1"/>
  <c r="C21" i="114"/>
  <c r="D21" i="114" s="1"/>
  <c r="E21" i="114" s="1"/>
  <c r="C20" i="114"/>
  <c r="D20" i="114" s="1"/>
  <c r="E20" i="114" s="1"/>
  <c r="C19" i="114"/>
  <c r="D19" i="114" s="1"/>
  <c r="E19" i="114" s="1"/>
  <c r="C18" i="114"/>
  <c r="D18" i="114" s="1"/>
  <c r="E18" i="114" s="1"/>
  <c r="C17" i="114"/>
  <c r="D17" i="114" s="1"/>
  <c r="E17" i="114" s="1"/>
  <c r="C16" i="114"/>
  <c r="D16" i="114" s="1"/>
  <c r="E16" i="114" s="1"/>
  <c r="E20" i="56" l="1"/>
  <c r="E10" i="56"/>
  <c r="E13" i="56"/>
  <c r="E23" i="56"/>
  <c r="F20" i="56"/>
  <c r="F10" i="56"/>
  <c r="F13" i="56"/>
  <c r="F23" i="56"/>
  <c r="G20" i="56"/>
  <c r="G10" i="56"/>
  <c r="G13" i="56"/>
  <c r="G23" i="56"/>
  <c r="I20" i="56"/>
  <c r="I10" i="56"/>
  <c r="I13" i="56"/>
  <c r="I23" i="56"/>
  <c r="J20" i="56"/>
  <c r="K20" i="56" s="1"/>
  <c r="J10" i="56"/>
  <c r="K10" i="56" s="1"/>
  <c r="J13" i="56"/>
  <c r="K13" i="56" s="1"/>
  <c r="J23" i="56"/>
  <c r="K23" i="56" s="1"/>
  <c r="M20" i="56"/>
  <c r="M10" i="56"/>
  <c r="M13" i="56"/>
  <c r="M23" i="56"/>
  <c r="N20" i="56"/>
  <c r="N10" i="56"/>
  <c r="N13" i="56"/>
  <c r="O13" i="56" s="1"/>
  <c r="N23" i="56"/>
  <c r="O23" i="56" s="1"/>
  <c r="O20" i="56"/>
  <c r="O10" i="56"/>
  <c r="Q20" i="56"/>
  <c r="Q10" i="56"/>
  <c r="Q13" i="56"/>
  <c r="Q23" i="56"/>
  <c r="R20" i="56"/>
  <c r="S20" i="56" s="1"/>
  <c r="R10" i="56"/>
  <c r="S10" i="56" s="1"/>
  <c r="R13" i="56"/>
  <c r="S13" i="56" s="1"/>
  <c r="R23" i="56"/>
  <c r="S23" i="56" s="1"/>
  <c r="U20" i="56"/>
  <c r="U10" i="56"/>
  <c r="U13" i="56"/>
  <c r="U23" i="56"/>
  <c r="V20" i="56"/>
  <c r="W20" i="56" s="1"/>
  <c r="V10" i="56"/>
  <c r="V13" i="56"/>
  <c r="W13" i="56" s="1"/>
  <c r="V23" i="56"/>
  <c r="W23" i="56" s="1"/>
  <c r="W10" i="56"/>
  <c r="Y20" i="56"/>
  <c r="Y10" i="56"/>
  <c r="Y13" i="56"/>
  <c r="Y23" i="56"/>
  <c r="Z20" i="56"/>
  <c r="AA20" i="56" s="1"/>
  <c r="Z10" i="56"/>
  <c r="AA10" i="56" s="1"/>
  <c r="Z13" i="56"/>
  <c r="AA13" i="56" s="1"/>
  <c r="Z23" i="56"/>
  <c r="AA23" i="56" s="1"/>
  <c r="AC20" i="56"/>
  <c r="AC10" i="56"/>
  <c r="AC13" i="56"/>
  <c r="AC23" i="56"/>
  <c r="AD20" i="56"/>
  <c r="AD10" i="56"/>
  <c r="AE10" i="56" s="1"/>
  <c r="AD13" i="56"/>
  <c r="AE13" i="56" s="1"/>
  <c r="AD23" i="56"/>
  <c r="AE20" i="56"/>
  <c r="AF20" i="56"/>
  <c r="AH20" i="56" s="1"/>
  <c r="AI20" i="56" s="1"/>
  <c r="AF10" i="56"/>
  <c r="AG10" i="56" s="1"/>
  <c r="AF13" i="56"/>
  <c r="AF23" i="56"/>
  <c r="AG20" i="56"/>
  <c r="E27" i="55"/>
  <c r="E21" i="55"/>
  <c r="E20" i="55"/>
  <c r="E7" i="55"/>
  <c r="F27" i="55"/>
  <c r="F21" i="55"/>
  <c r="G21" i="55" s="1"/>
  <c r="F20" i="55"/>
  <c r="G20" i="55" s="1"/>
  <c r="F7" i="55"/>
  <c r="G7" i="55" s="1"/>
  <c r="G27" i="55"/>
  <c r="I27" i="55"/>
  <c r="I21" i="55"/>
  <c r="I20" i="55"/>
  <c r="I7" i="55"/>
  <c r="J27" i="55"/>
  <c r="K27" i="55" s="1"/>
  <c r="J21" i="55"/>
  <c r="K21" i="55" s="1"/>
  <c r="J20" i="55"/>
  <c r="J7" i="55"/>
  <c r="K7" i="55" s="1"/>
  <c r="M27" i="55"/>
  <c r="M21" i="55"/>
  <c r="M20" i="55"/>
  <c r="M7" i="55"/>
  <c r="N27" i="55"/>
  <c r="O27" i="55" s="1"/>
  <c r="N21" i="55"/>
  <c r="O21" i="55" s="1"/>
  <c r="N20" i="55"/>
  <c r="O20" i="55" s="1"/>
  <c r="N7" i="55"/>
  <c r="O7" i="55" s="1"/>
  <c r="Q27" i="55"/>
  <c r="Q21" i="55"/>
  <c r="Q20" i="55"/>
  <c r="Q7" i="55"/>
  <c r="R27" i="55"/>
  <c r="S27" i="55" s="1"/>
  <c r="R21" i="55"/>
  <c r="S21" i="55" s="1"/>
  <c r="R20" i="55"/>
  <c r="R7" i="55"/>
  <c r="S7" i="55" s="1"/>
  <c r="U27" i="55"/>
  <c r="U21" i="55"/>
  <c r="U20" i="55"/>
  <c r="U7" i="55"/>
  <c r="V27" i="55"/>
  <c r="V21" i="55"/>
  <c r="W21" i="55" s="1"/>
  <c r="V20" i="55"/>
  <c r="W20" i="55" s="1"/>
  <c r="V7" i="55"/>
  <c r="W7" i="55" s="1"/>
  <c r="W27" i="55"/>
  <c r="Y27" i="55"/>
  <c r="Y21" i="55"/>
  <c r="Y20" i="55"/>
  <c r="Y7" i="55"/>
  <c r="Z27" i="55"/>
  <c r="AA27" i="55" s="1"/>
  <c r="Z21" i="55"/>
  <c r="AA21" i="55" s="1"/>
  <c r="Z20" i="55"/>
  <c r="AA20" i="55" s="1"/>
  <c r="Z7" i="55"/>
  <c r="AA7" i="55" s="1"/>
  <c r="AC27" i="55"/>
  <c r="AC21" i="55"/>
  <c r="AC20" i="55"/>
  <c r="AC7" i="55"/>
  <c r="AD27" i="55"/>
  <c r="AE27" i="55" s="1"/>
  <c r="AD21" i="55"/>
  <c r="AE21" i="55" s="1"/>
  <c r="AD20" i="55"/>
  <c r="AE20" i="55" s="1"/>
  <c r="AD7" i="55"/>
  <c r="AE7" i="55" s="1"/>
  <c r="AF27" i="55"/>
  <c r="AH27" i="55" s="1"/>
  <c r="AI27" i="55" s="1"/>
  <c r="AF21" i="55"/>
  <c r="AG21" i="55" s="1"/>
  <c r="AF20" i="55"/>
  <c r="AH20" i="55" s="1"/>
  <c r="AI20" i="55" s="1"/>
  <c r="AF7" i="55"/>
  <c r="E29" i="54"/>
  <c r="E22" i="54"/>
  <c r="E12" i="54"/>
  <c r="E6" i="54"/>
  <c r="E17" i="54"/>
  <c r="F29" i="54"/>
  <c r="F22" i="54"/>
  <c r="G22" i="54" s="1"/>
  <c r="F12" i="54"/>
  <c r="G12" i="54" s="1"/>
  <c r="F6" i="54"/>
  <c r="G6" i="54" s="1"/>
  <c r="F17" i="54"/>
  <c r="G29" i="54"/>
  <c r="AJ29" i="54" s="1"/>
  <c r="AK29" i="54" s="1"/>
  <c r="AL29" i="54" s="1"/>
  <c r="G17" i="54"/>
  <c r="I29" i="54"/>
  <c r="I22" i="54"/>
  <c r="I12" i="54"/>
  <c r="I6" i="54"/>
  <c r="I17" i="54"/>
  <c r="J29" i="54"/>
  <c r="J22" i="54"/>
  <c r="K22" i="54" s="1"/>
  <c r="J12" i="54"/>
  <c r="J6" i="54"/>
  <c r="J17" i="54"/>
  <c r="K17" i="54" s="1"/>
  <c r="AJ17" i="54" s="1"/>
  <c r="AK17" i="54" s="1"/>
  <c r="AL17" i="54" s="1"/>
  <c r="K29" i="54"/>
  <c r="M29" i="54"/>
  <c r="M22" i="54"/>
  <c r="M12" i="54"/>
  <c r="M6" i="54"/>
  <c r="M17" i="54"/>
  <c r="N29" i="54"/>
  <c r="O29" i="54" s="1"/>
  <c r="N22" i="54"/>
  <c r="O22" i="54" s="1"/>
  <c r="N12" i="54"/>
  <c r="N6" i="54"/>
  <c r="N17" i="54"/>
  <c r="O17" i="54" s="1"/>
  <c r="Q29" i="54"/>
  <c r="Q22" i="54"/>
  <c r="Q12" i="54"/>
  <c r="Q6" i="54"/>
  <c r="Q17" i="54"/>
  <c r="R29" i="54"/>
  <c r="S29" i="54" s="1"/>
  <c r="R22" i="54"/>
  <c r="S22" i="54" s="1"/>
  <c r="R12" i="54"/>
  <c r="S12" i="54" s="1"/>
  <c r="R6" i="54"/>
  <c r="S6" i="54" s="1"/>
  <c r="R17" i="54"/>
  <c r="S17" i="54"/>
  <c r="U29" i="54"/>
  <c r="U22" i="54"/>
  <c r="U12" i="54"/>
  <c r="U6" i="54"/>
  <c r="U17" i="54"/>
  <c r="V29" i="54"/>
  <c r="V22" i="54"/>
  <c r="W22" i="54" s="1"/>
  <c r="V12" i="54"/>
  <c r="W12" i="54" s="1"/>
  <c r="V6" i="54"/>
  <c r="V17" i="54"/>
  <c r="W17" i="54" s="1"/>
  <c r="W29" i="54"/>
  <c r="Y29" i="54"/>
  <c r="Y22" i="54"/>
  <c r="Y12" i="54"/>
  <c r="Y6" i="54"/>
  <c r="Y17" i="54"/>
  <c r="Z29" i="54"/>
  <c r="AA29" i="54" s="1"/>
  <c r="Z22" i="54"/>
  <c r="AA22" i="54" s="1"/>
  <c r="Z12" i="54"/>
  <c r="AA12" i="54" s="1"/>
  <c r="Z6" i="54"/>
  <c r="AA6" i="54" s="1"/>
  <c r="Z17" i="54"/>
  <c r="AA17" i="54" s="1"/>
  <c r="AC29" i="54"/>
  <c r="AC22" i="54"/>
  <c r="AC12" i="54"/>
  <c r="AC6" i="54"/>
  <c r="AC17" i="54"/>
  <c r="AD29" i="54"/>
  <c r="AE29" i="54" s="1"/>
  <c r="AD22" i="54"/>
  <c r="AE22" i="54" s="1"/>
  <c r="AD12" i="54"/>
  <c r="AE12" i="54" s="1"/>
  <c r="AD6" i="54"/>
  <c r="AE6" i="54" s="1"/>
  <c r="AD17" i="54"/>
  <c r="AE17" i="54" s="1"/>
  <c r="AE23" i="56" l="1"/>
  <c r="K6" i="54"/>
  <c r="W6" i="54"/>
  <c r="S20" i="55"/>
  <c r="O6" i="54"/>
  <c r="O12" i="54"/>
  <c r="AG27" i="55"/>
  <c r="K20" i="55"/>
  <c r="AH10" i="56"/>
  <c r="AI10" i="56" s="1"/>
  <c r="AH21" i="55"/>
  <c r="AI21" i="55" s="1"/>
  <c r="AJ21" i="55" s="1"/>
  <c r="AK21" i="55" s="1"/>
  <c r="K12" i="54"/>
  <c r="AJ20" i="56"/>
  <c r="AK20" i="56" s="1"/>
  <c r="AJ22" i="54"/>
  <c r="AK22" i="54" s="1"/>
  <c r="AL22" i="54" s="1"/>
  <c r="AJ27" i="55"/>
  <c r="AK27" i="55" s="1"/>
  <c r="AL27" i="55" s="1"/>
  <c r="AG20" i="55"/>
  <c r="X16" i="70"/>
  <c r="X17" i="70"/>
  <c r="X18" i="70"/>
  <c r="X19" i="70"/>
  <c r="X20" i="70"/>
  <c r="X19" i="76"/>
  <c r="X20" i="76"/>
  <c r="X21" i="76"/>
  <c r="X22" i="76"/>
  <c r="X23" i="76"/>
  <c r="X20" i="87"/>
  <c r="X21" i="87"/>
  <c r="X22" i="87"/>
  <c r="X23" i="87"/>
  <c r="X24" i="87"/>
  <c r="U20" i="87"/>
  <c r="U21" i="87"/>
  <c r="U22" i="87"/>
  <c r="U23" i="87"/>
  <c r="U24" i="87"/>
  <c r="R20" i="87"/>
  <c r="R21" i="87"/>
  <c r="R22" i="87"/>
  <c r="R23" i="87"/>
  <c r="R24" i="87"/>
  <c r="O20" i="87"/>
  <c r="O21" i="87"/>
  <c r="O22" i="87"/>
  <c r="O23" i="87"/>
  <c r="O24" i="87"/>
  <c r="L20" i="87"/>
  <c r="L21" i="87"/>
  <c r="L22" i="87"/>
  <c r="L23" i="87"/>
  <c r="L24" i="87"/>
  <c r="I20" i="87"/>
  <c r="I21" i="87"/>
  <c r="I22" i="87"/>
  <c r="I23" i="87"/>
  <c r="I24" i="87"/>
  <c r="F20" i="87"/>
  <c r="F21" i="87"/>
  <c r="F22" i="87"/>
  <c r="F23" i="87"/>
  <c r="F24" i="87"/>
  <c r="C20" i="87"/>
  <c r="C21" i="87"/>
  <c r="C22" i="87"/>
  <c r="C23" i="87"/>
  <c r="C24" i="87"/>
  <c r="X9" i="103"/>
  <c r="X10" i="103"/>
  <c r="X11" i="103"/>
  <c r="X12" i="103"/>
  <c r="X13" i="103"/>
  <c r="X14" i="103"/>
  <c r="X15" i="103"/>
  <c r="X16" i="103"/>
  <c r="X17" i="103"/>
  <c r="X18" i="103"/>
  <c r="X19" i="103"/>
  <c r="X20" i="103"/>
  <c r="X21" i="103"/>
  <c r="X22" i="103"/>
  <c r="X23" i="103"/>
  <c r="X24" i="103"/>
  <c r="U9" i="103"/>
  <c r="U10" i="103"/>
  <c r="U11" i="103"/>
  <c r="U12" i="103"/>
  <c r="U13" i="103"/>
  <c r="U14" i="103"/>
  <c r="U15" i="103"/>
  <c r="U16" i="103"/>
  <c r="U17" i="103"/>
  <c r="U18" i="103"/>
  <c r="U19" i="103"/>
  <c r="U20" i="103"/>
  <c r="U21" i="103"/>
  <c r="U22" i="103"/>
  <c r="U23" i="103"/>
  <c r="U24" i="103"/>
  <c r="R9" i="103"/>
  <c r="R10" i="103"/>
  <c r="R11" i="103"/>
  <c r="R12" i="103"/>
  <c r="R13" i="103"/>
  <c r="R14" i="103"/>
  <c r="R15" i="103"/>
  <c r="R16" i="103"/>
  <c r="R17" i="103"/>
  <c r="R18" i="103"/>
  <c r="R19" i="103"/>
  <c r="R20" i="103"/>
  <c r="R21" i="103"/>
  <c r="R22" i="103"/>
  <c r="R23" i="103"/>
  <c r="R24" i="103"/>
  <c r="O9" i="103"/>
  <c r="O10" i="103"/>
  <c r="O11" i="103"/>
  <c r="O12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L9" i="103"/>
  <c r="L10" i="103"/>
  <c r="L11" i="103"/>
  <c r="L12" i="103"/>
  <c r="L13" i="103"/>
  <c r="L14" i="103"/>
  <c r="L15" i="103"/>
  <c r="L16" i="103"/>
  <c r="L17" i="103"/>
  <c r="L18" i="103"/>
  <c r="L19" i="103"/>
  <c r="L20" i="103"/>
  <c r="L21" i="103"/>
  <c r="L22" i="103"/>
  <c r="L23" i="103"/>
  <c r="L24" i="103"/>
  <c r="I9" i="103"/>
  <c r="I10" i="103"/>
  <c r="I11" i="103"/>
  <c r="I12" i="103"/>
  <c r="I13" i="103"/>
  <c r="I14" i="103"/>
  <c r="I15" i="103"/>
  <c r="I16" i="103"/>
  <c r="I17" i="103"/>
  <c r="I18" i="103"/>
  <c r="I19" i="103"/>
  <c r="I20" i="103"/>
  <c r="I21" i="103"/>
  <c r="I22" i="103"/>
  <c r="I23" i="103"/>
  <c r="I24" i="103"/>
  <c r="F9" i="103"/>
  <c r="F10" i="103"/>
  <c r="F11" i="103"/>
  <c r="F12" i="103"/>
  <c r="F13" i="103"/>
  <c r="F14" i="103"/>
  <c r="F15" i="103"/>
  <c r="F16" i="103"/>
  <c r="F17" i="103"/>
  <c r="F18" i="103"/>
  <c r="F19" i="103"/>
  <c r="F20" i="103"/>
  <c r="F21" i="103"/>
  <c r="F22" i="103"/>
  <c r="F23" i="103"/>
  <c r="F24" i="103"/>
  <c r="C9" i="103"/>
  <c r="C10" i="103"/>
  <c r="C11" i="103"/>
  <c r="C12" i="103"/>
  <c r="C13" i="103"/>
  <c r="C14" i="103"/>
  <c r="C15" i="103"/>
  <c r="C16" i="103"/>
  <c r="C17" i="103"/>
  <c r="C18" i="103"/>
  <c r="C19" i="103"/>
  <c r="C20" i="103"/>
  <c r="C21" i="103"/>
  <c r="C22" i="103"/>
  <c r="C23" i="103"/>
  <c r="C24" i="103"/>
  <c r="D25" i="104"/>
  <c r="E25" i="104"/>
  <c r="AJ6" i="54" l="1"/>
  <c r="AK6" i="54" s="1"/>
  <c r="AJ20" i="55"/>
  <c r="AK20" i="55" s="1"/>
  <c r="AJ12" i="54"/>
  <c r="AK12" i="54" s="1"/>
  <c r="AJ10" i="56"/>
  <c r="AK10" i="56" s="1"/>
  <c r="AI8" i="74"/>
  <c r="AI9" i="80"/>
  <c r="AI11" i="80"/>
  <c r="X6" i="103"/>
  <c r="AI6" i="97"/>
  <c r="AI5" i="97"/>
  <c r="AF24" i="116"/>
  <c r="AH24" i="116" s="1"/>
  <c r="AI24" i="116" s="1"/>
  <c r="AD24" i="116"/>
  <c r="AE24" i="116" s="1"/>
  <c r="AC24" i="116"/>
  <c r="Z24" i="116"/>
  <c r="AA24" i="116" s="1"/>
  <c r="Y24" i="116"/>
  <c r="V24" i="116"/>
  <c r="W24" i="116" s="1"/>
  <c r="U24" i="116"/>
  <c r="R24" i="116"/>
  <c r="S24" i="116" s="1"/>
  <c r="Q24" i="116"/>
  <c r="N24" i="116"/>
  <c r="O24" i="116" s="1"/>
  <c r="M24" i="116"/>
  <c r="J24" i="116"/>
  <c r="K24" i="116" s="1"/>
  <c r="I24" i="116"/>
  <c r="F24" i="116"/>
  <c r="G24" i="116" s="1"/>
  <c r="E24" i="116"/>
  <c r="AF23" i="116"/>
  <c r="AH23" i="116" s="1"/>
  <c r="AI23" i="116" s="1"/>
  <c r="AD23" i="116"/>
  <c r="AE23" i="116" s="1"/>
  <c r="AC23" i="116"/>
  <c r="Z23" i="116"/>
  <c r="AA23" i="116" s="1"/>
  <c r="Y23" i="116"/>
  <c r="V23" i="116"/>
  <c r="W23" i="116" s="1"/>
  <c r="U23" i="116"/>
  <c r="R23" i="116"/>
  <c r="S23" i="116" s="1"/>
  <c r="Q23" i="116"/>
  <c r="N23" i="116"/>
  <c r="O23" i="116" s="1"/>
  <c r="M23" i="116"/>
  <c r="J23" i="116"/>
  <c r="K23" i="116" s="1"/>
  <c r="I23" i="116"/>
  <c r="F23" i="116"/>
  <c r="G23" i="116" s="1"/>
  <c r="E23" i="116"/>
  <c r="AF22" i="116"/>
  <c r="AH22" i="116" s="1"/>
  <c r="AI22" i="116" s="1"/>
  <c r="AD22" i="116"/>
  <c r="AE22" i="116" s="1"/>
  <c r="AC22" i="116"/>
  <c r="Z22" i="116"/>
  <c r="AA22" i="116" s="1"/>
  <c r="Y22" i="116"/>
  <c r="V22" i="116"/>
  <c r="W22" i="116" s="1"/>
  <c r="U22" i="116"/>
  <c r="R22" i="116"/>
  <c r="S22" i="116" s="1"/>
  <c r="Q22" i="116"/>
  <c r="N22" i="116"/>
  <c r="O22" i="116" s="1"/>
  <c r="M22" i="116"/>
  <c r="J22" i="116"/>
  <c r="K22" i="116" s="1"/>
  <c r="I22" i="116"/>
  <c r="F22" i="116"/>
  <c r="G22" i="116" s="1"/>
  <c r="E22" i="116"/>
  <c r="AF21" i="116"/>
  <c r="AH21" i="116" s="1"/>
  <c r="AI21" i="116" s="1"/>
  <c r="AD21" i="116"/>
  <c r="AE21" i="116" s="1"/>
  <c r="AC21" i="116"/>
  <c r="Z21" i="116"/>
  <c r="AA21" i="116" s="1"/>
  <c r="Y21" i="116"/>
  <c r="V21" i="116"/>
  <c r="W21" i="116" s="1"/>
  <c r="U21" i="116"/>
  <c r="R21" i="116"/>
  <c r="S21" i="116" s="1"/>
  <c r="Q21" i="116"/>
  <c r="N21" i="116"/>
  <c r="O21" i="116" s="1"/>
  <c r="M21" i="116"/>
  <c r="J21" i="116"/>
  <c r="K21" i="116" s="1"/>
  <c r="I21" i="116"/>
  <c r="F21" i="116"/>
  <c r="G21" i="116" s="1"/>
  <c r="E21" i="116"/>
  <c r="AF20" i="116"/>
  <c r="AH20" i="116" s="1"/>
  <c r="AI20" i="116" s="1"/>
  <c r="AD20" i="116"/>
  <c r="AE20" i="116" s="1"/>
  <c r="AC20" i="116"/>
  <c r="Z20" i="116"/>
  <c r="AA20" i="116" s="1"/>
  <c r="Y20" i="116"/>
  <c r="V20" i="116"/>
  <c r="W20" i="116" s="1"/>
  <c r="U20" i="116"/>
  <c r="R20" i="116"/>
  <c r="S20" i="116" s="1"/>
  <c r="Q20" i="116"/>
  <c r="N20" i="116"/>
  <c r="O20" i="116" s="1"/>
  <c r="M20" i="116"/>
  <c r="J20" i="116"/>
  <c r="K20" i="116" s="1"/>
  <c r="I20" i="116"/>
  <c r="F20" i="116"/>
  <c r="G20" i="116" s="1"/>
  <c r="E20" i="116"/>
  <c r="AF19" i="116"/>
  <c r="AH19" i="116" s="1"/>
  <c r="AI19" i="116" s="1"/>
  <c r="AD19" i="116"/>
  <c r="AE19" i="116" s="1"/>
  <c r="AC19" i="116"/>
  <c r="Z19" i="116"/>
  <c r="AA19" i="116" s="1"/>
  <c r="Y19" i="116"/>
  <c r="V19" i="116"/>
  <c r="W19" i="116" s="1"/>
  <c r="U19" i="116"/>
  <c r="R19" i="116"/>
  <c r="S19" i="116" s="1"/>
  <c r="Q19" i="116"/>
  <c r="N19" i="116"/>
  <c r="O19" i="116" s="1"/>
  <c r="M19" i="116"/>
  <c r="J19" i="116"/>
  <c r="K19" i="116" s="1"/>
  <c r="I19" i="116"/>
  <c r="F19" i="116"/>
  <c r="G19" i="116" s="1"/>
  <c r="E19" i="116"/>
  <c r="AF18" i="116"/>
  <c r="AH18" i="116" s="1"/>
  <c r="AI18" i="116" s="1"/>
  <c r="AD18" i="116"/>
  <c r="AE18" i="116" s="1"/>
  <c r="AC18" i="116"/>
  <c r="Z18" i="116"/>
  <c r="AA18" i="116" s="1"/>
  <c r="Y18" i="116"/>
  <c r="V18" i="116"/>
  <c r="W18" i="116" s="1"/>
  <c r="U18" i="116"/>
  <c r="R18" i="116"/>
  <c r="S18" i="116" s="1"/>
  <c r="Q18" i="116"/>
  <c r="N18" i="116"/>
  <c r="O18" i="116" s="1"/>
  <c r="M18" i="116"/>
  <c r="J18" i="116"/>
  <c r="K18" i="116" s="1"/>
  <c r="I18" i="116"/>
  <c r="F18" i="116"/>
  <c r="G18" i="116" s="1"/>
  <c r="E18" i="116"/>
  <c r="AF17" i="116"/>
  <c r="AH17" i="116" s="1"/>
  <c r="AI17" i="116" s="1"/>
  <c r="AD17" i="116"/>
  <c r="AE17" i="116" s="1"/>
  <c r="AC17" i="116"/>
  <c r="Z17" i="116"/>
  <c r="AA17" i="116" s="1"/>
  <c r="Y17" i="116"/>
  <c r="V17" i="116"/>
  <c r="W17" i="116" s="1"/>
  <c r="U17" i="116"/>
  <c r="R17" i="116"/>
  <c r="S17" i="116" s="1"/>
  <c r="Q17" i="116"/>
  <c r="N17" i="116"/>
  <c r="O17" i="116" s="1"/>
  <c r="M17" i="116"/>
  <c r="J17" i="116"/>
  <c r="K17" i="116" s="1"/>
  <c r="I17" i="116"/>
  <c r="F17" i="116"/>
  <c r="G17" i="116" s="1"/>
  <c r="E17" i="116"/>
  <c r="AF16" i="116"/>
  <c r="AH16" i="116" s="1"/>
  <c r="AI16" i="116" s="1"/>
  <c r="AD16" i="116"/>
  <c r="AE16" i="116" s="1"/>
  <c r="AC16" i="116"/>
  <c r="Z16" i="116"/>
  <c r="AA16" i="116" s="1"/>
  <c r="Y16" i="116"/>
  <c r="V16" i="116"/>
  <c r="W16" i="116" s="1"/>
  <c r="U16" i="116"/>
  <c r="R16" i="116"/>
  <c r="S16" i="116" s="1"/>
  <c r="Q16" i="116"/>
  <c r="N16" i="116"/>
  <c r="O16" i="116" s="1"/>
  <c r="M16" i="116"/>
  <c r="J16" i="116"/>
  <c r="K16" i="116" s="1"/>
  <c r="I16" i="116"/>
  <c r="F16" i="116"/>
  <c r="G16" i="116" s="1"/>
  <c r="E16" i="116"/>
  <c r="AF15" i="116"/>
  <c r="AH15" i="116" s="1"/>
  <c r="AI15" i="116" s="1"/>
  <c r="AD15" i="116"/>
  <c r="AE15" i="116" s="1"/>
  <c r="AC15" i="116"/>
  <c r="Z15" i="116"/>
  <c r="AA15" i="116" s="1"/>
  <c r="Y15" i="116"/>
  <c r="V15" i="116"/>
  <c r="W15" i="116" s="1"/>
  <c r="U15" i="116"/>
  <c r="R15" i="116"/>
  <c r="S15" i="116" s="1"/>
  <c r="Q15" i="116"/>
  <c r="N15" i="116"/>
  <c r="O15" i="116" s="1"/>
  <c r="M15" i="116"/>
  <c r="J15" i="116"/>
  <c r="K15" i="116" s="1"/>
  <c r="I15" i="116"/>
  <c r="F15" i="116"/>
  <c r="G15" i="116" s="1"/>
  <c r="E15" i="116"/>
  <c r="AF14" i="116"/>
  <c r="AH14" i="116" s="1"/>
  <c r="AI14" i="116" s="1"/>
  <c r="AD14" i="116"/>
  <c r="AE14" i="116" s="1"/>
  <c r="AC14" i="116"/>
  <c r="Z14" i="116"/>
  <c r="AA14" i="116" s="1"/>
  <c r="Y14" i="116"/>
  <c r="V14" i="116"/>
  <c r="W14" i="116" s="1"/>
  <c r="U14" i="116"/>
  <c r="R14" i="116"/>
  <c r="S14" i="116" s="1"/>
  <c r="Q14" i="116"/>
  <c r="N14" i="116"/>
  <c r="O14" i="116" s="1"/>
  <c r="M14" i="116"/>
  <c r="J14" i="116"/>
  <c r="K14" i="116" s="1"/>
  <c r="I14" i="116"/>
  <c r="F14" i="116"/>
  <c r="G14" i="116" s="1"/>
  <c r="E14" i="116"/>
  <c r="AF13" i="116"/>
  <c r="AH13" i="116" s="1"/>
  <c r="AI13" i="116" s="1"/>
  <c r="AD13" i="116"/>
  <c r="AE13" i="116" s="1"/>
  <c r="AC13" i="116"/>
  <c r="Z13" i="116"/>
  <c r="AA13" i="116" s="1"/>
  <c r="Y13" i="116"/>
  <c r="V13" i="116"/>
  <c r="W13" i="116" s="1"/>
  <c r="U13" i="116"/>
  <c r="R13" i="116"/>
  <c r="S13" i="116" s="1"/>
  <c r="Q13" i="116"/>
  <c r="N13" i="116"/>
  <c r="O13" i="116" s="1"/>
  <c r="M13" i="116"/>
  <c r="J13" i="116"/>
  <c r="K13" i="116" s="1"/>
  <c r="I13" i="116"/>
  <c r="F13" i="116"/>
  <c r="G13" i="116" s="1"/>
  <c r="E13" i="116"/>
  <c r="AF12" i="116"/>
  <c r="AH12" i="116" s="1"/>
  <c r="AI12" i="116" s="1"/>
  <c r="AD12" i="116"/>
  <c r="AE12" i="116" s="1"/>
  <c r="AC12" i="116"/>
  <c r="Z12" i="116"/>
  <c r="AA12" i="116" s="1"/>
  <c r="Y12" i="116"/>
  <c r="V12" i="116"/>
  <c r="W12" i="116" s="1"/>
  <c r="U12" i="116"/>
  <c r="R12" i="116"/>
  <c r="S12" i="116" s="1"/>
  <c r="Q12" i="116"/>
  <c r="N12" i="116"/>
  <c r="O12" i="116" s="1"/>
  <c r="M12" i="116"/>
  <c r="J12" i="116"/>
  <c r="K12" i="116" s="1"/>
  <c r="I12" i="116"/>
  <c r="F12" i="116"/>
  <c r="G12" i="116" s="1"/>
  <c r="E12" i="116"/>
  <c r="AF10" i="116"/>
  <c r="AH10" i="116" s="1"/>
  <c r="AI10" i="116" s="1"/>
  <c r="AD10" i="116"/>
  <c r="AE10" i="116" s="1"/>
  <c r="AC10" i="116"/>
  <c r="Z10" i="116"/>
  <c r="AA10" i="116" s="1"/>
  <c r="Y10" i="116"/>
  <c r="V10" i="116"/>
  <c r="W10" i="116" s="1"/>
  <c r="U10" i="116"/>
  <c r="R10" i="116"/>
  <c r="S10" i="116" s="1"/>
  <c r="Q10" i="116"/>
  <c r="N10" i="116"/>
  <c r="O10" i="116" s="1"/>
  <c r="M10" i="116"/>
  <c r="J10" i="116"/>
  <c r="K10" i="116" s="1"/>
  <c r="I10" i="116"/>
  <c r="F10" i="116"/>
  <c r="G10" i="116" s="1"/>
  <c r="E10" i="116"/>
  <c r="AF9" i="116"/>
  <c r="AH9" i="116" s="1"/>
  <c r="AI9" i="116" s="1"/>
  <c r="AD9" i="116"/>
  <c r="AE9" i="116" s="1"/>
  <c r="AC9" i="116"/>
  <c r="Z9" i="116"/>
  <c r="AA9" i="116" s="1"/>
  <c r="Y9" i="116"/>
  <c r="V9" i="116"/>
  <c r="W9" i="116" s="1"/>
  <c r="U9" i="116"/>
  <c r="R9" i="116"/>
  <c r="S9" i="116" s="1"/>
  <c r="Q9" i="116"/>
  <c r="N9" i="116"/>
  <c r="O9" i="116" s="1"/>
  <c r="M9" i="116"/>
  <c r="J9" i="116"/>
  <c r="K9" i="116" s="1"/>
  <c r="I9" i="116"/>
  <c r="F9" i="116"/>
  <c r="G9" i="116" s="1"/>
  <c r="E9" i="116"/>
  <c r="AI8" i="116"/>
  <c r="AE8" i="116"/>
  <c r="AD8" i="116"/>
  <c r="AC8" i="116"/>
  <c r="Z8" i="116"/>
  <c r="Y8" i="116"/>
  <c r="V8" i="116"/>
  <c r="W8" i="116" s="1"/>
  <c r="U8" i="116"/>
  <c r="R8" i="116"/>
  <c r="S8" i="116" s="1"/>
  <c r="Q8" i="116"/>
  <c r="N8" i="116"/>
  <c r="O8" i="116" s="1"/>
  <c r="M8" i="116"/>
  <c r="J8" i="116"/>
  <c r="K8" i="116" s="1"/>
  <c r="I8" i="116"/>
  <c r="F8" i="116"/>
  <c r="G8" i="116" s="1"/>
  <c r="E8" i="116"/>
  <c r="AI7" i="116"/>
  <c r="AD7" i="116"/>
  <c r="AE7" i="116" s="1"/>
  <c r="AC7" i="116"/>
  <c r="Z7" i="116"/>
  <c r="AA7" i="116" s="1"/>
  <c r="Y7" i="116"/>
  <c r="V7" i="116"/>
  <c r="W7" i="116" s="1"/>
  <c r="U7" i="116"/>
  <c r="R7" i="116"/>
  <c r="Q7" i="116"/>
  <c r="N7" i="116"/>
  <c r="O7" i="116" s="1"/>
  <c r="M7" i="116"/>
  <c r="J7" i="116"/>
  <c r="K7" i="116" s="1"/>
  <c r="I7" i="116"/>
  <c r="F7" i="116"/>
  <c r="G7" i="116" s="1"/>
  <c r="E7" i="116"/>
  <c r="AF11" i="116"/>
  <c r="AH11" i="116" s="1"/>
  <c r="AI11" i="116" s="1"/>
  <c r="AD11" i="116"/>
  <c r="AE11" i="116" s="1"/>
  <c r="AC11" i="116"/>
  <c r="Z11" i="116"/>
  <c r="AA11" i="116" s="1"/>
  <c r="Y11" i="116"/>
  <c r="V11" i="116"/>
  <c r="W11" i="116" s="1"/>
  <c r="U11" i="116"/>
  <c r="R11" i="116"/>
  <c r="S11" i="116" s="1"/>
  <c r="Q11" i="116"/>
  <c r="N11" i="116"/>
  <c r="O11" i="116" s="1"/>
  <c r="M11" i="116"/>
  <c r="J11" i="116"/>
  <c r="K11" i="116" s="1"/>
  <c r="I11" i="116"/>
  <c r="F11" i="116"/>
  <c r="G11" i="116" s="1"/>
  <c r="E11" i="116"/>
  <c r="AF6" i="116"/>
  <c r="AD6" i="116"/>
  <c r="AC6" i="116"/>
  <c r="Z6" i="116"/>
  <c r="AA6" i="116" s="1"/>
  <c r="R8" i="103" s="1"/>
  <c r="Y6" i="116"/>
  <c r="V6" i="116"/>
  <c r="W6" i="116" s="1"/>
  <c r="O8" i="103" s="1"/>
  <c r="U6" i="116"/>
  <c r="R6" i="116"/>
  <c r="S6" i="116" s="1"/>
  <c r="L8" i="103" s="1"/>
  <c r="Q6" i="116"/>
  <c r="N6" i="116"/>
  <c r="O6" i="116" s="1"/>
  <c r="I8" i="103" s="1"/>
  <c r="M6" i="116"/>
  <c r="J6" i="116"/>
  <c r="I6" i="116"/>
  <c r="F6" i="116"/>
  <c r="G6" i="116" s="1"/>
  <c r="C8" i="103" s="1"/>
  <c r="E6" i="116"/>
  <c r="AF5" i="116"/>
  <c r="AH5" i="116" s="1"/>
  <c r="AD5" i="116"/>
  <c r="AC5" i="116"/>
  <c r="Z5" i="116"/>
  <c r="Y5" i="116"/>
  <c r="V5" i="116"/>
  <c r="U5" i="116"/>
  <c r="R5" i="116"/>
  <c r="Q5" i="116"/>
  <c r="N5" i="116"/>
  <c r="M5" i="116"/>
  <c r="J5" i="116"/>
  <c r="I5" i="116"/>
  <c r="F5" i="116"/>
  <c r="E5" i="116"/>
  <c r="AH8" i="104"/>
  <c r="AH5" i="104"/>
  <c r="AH6" i="116" l="1"/>
  <c r="AE6" i="116"/>
  <c r="U8" i="103" s="1"/>
  <c r="AE5" i="116"/>
  <c r="AA5" i="116"/>
  <c r="AA8" i="116"/>
  <c r="W5" i="116"/>
  <c r="O5" i="116"/>
  <c r="S5" i="116"/>
  <c r="S7" i="116"/>
  <c r="AJ7" i="116" s="1"/>
  <c r="AK7" i="116" s="1"/>
  <c r="K5" i="116"/>
  <c r="K6" i="116"/>
  <c r="F8" i="103" s="1"/>
  <c r="G5" i="116"/>
  <c r="AJ12" i="116"/>
  <c r="AK12" i="116" s="1"/>
  <c r="AL12" i="116" s="1"/>
  <c r="AJ14" i="116"/>
  <c r="AK14" i="116" s="1"/>
  <c r="AL14" i="116" s="1"/>
  <c r="AJ16" i="116"/>
  <c r="AK16" i="116" s="1"/>
  <c r="AL16" i="116" s="1"/>
  <c r="AJ18" i="116"/>
  <c r="AK18" i="116" s="1"/>
  <c r="AL18" i="116" s="1"/>
  <c r="AJ20" i="116"/>
  <c r="AK20" i="116" s="1"/>
  <c r="AL20" i="116" s="1"/>
  <c r="AJ22" i="116"/>
  <c r="AK22" i="116" s="1"/>
  <c r="AL22" i="116" s="1"/>
  <c r="AJ24" i="116"/>
  <c r="AK24" i="116" s="1"/>
  <c r="AL24" i="116" s="1"/>
  <c r="AJ11" i="116"/>
  <c r="AK11" i="116" s="1"/>
  <c r="AL11" i="116" s="1"/>
  <c r="AJ10" i="116"/>
  <c r="AK10" i="116" s="1"/>
  <c r="AL10" i="116" s="1"/>
  <c r="AJ9" i="116"/>
  <c r="AK9" i="116" s="1"/>
  <c r="AJ13" i="116"/>
  <c r="AK13" i="116" s="1"/>
  <c r="AL13" i="116" s="1"/>
  <c r="AJ15" i="116"/>
  <c r="AK15" i="116" s="1"/>
  <c r="AL15" i="116" s="1"/>
  <c r="AJ17" i="116"/>
  <c r="AK17" i="116" s="1"/>
  <c r="AL17" i="116" s="1"/>
  <c r="AJ19" i="116"/>
  <c r="AK19" i="116" s="1"/>
  <c r="AL19" i="116" s="1"/>
  <c r="AJ21" i="116"/>
  <c r="AK21" i="116" s="1"/>
  <c r="AL21" i="116" s="1"/>
  <c r="AJ23" i="116"/>
  <c r="AK23" i="116" s="1"/>
  <c r="AL23" i="116" s="1"/>
  <c r="AJ8" i="116"/>
  <c r="AK8" i="116" s="1"/>
  <c r="AG5" i="116"/>
  <c r="AI5" i="116" s="1"/>
  <c r="AG6" i="116"/>
  <c r="AI6" i="116" s="1"/>
  <c r="AG11" i="116"/>
  <c r="AG9" i="116"/>
  <c r="AG10" i="116"/>
  <c r="AG12" i="116"/>
  <c r="AG13" i="116"/>
  <c r="AG14" i="116"/>
  <c r="AG15" i="116"/>
  <c r="AG16" i="116"/>
  <c r="AG17" i="116"/>
  <c r="AG18" i="116"/>
  <c r="AG19" i="116"/>
  <c r="AG20" i="116"/>
  <c r="AG21" i="116"/>
  <c r="AG22" i="116"/>
  <c r="AG23" i="116"/>
  <c r="AG24" i="116"/>
  <c r="X8" i="103" l="1"/>
  <c r="AJ6" i="116"/>
  <c r="AK6" i="116" s="1"/>
  <c r="C9" i="114" s="1"/>
  <c r="D9" i="114" s="1"/>
  <c r="AJ5" i="116"/>
  <c r="AK5" i="116" s="1"/>
  <c r="Q25" i="104"/>
  <c r="Q24" i="104"/>
  <c r="Q23" i="104"/>
  <c r="Q22" i="104"/>
  <c r="Q21" i="104"/>
  <c r="Q20" i="104"/>
  <c r="Q19" i="104"/>
  <c r="Q18" i="104"/>
  <c r="Q17" i="104"/>
  <c r="Q16" i="104"/>
  <c r="Q15" i="104"/>
  <c r="Q14" i="104"/>
  <c r="Q13" i="104"/>
  <c r="Q12" i="104"/>
  <c r="Q10" i="104"/>
  <c r="Q9" i="104"/>
  <c r="Q6" i="104"/>
  <c r="Q5" i="104"/>
  <c r="Q11" i="104"/>
  <c r="Q8" i="104"/>
  <c r="AL5" i="116" l="1"/>
  <c r="AL8" i="116"/>
  <c r="AL7" i="116"/>
  <c r="AL9" i="116"/>
  <c r="AL6" i="116"/>
  <c r="F25" i="104"/>
  <c r="H25" i="104"/>
  <c r="I25" i="104"/>
  <c r="J25" i="104" s="1"/>
  <c r="L25" i="104"/>
  <c r="M25" i="104"/>
  <c r="N25" i="104" s="1"/>
  <c r="P25" i="104"/>
  <c r="R25" i="104"/>
  <c r="T25" i="104"/>
  <c r="U25" i="104"/>
  <c r="V25" i="104" s="1"/>
  <c r="X25" i="104"/>
  <c r="Y25" i="104"/>
  <c r="Z25" i="104" s="1"/>
  <c r="AB25" i="104"/>
  <c r="AC25" i="104"/>
  <c r="AD25" i="104" s="1"/>
  <c r="AE25" i="104"/>
  <c r="AF25" i="104" s="1"/>
  <c r="AF9" i="94"/>
  <c r="AF17" i="94"/>
  <c r="AF10" i="94"/>
  <c r="AF7" i="94"/>
  <c r="AF20" i="94"/>
  <c r="AF5" i="94"/>
  <c r="AF18" i="94"/>
  <c r="AF15" i="94"/>
  <c r="AG15" i="94" s="1"/>
  <c r="AF13" i="94"/>
  <c r="AF19" i="94"/>
  <c r="AG19" i="94" s="1"/>
  <c r="AF11" i="94"/>
  <c r="AF14" i="94"/>
  <c r="AH14" i="94" s="1"/>
  <c r="AF6" i="94"/>
  <c r="AF8" i="94"/>
  <c r="AF16" i="94"/>
  <c r="AG16" i="94" s="1"/>
  <c r="AF12" i="94"/>
  <c r="AH12" i="94" s="1"/>
  <c r="AF21" i="94"/>
  <c r="AG21" i="94" s="1"/>
  <c r="AF22" i="94"/>
  <c r="AG22" i="94" s="1"/>
  <c r="AF23" i="94"/>
  <c r="AG23" i="94" s="1"/>
  <c r="AF24" i="94"/>
  <c r="AH24" i="94" s="1"/>
  <c r="AF5" i="95"/>
  <c r="AF6" i="95"/>
  <c r="AF12" i="95"/>
  <c r="AF10" i="95"/>
  <c r="AF17" i="95"/>
  <c r="AH17" i="95" s="1"/>
  <c r="AF11" i="95"/>
  <c r="AF18" i="95"/>
  <c r="AH18" i="95" s="1"/>
  <c r="AF7" i="95"/>
  <c r="AF13" i="95"/>
  <c r="AF15" i="95"/>
  <c r="AG15" i="95" s="1"/>
  <c r="AF14" i="95"/>
  <c r="AH14" i="95" s="1"/>
  <c r="AF9" i="95"/>
  <c r="AF19" i="95"/>
  <c r="AG19" i="95" s="1"/>
  <c r="AF8" i="95"/>
  <c r="AF20" i="95"/>
  <c r="AH20" i="95" s="1"/>
  <c r="AF16" i="95"/>
  <c r="AG16" i="95" s="1"/>
  <c r="AF21" i="95"/>
  <c r="AG21" i="95" s="1"/>
  <c r="AF22" i="95"/>
  <c r="AG22" i="95" s="1"/>
  <c r="AF23" i="95"/>
  <c r="AG23" i="95" s="1"/>
  <c r="AF24" i="95"/>
  <c r="AG24" i="95" s="1"/>
  <c r="AG17" i="95"/>
  <c r="AH19" i="95"/>
  <c r="AH21" i="95"/>
  <c r="AF6" i="96"/>
  <c r="AF5" i="96"/>
  <c r="AF12" i="96"/>
  <c r="AF14" i="96"/>
  <c r="AG14" i="96" s="1"/>
  <c r="AF10" i="96"/>
  <c r="AG10" i="96" s="1"/>
  <c r="AF7" i="96"/>
  <c r="AG7" i="96" s="1"/>
  <c r="AF13" i="96"/>
  <c r="AG13" i="96" s="1"/>
  <c r="AF8" i="96"/>
  <c r="AF9" i="96"/>
  <c r="AH9" i="96" s="1"/>
  <c r="AF11" i="96"/>
  <c r="AG11" i="96" s="1"/>
  <c r="AF15" i="96"/>
  <c r="AG15" i="96" s="1"/>
  <c r="AF16" i="96"/>
  <c r="AH16" i="96" s="1"/>
  <c r="AF17" i="96"/>
  <c r="AG17" i="96" s="1"/>
  <c r="AF18" i="96"/>
  <c r="AG18" i="96" s="1"/>
  <c r="AF19" i="96"/>
  <c r="AG19" i="96" s="1"/>
  <c r="AF20" i="96"/>
  <c r="AG20" i="96" s="1"/>
  <c r="AF21" i="96"/>
  <c r="AH21" i="96" s="1"/>
  <c r="AF22" i="96"/>
  <c r="AG22" i="96" s="1"/>
  <c r="AF23" i="96"/>
  <c r="AG23" i="96" s="1"/>
  <c r="AF24" i="96"/>
  <c r="AH24" i="96" s="1"/>
  <c r="AH19" i="96"/>
  <c r="AH23" i="96"/>
  <c r="AF7" i="97"/>
  <c r="AH7" i="97" s="1"/>
  <c r="AI7" i="97" s="1"/>
  <c r="AF12" i="97"/>
  <c r="AG12" i="97" s="1"/>
  <c r="AF13" i="97"/>
  <c r="AG13" i="97" s="1"/>
  <c r="AF14" i="97"/>
  <c r="AH14" i="97" s="1"/>
  <c r="AI14" i="97" s="1"/>
  <c r="AF11" i="97"/>
  <c r="AF15" i="97"/>
  <c r="AF16" i="97"/>
  <c r="AG16" i="97" s="1"/>
  <c r="AF17" i="97"/>
  <c r="AH17" i="97" s="1"/>
  <c r="AI17" i="97" s="1"/>
  <c r="AF18" i="97"/>
  <c r="AF19" i="97"/>
  <c r="AG19" i="97" s="1"/>
  <c r="AF20" i="97"/>
  <c r="AG20" i="97" s="1"/>
  <c r="AF21" i="97"/>
  <c r="AH21" i="97" s="1"/>
  <c r="AI21" i="97" s="1"/>
  <c r="AF22" i="97"/>
  <c r="AF23" i="97"/>
  <c r="AH23" i="97" s="1"/>
  <c r="AI23" i="97" s="1"/>
  <c r="AF24" i="97"/>
  <c r="AG24" i="97" s="1"/>
  <c r="AG11" i="97"/>
  <c r="AG15" i="97"/>
  <c r="AG18" i="97"/>
  <c r="AG22" i="97"/>
  <c r="AI9" i="97"/>
  <c r="AH11" i="97"/>
  <c r="AI11" i="97" s="1"/>
  <c r="AH15" i="97"/>
  <c r="AI15" i="97" s="1"/>
  <c r="AH18" i="97"/>
  <c r="AI18" i="97" s="1"/>
  <c r="AH22" i="97"/>
  <c r="AI22" i="97" s="1"/>
  <c r="AE6" i="104"/>
  <c r="AE9" i="104"/>
  <c r="AG9" i="104" s="1"/>
  <c r="AH9" i="104" s="1"/>
  <c r="AE10" i="104"/>
  <c r="AF10" i="104" s="1"/>
  <c r="AE13" i="104"/>
  <c r="AE14" i="104"/>
  <c r="AF14" i="104" s="1"/>
  <c r="AE15" i="104"/>
  <c r="AF15" i="104" s="1"/>
  <c r="AE16" i="104"/>
  <c r="AF16" i="104" s="1"/>
  <c r="AE17" i="104"/>
  <c r="AE18" i="104"/>
  <c r="AG18" i="104" s="1"/>
  <c r="AH18" i="104" s="1"/>
  <c r="AE19" i="104"/>
  <c r="AF19" i="104" s="1"/>
  <c r="AE20" i="104"/>
  <c r="AF20" i="104" s="1"/>
  <c r="AE21" i="104"/>
  <c r="AE22" i="104"/>
  <c r="AF22" i="104" s="1"/>
  <c r="AE23" i="104"/>
  <c r="AF23" i="104" s="1"/>
  <c r="AE24" i="104"/>
  <c r="AF24" i="104" s="1"/>
  <c r="AF6" i="104"/>
  <c r="AF9" i="104"/>
  <c r="AF13" i="104"/>
  <c r="AF17" i="104"/>
  <c r="AF21" i="104"/>
  <c r="AH11" i="104"/>
  <c r="AG6" i="104"/>
  <c r="AH6" i="104" s="1"/>
  <c r="AH12" i="104"/>
  <c r="AG13" i="104"/>
  <c r="AH13" i="104" s="1"/>
  <c r="AG17" i="104"/>
  <c r="AH17" i="104" s="1"/>
  <c r="AG20" i="104"/>
  <c r="AH20" i="104" s="1"/>
  <c r="AG21" i="104"/>
  <c r="AH21" i="104" s="1"/>
  <c r="AF6" i="100"/>
  <c r="AF5" i="101"/>
  <c r="AF6" i="101"/>
  <c r="AF7" i="101"/>
  <c r="AF8" i="101"/>
  <c r="AF9" i="101"/>
  <c r="AF10" i="101"/>
  <c r="AF11" i="101"/>
  <c r="AF12" i="101"/>
  <c r="AF13" i="101"/>
  <c r="AF14" i="101"/>
  <c r="AF15" i="101"/>
  <c r="AF16" i="101"/>
  <c r="AF17" i="101"/>
  <c r="AF18" i="101"/>
  <c r="AF19" i="101"/>
  <c r="AF20" i="101"/>
  <c r="AF21" i="101"/>
  <c r="AF22" i="101"/>
  <c r="AF23" i="101"/>
  <c r="AF24" i="101"/>
  <c r="AG5" i="101"/>
  <c r="AG6" i="101"/>
  <c r="AG7" i="101"/>
  <c r="AG8" i="101"/>
  <c r="AG9" i="101"/>
  <c r="AG10" i="101"/>
  <c r="AG11" i="101"/>
  <c r="AG12" i="101"/>
  <c r="AG13" i="101"/>
  <c r="AG14" i="101"/>
  <c r="AG15" i="101"/>
  <c r="AG16" i="101"/>
  <c r="AG17" i="101"/>
  <c r="AG18" i="101"/>
  <c r="AG19" i="101"/>
  <c r="AG20" i="101"/>
  <c r="AG21" i="101"/>
  <c r="AG22" i="101"/>
  <c r="AG23" i="101"/>
  <c r="AG24" i="101"/>
  <c r="AH5" i="101"/>
  <c r="AI5" i="101" s="1"/>
  <c r="AH6" i="101"/>
  <c r="AI6" i="101" s="1"/>
  <c r="AH7" i="101"/>
  <c r="AI7" i="101" s="1"/>
  <c r="AH8" i="101"/>
  <c r="AI8" i="101" s="1"/>
  <c r="AH9" i="101"/>
  <c r="AI9" i="101" s="1"/>
  <c r="AH10" i="101"/>
  <c r="AI10" i="101" s="1"/>
  <c r="AH11" i="101"/>
  <c r="AI11" i="101" s="1"/>
  <c r="AH12" i="101"/>
  <c r="AI12" i="101" s="1"/>
  <c r="AH13" i="101"/>
  <c r="AI13" i="101" s="1"/>
  <c r="AH14" i="101"/>
  <c r="AI14" i="101" s="1"/>
  <c r="AH15" i="101"/>
  <c r="AI15" i="101" s="1"/>
  <c r="AH16" i="101"/>
  <c r="AI16" i="101" s="1"/>
  <c r="AH17" i="101"/>
  <c r="AI17" i="101" s="1"/>
  <c r="AH18" i="101"/>
  <c r="AI18" i="101" s="1"/>
  <c r="AH19" i="101"/>
  <c r="AI19" i="101" s="1"/>
  <c r="AH20" i="101"/>
  <c r="AI20" i="101" s="1"/>
  <c r="AH21" i="101"/>
  <c r="AI21" i="101" s="1"/>
  <c r="AH22" i="101"/>
  <c r="AI22" i="101" s="1"/>
  <c r="AH23" i="101"/>
  <c r="AI23" i="101" s="1"/>
  <c r="AH24" i="101"/>
  <c r="AI24" i="101" s="1"/>
  <c r="AF20" i="88"/>
  <c r="AF9" i="88"/>
  <c r="AF8" i="88"/>
  <c r="AF12" i="88"/>
  <c r="AF21" i="88"/>
  <c r="AF22" i="88"/>
  <c r="AF6" i="88"/>
  <c r="AF5" i="88"/>
  <c r="AF14" i="88"/>
  <c r="AF7" i="88"/>
  <c r="AF17" i="88"/>
  <c r="AF13" i="88"/>
  <c r="AF10" i="88"/>
  <c r="AF24" i="88"/>
  <c r="AH24" i="88" s="1"/>
  <c r="AF15" i="88"/>
  <c r="AG15" i="88" s="1"/>
  <c r="AF18" i="88"/>
  <c r="AF19" i="88"/>
  <c r="AH19" i="88" s="1"/>
  <c r="AF11" i="88"/>
  <c r="AG11" i="88" s="1"/>
  <c r="AF23" i="88"/>
  <c r="AG23" i="88" s="1"/>
  <c r="AF16" i="88"/>
  <c r="AG16" i="88" s="1"/>
  <c r="AF19" i="89"/>
  <c r="AF13" i="89"/>
  <c r="AF6" i="89"/>
  <c r="AF10" i="89"/>
  <c r="AF7" i="89"/>
  <c r="AF5" i="89"/>
  <c r="AF12" i="89"/>
  <c r="AF21" i="89"/>
  <c r="AF15" i="89"/>
  <c r="AG15" i="89" s="1"/>
  <c r="AF20" i="89"/>
  <c r="AF18" i="89"/>
  <c r="AH18" i="89" s="1"/>
  <c r="AF22" i="89"/>
  <c r="AH22" i="89" s="1"/>
  <c r="AF9" i="89"/>
  <c r="AF14" i="89"/>
  <c r="AG14" i="89" s="1"/>
  <c r="AF11" i="89"/>
  <c r="AF16" i="89"/>
  <c r="AH16" i="89" s="1"/>
  <c r="AF17" i="89"/>
  <c r="AG17" i="89" s="1"/>
  <c r="AF23" i="89"/>
  <c r="AH23" i="89" s="1"/>
  <c r="AF8" i="89"/>
  <c r="AF24" i="89"/>
  <c r="AG19" i="89"/>
  <c r="AF8" i="90"/>
  <c r="AF7" i="90"/>
  <c r="AF9" i="90"/>
  <c r="AF11" i="90"/>
  <c r="AF17" i="90"/>
  <c r="AF10" i="90"/>
  <c r="AF12" i="90"/>
  <c r="AF20" i="90"/>
  <c r="AF5" i="90"/>
  <c r="AF13" i="90"/>
  <c r="AF6" i="90"/>
  <c r="AF15" i="90"/>
  <c r="AG15" i="90" s="1"/>
  <c r="AF18" i="90"/>
  <c r="AF19" i="90"/>
  <c r="AH19" i="90" s="1"/>
  <c r="AF14" i="90"/>
  <c r="AG14" i="90" s="1"/>
  <c r="AF16" i="90"/>
  <c r="AF21" i="90"/>
  <c r="AG21" i="90" s="1"/>
  <c r="AF22" i="90"/>
  <c r="AH22" i="90" s="1"/>
  <c r="AF23" i="90"/>
  <c r="AG23" i="90" s="1"/>
  <c r="AF24" i="90"/>
  <c r="AG24" i="90" s="1"/>
  <c r="AH15" i="90"/>
  <c r="AF5" i="91"/>
  <c r="AE6" i="112"/>
  <c r="AF7" i="83"/>
  <c r="AF8" i="83"/>
  <c r="AH12" i="83" s="1"/>
  <c r="AF15" i="83"/>
  <c r="AF9" i="83"/>
  <c r="AF12" i="83"/>
  <c r="AF6" i="83"/>
  <c r="AF5" i="83"/>
  <c r="AF13" i="83"/>
  <c r="AG13" i="83" s="1"/>
  <c r="AF11" i="83"/>
  <c r="AF10" i="83"/>
  <c r="AF16" i="83"/>
  <c r="AH16" i="83" s="1"/>
  <c r="AF17" i="83"/>
  <c r="AG17" i="83" s="1"/>
  <c r="AF14" i="83"/>
  <c r="AF18" i="83"/>
  <c r="AF19" i="83"/>
  <c r="AG19" i="83" s="1"/>
  <c r="AF20" i="83"/>
  <c r="AG20" i="83" s="1"/>
  <c r="AF21" i="83"/>
  <c r="AH21" i="83" s="1"/>
  <c r="AF22" i="83"/>
  <c r="AF23" i="83"/>
  <c r="AH23" i="83" s="1"/>
  <c r="AF24" i="83"/>
  <c r="AG24" i="83" s="1"/>
  <c r="AG16" i="83"/>
  <c r="AG23" i="83"/>
  <c r="AH19" i="83"/>
  <c r="AH20" i="83"/>
  <c r="AF5" i="84"/>
  <c r="AF10" i="85"/>
  <c r="AF10" i="82"/>
  <c r="AH10" i="82" s="1"/>
  <c r="AF6" i="82"/>
  <c r="AF5" i="82"/>
  <c r="AF14" i="82"/>
  <c r="AF15" i="82"/>
  <c r="AF7" i="82"/>
  <c r="AF11" i="82"/>
  <c r="AG11" i="82" s="1"/>
  <c r="AF16" i="82"/>
  <c r="AF9" i="82"/>
  <c r="AF13" i="82"/>
  <c r="AF8" i="82"/>
  <c r="AF12" i="82"/>
  <c r="AH12" i="82" s="1"/>
  <c r="AF17" i="82"/>
  <c r="AG17" i="82" s="1"/>
  <c r="AF18" i="82"/>
  <c r="AG18" i="82" s="1"/>
  <c r="AF19" i="82"/>
  <c r="AG19" i="82" s="1"/>
  <c r="AF20" i="82"/>
  <c r="AF21" i="82"/>
  <c r="AG21" i="82" s="1"/>
  <c r="AF22" i="82"/>
  <c r="AH22" i="82" s="1"/>
  <c r="AF23" i="82"/>
  <c r="AG23" i="82" s="1"/>
  <c r="AF24" i="82"/>
  <c r="AH24" i="82" s="1"/>
  <c r="AH5" i="85" l="1"/>
  <c r="AG5" i="85"/>
  <c r="AH7" i="85"/>
  <c r="AG7" i="85"/>
  <c r="AI7" i="85" s="1"/>
  <c r="AH6" i="85"/>
  <c r="AG6" i="85"/>
  <c r="AH10" i="85"/>
  <c r="AG10" i="85"/>
  <c r="AI10" i="85" s="1"/>
  <c r="AH6" i="84"/>
  <c r="AG9" i="84"/>
  <c r="AG11" i="84"/>
  <c r="AH8" i="84"/>
  <c r="AG6" i="84"/>
  <c r="AI6" i="84" s="1"/>
  <c r="AH7" i="84"/>
  <c r="AH9" i="84"/>
  <c r="AI9" i="84" s="1"/>
  <c r="AG7" i="84"/>
  <c r="AG10" i="84"/>
  <c r="AH10" i="84"/>
  <c r="AH11" i="84"/>
  <c r="AG8" i="84"/>
  <c r="AI8" i="84" s="1"/>
  <c r="AG5" i="84"/>
  <c r="AH5" i="84"/>
  <c r="AI5" i="84" s="1"/>
  <c r="AH14" i="83"/>
  <c r="AG12" i="83"/>
  <c r="AH11" i="83"/>
  <c r="AG22" i="82"/>
  <c r="AG8" i="82"/>
  <c r="AG5" i="82"/>
  <c r="AG8" i="91"/>
  <c r="AH8" i="91"/>
  <c r="AG8" i="90"/>
  <c r="AH16" i="90"/>
  <c r="AH20" i="89"/>
  <c r="AG10" i="89"/>
  <c r="AG20" i="89"/>
  <c r="AH10" i="88"/>
  <c r="AG12" i="88"/>
  <c r="AH21" i="88"/>
  <c r="AH22" i="88"/>
  <c r="AH5" i="100"/>
  <c r="AG8" i="100"/>
  <c r="AH8" i="100"/>
  <c r="AG5" i="100"/>
  <c r="AI5" i="100" s="1"/>
  <c r="AH12" i="97"/>
  <c r="AI12" i="97" s="1"/>
  <c r="AG8" i="96"/>
  <c r="AG12" i="96"/>
  <c r="AG9" i="95"/>
  <c r="AH11" i="95"/>
  <c r="AG8" i="95"/>
  <c r="AG18" i="95"/>
  <c r="AH8" i="95"/>
  <c r="AG11" i="95"/>
  <c r="AG11" i="94"/>
  <c r="AH23" i="94"/>
  <c r="AH11" i="94"/>
  <c r="AG8" i="94"/>
  <c r="AG6" i="94"/>
  <c r="AH5" i="94"/>
  <c r="AH17" i="94"/>
  <c r="AG21" i="83"/>
  <c r="AH9" i="82"/>
  <c r="AG9" i="82"/>
  <c r="AG19" i="90"/>
  <c r="AH24" i="90"/>
  <c r="AG16" i="90"/>
  <c r="AH23" i="82"/>
  <c r="AG24" i="88"/>
  <c r="AH11" i="88"/>
  <c r="AH15" i="96"/>
  <c r="AH13" i="96"/>
  <c r="AH23" i="95"/>
  <c r="AG14" i="95"/>
  <c r="AG22" i="90"/>
  <c r="AG24" i="104"/>
  <c r="AH24" i="104" s="1"/>
  <c r="AG16" i="104"/>
  <c r="AH16" i="104" s="1"/>
  <c r="AH9" i="95"/>
  <c r="AH16" i="95"/>
  <c r="AG20" i="95"/>
  <c r="AH24" i="95"/>
  <c r="AH17" i="83"/>
  <c r="AH24" i="83"/>
  <c r="AH18" i="82"/>
  <c r="AH17" i="89"/>
  <c r="AG16" i="89"/>
  <c r="AG11" i="83"/>
  <c r="AG14" i="83"/>
  <c r="AG24" i="82"/>
  <c r="AH19" i="82"/>
  <c r="AG22" i="89"/>
  <c r="AG22" i="88"/>
  <c r="AH16" i="97"/>
  <c r="AI16" i="97" s="1"/>
  <c r="AG14" i="97"/>
  <c r="AH20" i="97"/>
  <c r="AI20" i="97" s="1"/>
  <c r="AH17" i="96"/>
  <c r="AH10" i="96"/>
  <c r="AG9" i="96"/>
  <c r="AG21" i="96"/>
  <c r="AH22" i="95"/>
  <c r="AH15" i="95"/>
  <c r="AH21" i="94"/>
  <c r="AH16" i="94"/>
  <c r="AH13" i="83"/>
  <c r="AG23" i="89"/>
  <c r="AH14" i="89"/>
  <c r="AG10" i="88"/>
  <c r="AH12" i="88"/>
  <c r="AF18" i="104"/>
  <c r="AG23" i="104"/>
  <c r="AH23" i="104" s="1"/>
  <c r="AG19" i="104"/>
  <c r="AH19" i="104" s="1"/>
  <c r="AG15" i="104"/>
  <c r="AH15" i="104" s="1"/>
  <c r="AG10" i="104"/>
  <c r="AH10" i="104" s="1"/>
  <c r="AH7" i="104"/>
  <c r="AG22" i="104"/>
  <c r="AH22" i="104" s="1"/>
  <c r="AG14" i="104"/>
  <c r="AH14" i="104" s="1"/>
  <c r="AH12" i="96"/>
  <c r="AH15" i="94"/>
  <c r="X12" i="87"/>
  <c r="AH5" i="91"/>
  <c r="AG5" i="91"/>
  <c r="AG12" i="82"/>
  <c r="AH20" i="82"/>
  <c r="AG20" i="82"/>
  <c r="AG16" i="82"/>
  <c r="AH16" i="82"/>
  <c r="AG22" i="83"/>
  <c r="AH22" i="83"/>
  <c r="AG18" i="83"/>
  <c r="AH18" i="83"/>
  <c r="AG10" i="83"/>
  <c r="AH10" i="83"/>
  <c r="AG7" i="83"/>
  <c r="AH7" i="83"/>
  <c r="AG7" i="90"/>
  <c r="AG17" i="90"/>
  <c r="AH17" i="90"/>
  <c r="AH10" i="90"/>
  <c r="AH9" i="89"/>
  <c r="AH21" i="89"/>
  <c r="AH11" i="82"/>
  <c r="AH8" i="82"/>
  <c r="AH5" i="82"/>
  <c r="AH15" i="88"/>
  <c r="AH13" i="97"/>
  <c r="AI13" i="97" s="1"/>
  <c r="AG23" i="97"/>
  <c r="AG17" i="97"/>
  <c r="AG8" i="97"/>
  <c r="AI8" i="97" s="1"/>
  <c r="AH22" i="96"/>
  <c r="AH18" i="96"/>
  <c r="AH11" i="96"/>
  <c r="AH7" i="96"/>
  <c r="AG24" i="96"/>
  <c r="AG16" i="96"/>
  <c r="AH6" i="94"/>
  <c r="AH12" i="90"/>
  <c r="AH15" i="89"/>
  <c r="AH16" i="88"/>
  <c r="AH24" i="97"/>
  <c r="AI24" i="97" s="1"/>
  <c r="AH19" i="97"/>
  <c r="AI19" i="97" s="1"/>
  <c r="AG7" i="97"/>
  <c r="AH20" i="96"/>
  <c r="AH8" i="96"/>
  <c r="AH14" i="96"/>
  <c r="AG17" i="94"/>
  <c r="AH24" i="89"/>
  <c r="AH5" i="89"/>
  <c r="AI10" i="97"/>
  <c r="AG5" i="96"/>
  <c r="AG9" i="94"/>
  <c r="AG21" i="97"/>
  <c r="AH5" i="96"/>
  <c r="AG6" i="96"/>
  <c r="AH6" i="96"/>
  <c r="AH10" i="95"/>
  <c r="AG10" i="95"/>
  <c r="AH12" i="95"/>
  <c r="AG6" i="95"/>
  <c r="AH13" i="95"/>
  <c r="AG12" i="95"/>
  <c r="AH5" i="95"/>
  <c r="AH6" i="95"/>
  <c r="AG7" i="95"/>
  <c r="AG13" i="95"/>
  <c r="AH7" i="95"/>
  <c r="AH22" i="94"/>
  <c r="AH8" i="94"/>
  <c r="AH19" i="94"/>
  <c r="AG24" i="94"/>
  <c r="AG12" i="94"/>
  <c r="AG14" i="94"/>
  <c r="AG5" i="94"/>
  <c r="AG13" i="94"/>
  <c r="AH20" i="94"/>
  <c r="AG20" i="94"/>
  <c r="AH13" i="94"/>
  <c r="AH7" i="94"/>
  <c r="AG7" i="94"/>
  <c r="AH9" i="94"/>
  <c r="AH18" i="94"/>
  <c r="AG10" i="94"/>
  <c r="AH10" i="94"/>
  <c r="AG18" i="94"/>
  <c r="AG25" i="104"/>
  <c r="AH25" i="104" s="1"/>
  <c r="X5" i="103"/>
  <c r="AG6" i="100"/>
  <c r="AH6" i="100"/>
  <c r="AG6" i="112"/>
  <c r="AH6" i="112" s="1"/>
  <c r="AF6" i="112"/>
  <c r="AH21" i="90"/>
  <c r="AH8" i="90"/>
  <c r="AG18" i="90"/>
  <c r="AH23" i="90"/>
  <c r="AH14" i="90"/>
  <c r="AG12" i="90"/>
  <c r="AH6" i="90"/>
  <c r="AG13" i="90"/>
  <c r="AH13" i="90"/>
  <c r="AH9" i="90"/>
  <c r="AH18" i="90"/>
  <c r="AH5" i="90"/>
  <c r="AG10" i="90"/>
  <c r="AH20" i="90"/>
  <c r="AH11" i="90"/>
  <c r="AG6" i="90"/>
  <c r="AG9" i="90"/>
  <c r="AG11" i="90"/>
  <c r="AH7" i="90"/>
  <c r="AG5" i="90"/>
  <c r="AG20" i="90"/>
  <c r="AG24" i="89"/>
  <c r="AG9" i="89"/>
  <c r="AH13" i="89"/>
  <c r="AG11" i="89"/>
  <c r="AG21" i="89"/>
  <c r="AG12" i="89"/>
  <c r="AG5" i="89"/>
  <c r="AG7" i="89"/>
  <c r="AG13" i="89"/>
  <c r="AG6" i="89"/>
  <c r="AH12" i="89"/>
  <c r="AH6" i="89"/>
  <c r="AG18" i="89"/>
  <c r="AH11" i="89"/>
  <c r="AH19" i="89"/>
  <c r="AH8" i="89"/>
  <c r="AG8" i="89"/>
  <c r="AH7" i="89"/>
  <c r="AH10" i="89"/>
  <c r="AH23" i="88"/>
  <c r="AG19" i="88"/>
  <c r="AG20" i="88"/>
  <c r="AH7" i="88"/>
  <c r="AG8" i="88"/>
  <c r="AH14" i="88"/>
  <c r="AH8" i="88"/>
  <c r="AG7" i="88"/>
  <c r="AG21" i="88"/>
  <c r="AH20" i="88"/>
  <c r="AG14" i="88"/>
  <c r="AG13" i="88"/>
  <c r="AH6" i="88"/>
  <c r="AH9" i="88"/>
  <c r="AG6" i="88"/>
  <c r="AH13" i="88"/>
  <c r="AH18" i="88"/>
  <c r="AH5" i="88"/>
  <c r="AG17" i="88"/>
  <c r="AG9" i="88"/>
  <c r="AH17" i="88"/>
  <c r="AG5" i="88"/>
  <c r="AG18" i="88"/>
  <c r="AG8" i="83"/>
  <c r="AH9" i="83"/>
  <c r="AG9" i="83"/>
  <c r="AH5" i="83"/>
  <c r="AH15" i="83"/>
  <c r="AG5" i="83"/>
  <c r="AG15" i="83"/>
  <c r="AH6" i="83"/>
  <c r="AH8" i="83"/>
  <c r="AG6" i="83"/>
  <c r="AH21" i="82"/>
  <c r="AH17" i="82"/>
  <c r="AG6" i="82"/>
  <c r="AH15" i="82"/>
  <c r="AH14" i="82"/>
  <c r="AG10" i="82"/>
  <c r="AG7" i="82"/>
  <c r="AH13" i="82"/>
  <c r="AH7" i="82"/>
  <c r="AH6" i="82"/>
  <c r="AG13" i="82"/>
  <c r="AG14" i="82"/>
  <c r="AG15" i="82"/>
  <c r="AG5" i="95"/>
  <c r="AF24" i="74"/>
  <c r="AH24" i="74" s="1"/>
  <c r="AI24" i="74" s="1"/>
  <c r="AF23" i="74"/>
  <c r="AG23" i="74" s="1"/>
  <c r="AF22" i="74"/>
  <c r="AG22" i="74" s="1"/>
  <c r="AF21" i="74"/>
  <c r="AH21" i="74" s="1"/>
  <c r="AI21" i="74" s="1"/>
  <c r="AF20" i="74"/>
  <c r="AH20" i="74" s="1"/>
  <c r="AI20" i="74" s="1"/>
  <c r="AF19" i="74"/>
  <c r="AG19" i="74" s="1"/>
  <c r="AF18" i="74"/>
  <c r="AG18" i="74" s="1"/>
  <c r="AF17" i="74"/>
  <c r="AH17" i="74" s="1"/>
  <c r="AI17" i="74" s="1"/>
  <c r="AF16" i="74"/>
  <c r="AH16" i="74" s="1"/>
  <c r="AI16" i="74" s="1"/>
  <c r="AF15" i="74"/>
  <c r="AG15" i="74" s="1"/>
  <c r="AF11" i="74"/>
  <c r="AG11" i="74" s="1"/>
  <c r="AF9" i="74"/>
  <c r="AF14" i="74"/>
  <c r="AH14" i="74" s="1"/>
  <c r="AI14" i="74" s="1"/>
  <c r="AF13" i="74"/>
  <c r="AG13" i="74" s="1"/>
  <c r="AF10" i="74"/>
  <c r="AF12" i="74"/>
  <c r="AH12" i="74" s="1"/>
  <c r="AI12" i="74" s="1"/>
  <c r="AF6" i="74"/>
  <c r="AF6" i="75"/>
  <c r="AF12" i="73"/>
  <c r="AF10" i="73"/>
  <c r="AF11" i="73"/>
  <c r="AF13" i="73"/>
  <c r="AH13" i="73" s="1"/>
  <c r="AF5" i="73"/>
  <c r="AF8" i="73"/>
  <c r="AF15" i="73"/>
  <c r="AH15" i="73" s="1"/>
  <c r="AF9" i="73"/>
  <c r="AF7" i="73"/>
  <c r="AF16" i="73"/>
  <c r="AG16" i="73" s="1"/>
  <c r="AF14" i="73"/>
  <c r="AF17" i="73"/>
  <c r="AG17" i="73" s="1"/>
  <c r="AF18" i="73"/>
  <c r="AG18" i="73" s="1"/>
  <c r="AF19" i="73"/>
  <c r="AH19" i="73" s="1"/>
  <c r="AF20" i="73"/>
  <c r="AG20" i="73" s="1"/>
  <c r="AF21" i="73"/>
  <c r="AG21" i="73" s="1"/>
  <c r="AF22" i="73"/>
  <c r="AF23" i="73"/>
  <c r="AH23" i="73" s="1"/>
  <c r="AF24" i="73"/>
  <c r="AG24" i="73" s="1"/>
  <c r="AG13" i="73"/>
  <c r="AG22" i="73"/>
  <c r="AH18" i="73"/>
  <c r="AH21" i="73"/>
  <c r="AH22" i="73"/>
  <c r="AF15" i="72"/>
  <c r="AF9" i="72"/>
  <c r="AF11" i="72"/>
  <c r="AF10" i="72"/>
  <c r="AF6" i="72"/>
  <c r="AF7" i="72"/>
  <c r="AF5" i="72"/>
  <c r="AF8" i="72"/>
  <c r="AF13" i="72"/>
  <c r="AF12" i="72"/>
  <c r="AF16" i="72"/>
  <c r="AF17" i="72"/>
  <c r="AH17" i="72" s="1"/>
  <c r="AF14" i="72"/>
  <c r="AG14" i="72" s="1"/>
  <c r="AF18" i="72"/>
  <c r="AG18" i="72" s="1"/>
  <c r="AF19" i="72"/>
  <c r="AG19" i="72" s="1"/>
  <c r="AF20" i="72"/>
  <c r="AG20" i="72" s="1"/>
  <c r="AF21" i="72"/>
  <c r="AG21" i="72" s="1"/>
  <c r="AF22" i="72"/>
  <c r="AG22" i="72" s="1"/>
  <c r="AF23" i="72"/>
  <c r="AG23" i="72" s="1"/>
  <c r="AF24" i="72"/>
  <c r="AG24" i="72" s="1"/>
  <c r="AF7" i="71"/>
  <c r="AF10" i="71"/>
  <c r="AF9" i="71"/>
  <c r="AF11" i="71"/>
  <c r="AF8" i="71"/>
  <c r="AF13" i="71"/>
  <c r="AF14" i="71"/>
  <c r="AG14" i="71" s="1"/>
  <c r="AF6" i="71"/>
  <c r="AF5" i="71"/>
  <c r="AF15" i="71"/>
  <c r="AG15" i="71" s="1"/>
  <c r="AF16" i="71"/>
  <c r="AG16" i="71" s="1"/>
  <c r="AF17" i="71"/>
  <c r="AH17" i="71" s="1"/>
  <c r="AF12" i="71"/>
  <c r="AG12" i="71" s="1"/>
  <c r="AF18" i="71"/>
  <c r="AH18" i="71" s="1"/>
  <c r="AF19" i="71"/>
  <c r="AG19" i="71" s="1"/>
  <c r="AF20" i="71"/>
  <c r="AH20" i="71" s="1"/>
  <c r="AF21" i="71"/>
  <c r="AG21" i="71" s="1"/>
  <c r="AF22" i="71"/>
  <c r="AF23" i="71"/>
  <c r="AG23" i="71" s="1"/>
  <c r="AF24" i="71"/>
  <c r="AG24" i="71" s="1"/>
  <c r="AG22" i="71"/>
  <c r="AH14" i="71"/>
  <c r="AH22" i="71"/>
  <c r="AH23" i="71"/>
  <c r="AF7" i="80"/>
  <c r="AF10" i="80"/>
  <c r="AF5" i="80"/>
  <c r="AF8" i="80"/>
  <c r="AF12" i="80"/>
  <c r="AH12" i="80" s="1"/>
  <c r="AI12" i="80" s="1"/>
  <c r="AF13" i="80"/>
  <c r="AH13" i="80" s="1"/>
  <c r="AI13" i="80" s="1"/>
  <c r="AF14" i="80"/>
  <c r="AF15" i="80"/>
  <c r="AH15" i="80" s="1"/>
  <c r="AI15" i="80" s="1"/>
  <c r="AF16" i="80"/>
  <c r="AH16" i="80" s="1"/>
  <c r="AI16" i="80" s="1"/>
  <c r="AF17" i="80"/>
  <c r="AH17" i="80" s="1"/>
  <c r="AI17" i="80" s="1"/>
  <c r="AF18" i="80"/>
  <c r="AF19" i="80"/>
  <c r="AH19" i="80" s="1"/>
  <c r="AI19" i="80" s="1"/>
  <c r="AF20" i="80"/>
  <c r="AH20" i="80" s="1"/>
  <c r="AI20" i="80" s="1"/>
  <c r="AF21" i="80"/>
  <c r="AH21" i="80" s="1"/>
  <c r="AI21" i="80" s="1"/>
  <c r="AF22" i="80"/>
  <c r="AF23" i="80"/>
  <c r="AH23" i="80" s="1"/>
  <c r="AI23" i="80" s="1"/>
  <c r="AF24" i="80"/>
  <c r="AH24" i="80" s="1"/>
  <c r="AI24" i="80" s="1"/>
  <c r="AG13" i="80"/>
  <c r="AG14" i="80"/>
  <c r="AG15" i="80"/>
  <c r="AG18" i="80"/>
  <c r="AG22" i="80"/>
  <c r="AH14" i="80"/>
  <c r="AI14" i="80" s="1"/>
  <c r="AH18" i="80"/>
  <c r="AI18" i="80" s="1"/>
  <c r="AH22" i="80"/>
  <c r="AI22" i="80" s="1"/>
  <c r="AF13" i="79"/>
  <c r="AF18" i="79"/>
  <c r="AF12" i="79"/>
  <c r="AF7" i="79"/>
  <c r="AF8" i="79"/>
  <c r="AF11" i="79"/>
  <c r="AF5" i="79"/>
  <c r="AF14" i="79"/>
  <c r="AF10" i="79"/>
  <c r="AF22" i="79"/>
  <c r="AF6" i="79"/>
  <c r="AF9" i="79"/>
  <c r="AF16" i="79"/>
  <c r="AF21" i="79"/>
  <c r="AH21" i="79" s="1"/>
  <c r="AF15" i="79"/>
  <c r="AG15" i="79" s="1"/>
  <c r="AF19" i="79"/>
  <c r="AF20" i="79"/>
  <c r="AH20" i="79" s="1"/>
  <c r="AF17" i="79"/>
  <c r="AH17" i="79" s="1"/>
  <c r="AF23" i="79"/>
  <c r="AG23" i="79" s="1"/>
  <c r="AF24" i="79"/>
  <c r="AG24" i="79"/>
  <c r="AH24" i="79"/>
  <c r="AF9" i="78"/>
  <c r="AF5" i="78"/>
  <c r="AF18" i="78"/>
  <c r="AF7" i="78"/>
  <c r="AF25" i="78"/>
  <c r="AH25" i="78" s="1"/>
  <c r="AF8" i="78"/>
  <c r="AF15" i="78"/>
  <c r="AF6" i="78"/>
  <c r="AF19" i="78"/>
  <c r="AG19" i="78" s="1"/>
  <c r="AF10" i="78"/>
  <c r="AF12" i="78"/>
  <c r="AF13" i="78"/>
  <c r="AF11" i="78"/>
  <c r="AF20" i="78"/>
  <c r="AG20" i="78" s="1"/>
  <c r="AF14" i="78"/>
  <c r="AF23" i="78"/>
  <c r="AF22" i="78"/>
  <c r="AH22" i="78" s="1"/>
  <c r="AF21" i="78"/>
  <c r="AG21" i="78" s="1"/>
  <c r="AF17" i="78"/>
  <c r="AG17" i="78" s="1"/>
  <c r="AF16" i="78"/>
  <c r="AG25" i="78"/>
  <c r="AF23" i="77"/>
  <c r="AF6" i="77"/>
  <c r="AF12" i="77"/>
  <c r="AG12" i="77" s="1"/>
  <c r="AF5" i="77"/>
  <c r="AF17" i="77"/>
  <c r="AF25" i="77"/>
  <c r="AF7" i="77"/>
  <c r="AF13" i="77"/>
  <c r="AF10" i="77"/>
  <c r="AF18" i="77"/>
  <c r="AF14" i="77"/>
  <c r="AF9" i="77"/>
  <c r="AG9" i="77" s="1"/>
  <c r="AF21" i="77"/>
  <c r="AF22" i="77"/>
  <c r="AF24" i="77"/>
  <c r="AF8" i="77"/>
  <c r="AF15" i="77"/>
  <c r="AH15" i="77" s="1"/>
  <c r="AF11" i="77"/>
  <c r="AF20" i="77"/>
  <c r="AG20" i="77" s="1"/>
  <c r="AF19" i="77"/>
  <c r="AH19" i="77" s="1"/>
  <c r="AF6" i="52"/>
  <c r="AF5" i="51"/>
  <c r="AF8" i="50"/>
  <c r="AF9" i="50"/>
  <c r="AF7" i="50"/>
  <c r="AG6" i="50" s="1"/>
  <c r="AF11" i="50"/>
  <c r="AF5" i="50"/>
  <c r="AF6" i="50"/>
  <c r="AF13" i="50"/>
  <c r="AG13" i="50" s="1"/>
  <c r="AF10" i="50"/>
  <c r="AF12" i="50"/>
  <c r="AF14" i="50"/>
  <c r="AF15" i="50"/>
  <c r="AG15" i="50" s="1"/>
  <c r="AF16" i="50"/>
  <c r="AH16" i="50" s="1"/>
  <c r="AF17" i="50"/>
  <c r="AF18" i="50"/>
  <c r="AH18" i="50" s="1"/>
  <c r="AF19" i="50"/>
  <c r="AG19" i="50" s="1"/>
  <c r="AF20" i="50"/>
  <c r="AH20" i="50" s="1"/>
  <c r="AF21" i="50"/>
  <c r="AG21" i="50" s="1"/>
  <c r="AF22" i="50"/>
  <c r="AH22" i="50" s="1"/>
  <c r="AF23" i="50"/>
  <c r="AH23" i="50" s="1"/>
  <c r="AF24" i="50"/>
  <c r="AG24" i="50" s="1"/>
  <c r="AF8" i="49"/>
  <c r="AF11" i="49"/>
  <c r="AF6" i="49"/>
  <c r="AF9" i="49"/>
  <c r="AF10" i="49"/>
  <c r="AF5" i="49"/>
  <c r="AF12" i="49"/>
  <c r="AF7" i="49"/>
  <c r="AF13" i="49"/>
  <c r="AH13" i="49" s="1"/>
  <c r="AF14" i="49"/>
  <c r="AF15" i="49"/>
  <c r="AG15" i="49" s="1"/>
  <c r="AF16" i="49"/>
  <c r="AG16" i="49" s="1"/>
  <c r="AF17" i="49"/>
  <c r="AG17" i="49" s="1"/>
  <c r="AF18" i="49"/>
  <c r="AF19" i="49"/>
  <c r="AG19" i="49" s="1"/>
  <c r="AF20" i="49"/>
  <c r="AH20" i="49" s="1"/>
  <c r="AF21" i="49"/>
  <c r="AG21" i="49" s="1"/>
  <c r="AF22" i="49"/>
  <c r="AH22" i="49" s="1"/>
  <c r="AF23" i="49"/>
  <c r="AG23" i="49" s="1"/>
  <c r="AF24" i="49"/>
  <c r="AG24" i="49" s="1"/>
  <c r="AG13" i="49"/>
  <c r="AH15" i="49"/>
  <c r="AF15" i="55"/>
  <c r="AF24" i="55"/>
  <c r="AF22" i="55"/>
  <c r="AH22" i="55" s="1"/>
  <c r="AF23" i="55"/>
  <c r="AF11" i="55"/>
  <c r="AF14" i="55"/>
  <c r="AF19" i="55"/>
  <c r="AH19" i="55" s="1"/>
  <c r="AF17" i="55"/>
  <c r="AF12" i="55"/>
  <c r="AF5" i="55"/>
  <c r="AF8" i="55"/>
  <c r="AF16" i="55"/>
  <c r="AF26" i="55"/>
  <c r="AF18" i="55"/>
  <c r="AF25" i="55"/>
  <c r="AF13" i="55"/>
  <c r="AF6" i="55"/>
  <c r="AF10" i="55"/>
  <c r="AF9" i="55"/>
  <c r="AF15" i="56"/>
  <c r="AF26" i="56"/>
  <c r="AG26" i="56" s="1"/>
  <c r="AF21" i="56"/>
  <c r="AF16" i="56"/>
  <c r="AF14" i="56"/>
  <c r="AF19" i="56"/>
  <c r="AF7" i="56"/>
  <c r="AF12" i="56"/>
  <c r="AF6" i="56"/>
  <c r="AF11" i="56"/>
  <c r="AF17" i="56"/>
  <c r="AF25" i="56"/>
  <c r="AF18" i="56"/>
  <c r="AF24" i="56"/>
  <c r="AF8" i="56"/>
  <c r="AF9" i="56"/>
  <c r="AF22" i="56"/>
  <c r="AF5" i="56"/>
  <c r="AF24" i="53"/>
  <c r="AH24" i="53" s="1"/>
  <c r="AF16" i="53"/>
  <c r="AF21" i="53"/>
  <c r="AF17" i="53"/>
  <c r="AG17" i="53" s="1"/>
  <c r="AF22" i="53"/>
  <c r="AH22" i="53" s="1"/>
  <c r="AF23" i="53"/>
  <c r="AG23" i="53" s="1"/>
  <c r="AF12" i="53"/>
  <c r="AF9" i="53"/>
  <c r="AG9" i="53" s="1"/>
  <c r="AF18" i="53"/>
  <c r="AF8" i="53"/>
  <c r="AF5" i="53"/>
  <c r="AF15" i="53"/>
  <c r="AF19" i="53"/>
  <c r="AF13" i="53"/>
  <c r="AF10" i="53"/>
  <c r="AF14" i="53"/>
  <c r="AF20" i="53"/>
  <c r="AF7" i="53"/>
  <c r="AF6" i="53"/>
  <c r="AF11" i="53"/>
  <c r="AI6" i="85" l="1"/>
  <c r="AI5" i="85"/>
  <c r="AI7" i="84"/>
  <c r="AI11" i="84"/>
  <c r="AI10" i="84"/>
  <c r="AI8" i="91"/>
  <c r="AI5" i="91"/>
  <c r="AI8" i="100"/>
  <c r="X7" i="103" s="1"/>
  <c r="AI6" i="100"/>
  <c r="AG15" i="56"/>
  <c r="AG14" i="56"/>
  <c r="AH13" i="56"/>
  <c r="AG13" i="56"/>
  <c r="AH21" i="56"/>
  <c r="AG5" i="56"/>
  <c r="AG23" i="56"/>
  <c r="AH23" i="56"/>
  <c r="AI23" i="56" s="1"/>
  <c r="AJ23" i="56" s="1"/>
  <c r="AK23" i="56" s="1"/>
  <c r="AG16" i="56"/>
  <c r="AG11" i="55"/>
  <c r="AH25" i="55"/>
  <c r="AG10" i="55"/>
  <c r="AH7" i="55"/>
  <c r="AG7" i="55"/>
  <c r="AH24" i="55"/>
  <c r="AH23" i="55"/>
  <c r="AH8" i="55"/>
  <c r="AH18" i="53"/>
  <c r="AH8" i="75"/>
  <c r="AG5" i="75"/>
  <c r="AH5" i="75"/>
  <c r="AG11" i="75"/>
  <c r="AH10" i="75"/>
  <c r="AG8" i="75"/>
  <c r="AI8" i="75" s="1"/>
  <c r="AH11" i="75"/>
  <c r="AG10" i="75"/>
  <c r="AI10" i="75" s="1"/>
  <c r="AH24" i="73"/>
  <c r="AH9" i="73"/>
  <c r="AG5" i="73"/>
  <c r="AG11" i="73"/>
  <c r="AH16" i="72"/>
  <c r="AG10" i="72"/>
  <c r="AH8" i="72"/>
  <c r="AG9" i="71"/>
  <c r="AH6" i="79"/>
  <c r="AH9" i="79"/>
  <c r="AG19" i="79"/>
  <c r="AH22" i="79"/>
  <c r="AG9" i="79"/>
  <c r="AH16" i="79"/>
  <c r="AH19" i="79"/>
  <c r="AG10" i="79"/>
  <c r="AH10" i="79"/>
  <c r="AH16" i="78"/>
  <c r="AG12" i="78"/>
  <c r="AH24" i="78"/>
  <c r="AI24" i="78" s="1"/>
  <c r="AJ24" i="78" s="1"/>
  <c r="AK24" i="78" s="1"/>
  <c r="AG24" i="78"/>
  <c r="AG10" i="78"/>
  <c r="AH11" i="78"/>
  <c r="AH13" i="78"/>
  <c r="AG14" i="78"/>
  <c r="AH8" i="77"/>
  <c r="AG24" i="77"/>
  <c r="AH5" i="77"/>
  <c r="AG19" i="77"/>
  <c r="AG7" i="77"/>
  <c r="AH22" i="77"/>
  <c r="AH21" i="77"/>
  <c r="AH18" i="77"/>
  <c r="AH11" i="77"/>
  <c r="AG8" i="77"/>
  <c r="AH8" i="52"/>
  <c r="AH9" i="52"/>
  <c r="AG9" i="52"/>
  <c r="AG8" i="52"/>
  <c r="AI8" i="52" s="1"/>
  <c r="AG7" i="52"/>
  <c r="AH7" i="52"/>
  <c r="AG5" i="52"/>
  <c r="AH5" i="52"/>
  <c r="AG11" i="52"/>
  <c r="AH11" i="52"/>
  <c r="AH6" i="51"/>
  <c r="AG6" i="51"/>
  <c r="AH10" i="51"/>
  <c r="AG10" i="51"/>
  <c r="AI10" i="51" s="1"/>
  <c r="AH8" i="51"/>
  <c r="AG8" i="51"/>
  <c r="AH19" i="50"/>
  <c r="AH13" i="50"/>
  <c r="AH14" i="50"/>
  <c r="AH6" i="50"/>
  <c r="AG8" i="50"/>
  <c r="AG22" i="49"/>
  <c r="AH23" i="49"/>
  <c r="AH19" i="49"/>
  <c r="AG16" i="53"/>
  <c r="AG8" i="53"/>
  <c r="AH21" i="53"/>
  <c r="AH9" i="71"/>
  <c r="AH6" i="71"/>
  <c r="AG6" i="71"/>
  <c r="AG5" i="71"/>
  <c r="AH8" i="71"/>
  <c r="AG22" i="50"/>
  <c r="AG14" i="50"/>
  <c r="AG12" i="49"/>
  <c r="AG23" i="80"/>
  <c r="AG16" i="79"/>
  <c r="AH23" i="79"/>
  <c r="AG18" i="77"/>
  <c r="AG5" i="77"/>
  <c r="AG16" i="50"/>
  <c r="AH20" i="73"/>
  <c r="AH16" i="71"/>
  <c r="AG19" i="80"/>
  <c r="AH24" i="77"/>
  <c r="AG18" i="50"/>
  <c r="AH17" i="49"/>
  <c r="AH21" i="49"/>
  <c r="AH23" i="72"/>
  <c r="AH19" i="72"/>
  <c r="AG16" i="72"/>
  <c r="AG8" i="80"/>
  <c r="AH8" i="80"/>
  <c r="AI8" i="80" s="1"/>
  <c r="AG21" i="80"/>
  <c r="AG17" i="80"/>
  <c r="AG5" i="80"/>
  <c r="AH5" i="80"/>
  <c r="AI5" i="80" s="1"/>
  <c r="AG24" i="80"/>
  <c r="AG20" i="80"/>
  <c r="AG16" i="80"/>
  <c r="AG12" i="80"/>
  <c r="AH10" i="80"/>
  <c r="AI10" i="80" s="1"/>
  <c r="AG10" i="80"/>
  <c r="AH15" i="79"/>
  <c r="AG6" i="79"/>
  <c r="AH6" i="75"/>
  <c r="AG6" i="75"/>
  <c r="AI7" i="74"/>
  <c r="AH16" i="73"/>
  <c r="AG19" i="73"/>
  <c r="AG23" i="73"/>
  <c r="AG17" i="79"/>
  <c r="AG21" i="79"/>
  <c r="AG22" i="79"/>
  <c r="AG20" i="79"/>
  <c r="AH21" i="78"/>
  <c r="AH20" i="78"/>
  <c r="AH10" i="78"/>
  <c r="AH9" i="77"/>
  <c r="AH6" i="52"/>
  <c r="AG6" i="52"/>
  <c r="AG5" i="51"/>
  <c r="AH5" i="51"/>
  <c r="AH16" i="53"/>
  <c r="AG20" i="50"/>
  <c r="AH24" i="50"/>
  <c r="AH17" i="53"/>
  <c r="AG17" i="74"/>
  <c r="AH21" i="72"/>
  <c r="AG20" i="71"/>
  <c r="AG17" i="71"/>
  <c r="AH24" i="71"/>
  <c r="AH20" i="77"/>
  <c r="AG11" i="77"/>
  <c r="AH14" i="56"/>
  <c r="AH23" i="53"/>
  <c r="AH10" i="53"/>
  <c r="AH9" i="53"/>
  <c r="AH8" i="53"/>
  <c r="AH11" i="74"/>
  <c r="AI11" i="74" s="1"/>
  <c r="AH17" i="73"/>
  <c r="AG9" i="73"/>
  <c r="AH14" i="72"/>
  <c r="AH10" i="72"/>
  <c r="AH15" i="71"/>
  <c r="AG18" i="71"/>
  <c r="AH5" i="71"/>
  <c r="AH19" i="71"/>
  <c r="AH7" i="80"/>
  <c r="AI7" i="80" s="1"/>
  <c r="AG13" i="77"/>
  <c r="AG22" i="77"/>
  <c r="AG11" i="53"/>
  <c r="AH14" i="53"/>
  <c r="AH15" i="53"/>
  <c r="AH6" i="53"/>
  <c r="AH5" i="53"/>
  <c r="AH13" i="77"/>
  <c r="AH23" i="78"/>
  <c r="AG23" i="78"/>
  <c r="AG13" i="53"/>
  <c r="AG16" i="78"/>
  <c r="AH12" i="53"/>
  <c r="AH13" i="53"/>
  <c r="AG5" i="53"/>
  <c r="AG17" i="50"/>
  <c r="AH17" i="50"/>
  <c r="AG10" i="50"/>
  <c r="AH5" i="50"/>
  <c r="AG7" i="53"/>
  <c r="AH7" i="53"/>
  <c r="AG15" i="55"/>
  <c r="AH15" i="55"/>
  <c r="AH19" i="53"/>
  <c r="AG21" i="53"/>
  <c r="AG6" i="53"/>
  <c r="AG25" i="56"/>
  <c r="AG12" i="56"/>
  <c r="AH7" i="49"/>
  <c r="AG13" i="78"/>
  <c r="AG9" i="78"/>
  <c r="AH8" i="79"/>
  <c r="AH21" i="71"/>
  <c r="AH12" i="71"/>
  <c r="AH18" i="55"/>
  <c r="AG18" i="55"/>
  <c r="AG18" i="49"/>
  <c r="AH18" i="49"/>
  <c r="AH9" i="49"/>
  <c r="AG8" i="49"/>
  <c r="AG12" i="50"/>
  <c r="AH12" i="50"/>
  <c r="AG11" i="50"/>
  <c r="AG9" i="50"/>
  <c r="AH9" i="50"/>
  <c r="AH10" i="50"/>
  <c r="AH11" i="50"/>
  <c r="AG23" i="77"/>
  <c r="AH10" i="77"/>
  <c r="AG10" i="53"/>
  <c r="AH20" i="53"/>
  <c r="AH11" i="53"/>
  <c r="AG14" i="53"/>
  <c r="AG15" i="53"/>
  <c r="AG12" i="53"/>
  <c r="AH8" i="56"/>
  <c r="AG24" i="56"/>
  <c r="AH22" i="56"/>
  <c r="AH21" i="50"/>
  <c r="AG22" i="56"/>
  <c r="AH17" i="56"/>
  <c r="AH7" i="56"/>
  <c r="AH5" i="55"/>
  <c r="AH14" i="55"/>
  <c r="AG20" i="49"/>
  <c r="AH15" i="50"/>
  <c r="AG23" i="50"/>
  <c r="AH7" i="77"/>
  <c r="AH18" i="78"/>
  <c r="AH24" i="72"/>
  <c r="AH20" i="72"/>
  <c r="AH5" i="73"/>
  <c r="AI5" i="74"/>
  <c r="AH18" i="74"/>
  <c r="AI18" i="74" s="1"/>
  <c r="AG21" i="74"/>
  <c r="AG24" i="53"/>
  <c r="AG18" i="53"/>
  <c r="AG19" i="53"/>
  <c r="AG20" i="53"/>
  <c r="AH17" i="55"/>
  <c r="AG11" i="71"/>
  <c r="AG22" i="53"/>
  <c r="AG13" i="55"/>
  <c r="AG8" i="72"/>
  <c r="AH12" i="73"/>
  <c r="AG9" i="56"/>
  <c r="AG18" i="56"/>
  <c r="AG6" i="56"/>
  <c r="AH26" i="56"/>
  <c r="AH10" i="55"/>
  <c r="AG16" i="55"/>
  <c r="AG17" i="55"/>
  <c r="AH11" i="55"/>
  <c r="AG24" i="55"/>
  <c r="AH24" i="49"/>
  <c r="AH16" i="49"/>
  <c r="AH6" i="49"/>
  <c r="AH12" i="77"/>
  <c r="AG8" i="78"/>
  <c r="AH11" i="71"/>
  <c r="AG8" i="71"/>
  <c r="AH22" i="72"/>
  <c r="AH18" i="72"/>
  <c r="AG5" i="72"/>
  <c r="AH11" i="73"/>
  <c r="AH22" i="74"/>
  <c r="AI22" i="74" s="1"/>
  <c r="AH6" i="74"/>
  <c r="AI6" i="74" s="1"/>
  <c r="AG12" i="74"/>
  <c r="AH10" i="74"/>
  <c r="AI10" i="74" s="1"/>
  <c r="AH13" i="74"/>
  <c r="AI13" i="74" s="1"/>
  <c r="AH15" i="74"/>
  <c r="AI15" i="74" s="1"/>
  <c r="AH19" i="74"/>
  <c r="AI19" i="74" s="1"/>
  <c r="AH23" i="74"/>
  <c r="AI23" i="74" s="1"/>
  <c r="AG9" i="74"/>
  <c r="AG10" i="74"/>
  <c r="AG14" i="74"/>
  <c r="AH9" i="74"/>
  <c r="AI9" i="74" s="1"/>
  <c r="AG16" i="74"/>
  <c r="AG20" i="74"/>
  <c r="AG24" i="74"/>
  <c r="AG6" i="74"/>
  <c r="AG15" i="73"/>
  <c r="AG12" i="73"/>
  <c r="AH8" i="73"/>
  <c r="AH10" i="73"/>
  <c r="AH14" i="73"/>
  <c r="AG8" i="73"/>
  <c r="AG10" i="73"/>
  <c r="AG14" i="73"/>
  <c r="AH7" i="73"/>
  <c r="AG7" i="73"/>
  <c r="AG11" i="72"/>
  <c r="AH5" i="72"/>
  <c r="AH11" i="72"/>
  <c r="AG12" i="72"/>
  <c r="AG7" i="72"/>
  <c r="AG9" i="72"/>
  <c r="AH12" i="72"/>
  <c r="AH7" i="72"/>
  <c r="AH9" i="72"/>
  <c r="AG13" i="72"/>
  <c r="AH13" i="72"/>
  <c r="AH6" i="72"/>
  <c r="AG17" i="72"/>
  <c r="AG15" i="72"/>
  <c r="AH15" i="72"/>
  <c r="AG6" i="72"/>
  <c r="AG7" i="71"/>
  <c r="AH13" i="71"/>
  <c r="AH10" i="71"/>
  <c r="AG13" i="71"/>
  <c r="AG10" i="71"/>
  <c r="AH7" i="71"/>
  <c r="AI6" i="80"/>
  <c r="AG13" i="79"/>
  <c r="AH7" i="79"/>
  <c r="AG7" i="79"/>
  <c r="AG18" i="79"/>
  <c r="AH5" i="79"/>
  <c r="AH12" i="79"/>
  <c r="AG12" i="79"/>
  <c r="AG8" i="79"/>
  <c r="AH11" i="79"/>
  <c r="AG11" i="79"/>
  <c r="AG5" i="79"/>
  <c r="AH14" i="79"/>
  <c r="AH13" i="79"/>
  <c r="AH18" i="79"/>
  <c r="AG14" i="79"/>
  <c r="AH17" i="78"/>
  <c r="AH14" i="78"/>
  <c r="AH12" i="78"/>
  <c r="AG22" i="78"/>
  <c r="AG11" i="78"/>
  <c r="AG5" i="78"/>
  <c r="AH19" i="78"/>
  <c r="AG18" i="78"/>
  <c r="AH7" i="78"/>
  <c r="AH15" i="78"/>
  <c r="AH5" i="78"/>
  <c r="AG15" i="78"/>
  <c r="AH6" i="78"/>
  <c r="AH8" i="78"/>
  <c r="AG7" i="78"/>
  <c r="AH9" i="78"/>
  <c r="AG6" i="78"/>
  <c r="AG15" i="77"/>
  <c r="AG21" i="77"/>
  <c r="AG10" i="77"/>
  <c r="AG17" i="77"/>
  <c r="AH23" i="77"/>
  <c r="AH14" i="77"/>
  <c r="AH17" i="77"/>
  <c r="AG14" i="77"/>
  <c r="AG25" i="77"/>
  <c r="AH25" i="77"/>
  <c r="AG6" i="77"/>
  <c r="AH6" i="77"/>
  <c r="AH8" i="50"/>
  <c r="AG5" i="50"/>
  <c r="AG7" i="50"/>
  <c r="AH7" i="50"/>
  <c r="AH12" i="49"/>
  <c r="AG11" i="49"/>
  <c r="AH14" i="49"/>
  <c r="AH5" i="49"/>
  <c r="AH11" i="49"/>
  <c r="AG14" i="49"/>
  <c r="AH10" i="49"/>
  <c r="AH8" i="49"/>
  <c r="AG5" i="49"/>
  <c r="AG10" i="49"/>
  <c r="AG6" i="49"/>
  <c r="AG7" i="49"/>
  <c r="AG9" i="49"/>
  <c r="AH12" i="55"/>
  <c r="AG9" i="55"/>
  <c r="AG25" i="55"/>
  <c r="AG8" i="55"/>
  <c r="AG19" i="55"/>
  <c r="AG22" i="55"/>
  <c r="AH26" i="55"/>
  <c r="AG5" i="55"/>
  <c r="AG14" i="55"/>
  <c r="AH9" i="55"/>
  <c r="AG23" i="55"/>
  <c r="AH6" i="55"/>
  <c r="AG6" i="55"/>
  <c r="AH13" i="55"/>
  <c r="AG26" i="55"/>
  <c r="AH16" i="55"/>
  <c r="AG12" i="55"/>
  <c r="AH11" i="56"/>
  <c r="AH9" i="56"/>
  <c r="AH25" i="56"/>
  <c r="AH12" i="56"/>
  <c r="AH16" i="56"/>
  <c r="AH15" i="56"/>
  <c r="AH18" i="56"/>
  <c r="AG11" i="56"/>
  <c r="AH6" i="56"/>
  <c r="AG19" i="56"/>
  <c r="AH5" i="56"/>
  <c r="AG8" i="56"/>
  <c r="AG17" i="56"/>
  <c r="AG7" i="56"/>
  <c r="AH19" i="56"/>
  <c r="AG21" i="56"/>
  <c r="AH24" i="56"/>
  <c r="X24" i="92"/>
  <c r="U24" i="92"/>
  <c r="R24" i="92"/>
  <c r="O24" i="92"/>
  <c r="L24" i="92"/>
  <c r="I24" i="92"/>
  <c r="F24" i="92"/>
  <c r="C24" i="92"/>
  <c r="AC28" i="112"/>
  <c r="AD28" i="112" s="1"/>
  <c r="AB28" i="112"/>
  <c r="Y28" i="112"/>
  <c r="Z28" i="112" s="1"/>
  <c r="X28" i="112"/>
  <c r="U28" i="112"/>
  <c r="V28" i="112" s="1"/>
  <c r="T28" i="112"/>
  <c r="Q28" i="112"/>
  <c r="R28" i="112" s="1"/>
  <c r="P28" i="112"/>
  <c r="M28" i="112"/>
  <c r="N28" i="112" s="1"/>
  <c r="L28" i="112"/>
  <c r="I28" i="112"/>
  <c r="J28" i="112" s="1"/>
  <c r="H28" i="112"/>
  <c r="E28" i="112"/>
  <c r="F28" i="112" s="1"/>
  <c r="D28" i="112"/>
  <c r="AC23" i="112"/>
  <c r="AD23" i="112" s="1"/>
  <c r="AB23" i="112"/>
  <c r="Y23" i="112"/>
  <c r="Z23" i="112" s="1"/>
  <c r="X23" i="112"/>
  <c r="U23" i="112"/>
  <c r="V23" i="112" s="1"/>
  <c r="T23" i="112"/>
  <c r="Q23" i="112"/>
  <c r="R23" i="112" s="1"/>
  <c r="P23" i="112"/>
  <c r="M23" i="112"/>
  <c r="N23" i="112" s="1"/>
  <c r="L23" i="112"/>
  <c r="I23" i="112"/>
  <c r="J23" i="112" s="1"/>
  <c r="H23" i="112"/>
  <c r="E23" i="112"/>
  <c r="F23" i="112" s="1"/>
  <c r="D23" i="112"/>
  <c r="AC22" i="112"/>
  <c r="AD22" i="112" s="1"/>
  <c r="AB22" i="112"/>
  <c r="Y22" i="112"/>
  <c r="Z22" i="112" s="1"/>
  <c r="X22" i="112"/>
  <c r="U22" i="112"/>
  <c r="V22" i="112" s="1"/>
  <c r="T22" i="112"/>
  <c r="Q22" i="112"/>
  <c r="R22" i="112" s="1"/>
  <c r="P22" i="112"/>
  <c r="M22" i="112"/>
  <c r="N22" i="112" s="1"/>
  <c r="L22" i="112"/>
  <c r="I22" i="112"/>
  <c r="J22" i="112" s="1"/>
  <c r="H22" i="112"/>
  <c r="E22" i="112"/>
  <c r="F22" i="112" s="1"/>
  <c r="D22" i="112"/>
  <c r="AC21" i="112"/>
  <c r="AD21" i="112" s="1"/>
  <c r="AB21" i="112"/>
  <c r="Y21" i="112"/>
  <c r="Z21" i="112" s="1"/>
  <c r="X21" i="112"/>
  <c r="U21" i="112"/>
  <c r="V21" i="112" s="1"/>
  <c r="T21" i="112"/>
  <c r="Q21" i="112"/>
  <c r="R21" i="112" s="1"/>
  <c r="P21" i="112"/>
  <c r="M21" i="112"/>
  <c r="L21" i="112"/>
  <c r="I21" i="112"/>
  <c r="J21" i="112" s="1"/>
  <c r="H21" i="112"/>
  <c r="E21" i="112"/>
  <c r="F21" i="112" s="1"/>
  <c r="D21" i="112"/>
  <c r="AC19" i="112"/>
  <c r="AD19" i="112" s="1"/>
  <c r="AB19" i="112"/>
  <c r="Y19" i="112"/>
  <c r="Z19" i="112" s="1"/>
  <c r="X19" i="112"/>
  <c r="U19" i="112"/>
  <c r="V19" i="112" s="1"/>
  <c r="T19" i="112"/>
  <c r="Q19" i="112"/>
  <c r="R19" i="112" s="1"/>
  <c r="P19" i="112"/>
  <c r="M19" i="112"/>
  <c r="N19" i="112" s="1"/>
  <c r="L19" i="112"/>
  <c r="I19" i="112"/>
  <c r="J19" i="112" s="1"/>
  <c r="H19" i="112"/>
  <c r="E19" i="112"/>
  <c r="F19" i="112" s="1"/>
  <c r="D19" i="112"/>
  <c r="AC13" i="112"/>
  <c r="AD13" i="112" s="1"/>
  <c r="AB13" i="112"/>
  <c r="Y13" i="112"/>
  <c r="Z13" i="112" s="1"/>
  <c r="X13" i="112"/>
  <c r="U13" i="112"/>
  <c r="V13" i="112" s="1"/>
  <c r="T13" i="112"/>
  <c r="Q13" i="112"/>
  <c r="R13" i="112" s="1"/>
  <c r="P13" i="112"/>
  <c r="M13" i="112"/>
  <c r="N13" i="112" s="1"/>
  <c r="L13" i="112"/>
  <c r="I13" i="112"/>
  <c r="J13" i="112" s="1"/>
  <c r="H13" i="112"/>
  <c r="E13" i="112"/>
  <c r="F13" i="112" s="1"/>
  <c r="D13" i="112"/>
  <c r="AC16" i="112"/>
  <c r="AD16" i="112" s="1"/>
  <c r="AB16" i="112"/>
  <c r="Y16" i="112"/>
  <c r="Z16" i="112" s="1"/>
  <c r="X16" i="112"/>
  <c r="U16" i="112"/>
  <c r="V16" i="112" s="1"/>
  <c r="T16" i="112"/>
  <c r="Q16" i="112"/>
  <c r="R16" i="112" s="1"/>
  <c r="P16" i="112"/>
  <c r="M16" i="112"/>
  <c r="N16" i="112" s="1"/>
  <c r="L16" i="112"/>
  <c r="I16" i="112"/>
  <c r="J16" i="112" s="1"/>
  <c r="H16" i="112"/>
  <c r="E16" i="112"/>
  <c r="F16" i="112" s="1"/>
  <c r="D16" i="112"/>
  <c r="AC15" i="112"/>
  <c r="AD15" i="112" s="1"/>
  <c r="AB15" i="112"/>
  <c r="Y15" i="112"/>
  <c r="Z15" i="112" s="1"/>
  <c r="X15" i="112"/>
  <c r="U15" i="112"/>
  <c r="V15" i="112" s="1"/>
  <c r="T15" i="112"/>
  <c r="Q15" i="112"/>
  <c r="P15" i="112"/>
  <c r="M15" i="112"/>
  <c r="N15" i="112" s="1"/>
  <c r="L15" i="112"/>
  <c r="I15" i="112"/>
  <c r="H15" i="112"/>
  <c r="E15" i="112"/>
  <c r="F15" i="112" s="1"/>
  <c r="D15" i="112"/>
  <c r="AC17" i="112"/>
  <c r="AD17" i="112" s="1"/>
  <c r="AB17" i="112"/>
  <c r="Y17" i="112"/>
  <c r="Z17" i="112" s="1"/>
  <c r="X17" i="112"/>
  <c r="U17" i="112"/>
  <c r="V17" i="112" s="1"/>
  <c r="T17" i="112"/>
  <c r="Q17" i="112"/>
  <c r="R17" i="112" s="1"/>
  <c r="P17" i="112"/>
  <c r="M17" i="112"/>
  <c r="N17" i="112" s="1"/>
  <c r="L17" i="112"/>
  <c r="I17" i="112"/>
  <c r="J17" i="112" s="1"/>
  <c r="H17" i="112"/>
  <c r="E17" i="112"/>
  <c r="F17" i="112" s="1"/>
  <c r="D17" i="112"/>
  <c r="AC5" i="112"/>
  <c r="AD5" i="112" s="1"/>
  <c r="AB5" i="112"/>
  <c r="Y5" i="112"/>
  <c r="Z5" i="112" s="1"/>
  <c r="X5" i="112"/>
  <c r="U5" i="112"/>
  <c r="V5" i="112" s="1"/>
  <c r="T5" i="112"/>
  <c r="Q5" i="112"/>
  <c r="R5" i="112" s="1"/>
  <c r="P5" i="112"/>
  <c r="M5" i="112"/>
  <c r="L5" i="112"/>
  <c r="I5" i="112"/>
  <c r="H5" i="112"/>
  <c r="E5" i="112"/>
  <c r="F5" i="112" s="1"/>
  <c r="D5" i="112"/>
  <c r="AC11" i="112"/>
  <c r="AD11" i="112" s="1"/>
  <c r="AB11" i="112"/>
  <c r="Y11" i="112"/>
  <c r="Z11" i="112" s="1"/>
  <c r="X11" i="112"/>
  <c r="U11" i="112"/>
  <c r="V11" i="112" s="1"/>
  <c r="T11" i="112"/>
  <c r="Q11" i="112"/>
  <c r="R11" i="112" s="1"/>
  <c r="P11" i="112"/>
  <c r="M11" i="112"/>
  <c r="N11" i="112" s="1"/>
  <c r="L11" i="112"/>
  <c r="I11" i="112"/>
  <c r="J11" i="112" s="1"/>
  <c r="H11" i="112"/>
  <c r="E11" i="112"/>
  <c r="D11" i="112"/>
  <c r="AC18" i="112"/>
  <c r="AD18" i="112" s="1"/>
  <c r="AB18" i="112"/>
  <c r="Y18" i="112"/>
  <c r="Z18" i="112" s="1"/>
  <c r="X18" i="112"/>
  <c r="U18" i="112"/>
  <c r="V18" i="112" s="1"/>
  <c r="T18" i="112"/>
  <c r="Q18" i="112"/>
  <c r="R18" i="112" s="1"/>
  <c r="P18" i="112"/>
  <c r="M18" i="112"/>
  <c r="N18" i="112" s="1"/>
  <c r="L18" i="112"/>
  <c r="I18" i="112"/>
  <c r="J18" i="112" s="1"/>
  <c r="H18" i="112"/>
  <c r="E18" i="112"/>
  <c r="D18" i="112"/>
  <c r="AC20" i="112"/>
  <c r="AD20" i="112" s="1"/>
  <c r="AB20" i="112"/>
  <c r="Y20" i="112"/>
  <c r="Z20" i="112" s="1"/>
  <c r="X20" i="112"/>
  <c r="U20" i="112"/>
  <c r="T20" i="112"/>
  <c r="Q20" i="112"/>
  <c r="R20" i="112" s="1"/>
  <c r="P20" i="112"/>
  <c r="M20" i="112"/>
  <c r="N20" i="112" s="1"/>
  <c r="L20" i="112"/>
  <c r="I20" i="112"/>
  <c r="J20" i="112" s="1"/>
  <c r="H20" i="112"/>
  <c r="E20" i="112"/>
  <c r="F20" i="112" s="1"/>
  <c r="D20" i="112"/>
  <c r="AC8" i="112"/>
  <c r="AB8" i="112"/>
  <c r="Y8" i="112"/>
  <c r="Z8" i="112" s="1"/>
  <c r="X8" i="112"/>
  <c r="U8" i="112"/>
  <c r="T8" i="112"/>
  <c r="Q8" i="112"/>
  <c r="P8" i="112"/>
  <c r="M8" i="112"/>
  <c r="L8" i="112"/>
  <c r="I8" i="112"/>
  <c r="H8" i="112"/>
  <c r="E8" i="112"/>
  <c r="F8" i="112" s="1"/>
  <c r="D8" i="112"/>
  <c r="AC14" i="112"/>
  <c r="AB14" i="112"/>
  <c r="Y14" i="112"/>
  <c r="Z14" i="112" s="1"/>
  <c r="X14" i="112"/>
  <c r="U14" i="112"/>
  <c r="T14" i="112"/>
  <c r="Q14" i="112"/>
  <c r="R14" i="112" s="1"/>
  <c r="P14" i="112"/>
  <c r="M14" i="112"/>
  <c r="L14" i="112"/>
  <c r="I14" i="112"/>
  <c r="J14" i="112" s="1"/>
  <c r="H14" i="112"/>
  <c r="E14" i="112"/>
  <c r="F14" i="112" s="1"/>
  <c r="D14" i="112"/>
  <c r="AC12" i="112"/>
  <c r="AB12" i="112"/>
  <c r="Y12" i="112"/>
  <c r="Z12" i="112" s="1"/>
  <c r="X12" i="112"/>
  <c r="U12" i="112"/>
  <c r="T12" i="112"/>
  <c r="Q12" i="112"/>
  <c r="R12" i="112" s="1"/>
  <c r="P12" i="112"/>
  <c r="M12" i="112"/>
  <c r="L12" i="112"/>
  <c r="I12" i="112"/>
  <c r="J12" i="112" s="1"/>
  <c r="H12" i="112"/>
  <c r="E12" i="112"/>
  <c r="D12" i="112"/>
  <c r="AC7" i="112"/>
  <c r="AB7" i="112"/>
  <c r="Y7" i="112"/>
  <c r="Z7" i="112" s="1"/>
  <c r="X7" i="112"/>
  <c r="U7" i="112"/>
  <c r="V7" i="112" s="1"/>
  <c r="T7" i="112"/>
  <c r="Q7" i="112"/>
  <c r="R7" i="112" s="1"/>
  <c r="P7" i="112"/>
  <c r="M7" i="112"/>
  <c r="N7" i="112" s="1"/>
  <c r="L7" i="112"/>
  <c r="I7" i="112"/>
  <c r="H7" i="112"/>
  <c r="E7" i="112"/>
  <c r="D7" i="112"/>
  <c r="AC9" i="112"/>
  <c r="AB9" i="112"/>
  <c r="Y9" i="112"/>
  <c r="X9" i="112"/>
  <c r="U9" i="112"/>
  <c r="V9" i="112" s="1"/>
  <c r="T9" i="112"/>
  <c r="Q9" i="112"/>
  <c r="P9" i="112"/>
  <c r="M9" i="112"/>
  <c r="N9" i="112" s="1"/>
  <c r="L9" i="112"/>
  <c r="I9" i="112"/>
  <c r="H9" i="112"/>
  <c r="E9" i="112"/>
  <c r="D9" i="112"/>
  <c r="AC6" i="112"/>
  <c r="AB6" i="112"/>
  <c r="Y6" i="112"/>
  <c r="X6" i="112"/>
  <c r="U6" i="112"/>
  <c r="V6" i="112" s="1"/>
  <c r="T6" i="112"/>
  <c r="Q6" i="112"/>
  <c r="R6" i="112" s="1"/>
  <c r="P6" i="112"/>
  <c r="M6" i="112"/>
  <c r="L6" i="112"/>
  <c r="I6" i="112"/>
  <c r="H6" i="112"/>
  <c r="E6" i="112"/>
  <c r="D6" i="112"/>
  <c r="AC10" i="112"/>
  <c r="AD10" i="112" s="1"/>
  <c r="AB10" i="112"/>
  <c r="Y10" i="112"/>
  <c r="X10" i="112"/>
  <c r="U10" i="112"/>
  <c r="V10" i="112" s="1"/>
  <c r="T10" i="112"/>
  <c r="Q10" i="112"/>
  <c r="R10" i="112" s="1"/>
  <c r="P10" i="112"/>
  <c r="M10" i="112"/>
  <c r="L10" i="112"/>
  <c r="I10" i="112"/>
  <c r="H10" i="112"/>
  <c r="E10" i="112"/>
  <c r="F10" i="112" s="1"/>
  <c r="D10" i="112"/>
  <c r="L24" i="111"/>
  <c r="M24" i="111" s="1"/>
  <c r="N24" i="111" s="1"/>
  <c r="L23" i="111"/>
  <c r="M23" i="111" s="1"/>
  <c r="N23" i="111" s="1"/>
  <c r="L22" i="111"/>
  <c r="M22" i="111" s="1"/>
  <c r="N22" i="111" s="1"/>
  <c r="L21" i="111"/>
  <c r="M21" i="111" s="1"/>
  <c r="N21" i="111" s="1"/>
  <c r="L20" i="111"/>
  <c r="M20" i="111" s="1"/>
  <c r="N20" i="111" s="1"/>
  <c r="L19" i="111"/>
  <c r="M19" i="111" s="1"/>
  <c r="N19" i="111" s="1"/>
  <c r="L18" i="111"/>
  <c r="M18" i="111" s="1"/>
  <c r="N18" i="111" s="1"/>
  <c r="L17" i="111"/>
  <c r="M17" i="111" s="1"/>
  <c r="N17" i="111" s="1"/>
  <c r="L16" i="111"/>
  <c r="M16" i="111" s="1"/>
  <c r="N16" i="111" s="1"/>
  <c r="L15" i="111"/>
  <c r="M15" i="111" s="1"/>
  <c r="N15" i="111" s="1"/>
  <c r="L14" i="111"/>
  <c r="M14" i="111" s="1"/>
  <c r="N14" i="111" s="1"/>
  <c r="L13" i="111"/>
  <c r="M13" i="111" s="1"/>
  <c r="N13" i="111" s="1"/>
  <c r="L12" i="111"/>
  <c r="M12" i="111" s="1"/>
  <c r="L9" i="111"/>
  <c r="M9" i="111" s="1"/>
  <c r="L11" i="111"/>
  <c r="M11" i="111" s="1"/>
  <c r="L8" i="111"/>
  <c r="M8" i="111" s="1"/>
  <c r="L5" i="111"/>
  <c r="M5" i="111" s="1"/>
  <c r="L7" i="111"/>
  <c r="M7" i="111" s="1"/>
  <c r="L6" i="111"/>
  <c r="M6" i="111" s="1"/>
  <c r="L10" i="111"/>
  <c r="M10" i="111" s="1"/>
  <c r="L24" i="110"/>
  <c r="M24" i="110" s="1"/>
  <c r="N24" i="110" s="1"/>
  <c r="L23" i="110"/>
  <c r="M23" i="110" s="1"/>
  <c r="N23" i="110" s="1"/>
  <c r="L22" i="110"/>
  <c r="M22" i="110" s="1"/>
  <c r="N22" i="110" s="1"/>
  <c r="L21" i="110"/>
  <c r="M21" i="110" s="1"/>
  <c r="N21" i="110" s="1"/>
  <c r="L20" i="110"/>
  <c r="M20" i="110" s="1"/>
  <c r="N20" i="110" s="1"/>
  <c r="L19" i="110"/>
  <c r="M19" i="110" s="1"/>
  <c r="N19" i="110" s="1"/>
  <c r="L18" i="110"/>
  <c r="M18" i="110" s="1"/>
  <c r="N18" i="110" s="1"/>
  <c r="L17" i="110"/>
  <c r="M17" i="110" s="1"/>
  <c r="N17" i="110" s="1"/>
  <c r="L16" i="110"/>
  <c r="M16" i="110" s="1"/>
  <c r="N16" i="110" s="1"/>
  <c r="L14" i="110"/>
  <c r="M14" i="110" s="1"/>
  <c r="N14" i="110" s="1"/>
  <c r="L13" i="110"/>
  <c r="M13" i="110" s="1"/>
  <c r="N13" i="110" s="1"/>
  <c r="L15" i="110"/>
  <c r="M15" i="110" s="1"/>
  <c r="N15" i="110" s="1"/>
  <c r="L10" i="110"/>
  <c r="M10" i="110" s="1"/>
  <c r="L7" i="110"/>
  <c r="M7" i="110" s="1"/>
  <c r="L11" i="110"/>
  <c r="M11" i="110" s="1"/>
  <c r="L8" i="110"/>
  <c r="M8" i="110" s="1"/>
  <c r="L9" i="110"/>
  <c r="M9" i="110" s="1"/>
  <c r="L12" i="110"/>
  <c r="M12" i="110" s="1"/>
  <c r="L6" i="110"/>
  <c r="M6" i="110" s="1"/>
  <c r="L5" i="110"/>
  <c r="M5" i="110" s="1"/>
  <c r="X24" i="102"/>
  <c r="X23" i="102"/>
  <c r="X22" i="102"/>
  <c r="X21" i="102"/>
  <c r="U24" i="102"/>
  <c r="U23" i="102"/>
  <c r="U22" i="102"/>
  <c r="U21" i="102"/>
  <c r="R24" i="102"/>
  <c r="R23" i="102"/>
  <c r="R22" i="102"/>
  <c r="R21" i="102"/>
  <c r="O24" i="102"/>
  <c r="O23" i="102"/>
  <c r="O22" i="102"/>
  <c r="O21" i="102"/>
  <c r="L24" i="102"/>
  <c r="L23" i="102"/>
  <c r="L22" i="102"/>
  <c r="L21" i="102"/>
  <c r="I24" i="102"/>
  <c r="I23" i="102"/>
  <c r="I22" i="102"/>
  <c r="I21" i="102"/>
  <c r="F21" i="102"/>
  <c r="F22" i="102"/>
  <c r="F23" i="102"/>
  <c r="F24" i="102"/>
  <c r="C21" i="102"/>
  <c r="C22" i="102"/>
  <c r="C23" i="102"/>
  <c r="C24" i="102"/>
  <c r="AI13" i="56" l="1"/>
  <c r="AJ13" i="56" s="1"/>
  <c r="AK13" i="56" s="1"/>
  <c r="AI7" i="55"/>
  <c r="AJ7" i="55" s="1"/>
  <c r="AK7" i="55" s="1"/>
  <c r="AI11" i="75"/>
  <c r="AI5" i="75"/>
  <c r="AI5" i="52"/>
  <c r="AI9" i="52"/>
  <c r="AI11" i="52"/>
  <c r="AI7" i="52"/>
  <c r="AI8" i="51"/>
  <c r="AI6" i="51"/>
  <c r="N10" i="110"/>
  <c r="N8" i="112"/>
  <c r="N5" i="112"/>
  <c r="N21" i="112"/>
  <c r="N10" i="112"/>
  <c r="N12" i="111"/>
  <c r="N7" i="110"/>
  <c r="R9" i="112"/>
  <c r="R8" i="112"/>
  <c r="R15" i="112"/>
  <c r="N6" i="112"/>
  <c r="J8" i="112"/>
  <c r="J10" i="112"/>
  <c r="J9" i="112"/>
  <c r="J5" i="112"/>
  <c r="J6" i="112"/>
  <c r="J7" i="112"/>
  <c r="F12" i="112"/>
  <c r="F11" i="112"/>
  <c r="F6" i="112"/>
  <c r="AD9" i="112"/>
  <c r="J15" i="112"/>
  <c r="Z9" i="112"/>
  <c r="AD8" i="112"/>
  <c r="AD6" i="112"/>
  <c r="AD14" i="112"/>
  <c r="AD12" i="112"/>
  <c r="AD7" i="112"/>
  <c r="Z6" i="112"/>
  <c r="Z10" i="112"/>
  <c r="F7" i="112"/>
  <c r="N12" i="112"/>
  <c r="V12" i="112"/>
  <c r="N14" i="112"/>
  <c r="V14" i="112"/>
  <c r="V8" i="112"/>
  <c r="V20" i="112"/>
  <c r="F18" i="112"/>
  <c r="F9" i="112"/>
  <c r="N8" i="111"/>
  <c r="N9" i="111"/>
  <c r="N11" i="111"/>
  <c r="N11" i="110"/>
  <c r="N8" i="110"/>
  <c r="N12" i="110"/>
  <c r="N9" i="110"/>
  <c r="N6" i="111"/>
  <c r="N7" i="111"/>
  <c r="N10" i="111"/>
  <c r="N5" i="111"/>
  <c r="N5" i="110"/>
  <c r="N6" i="110"/>
  <c r="L24" i="109"/>
  <c r="M24" i="109" s="1"/>
  <c r="N24" i="109" s="1"/>
  <c r="L23" i="109"/>
  <c r="M23" i="109" s="1"/>
  <c r="N23" i="109" s="1"/>
  <c r="L22" i="109"/>
  <c r="M22" i="109" s="1"/>
  <c r="N22" i="109" s="1"/>
  <c r="L21" i="109"/>
  <c r="M21" i="109" s="1"/>
  <c r="N21" i="109" s="1"/>
  <c r="L20" i="109"/>
  <c r="M20" i="109" s="1"/>
  <c r="N20" i="109" s="1"/>
  <c r="L19" i="109"/>
  <c r="M19" i="109" s="1"/>
  <c r="N19" i="109" s="1"/>
  <c r="L18" i="109"/>
  <c r="M18" i="109" s="1"/>
  <c r="N18" i="109" s="1"/>
  <c r="L17" i="109"/>
  <c r="M17" i="109" s="1"/>
  <c r="N17" i="109" s="1"/>
  <c r="L16" i="109"/>
  <c r="M16" i="109" s="1"/>
  <c r="N16" i="109" s="1"/>
  <c r="L15" i="109"/>
  <c r="M15" i="109" s="1"/>
  <c r="N15" i="109" s="1"/>
  <c r="L14" i="109"/>
  <c r="M14" i="109" s="1"/>
  <c r="N14" i="109" s="1"/>
  <c r="L13" i="109"/>
  <c r="M13" i="109" s="1"/>
  <c r="N13" i="109" s="1"/>
  <c r="L12" i="109"/>
  <c r="M12" i="109" s="1"/>
  <c r="N12" i="109" s="1"/>
  <c r="L9" i="109"/>
  <c r="M9" i="109" s="1"/>
  <c r="L11" i="109"/>
  <c r="M11" i="109" s="1"/>
  <c r="N11" i="109" s="1"/>
  <c r="L10" i="109"/>
  <c r="M10" i="109" s="1"/>
  <c r="N10" i="109" s="1"/>
  <c r="L8" i="109"/>
  <c r="M8" i="109" s="1"/>
  <c r="L7" i="109"/>
  <c r="M7" i="109" s="1"/>
  <c r="L5" i="109"/>
  <c r="M5" i="109" s="1"/>
  <c r="L6" i="109"/>
  <c r="M6" i="109" s="1"/>
  <c r="N7" i="109" l="1"/>
  <c r="N9" i="109"/>
  <c r="N6" i="109"/>
  <c r="N8" i="109"/>
  <c r="N5" i="109"/>
  <c r="L9" i="106"/>
  <c r="M9" i="106" s="1"/>
  <c r="N9" i="106" s="1"/>
  <c r="L16" i="106"/>
  <c r="M16" i="106" s="1"/>
  <c r="N16" i="106" s="1"/>
  <c r="L23" i="106"/>
  <c r="M23" i="106" s="1"/>
  <c r="N23" i="106" s="1"/>
  <c r="L13" i="106"/>
  <c r="M13" i="106" s="1"/>
  <c r="N13" i="106" s="1"/>
  <c r="L20" i="106"/>
  <c r="M20" i="106" s="1"/>
  <c r="N20" i="106" s="1"/>
  <c r="L8" i="106"/>
  <c r="M8" i="106" s="1"/>
  <c r="L17" i="106"/>
  <c r="M17" i="106" s="1"/>
  <c r="N17" i="106" s="1"/>
  <c r="L24" i="106"/>
  <c r="M24" i="106" s="1"/>
  <c r="N24" i="106" s="1"/>
  <c r="L5" i="106"/>
  <c r="M5" i="106" s="1"/>
  <c r="L12" i="106"/>
  <c r="M12" i="106" s="1"/>
  <c r="N12" i="106" s="1"/>
  <c r="L21" i="106"/>
  <c r="M21" i="106" s="1"/>
  <c r="N21" i="106" s="1"/>
  <c r="L6" i="106"/>
  <c r="M6" i="106" s="1"/>
  <c r="L11" i="106"/>
  <c r="M11" i="106" s="1"/>
  <c r="N11" i="106" s="1"/>
  <c r="L15" i="106"/>
  <c r="M15" i="106" s="1"/>
  <c r="N15" i="106" s="1"/>
  <c r="L19" i="106"/>
  <c r="M19" i="106" s="1"/>
  <c r="N19" i="106" s="1"/>
  <c r="L7" i="106"/>
  <c r="M7" i="106" s="1"/>
  <c r="L10" i="106"/>
  <c r="M10" i="106" s="1"/>
  <c r="N10" i="106" s="1"/>
  <c r="L14" i="106"/>
  <c r="M14" i="106" s="1"/>
  <c r="N14" i="106" s="1"/>
  <c r="L18" i="106"/>
  <c r="M18" i="106" s="1"/>
  <c r="N18" i="106" s="1"/>
  <c r="L22" i="106"/>
  <c r="M22" i="106" s="1"/>
  <c r="N22" i="106" s="1"/>
  <c r="N5" i="106" l="1"/>
  <c r="N7" i="106"/>
  <c r="N6" i="106"/>
  <c r="N8" i="106"/>
  <c r="E5" i="98" l="1"/>
  <c r="E6" i="98"/>
  <c r="E7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AC24" i="104"/>
  <c r="AD24" i="104" s="1"/>
  <c r="AB24" i="104"/>
  <c r="Y24" i="104"/>
  <c r="Z24" i="104" s="1"/>
  <c r="X24" i="104"/>
  <c r="U24" i="104"/>
  <c r="V24" i="104" s="1"/>
  <c r="T24" i="104"/>
  <c r="R24" i="104"/>
  <c r="P24" i="104"/>
  <c r="M24" i="104"/>
  <c r="N24" i="104" s="1"/>
  <c r="L24" i="104"/>
  <c r="I24" i="104"/>
  <c r="J24" i="104" s="1"/>
  <c r="H24" i="104"/>
  <c r="E24" i="104"/>
  <c r="F24" i="104" s="1"/>
  <c r="D24" i="104"/>
  <c r="AC23" i="104"/>
  <c r="AD23" i="104" s="1"/>
  <c r="AB23" i="104"/>
  <c r="Y23" i="104"/>
  <c r="Z23" i="104" s="1"/>
  <c r="X23" i="104"/>
  <c r="U23" i="104"/>
  <c r="V23" i="104" s="1"/>
  <c r="T23" i="104"/>
  <c r="R23" i="104"/>
  <c r="P23" i="104"/>
  <c r="M23" i="104"/>
  <c r="N23" i="104" s="1"/>
  <c r="L23" i="104"/>
  <c r="I23" i="104"/>
  <c r="J23" i="104" s="1"/>
  <c r="H23" i="104"/>
  <c r="E23" i="104"/>
  <c r="F23" i="104" s="1"/>
  <c r="D23" i="104"/>
  <c r="AC22" i="104"/>
  <c r="AD22" i="104" s="1"/>
  <c r="AB22" i="104"/>
  <c r="Y22" i="104"/>
  <c r="Z22" i="104" s="1"/>
  <c r="X22" i="104"/>
  <c r="U22" i="104"/>
  <c r="T22" i="104"/>
  <c r="R22" i="104"/>
  <c r="P22" i="104"/>
  <c r="M22" i="104"/>
  <c r="N22" i="104" s="1"/>
  <c r="L22" i="104"/>
  <c r="I22" i="104"/>
  <c r="J22" i="104" s="1"/>
  <c r="H22" i="104"/>
  <c r="E22" i="104"/>
  <c r="F22" i="104" s="1"/>
  <c r="D22" i="104"/>
  <c r="AC21" i="104"/>
  <c r="AD21" i="104" s="1"/>
  <c r="AB21" i="104"/>
  <c r="Y21" i="104"/>
  <c r="Z21" i="104" s="1"/>
  <c r="X21" i="104"/>
  <c r="U21" i="104"/>
  <c r="V21" i="104" s="1"/>
  <c r="T21" i="104"/>
  <c r="R21" i="104"/>
  <c r="P21" i="104"/>
  <c r="M21" i="104"/>
  <c r="N21" i="104" s="1"/>
  <c r="L21" i="104"/>
  <c r="I21" i="104"/>
  <c r="J21" i="104" s="1"/>
  <c r="H21" i="104"/>
  <c r="E21" i="104"/>
  <c r="F21" i="104" s="1"/>
  <c r="D21" i="104"/>
  <c r="AC20" i="104"/>
  <c r="AD20" i="104" s="1"/>
  <c r="AB20" i="104"/>
  <c r="Y20" i="104"/>
  <c r="Z20" i="104" s="1"/>
  <c r="X20" i="104"/>
  <c r="U20" i="104"/>
  <c r="V20" i="104" s="1"/>
  <c r="T20" i="104"/>
  <c r="R20" i="104"/>
  <c r="P20" i="104"/>
  <c r="M20" i="104"/>
  <c r="N20" i="104" s="1"/>
  <c r="L20" i="104"/>
  <c r="I20" i="104"/>
  <c r="J20" i="104" s="1"/>
  <c r="H20" i="104"/>
  <c r="E20" i="104"/>
  <c r="F20" i="104" s="1"/>
  <c r="D20" i="104"/>
  <c r="AC19" i="104"/>
  <c r="AD19" i="104" s="1"/>
  <c r="AB19" i="104"/>
  <c r="Y19" i="104"/>
  <c r="Z19" i="104" s="1"/>
  <c r="X19" i="104"/>
  <c r="U19" i="104"/>
  <c r="V19" i="104" s="1"/>
  <c r="T19" i="104"/>
  <c r="R19" i="104"/>
  <c r="P19" i="104"/>
  <c r="M19" i="104"/>
  <c r="N19" i="104" s="1"/>
  <c r="L19" i="104"/>
  <c r="I19" i="104"/>
  <c r="J19" i="104" s="1"/>
  <c r="H19" i="104"/>
  <c r="E19" i="104"/>
  <c r="F19" i="104" s="1"/>
  <c r="D19" i="104"/>
  <c r="AC18" i="104"/>
  <c r="AD18" i="104" s="1"/>
  <c r="AB18" i="104"/>
  <c r="Y18" i="104"/>
  <c r="Z18" i="104" s="1"/>
  <c r="X18" i="104"/>
  <c r="U18" i="104"/>
  <c r="V18" i="104" s="1"/>
  <c r="T18" i="104"/>
  <c r="R18" i="104"/>
  <c r="P18" i="104"/>
  <c r="M18" i="104"/>
  <c r="N18" i="104" s="1"/>
  <c r="L18" i="104"/>
  <c r="I18" i="104"/>
  <c r="J18" i="104" s="1"/>
  <c r="H18" i="104"/>
  <c r="E18" i="104"/>
  <c r="F18" i="104" s="1"/>
  <c r="D18" i="104"/>
  <c r="AC17" i="104"/>
  <c r="AD17" i="104" s="1"/>
  <c r="AB17" i="104"/>
  <c r="Y17" i="104"/>
  <c r="Z17" i="104" s="1"/>
  <c r="X17" i="104"/>
  <c r="U17" i="104"/>
  <c r="V17" i="104" s="1"/>
  <c r="T17" i="104"/>
  <c r="R17" i="104"/>
  <c r="P17" i="104"/>
  <c r="M17" i="104"/>
  <c r="N17" i="104" s="1"/>
  <c r="L17" i="104"/>
  <c r="I17" i="104"/>
  <c r="J17" i="104" s="1"/>
  <c r="H17" i="104"/>
  <c r="E17" i="104"/>
  <c r="F17" i="104" s="1"/>
  <c r="D17" i="104"/>
  <c r="AC16" i="104"/>
  <c r="AD16" i="104" s="1"/>
  <c r="AB16" i="104"/>
  <c r="Y16" i="104"/>
  <c r="Z16" i="104" s="1"/>
  <c r="X16" i="104"/>
  <c r="U16" i="104"/>
  <c r="V16" i="104" s="1"/>
  <c r="T16" i="104"/>
  <c r="P16" i="104"/>
  <c r="R16" i="104" s="1"/>
  <c r="M16" i="104"/>
  <c r="N16" i="104" s="1"/>
  <c r="L16" i="104"/>
  <c r="I16" i="104"/>
  <c r="J16" i="104" s="1"/>
  <c r="H16" i="104"/>
  <c r="E16" i="104"/>
  <c r="F16" i="104" s="1"/>
  <c r="D16" i="104"/>
  <c r="AC15" i="104"/>
  <c r="AD15" i="104" s="1"/>
  <c r="AB15" i="104"/>
  <c r="Y15" i="104"/>
  <c r="Z15" i="104" s="1"/>
  <c r="X15" i="104"/>
  <c r="U15" i="104"/>
  <c r="V15" i="104" s="1"/>
  <c r="T15" i="104"/>
  <c r="R15" i="104"/>
  <c r="P15" i="104"/>
  <c r="M15" i="104"/>
  <c r="N15" i="104" s="1"/>
  <c r="L15" i="104"/>
  <c r="I15" i="104"/>
  <c r="J15" i="104" s="1"/>
  <c r="H15" i="104"/>
  <c r="E15" i="104"/>
  <c r="F15" i="104" s="1"/>
  <c r="D15" i="104"/>
  <c r="AC14" i="104"/>
  <c r="AD14" i="104" s="1"/>
  <c r="AB14" i="104"/>
  <c r="Y14" i="104"/>
  <c r="Z14" i="104" s="1"/>
  <c r="X14" i="104"/>
  <c r="U14" i="104"/>
  <c r="V14" i="104" s="1"/>
  <c r="T14" i="104"/>
  <c r="R14" i="104"/>
  <c r="P14" i="104"/>
  <c r="M14" i="104"/>
  <c r="N14" i="104" s="1"/>
  <c r="L14" i="104"/>
  <c r="I14" i="104"/>
  <c r="J14" i="104" s="1"/>
  <c r="H14" i="104"/>
  <c r="E14" i="104"/>
  <c r="F14" i="104" s="1"/>
  <c r="D14" i="104"/>
  <c r="AC13" i="104"/>
  <c r="AD13" i="104" s="1"/>
  <c r="AB13" i="104"/>
  <c r="Y13" i="104"/>
  <c r="Z13" i="104" s="1"/>
  <c r="X13" i="104"/>
  <c r="U13" i="104"/>
  <c r="V13" i="104" s="1"/>
  <c r="T13" i="104"/>
  <c r="R13" i="104"/>
  <c r="P13" i="104"/>
  <c r="M13" i="104"/>
  <c r="L13" i="104"/>
  <c r="I13" i="104"/>
  <c r="J13" i="104" s="1"/>
  <c r="H13" i="104"/>
  <c r="E13" i="104"/>
  <c r="F13" i="104" s="1"/>
  <c r="D13" i="104"/>
  <c r="AC12" i="104"/>
  <c r="AD12" i="104" s="1"/>
  <c r="AB12" i="104"/>
  <c r="Y12" i="104"/>
  <c r="X12" i="104"/>
  <c r="U12" i="104"/>
  <c r="T12" i="104"/>
  <c r="R12" i="104"/>
  <c r="P12" i="104"/>
  <c r="M12" i="104"/>
  <c r="L12" i="104"/>
  <c r="I12" i="104"/>
  <c r="J12" i="104" s="1"/>
  <c r="H12" i="104"/>
  <c r="E12" i="104"/>
  <c r="F12" i="104" s="1"/>
  <c r="D12" i="104"/>
  <c r="AC10" i="104"/>
  <c r="AD10" i="104" s="1"/>
  <c r="AB10" i="104"/>
  <c r="Y10" i="104"/>
  <c r="Z10" i="104" s="1"/>
  <c r="X10" i="104"/>
  <c r="U10" i="104"/>
  <c r="V10" i="104" s="1"/>
  <c r="T10" i="104"/>
  <c r="R10" i="104"/>
  <c r="P10" i="104"/>
  <c r="M10" i="104"/>
  <c r="L10" i="104"/>
  <c r="I10" i="104"/>
  <c r="H10" i="104"/>
  <c r="E10" i="104"/>
  <c r="F10" i="104" s="1"/>
  <c r="D10" i="104"/>
  <c r="AC9" i="104"/>
  <c r="AD9" i="104" s="1"/>
  <c r="AB9" i="104"/>
  <c r="Y9" i="104"/>
  <c r="Z9" i="104" s="1"/>
  <c r="X9" i="104"/>
  <c r="U9" i="104"/>
  <c r="V9" i="104" s="1"/>
  <c r="T9" i="104"/>
  <c r="R9" i="104"/>
  <c r="P9" i="104"/>
  <c r="M9" i="104"/>
  <c r="N9" i="104" s="1"/>
  <c r="L9" i="104"/>
  <c r="I9" i="104"/>
  <c r="J9" i="104" s="1"/>
  <c r="H9" i="104"/>
  <c r="E9" i="104"/>
  <c r="F9" i="104" s="1"/>
  <c r="D9" i="104"/>
  <c r="AC6" i="104"/>
  <c r="AD6" i="104" s="1"/>
  <c r="AB6" i="104"/>
  <c r="Y6" i="104"/>
  <c r="Z6" i="104" s="1"/>
  <c r="X6" i="104"/>
  <c r="U6" i="104"/>
  <c r="T6" i="104"/>
  <c r="R6" i="104"/>
  <c r="P6" i="104"/>
  <c r="M6" i="104"/>
  <c r="N6" i="104" s="1"/>
  <c r="L6" i="104"/>
  <c r="I6" i="104"/>
  <c r="H6" i="104"/>
  <c r="E6" i="104"/>
  <c r="F6" i="104" s="1"/>
  <c r="D6" i="104"/>
  <c r="AC5" i="104"/>
  <c r="AB5" i="104"/>
  <c r="Y5" i="104"/>
  <c r="Z5" i="104" s="1"/>
  <c r="X5" i="104"/>
  <c r="U5" i="104"/>
  <c r="V5" i="104" s="1"/>
  <c r="T5" i="104"/>
  <c r="R5" i="104"/>
  <c r="P5" i="104"/>
  <c r="M5" i="104"/>
  <c r="N5" i="104" s="1"/>
  <c r="L5" i="104"/>
  <c r="I5" i="104"/>
  <c r="H5" i="104"/>
  <c r="E5" i="104"/>
  <c r="F5" i="104" s="1"/>
  <c r="D5" i="104"/>
  <c r="AC11" i="104"/>
  <c r="AD11" i="104" s="1"/>
  <c r="AB11" i="104"/>
  <c r="Y11" i="104"/>
  <c r="Z11" i="104" s="1"/>
  <c r="X11" i="104"/>
  <c r="U11" i="104"/>
  <c r="V11" i="104" s="1"/>
  <c r="T11" i="104"/>
  <c r="P11" i="104"/>
  <c r="R11" i="104" s="1"/>
  <c r="M11" i="104"/>
  <c r="N11" i="104" s="1"/>
  <c r="L11" i="104"/>
  <c r="I11" i="104"/>
  <c r="J11" i="104" s="1"/>
  <c r="H11" i="104"/>
  <c r="E11" i="104"/>
  <c r="D11" i="104"/>
  <c r="AC8" i="104"/>
  <c r="AB8" i="104"/>
  <c r="Y8" i="104"/>
  <c r="Z8" i="104" s="1"/>
  <c r="X8" i="104"/>
  <c r="U8" i="104"/>
  <c r="V8" i="104" s="1"/>
  <c r="T8" i="104"/>
  <c r="P8" i="104"/>
  <c r="R8" i="104" s="1"/>
  <c r="M8" i="104"/>
  <c r="L8" i="104"/>
  <c r="I8" i="104"/>
  <c r="J8" i="104" s="1"/>
  <c r="H8" i="104"/>
  <c r="E8" i="104"/>
  <c r="F8" i="104" s="1"/>
  <c r="D8" i="104"/>
  <c r="AC7" i="104"/>
  <c r="AD7" i="104" s="1"/>
  <c r="AB7" i="104"/>
  <c r="Y7" i="104"/>
  <c r="X7" i="104"/>
  <c r="U7" i="104"/>
  <c r="V7" i="104" s="1"/>
  <c r="T7" i="104"/>
  <c r="Q7" i="104"/>
  <c r="R7" i="104" s="1"/>
  <c r="P7" i="104"/>
  <c r="M7" i="104"/>
  <c r="N7" i="104" s="1"/>
  <c r="L7" i="104"/>
  <c r="I7" i="104"/>
  <c r="J7" i="104" s="1"/>
  <c r="H7" i="104"/>
  <c r="E7" i="104"/>
  <c r="D7" i="104"/>
  <c r="Z12" i="104" l="1"/>
  <c r="Z7" i="104"/>
  <c r="V6" i="104"/>
  <c r="N10" i="104"/>
  <c r="N12" i="104"/>
  <c r="J6" i="104"/>
  <c r="J5" i="104"/>
  <c r="F11" i="104"/>
  <c r="F7" i="104"/>
  <c r="J10" i="104"/>
  <c r="AD8" i="104"/>
  <c r="AD5" i="104"/>
  <c r="V12" i="104"/>
  <c r="V22" i="104"/>
  <c r="N8" i="104"/>
  <c r="N13" i="104"/>
  <c r="AI6" i="52"/>
  <c r="AI5" i="51"/>
  <c r="AI8" i="50"/>
  <c r="AI9" i="50"/>
  <c r="AI7" i="50"/>
  <c r="AI11" i="50"/>
  <c r="AI5" i="50"/>
  <c r="AI6" i="50"/>
  <c r="AI13" i="50"/>
  <c r="AI10" i="50"/>
  <c r="AI12" i="50"/>
  <c r="AI14" i="50"/>
  <c r="AI15" i="50"/>
  <c r="AI16" i="50"/>
  <c r="AI17" i="50"/>
  <c r="AI18" i="50"/>
  <c r="AI19" i="50"/>
  <c r="AI20" i="50"/>
  <c r="AI21" i="50"/>
  <c r="AI22" i="50"/>
  <c r="AI23" i="50"/>
  <c r="AI24" i="50"/>
  <c r="AI16" i="56"/>
  <c r="AI21" i="56"/>
  <c r="AI11" i="55"/>
  <c r="AI23" i="55"/>
  <c r="AI22" i="55"/>
  <c r="AI22" i="53"/>
  <c r="X25" i="57" s="1"/>
  <c r="AI6" i="75"/>
  <c r="AI12" i="73"/>
  <c r="AI6" i="73"/>
  <c r="AI10" i="73"/>
  <c r="AI11" i="73"/>
  <c r="AI13" i="73"/>
  <c r="AI5" i="73"/>
  <c r="AI8" i="73"/>
  <c r="AI15" i="73"/>
  <c r="AI9" i="73"/>
  <c r="AI7" i="73"/>
  <c r="AI16" i="73"/>
  <c r="AI14" i="73"/>
  <c r="AI17" i="73"/>
  <c r="AI18" i="73"/>
  <c r="AI19" i="73"/>
  <c r="AI20" i="73"/>
  <c r="AI21" i="73"/>
  <c r="AI22" i="73"/>
  <c r="AI23" i="73"/>
  <c r="AI24" i="73"/>
  <c r="AI15" i="72"/>
  <c r="AI9" i="72"/>
  <c r="AI11" i="72"/>
  <c r="AI10" i="72"/>
  <c r="AI6" i="72"/>
  <c r="AI7" i="72"/>
  <c r="AI5" i="72"/>
  <c r="AI8" i="72"/>
  <c r="AI13" i="72"/>
  <c r="AI12" i="72"/>
  <c r="AI16" i="72"/>
  <c r="AI17" i="72"/>
  <c r="AI14" i="72"/>
  <c r="AI18" i="72"/>
  <c r="AI19" i="72"/>
  <c r="AI20" i="72"/>
  <c r="AI21" i="72"/>
  <c r="AI22" i="72"/>
  <c r="AI23" i="72"/>
  <c r="AI24" i="72"/>
  <c r="AI13" i="79"/>
  <c r="AI18" i="79"/>
  <c r="AI12" i="79"/>
  <c r="AI7" i="79"/>
  <c r="AI8" i="79"/>
  <c r="AI11" i="79"/>
  <c r="AI5" i="79"/>
  <c r="AI14" i="79"/>
  <c r="AI10" i="79"/>
  <c r="AI22" i="79"/>
  <c r="AI6" i="79"/>
  <c r="AI9" i="79"/>
  <c r="AI16" i="79"/>
  <c r="AI21" i="79"/>
  <c r="AI15" i="79"/>
  <c r="AI19" i="79"/>
  <c r="AI20" i="79"/>
  <c r="AI17" i="79"/>
  <c r="AI23" i="79"/>
  <c r="AI24" i="79"/>
  <c r="AI23" i="77"/>
  <c r="AI6" i="77"/>
  <c r="AI12" i="77"/>
  <c r="AI5" i="77"/>
  <c r="AI17" i="77"/>
  <c r="AI25" i="77"/>
  <c r="AI7" i="77"/>
  <c r="AI13" i="77"/>
  <c r="AI10" i="77"/>
  <c r="AI18" i="77"/>
  <c r="AI14" i="77"/>
  <c r="AI9" i="77"/>
  <c r="AI21" i="77"/>
  <c r="AI22" i="77"/>
  <c r="AI24" i="77"/>
  <c r="AI8" i="77"/>
  <c r="AI15" i="77"/>
  <c r="AI11" i="77"/>
  <c r="AI20" i="77"/>
  <c r="AI19" i="77"/>
  <c r="AI7" i="83"/>
  <c r="AI8" i="83"/>
  <c r="AI15" i="83"/>
  <c r="AI9" i="83"/>
  <c r="AI12" i="83"/>
  <c r="AI6" i="83"/>
  <c r="AI5" i="83"/>
  <c r="AI13" i="83"/>
  <c r="X13" i="87" s="1"/>
  <c r="AI11" i="83"/>
  <c r="AI10" i="83"/>
  <c r="X15" i="87" s="1"/>
  <c r="AI16" i="83"/>
  <c r="AI17" i="83"/>
  <c r="X17" i="87" s="1"/>
  <c r="AI14" i="83"/>
  <c r="X14" i="87" s="1"/>
  <c r="AI18" i="83"/>
  <c r="AI19" i="83"/>
  <c r="AI20" i="83"/>
  <c r="AI21" i="83"/>
  <c r="AI22" i="83"/>
  <c r="AI23" i="83"/>
  <c r="AI24" i="83"/>
  <c r="AI8" i="90"/>
  <c r="AI7" i="90"/>
  <c r="AI9" i="90"/>
  <c r="AI11" i="90"/>
  <c r="AI17" i="90"/>
  <c r="AI10" i="90"/>
  <c r="AI12" i="90"/>
  <c r="AI20" i="90"/>
  <c r="AI5" i="90"/>
  <c r="AI13" i="90"/>
  <c r="AI6" i="90"/>
  <c r="AI15" i="90"/>
  <c r="AI18" i="90"/>
  <c r="AI19" i="90"/>
  <c r="AI14" i="90"/>
  <c r="AI16" i="90"/>
  <c r="X20" i="92" s="1"/>
  <c r="AI21" i="90"/>
  <c r="AI22" i="90"/>
  <c r="AI23" i="90"/>
  <c r="AI24" i="90"/>
  <c r="AI19" i="89"/>
  <c r="AI13" i="89"/>
  <c r="AI6" i="89"/>
  <c r="AI10" i="89"/>
  <c r="AI7" i="89"/>
  <c r="AI5" i="89"/>
  <c r="AI12" i="89"/>
  <c r="AI21" i="89"/>
  <c r="AI15" i="89"/>
  <c r="AI20" i="89"/>
  <c r="AI18" i="89"/>
  <c r="AI22" i="89"/>
  <c r="AI9" i="89"/>
  <c r="AI14" i="89"/>
  <c r="AI11" i="89"/>
  <c r="AI16" i="89"/>
  <c r="AI17" i="89"/>
  <c r="AI23" i="89"/>
  <c r="AI8" i="89"/>
  <c r="AI24" i="89"/>
  <c r="AI15" i="88"/>
  <c r="AI19" i="88"/>
  <c r="AI11" i="88"/>
  <c r="AI6" i="96"/>
  <c r="AI5" i="96"/>
  <c r="AI12" i="96"/>
  <c r="AI14" i="96"/>
  <c r="AI10" i="96"/>
  <c r="AI7" i="96"/>
  <c r="AI13" i="96"/>
  <c r="AI8" i="96"/>
  <c r="AI9" i="96"/>
  <c r="AI11" i="96"/>
  <c r="AI15" i="96"/>
  <c r="AI16" i="96"/>
  <c r="AI17" i="96"/>
  <c r="AI18" i="96"/>
  <c r="AI19" i="96"/>
  <c r="AI20" i="96"/>
  <c r="AI21" i="96"/>
  <c r="AI22" i="96"/>
  <c r="AI23" i="96"/>
  <c r="AI24" i="96"/>
  <c r="AI5" i="95"/>
  <c r="AI6" i="95"/>
  <c r="AI12" i="95"/>
  <c r="AI10" i="95"/>
  <c r="AI17" i="95"/>
  <c r="AI11" i="95"/>
  <c r="AI18" i="95"/>
  <c r="AI7" i="95"/>
  <c r="AI13" i="95"/>
  <c r="AI15" i="95"/>
  <c r="AI14" i="95"/>
  <c r="AI9" i="95"/>
  <c r="AI19" i="95"/>
  <c r="AI8" i="95"/>
  <c r="AI20" i="95"/>
  <c r="AI16" i="95"/>
  <c r="AI21" i="95"/>
  <c r="AI22" i="95"/>
  <c r="AI23" i="95"/>
  <c r="AI24" i="95"/>
  <c r="AI9" i="94"/>
  <c r="AI17" i="94"/>
  <c r="AI10" i="94"/>
  <c r="AI7" i="94"/>
  <c r="AI20" i="94"/>
  <c r="AI5" i="94"/>
  <c r="AI18" i="94"/>
  <c r="AI15" i="94"/>
  <c r="AI13" i="94"/>
  <c r="AI19" i="94"/>
  <c r="AI11" i="94"/>
  <c r="AI14" i="94"/>
  <c r="AI6" i="94"/>
  <c r="AI8" i="94"/>
  <c r="AI16" i="94"/>
  <c r="AI12" i="94"/>
  <c r="AI21" i="94"/>
  <c r="AI22" i="94"/>
  <c r="AI23" i="94"/>
  <c r="AI24" i="94"/>
  <c r="X6" i="102" l="1"/>
  <c r="X16" i="102"/>
  <c r="X18" i="102"/>
  <c r="X15" i="102"/>
  <c r="X17" i="102"/>
  <c r="X19" i="92"/>
  <c r="Y25" i="57"/>
  <c r="Z25" i="57"/>
  <c r="X20" i="102"/>
  <c r="X9" i="102"/>
  <c r="X14" i="102"/>
  <c r="X8" i="102"/>
  <c r="X12" i="102"/>
  <c r="X19" i="102"/>
  <c r="X5" i="102"/>
  <c r="X11" i="102"/>
  <c r="X10" i="102"/>
  <c r="X7" i="102"/>
  <c r="X13" i="102"/>
  <c r="M10" i="96"/>
  <c r="N10" i="96"/>
  <c r="M13" i="96"/>
  <c r="N13" i="96"/>
  <c r="O13" i="96" s="1"/>
  <c r="M8" i="96"/>
  <c r="N8" i="96"/>
  <c r="O8" i="96" s="1"/>
  <c r="J24" i="52"/>
  <c r="K24" i="52" s="1"/>
  <c r="I24" i="52"/>
  <c r="J23" i="52"/>
  <c r="K23" i="52" s="1"/>
  <c r="I23" i="52"/>
  <c r="J22" i="52"/>
  <c r="K22" i="52" s="1"/>
  <c r="I22" i="52"/>
  <c r="J21" i="52"/>
  <c r="K21" i="52" s="1"/>
  <c r="I21" i="52"/>
  <c r="J20" i="52"/>
  <c r="K20" i="52" s="1"/>
  <c r="I20" i="52"/>
  <c r="J19" i="52"/>
  <c r="K19" i="52" s="1"/>
  <c r="I19" i="52"/>
  <c r="J18" i="52"/>
  <c r="K18" i="52" s="1"/>
  <c r="I18" i="52"/>
  <c r="J17" i="52"/>
  <c r="K17" i="52" s="1"/>
  <c r="I17" i="52"/>
  <c r="J16" i="52"/>
  <c r="K16" i="52" s="1"/>
  <c r="I16" i="52"/>
  <c r="J15" i="52"/>
  <c r="K15" i="52" s="1"/>
  <c r="I15" i="52"/>
  <c r="J14" i="52"/>
  <c r="K14" i="52" s="1"/>
  <c r="I14" i="52"/>
  <c r="J13" i="52"/>
  <c r="K13" i="52" s="1"/>
  <c r="I13" i="52"/>
  <c r="J12" i="52"/>
  <c r="K12" i="52" s="1"/>
  <c r="I12" i="52"/>
  <c r="J6" i="52"/>
  <c r="I6" i="52"/>
  <c r="J9" i="52"/>
  <c r="K9" i="52" s="1"/>
  <c r="I9" i="52"/>
  <c r="J5" i="52"/>
  <c r="I5" i="52"/>
  <c r="J11" i="52"/>
  <c r="I11" i="52"/>
  <c r="J10" i="52"/>
  <c r="K10" i="52" s="1"/>
  <c r="I10" i="52"/>
  <c r="J7" i="52"/>
  <c r="I7" i="52"/>
  <c r="J24" i="51"/>
  <c r="K24" i="51" s="1"/>
  <c r="I24" i="51"/>
  <c r="J23" i="51"/>
  <c r="K23" i="51" s="1"/>
  <c r="I23" i="51"/>
  <c r="J22" i="51"/>
  <c r="K22" i="51" s="1"/>
  <c r="I22" i="51"/>
  <c r="J21" i="51"/>
  <c r="K21" i="51" s="1"/>
  <c r="I21" i="51"/>
  <c r="J20" i="51"/>
  <c r="K20" i="51" s="1"/>
  <c r="I20" i="51"/>
  <c r="J19" i="51"/>
  <c r="K19" i="51" s="1"/>
  <c r="I19" i="51"/>
  <c r="J18" i="51"/>
  <c r="K18" i="51" s="1"/>
  <c r="I18" i="51"/>
  <c r="J17" i="51"/>
  <c r="K17" i="51" s="1"/>
  <c r="I17" i="51"/>
  <c r="J16" i="51"/>
  <c r="K16" i="51" s="1"/>
  <c r="I16" i="51"/>
  <c r="J15" i="51"/>
  <c r="K15" i="51" s="1"/>
  <c r="I15" i="51"/>
  <c r="J14" i="51"/>
  <c r="K14" i="51" s="1"/>
  <c r="I14" i="51"/>
  <c r="J13" i="51"/>
  <c r="K13" i="51" s="1"/>
  <c r="I13" i="51"/>
  <c r="J12" i="51"/>
  <c r="K12" i="51" s="1"/>
  <c r="I12" i="51"/>
  <c r="J10" i="51"/>
  <c r="I10" i="51"/>
  <c r="J5" i="51"/>
  <c r="I5" i="51"/>
  <c r="J8" i="51"/>
  <c r="I8" i="51"/>
  <c r="J11" i="51"/>
  <c r="K11" i="51" s="1"/>
  <c r="I11" i="51"/>
  <c r="J6" i="51"/>
  <c r="I6" i="51"/>
  <c r="J7" i="51"/>
  <c r="I7" i="51"/>
  <c r="J24" i="50"/>
  <c r="K24" i="50" s="1"/>
  <c r="I24" i="50"/>
  <c r="J23" i="50"/>
  <c r="K23" i="50" s="1"/>
  <c r="I23" i="50"/>
  <c r="J22" i="50"/>
  <c r="K22" i="50" s="1"/>
  <c r="I22" i="50"/>
  <c r="J21" i="50"/>
  <c r="K21" i="50" s="1"/>
  <c r="I21" i="50"/>
  <c r="J20" i="50"/>
  <c r="K20" i="50" s="1"/>
  <c r="I20" i="50"/>
  <c r="J19" i="50"/>
  <c r="K19" i="50" s="1"/>
  <c r="I19" i="50"/>
  <c r="J18" i="50"/>
  <c r="K18" i="50" s="1"/>
  <c r="I18" i="50"/>
  <c r="J17" i="50"/>
  <c r="K17" i="50" s="1"/>
  <c r="I17" i="50"/>
  <c r="J16" i="50"/>
  <c r="K16" i="50" s="1"/>
  <c r="I16" i="50"/>
  <c r="J15" i="50"/>
  <c r="K15" i="50" s="1"/>
  <c r="I15" i="50"/>
  <c r="J14" i="50"/>
  <c r="K14" i="50" s="1"/>
  <c r="I14" i="50"/>
  <c r="J12" i="50"/>
  <c r="K12" i="50" s="1"/>
  <c r="I12" i="50"/>
  <c r="J10" i="50"/>
  <c r="K10" i="50" s="1"/>
  <c r="I10" i="50"/>
  <c r="J13" i="50"/>
  <c r="K13" i="50" s="1"/>
  <c r="I13" i="50"/>
  <c r="J6" i="50"/>
  <c r="K6" i="50" s="1"/>
  <c r="I6" i="50"/>
  <c r="J5" i="50"/>
  <c r="I5" i="50"/>
  <c r="J11" i="50"/>
  <c r="I11" i="50"/>
  <c r="J7" i="50"/>
  <c r="I7" i="50"/>
  <c r="J9" i="50"/>
  <c r="I9" i="50"/>
  <c r="J24" i="49"/>
  <c r="K24" i="49" s="1"/>
  <c r="I24" i="49"/>
  <c r="J23" i="49"/>
  <c r="K23" i="49" s="1"/>
  <c r="I23" i="49"/>
  <c r="J22" i="49"/>
  <c r="K22" i="49" s="1"/>
  <c r="I22" i="49"/>
  <c r="J21" i="49"/>
  <c r="K21" i="49" s="1"/>
  <c r="I21" i="49"/>
  <c r="J20" i="49"/>
  <c r="K20" i="49" s="1"/>
  <c r="I20" i="49"/>
  <c r="J19" i="49"/>
  <c r="K19" i="49" s="1"/>
  <c r="I19" i="49"/>
  <c r="J18" i="49"/>
  <c r="K18" i="49" s="1"/>
  <c r="I18" i="49"/>
  <c r="J17" i="49"/>
  <c r="K17" i="49" s="1"/>
  <c r="I17" i="49"/>
  <c r="J16" i="49"/>
  <c r="K16" i="49" s="1"/>
  <c r="I16" i="49"/>
  <c r="J15" i="49"/>
  <c r="K15" i="49" s="1"/>
  <c r="I15" i="49"/>
  <c r="J14" i="49"/>
  <c r="K14" i="49" s="1"/>
  <c r="I14" i="49"/>
  <c r="J13" i="49"/>
  <c r="K13" i="49" s="1"/>
  <c r="I13" i="49"/>
  <c r="J7" i="49"/>
  <c r="I7" i="49"/>
  <c r="J12" i="49"/>
  <c r="K12" i="49" s="1"/>
  <c r="I12" i="49"/>
  <c r="J5" i="49"/>
  <c r="I5" i="49"/>
  <c r="J10" i="49"/>
  <c r="I10" i="49"/>
  <c r="J9" i="49"/>
  <c r="I9" i="49"/>
  <c r="J6" i="49"/>
  <c r="I6" i="49"/>
  <c r="J11" i="49"/>
  <c r="I11" i="49"/>
  <c r="J15" i="56"/>
  <c r="I15" i="56"/>
  <c r="J26" i="56"/>
  <c r="K26" i="56" s="1"/>
  <c r="I26" i="56"/>
  <c r="J21" i="56"/>
  <c r="K21" i="56" s="1"/>
  <c r="I21" i="56"/>
  <c r="J16" i="56"/>
  <c r="K16" i="56" s="1"/>
  <c r="I16" i="56"/>
  <c r="J14" i="56"/>
  <c r="K14" i="56" s="1"/>
  <c r="I14" i="56"/>
  <c r="J19" i="56"/>
  <c r="K19" i="56" s="1"/>
  <c r="I19" i="56"/>
  <c r="J7" i="56"/>
  <c r="I7" i="56"/>
  <c r="J12" i="56"/>
  <c r="K12" i="56" s="1"/>
  <c r="I12" i="56"/>
  <c r="J6" i="56"/>
  <c r="I6" i="56"/>
  <c r="J25" i="56"/>
  <c r="K25" i="56" s="1"/>
  <c r="I25" i="56"/>
  <c r="J11" i="56"/>
  <c r="I11" i="56"/>
  <c r="J17" i="56"/>
  <c r="K17" i="56" s="1"/>
  <c r="I17" i="56"/>
  <c r="J24" i="56"/>
  <c r="K24" i="56" s="1"/>
  <c r="I24" i="56"/>
  <c r="J9" i="56"/>
  <c r="I9" i="56"/>
  <c r="J18" i="56"/>
  <c r="I18" i="56"/>
  <c r="J8" i="56"/>
  <c r="I8" i="56"/>
  <c r="J22" i="56"/>
  <c r="K22" i="56" s="1"/>
  <c r="I22" i="56"/>
  <c r="J15" i="55"/>
  <c r="K15" i="55" s="1"/>
  <c r="I15" i="55"/>
  <c r="J24" i="55"/>
  <c r="K24" i="55" s="1"/>
  <c r="I24" i="55"/>
  <c r="J22" i="55"/>
  <c r="K22" i="55" s="1"/>
  <c r="I22" i="55"/>
  <c r="J23" i="55"/>
  <c r="K23" i="55" s="1"/>
  <c r="I23" i="55"/>
  <c r="J11" i="55"/>
  <c r="I11" i="55"/>
  <c r="J14" i="55"/>
  <c r="K14" i="55" s="1"/>
  <c r="I14" i="55"/>
  <c r="J19" i="55"/>
  <c r="K19" i="55" s="1"/>
  <c r="I19" i="55"/>
  <c r="J5" i="55"/>
  <c r="I5" i="55"/>
  <c r="J17" i="55"/>
  <c r="K17" i="55" s="1"/>
  <c r="I17" i="55"/>
  <c r="J12" i="55"/>
  <c r="I12" i="55"/>
  <c r="J26" i="55"/>
  <c r="K26" i="55" s="1"/>
  <c r="I26" i="55"/>
  <c r="J8" i="55"/>
  <c r="I8" i="55"/>
  <c r="J16" i="55"/>
  <c r="K16" i="55" s="1"/>
  <c r="I16" i="55"/>
  <c r="J25" i="55"/>
  <c r="I25" i="55"/>
  <c r="J18" i="55"/>
  <c r="I18" i="55"/>
  <c r="J13" i="55"/>
  <c r="I13" i="55"/>
  <c r="J10" i="55"/>
  <c r="I10" i="55"/>
  <c r="J9" i="55"/>
  <c r="I9" i="55"/>
  <c r="J28" i="54"/>
  <c r="K28" i="54" s="1"/>
  <c r="I28" i="54"/>
  <c r="J16" i="54"/>
  <c r="K16" i="54" s="1"/>
  <c r="I16" i="54"/>
  <c r="J25" i="54"/>
  <c r="K25" i="54" s="1"/>
  <c r="F26" i="57" s="1"/>
  <c r="I25" i="54"/>
  <c r="J23" i="54"/>
  <c r="K23" i="54" s="1"/>
  <c r="I23" i="54"/>
  <c r="J24" i="54"/>
  <c r="K24" i="54" s="1"/>
  <c r="I24" i="54"/>
  <c r="J11" i="54"/>
  <c r="K11" i="54" s="1"/>
  <c r="I11" i="54"/>
  <c r="J27" i="54"/>
  <c r="K27" i="54" s="1"/>
  <c r="I27" i="54"/>
  <c r="J5" i="54"/>
  <c r="I5" i="54"/>
  <c r="J15" i="54"/>
  <c r="K15" i="54" s="1"/>
  <c r="F23" i="57" s="1"/>
  <c r="I15" i="54"/>
  <c r="J21" i="54"/>
  <c r="K21" i="54" s="1"/>
  <c r="I21" i="54"/>
  <c r="J19" i="54"/>
  <c r="K19" i="54" s="1"/>
  <c r="I19" i="54"/>
  <c r="J10" i="54"/>
  <c r="K10" i="54" s="1"/>
  <c r="I10" i="54"/>
  <c r="J9" i="54"/>
  <c r="I9" i="54"/>
  <c r="J18" i="54"/>
  <c r="K18" i="54" s="1"/>
  <c r="I18" i="54"/>
  <c r="J26" i="54"/>
  <c r="I26" i="54"/>
  <c r="J20" i="54"/>
  <c r="I20" i="54"/>
  <c r="J8" i="54"/>
  <c r="I8" i="54"/>
  <c r="J13" i="54"/>
  <c r="I13" i="54"/>
  <c r="J7" i="54"/>
  <c r="I7" i="54"/>
  <c r="J24" i="53"/>
  <c r="K24" i="53" s="1"/>
  <c r="I24" i="53"/>
  <c r="J16" i="53"/>
  <c r="K16" i="53" s="1"/>
  <c r="I16" i="53"/>
  <c r="J21" i="53"/>
  <c r="K21" i="53" s="1"/>
  <c r="F7" i="57" s="1"/>
  <c r="I21" i="53"/>
  <c r="J17" i="53"/>
  <c r="I17" i="53"/>
  <c r="J22" i="53"/>
  <c r="K22" i="53" s="1"/>
  <c r="F25" i="57" s="1"/>
  <c r="I22" i="53"/>
  <c r="J19" i="53"/>
  <c r="K19" i="53" s="1"/>
  <c r="I19" i="53"/>
  <c r="J23" i="53"/>
  <c r="K23" i="53" s="1"/>
  <c r="I23" i="53"/>
  <c r="J12" i="53"/>
  <c r="I12" i="53"/>
  <c r="J9" i="53"/>
  <c r="K9" i="53" s="1"/>
  <c r="I9" i="53"/>
  <c r="J18" i="53"/>
  <c r="I18" i="53"/>
  <c r="J8" i="53"/>
  <c r="K8" i="53" s="1"/>
  <c r="I8" i="53"/>
  <c r="J5" i="53"/>
  <c r="I5" i="53"/>
  <c r="J15" i="53"/>
  <c r="I15" i="53"/>
  <c r="J13" i="53"/>
  <c r="K13" i="53" s="1"/>
  <c r="I13" i="53"/>
  <c r="J10" i="53"/>
  <c r="I10" i="53"/>
  <c r="J20" i="53"/>
  <c r="I20" i="53"/>
  <c r="J14" i="53"/>
  <c r="I14" i="53"/>
  <c r="J7" i="53"/>
  <c r="I7" i="53"/>
  <c r="J6" i="53"/>
  <c r="I6" i="53"/>
  <c r="J24" i="75"/>
  <c r="K24" i="75" s="1"/>
  <c r="I24" i="75"/>
  <c r="J23" i="75"/>
  <c r="K23" i="75" s="1"/>
  <c r="I23" i="75"/>
  <c r="J22" i="75"/>
  <c r="K22" i="75" s="1"/>
  <c r="I22" i="75"/>
  <c r="J21" i="75"/>
  <c r="K21" i="75" s="1"/>
  <c r="I21" i="75"/>
  <c r="J20" i="75"/>
  <c r="K20" i="75" s="1"/>
  <c r="I20" i="75"/>
  <c r="J19" i="75"/>
  <c r="K19" i="75" s="1"/>
  <c r="I19" i="75"/>
  <c r="J18" i="75"/>
  <c r="K18" i="75" s="1"/>
  <c r="I18" i="75"/>
  <c r="J17" i="75"/>
  <c r="K17" i="75" s="1"/>
  <c r="I17" i="75"/>
  <c r="J16" i="75"/>
  <c r="K16" i="75" s="1"/>
  <c r="I16" i="75"/>
  <c r="J15" i="75"/>
  <c r="K15" i="75" s="1"/>
  <c r="I15" i="75"/>
  <c r="J13" i="75"/>
  <c r="K13" i="75" s="1"/>
  <c r="I13" i="75"/>
  <c r="J11" i="75"/>
  <c r="I11" i="75"/>
  <c r="J12" i="75"/>
  <c r="K12" i="75" s="1"/>
  <c r="I12" i="75"/>
  <c r="J14" i="75"/>
  <c r="K14" i="75" s="1"/>
  <c r="I14" i="75"/>
  <c r="J10" i="75"/>
  <c r="I10" i="75"/>
  <c r="J6" i="75"/>
  <c r="K6" i="75" s="1"/>
  <c r="I6" i="75"/>
  <c r="J5" i="75"/>
  <c r="I5" i="75"/>
  <c r="J7" i="75"/>
  <c r="K7" i="75" s="1"/>
  <c r="I7" i="75"/>
  <c r="J8" i="75"/>
  <c r="I8" i="75"/>
  <c r="J24" i="74"/>
  <c r="K24" i="74" s="1"/>
  <c r="I24" i="74"/>
  <c r="J23" i="74"/>
  <c r="K23" i="74" s="1"/>
  <c r="I23" i="74"/>
  <c r="J22" i="74"/>
  <c r="K22" i="74" s="1"/>
  <c r="I22" i="74"/>
  <c r="J21" i="74"/>
  <c r="K21" i="74" s="1"/>
  <c r="I21" i="74"/>
  <c r="J20" i="74"/>
  <c r="K20" i="74" s="1"/>
  <c r="I20" i="74"/>
  <c r="J19" i="74"/>
  <c r="K19" i="74" s="1"/>
  <c r="I19" i="74"/>
  <c r="J18" i="74"/>
  <c r="K18" i="74" s="1"/>
  <c r="I18" i="74"/>
  <c r="J17" i="74"/>
  <c r="K17" i="74" s="1"/>
  <c r="I17" i="74"/>
  <c r="J16" i="74"/>
  <c r="K16" i="74" s="1"/>
  <c r="I16" i="74"/>
  <c r="J15" i="74"/>
  <c r="K15" i="74" s="1"/>
  <c r="I15" i="74"/>
  <c r="J11" i="74"/>
  <c r="K11" i="74" s="1"/>
  <c r="I11" i="74"/>
  <c r="J9" i="74"/>
  <c r="K9" i="74" s="1"/>
  <c r="I9" i="74"/>
  <c r="J14" i="74"/>
  <c r="K14" i="74" s="1"/>
  <c r="I14" i="74"/>
  <c r="J13" i="74"/>
  <c r="K13" i="74" s="1"/>
  <c r="I13" i="74"/>
  <c r="J5" i="74"/>
  <c r="K5" i="74" s="1"/>
  <c r="I5" i="74"/>
  <c r="J7" i="74"/>
  <c r="K7" i="74" s="1"/>
  <c r="I7" i="74"/>
  <c r="J10" i="74"/>
  <c r="K10" i="74" s="1"/>
  <c r="I10" i="74"/>
  <c r="J8" i="74"/>
  <c r="I8" i="74"/>
  <c r="J12" i="74"/>
  <c r="K12" i="74" s="1"/>
  <c r="I12" i="74"/>
  <c r="J24" i="73"/>
  <c r="K24" i="73" s="1"/>
  <c r="I24" i="73"/>
  <c r="J23" i="73"/>
  <c r="K23" i="73" s="1"/>
  <c r="I23" i="73"/>
  <c r="J22" i="73"/>
  <c r="K22" i="73" s="1"/>
  <c r="I22" i="73"/>
  <c r="J21" i="73"/>
  <c r="K21" i="73" s="1"/>
  <c r="I21" i="73"/>
  <c r="J20" i="73"/>
  <c r="K20" i="73" s="1"/>
  <c r="I20" i="73"/>
  <c r="J19" i="73"/>
  <c r="K19" i="73" s="1"/>
  <c r="I19" i="73"/>
  <c r="J18" i="73"/>
  <c r="K18" i="73" s="1"/>
  <c r="I18" i="73"/>
  <c r="J17" i="73"/>
  <c r="K17" i="73" s="1"/>
  <c r="I17" i="73"/>
  <c r="J14" i="73"/>
  <c r="K14" i="73" s="1"/>
  <c r="I14" i="73"/>
  <c r="J16" i="73"/>
  <c r="K16" i="73" s="1"/>
  <c r="I16" i="73"/>
  <c r="J7" i="73"/>
  <c r="I7" i="73"/>
  <c r="J9" i="73"/>
  <c r="K9" i="73" s="1"/>
  <c r="I9" i="73"/>
  <c r="J15" i="73"/>
  <c r="K15" i="73" s="1"/>
  <c r="I15" i="73"/>
  <c r="J8" i="73"/>
  <c r="K8" i="73" s="1"/>
  <c r="I8" i="73"/>
  <c r="J5" i="73"/>
  <c r="I5" i="73"/>
  <c r="J13" i="73"/>
  <c r="K13" i="73" s="1"/>
  <c r="I13" i="73"/>
  <c r="J11" i="73"/>
  <c r="I11" i="73"/>
  <c r="J10" i="73"/>
  <c r="K10" i="73" s="1"/>
  <c r="I10" i="73"/>
  <c r="J6" i="73"/>
  <c r="I6" i="73"/>
  <c r="J24" i="72"/>
  <c r="K24" i="72" s="1"/>
  <c r="I24" i="72"/>
  <c r="J23" i="72"/>
  <c r="K23" i="72" s="1"/>
  <c r="I23" i="72"/>
  <c r="J22" i="72"/>
  <c r="K22" i="72" s="1"/>
  <c r="I22" i="72"/>
  <c r="J21" i="72"/>
  <c r="K21" i="72" s="1"/>
  <c r="I21" i="72"/>
  <c r="J20" i="72"/>
  <c r="K20" i="72" s="1"/>
  <c r="I20" i="72"/>
  <c r="J19" i="72"/>
  <c r="K19" i="72" s="1"/>
  <c r="I19" i="72"/>
  <c r="J18" i="72"/>
  <c r="K18" i="72" s="1"/>
  <c r="I18" i="72"/>
  <c r="J14" i="72"/>
  <c r="K14" i="72" s="1"/>
  <c r="I14" i="72"/>
  <c r="J17" i="72"/>
  <c r="K17" i="72" s="1"/>
  <c r="I17" i="72"/>
  <c r="J16" i="72"/>
  <c r="K16" i="72" s="1"/>
  <c r="I16" i="72"/>
  <c r="J12" i="72"/>
  <c r="K12" i="72" s="1"/>
  <c r="I12" i="72"/>
  <c r="J13" i="72"/>
  <c r="I13" i="72"/>
  <c r="J8" i="72"/>
  <c r="K8" i="72" s="1"/>
  <c r="I8" i="72"/>
  <c r="J5" i="72"/>
  <c r="I5" i="72"/>
  <c r="J7" i="72"/>
  <c r="K7" i="72" s="1"/>
  <c r="I7" i="72"/>
  <c r="J6" i="72"/>
  <c r="I6" i="72"/>
  <c r="J10" i="72"/>
  <c r="K10" i="72" s="1"/>
  <c r="I10" i="72"/>
  <c r="J11" i="72"/>
  <c r="I11" i="72"/>
  <c r="J9" i="72"/>
  <c r="K9" i="72" s="1"/>
  <c r="I9" i="72"/>
  <c r="J24" i="71"/>
  <c r="K24" i="71" s="1"/>
  <c r="I24" i="71"/>
  <c r="J23" i="71"/>
  <c r="K23" i="71" s="1"/>
  <c r="I23" i="71"/>
  <c r="J22" i="71"/>
  <c r="K22" i="71" s="1"/>
  <c r="I22" i="71"/>
  <c r="J21" i="71"/>
  <c r="K21" i="71" s="1"/>
  <c r="I21" i="71"/>
  <c r="J20" i="71"/>
  <c r="K20" i="71" s="1"/>
  <c r="I20" i="71"/>
  <c r="J19" i="71"/>
  <c r="K19" i="71" s="1"/>
  <c r="I19" i="71"/>
  <c r="J18" i="71"/>
  <c r="K18" i="71" s="1"/>
  <c r="I18" i="71"/>
  <c r="J12" i="71"/>
  <c r="K12" i="71" s="1"/>
  <c r="I12" i="71"/>
  <c r="J17" i="71"/>
  <c r="K17" i="71" s="1"/>
  <c r="I17" i="71"/>
  <c r="J16" i="71"/>
  <c r="I16" i="71"/>
  <c r="J15" i="71"/>
  <c r="I15" i="71"/>
  <c r="J5" i="71"/>
  <c r="I5" i="71"/>
  <c r="J6" i="71"/>
  <c r="I6" i="71"/>
  <c r="J14" i="71"/>
  <c r="K14" i="71" s="1"/>
  <c r="I14" i="71"/>
  <c r="J13" i="71"/>
  <c r="I13" i="71"/>
  <c r="J8" i="71"/>
  <c r="I8" i="71"/>
  <c r="J11" i="71"/>
  <c r="I11" i="71"/>
  <c r="J9" i="71"/>
  <c r="I9" i="71"/>
  <c r="J10" i="71"/>
  <c r="I10" i="71"/>
  <c r="J24" i="80"/>
  <c r="K24" i="80" s="1"/>
  <c r="I24" i="80"/>
  <c r="J23" i="80"/>
  <c r="K23" i="80" s="1"/>
  <c r="I23" i="80"/>
  <c r="J22" i="80"/>
  <c r="K22" i="80" s="1"/>
  <c r="I22" i="80"/>
  <c r="J21" i="80"/>
  <c r="K21" i="80" s="1"/>
  <c r="I21" i="80"/>
  <c r="J20" i="80"/>
  <c r="K20" i="80" s="1"/>
  <c r="I20" i="80"/>
  <c r="J19" i="80"/>
  <c r="K19" i="80" s="1"/>
  <c r="I19" i="80"/>
  <c r="J18" i="80"/>
  <c r="K18" i="80" s="1"/>
  <c r="I18" i="80"/>
  <c r="J17" i="80"/>
  <c r="K17" i="80" s="1"/>
  <c r="I17" i="80"/>
  <c r="J16" i="80"/>
  <c r="K16" i="80" s="1"/>
  <c r="I16" i="80"/>
  <c r="J15" i="80"/>
  <c r="K15" i="80" s="1"/>
  <c r="I15" i="80"/>
  <c r="J14" i="80"/>
  <c r="K14" i="80" s="1"/>
  <c r="I14" i="80"/>
  <c r="J13" i="80"/>
  <c r="K13" i="80" s="1"/>
  <c r="I13" i="80"/>
  <c r="J12" i="80"/>
  <c r="K12" i="80" s="1"/>
  <c r="I12" i="80"/>
  <c r="J8" i="80"/>
  <c r="K8" i="80" s="1"/>
  <c r="I8" i="80"/>
  <c r="J5" i="80"/>
  <c r="K5" i="80" s="1"/>
  <c r="I5" i="80"/>
  <c r="J11" i="80"/>
  <c r="K11" i="80" s="1"/>
  <c r="I11" i="80"/>
  <c r="J10" i="80"/>
  <c r="K10" i="80" s="1"/>
  <c r="I10" i="80"/>
  <c r="J7" i="80"/>
  <c r="K7" i="80" s="1"/>
  <c r="I7" i="80"/>
  <c r="J9" i="80"/>
  <c r="K9" i="80" s="1"/>
  <c r="I9" i="80"/>
  <c r="J24" i="79"/>
  <c r="K24" i="79" s="1"/>
  <c r="I24" i="79"/>
  <c r="J23" i="79"/>
  <c r="K23" i="79" s="1"/>
  <c r="I23" i="79"/>
  <c r="J17" i="79"/>
  <c r="K17" i="79" s="1"/>
  <c r="I17" i="79"/>
  <c r="J20" i="79"/>
  <c r="K20" i="79" s="1"/>
  <c r="I20" i="79"/>
  <c r="J19" i="79"/>
  <c r="K19" i="79" s="1"/>
  <c r="I19" i="79"/>
  <c r="J15" i="79"/>
  <c r="K15" i="79" s="1"/>
  <c r="I15" i="79"/>
  <c r="J21" i="79"/>
  <c r="K21" i="79" s="1"/>
  <c r="I21" i="79"/>
  <c r="J16" i="79"/>
  <c r="I16" i="79"/>
  <c r="J9" i="79"/>
  <c r="I9" i="79"/>
  <c r="J6" i="79"/>
  <c r="I6" i="79"/>
  <c r="J22" i="79"/>
  <c r="K22" i="79" s="1"/>
  <c r="I22" i="79"/>
  <c r="J10" i="79"/>
  <c r="K10" i="79" s="1"/>
  <c r="I10" i="79"/>
  <c r="J14" i="79"/>
  <c r="I14" i="79"/>
  <c r="J5" i="79"/>
  <c r="I5" i="79"/>
  <c r="J11" i="79"/>
  <c r="K11" i="79" s="1"/>
  <c r="I11" i="79"/>
  <c r="J8" i="79"/>
  <c r="I8" i="79"/>
  <c r="J7" i="79"/>
  <c r="I7" i="79"/>
  <c r="J12" i="79"/>
  <c r="I12" i="79"/>
  <c r="J18" i="79"/>
  <c r="K18" i="79" s="1"/>
  <c r="I18" i="79"/>
  <c r="J16" i="78"/>
  <c r="K16" i="78" s="1"/>
  <c r="I16" i="78"/>
  <c r="J17" i="78"/>
  <c r="K17" i="78" s="1"/>
  <c r="I17" i="78"/>
  <c r="J21" i="78"/>
  <c r="K21" i="78" s="1"/>
  <c r="I21" i="78"/>
  <c r="J22" i="78"/>
  <c r="K22" i="78" s="1"/>
  <c r="I22" i="78"/>
  <c r="J23" i="78"/>
  <c r="K23" i="78" s="1"/>
  <c r="I23" i="78"/>
  <c r="J14" i="78"/>
  <c r="I14" i="78"/>
  <c r="J20" i="78"/>
  <c r="K20" i="78" s="1"/>
  <c r="I20" i="78"/>
  <c r="J11" i="78"/>
  <c r="K11" i="78" s="1"/>
  <c r="I11" i="78"/>
  <c r="J13" i="78"/>
  <c r="K13" i="78" s="1"/>
  <c r="I13" i="78"/>
  <c r="J12" i="78"/>
  <c r="K12" i="78" s="1"/>
  <c r="I12" i="78"/>
  <c r="J10" i="78"/>
  <c r="I10" i="78"/>
  <c r="J19" i="78"/>
  <c r="K19" i="78" s="1"/>
  <c r="I19" i="78"/>
  <c r="J6" i="78"/>
  <c r="K6" i="78" s="1"/>
  <c r="I6" i="78"/>
  <c r="J15" i="78"/>
  <c r="I15" i="78"/>
  <c r="J8" i="78"/>
  <c r="K8" i="78" s="1"/>
  <c r="I8" i="78"/>
  <c r="J25" i="78"/>
  <c r="K25" i="78" s="1"/>
  <c r="I25" i="78"/>
  <c r="J18" i="78"/>
  <c r="K18" i="78" s="1"/>
  <c r="I18" i="78"/>
  <c r="J7" i="78"/>
  <c r="K7" i="78" s="1"/>
  <c r="I7" i="78"/>
  <c r="J5" i="78"/>
  <c r="I5" i="78"/>
  <c r="J19" i="77"/>
  <c r="K19" i="77" s="1"/>
  <c r="I19" i="77"/>
  <c r="J20" i="77"/>
  <c r="K20" i="77" s="1"/>
  <c r="I20" i="77"/>
  <c r="J11" i="77"/>
  <c r="I11" i="77"/>
  <c r="J15" i="77"/>
  <c r="K15" i="77" s="1"/>
  <c r="I15" i="77"/>
  <c r="J8" i="77"/>
  <c r="I8" i="77"/>
  <c r="J24" i="77"/>
  <c r="K24" i="77" s="1"/>
  <c r="I24" i="77"/>
  <c r="J22" i="77"/>
  <c r="K22" i="77" s="1"/>
  <c r="I22" i="77"/>
  <c r="J21" i="77"/>
  <c r="K21" i="77" s="1"/>
  <c r="I21" i="77"/>
  <c r="J9" i="77"/>
  <c r="I9" i="77"/>
  <c r="J14" i="77"/>
  <c r="K14" i="77" s="1"/>
  <c r="I14" i="77"/>
  <c r="J18" i="77"/>
  <c r="K18" i="77" s="1"/>
  <c r="I18" i="77"/>
  <c r="J10" i="77"/>
  <c r="K10" i="77" s="1"/>
  <c r="I10" i="77"/>
  <c r="J13" i="77"/>
  <c r="K13" i="77" s="1"/>
  <c r="I13" i="77"/>
  <c r="J7" i="77"/>
  <c r="K7" i="77" s="1"/>
  <c r="I7" i="77"/>
  <c r="J25" i="77"/>
  <c r="K25" i="77" s="1"/>
  <c r="I25" i="77"/>
  <c r="J17" i="77"/>
  <c r="I17" i="77"/>
  <c r="J5" i="77"/>
  <c r="I5" i="77"/>
  <c r="J12" i="77"/>
  <c r="I12" i="77"/>
  <c r="J6" i="77"/>
  <c r="K6" i="77" s="1"/>
  <c r="I6" i="77"/>
  <c r="J24" i="85"/>
  <c r="K24" i="85" s="1"/>
  <c r="I24" i="85"/>
  <c r="J23" i="85"/>
  <c r="K23" i="85" s="1"/>
  <c r="I23" i="85"/>
  <c r="J22" i="85"/>
  <c r="K22" i="85" s="1"/>
  <c r="I22" i="85"/>
  <c r="J21" i="85"/>
  <c r="K21" i="85" s="1"/>
  <c r="I21" i="85"/>
  <c r="J20" i="85"/>
  <c r="K20" i="85" s="1"/>
  <c r="I20" i="85"/>
  <c r="J19" i="85"/>
  <c r="K19" i="85" s="1"/>
  <c r="I19" i="85"/>
  <c r="J12" i="85"/>
  <c r="I12" i="85"/>
  <c r="J16" i="85"/>
  <c r="K16" i="85" s="1"/>
  <c r="I16" i="85"/>
  <c r="J15" i="85"/>
  <c r="K15" i="85" s="1"/>
  <c r="I15" i="85"/>
  <c r="J18" i="85"/>
  <c r="K18" i="85" s="1"/>
  <c r="I18" i="85"/>
  <c r="J11" i="85"/>
  <c r="K11" i="85" s="1"/>
  <c r="F12" i="87" s="1"/>
  <c r="I11" i="85"/>
  <c r="J10" i="85"/>
  <c r="K10" i="85" s="1"/>
  <c r="I10" i="85"/>
  <c r="J14" i="85"/>
  <c r="K14" i="85" s="1"/>
  <c r="I14" i="85"/>
  <c r="J9" i="85"/>
  <c r="K9" i="85" s="1"/>
  <c r="I9" i="85"/>
  <c r="J13" i="85"/>
  <c r="I13" i="85"/>
  <c r="J5" i="85"/>
  <c r="I5" i="85"/>
  <c r="J8" i="85"/>
  <c r="I8" i="85"/>
  <c r="J17" i="85"/>
  <c r="I17" i="85"/>
  <c r="J7" i="85"/>
  <c r="I7" i="85"/>
  <c r="J24" i="84"/>
  <c r="K24" i="84" s="1"/>
  <c r="I24" i="84"/>
  <c r="J23" i="84"/>
  <c r="K23" i="84" s="1"/>
  <c r="I23" i="84"/>
  <c r="J22" i="84"/>
  <c r="K22" i="84" s="1"/>
  <c r="I22" i="84"/>
  <c r="J21" i="84"/>
  <c r="K21" i="84" s="1"/>
  <c r="I21" i="84"/>
  <c r="J20" i="84"/>
  <c r="K20" i="84" s="1"/>
  <c r="I20" i="84"/>
  <c r="J19" i="84"/>
  <c r="K19" i="84" s="1"/>
  <c r="I19" i="84"/>
  <c r="J18" i="84"/>
  <c r="K18" i="84" s="1"/>
  <c r="I18" i="84"/>
  <c r="J17" i="84"/>
  <c r="K17" i="84" s="1"/>
  <c r="I17" i="84"/>
  <c r="J12" i="84"/>
  <c r="K12" i="84" s="1"/>
  <c r="I12" i="84"/>
  <c r="J14" i="84"/>
  <c r="K14" i="84" s="1"/>
  <c r="I14" i="84"/>
  <c r="J8" i="84"/>
  <c r="I8" i="84"/>
  <c r="J16" i="84"/>
  <c r="K16" i="84" s="1"/>
  <c r="I16" i="84"/>
  <c r="J13" i="84"/>
  <c r="I13" i="84"/>
  <c r="J15" i="84"/>
  <c r="K15" i="84" s="1"/>
  <c r="I15" i="84"/>
  <c r="J6" i="84"/>
  <c r="I6" i="84"/>
  <c r="J5" i="84"/>
  <c r="I5" i="84"/>
  <c r="J7" i="84"/>
  <c r="I7" i="84"/>
  <c r="J11" i="84"/>
  <c r="K11" i="84" s="1"/>
  <c r="I11" i="84"/>
  <c r="J10" i="84"/>
  <c r="I10" i="84"/>
  <c r="J24" i="83"/>
  <c r="K24" i="83" s="1"/>
  <c r="I24" i="83"/>
  <c r="J23" i="83"/>
  <c r="K23" i="83" s="1"/>
  <c r="I23" i="83"/>
  <c r="J22" i="83"/>
  <c r="K22" i="83" s="1"/>
  <c r="I22" i="83"/>
  <c r="J21" i="83"/>
  <c r="K21" i="83" s="1"/>
  <c r="I21" i="83"/>
  <c r="J20" i="83"/>
  <c r="K20" i="83" s="1"/>
  <c r="I20" i="83"/>
  <c r="J19" i="83"/>
  <c r="K19" i="83" s="1"/>
  <c r="I19" i="83"/>
  <c r="J18" i="83"/>
  <c r="K18" i="83" s="1"/>
  <c r="I18" i="83"/>
  <c r="J14" i="83"/>
  <c r="K14" i="83" s="1"/>
  <c r="I14" i="83"/>
  <c r="J17" i="83"/>
  <c r="K17" i="83" s="1"/>
  <c r="I17" i="83"/>
  <c r="J16" i="83"/>
  <c r="K16" i="83" s="1"/>
  <c r="I16" i="83"/>
  <c r="J10" i="83"/>
  <c r="K10" i="83" s="1"/>
  <c r="I10" i="83"/>
  <c r="J11" i="83"/>
  <c r="I11" i="83"/>
  <c r="J13" i="83"/>
  <c r="K13" i="83" s="1"/>
  <c r="I13" i="83"/>
  <c r="J5" i="83"/>
  <c r="I5" i="83"/>
  <c r="J6" i="83"/>
  <c r="I6" i="83"/>
  <c r="J12" i="83"/>
  <c r="I12" i="83"/>
  <c r="J9" i="83"/>
  <c r="I9" i="83"/>
  <c r="J15" i="83"/>
  <c r="K15" i="83" s="1"/>
  <c r="I15" i="83"/>
  <c r="J8" i="83"/>
  <c r="I8" i="83"/>
  <c r="J24" i="82"/>
  <c r="K24" i="82" s="1"/>
  <c r="I24" i="82"/>
  <c r="J23" i="82"/>
  <c r="K23" i="82" s="1"/>
  <c r="I23" i="82"/>
  <c r="J22" i="82"/>
  <c r="K22" i="82" s="1"/>
  <c r="I22" i="82"/>
  <c r="J21" i="82"/>
  <c r="K21" i="82" s="1"/>
  <c r="I21" i="82"/>
  <c r="J20" i="82"/>
  <c r="K20" i="82" s="1"/>
  <c r="I20" i="82"/>
  <c r="J19" i="82"/>
  <c r="K19" i="82" s="1"/>
  <c r="I19" i="82"/>
  <c r="J18" i="82"/>
  <c r="K18" i="82" s="1"/>
  <c r="I18" i="82"/>
  <c r="J17" i="82"/>
  <c r="K17" i="82" s="1"/>
  <c r="I17" i="82"/>
  <c r="J12" i="82"/>
  <c r="K12" i="82" s="1"/>
  <c r="I12" i="82"/>
  <c r="J8" i="82"/>
  <c r="K8" i="82" s="1"/>
  <c r="F11" i="87" s="1"/>
  <c r="I8" i="82"/>
  <c r="J13" i="82"/>
  <c r="K13" i="82" s="1"/>
  <c r="F19" i="87" s="1"/>
  <c r="I13" i="82"/>
  <c r="J9" i="82"/>
  <c r="K9" i="82" s="1"/>
  <c r="I9" i="82"/>
  <c r="J16" i="82"/>
  <c r="K16" i="82" s="1"/>
  <c r="I16" i="82"/>
  <c r="J11" i="82"/>
  <c r="I11" i="82"/>
  <c r="J7" i="82"/>
  <c r="I7" i="82"/>
  <c r="J15" i="82"/>
  <c r="K15" i="82" s="1"/>
  <c r="I15" i="82"/>
  <c r="J14" i="82"/>
  <c r="I14" i="82"/>
  <c r="J5" i="82"/>
  <c r="I5" i="82"/>
  <c r="J6" i="82"/>
  <c r="I6" i="82"/>
  <c r="J24" i="93"/>
  <c r="K24" i="93" s="1"/>
  <c r="I24" i="93"/>
  <c r="J23" i="93"/>
  <c r="K23" i="93" s="1"/>
  <c r="I23" i="93"/>
  <c r="J22" i="93"/>
  <c r="K22" i="93" s="1"/>
  <c r="I22" i="93"/>
  <c r="J21" i="93"/>
  <c r="K21" i="93" s="1"/>
  <c r="I21" i="93"/>
  <c r="J20" i="93"/>
  <c r="K20" i="93" s="1"/>
  <c r="I20" i="93"/>
  <c r="J19" i="93"/>
  <c r="K19" i="93" s="1"/>
  <c r="I19" i="93"/>
  <c r="J18" i="93"/>
  <c r="K18" i="93" s="1"/>
  <c r="I18" i="93"/>
  <c r="J17" i="93"/>
  <c r="K17" i="93" s="1"/>
  <c r="I17" i="93"/>
  <c r="J16" i="93"/>
  <c r="K16" i="93" s="1"/>
  <c r="I16" i="93"/>
  <c r="J15" i="93"/>
  <c r="K15" i="93" s="1"/>
  <c r="I15" i="93"/>
  <c r="J14" i="93"/>
  <c r="K14" i="93" s="1"/>
  <c r="I14" i="93"/>
  <c r="J13" i="93"/>
  <c r="K13" i="93" s="1"/>
  <c r="I13" i="93"/>
  <c r="J12" i="93"/>
  <c r="K12" i="93" s="1"/>
  <c r="I12" i="93"/>
  <c r="J11" i="93"/>
  <c r="K11" i="93" s="1"/>
  <c r="I11" i="93"/>
  <c r="J10" i="93"/>
  <c r="K10" i="93" s="1"/>
  <c r="I10" i="93"/>
  <c r="J9" i="93"/>
  <c r="K9" i="93" s="1"/>
  <c r="I9" i="93"/>
  <c r="J8" i="93"/>
  <c r="K8" i="93" s="1"/>
  <c r="I8" i="93"/>
  <c r="J7" i="93"/>
  <c r="K7" i="93" s="1"/>
  <c r="I7" i="93"/>
  <c r="J6" i="93"/>
  <c r="K6" i="93" s="1"/>
  <c r="I6" i="93"/>
  <c r="J24" i="86"/>
  <c r="K24" i="86" s="1"/>
  <c r="I24" i="86"/>
  <c r="J23" i="86"/>
  <c r="K23" i="86" s="1"/>
  <c r="I23" i="86"/>
  <c r="J22" i="86"/>
  <c r="K22" i="86" s="1"/>
  <c r="I22" i="86"/>
  <c r="J21" i="86"/>
  <c r="K21" i="86" s="1"/>
  <c r="I21" i="86"/>
  <c r="J20" i="86"/>
  <c r="K20" i="86" s="1"/>
  <c r="I20" i="86"/>
  <c r="J19" i="86"/>
  <c r="K19" i="86" s="1"/>
  <c r="I19" i="86"/>
  <c r="J18" i="86"/>
  <c r="K18" i="86" s="1"/>
  <c r="I18" i="86"/>
  <c r="J17" i="86"/>
  <c r="K17" i="86" s="1"/>
  <c r="I17" i="86"/>
  <c r="J16" i="86"/>
  <c r="K16" i="86" s="1"/>
  <c r="I16" i="86"/>
  <c r="J15" i="86"/>
  <c r="K15" i="86" s="1"/>
  <c r="I15" i="86"/>
  <c r="J14" i="86"/>
  <c r="K14" i="86" s="1"/>
  <c r="I14" i="86"/>
  <c r="J13" i="86"/>
  <c r="K13" i="86" s="1"/>
  <c r="I13" i="86"/>
  <c r="J12" i="86"/>
  <c r="K12" i="86" s="1"/>
  <c r="I12" i="86"/>
  <c r="J11" i="86"/>
  <c r="K11" i="86" s="1"/>
  <c r="I11" i="86"/>
  <c r="J10" i="86"/>
  <c r="K10" i="86" s="1"/>
  <c r="I10" i="86"/>
  <c r="J9" i="86"/>
  <c r="K9" i="86" s="1"/>
  <c r="I9" i="86"/>
  <c r="J8" i="86"/>
  <c r="K8" i="86" s="1"/>
  <c r="I8" i="86"/>
  <c r="J7" i="86"/>
  <c r="K7" i="86" s="1"/>
  <c r="I7" i="86"/>
  <c r="J6" i="86"/>
  <c r="K6" i="86" s="1"/>
  <c r="I6" i="86"/>
  <c r="J24" i="91"/>
  <c r="K24" i="91" s="1"/>
  <c r="I24" i="91"/>
  <c r="J23" i="91"/>
  <c r="K23" i="91" s="1"/>
  <c r="I23" i="91"/>
  <c r="J22" i="91"/>
  <c r="K22" i="91" s="1"/>
  <c r="I22" i="91"/>
  <c r="J21" i="91"/>
  <c r="K21" i="91" s="1"/>
  <c r="I21" i="91"/>
  <c r="J12" i="91"/>
  <c r="K12" i="91" s="1"/>
  <c r="I12" i="91"/>
  <c r="J13" i="91"/>
  <c r="K13" i="91" s="1"/>
  <c r="I13" i="91"/>
  <c r="J11" i="91"/>
  <c r="K11" i="91" s="1"/>
  <c r="I11" i="91"/>
  <c r="J15" i="91"/>
  <c r="K15" i="91" s="1"/>
  <c r="I15" i="91"/>
  <c r="J14" i="91"/>
  <c r="K14" i="91" s="1"/>
  <c r="I14" i="91"/>
  <c r="J10" i="91"/>
  <c r="K10" i="91" s="1"/>
  <c r="I10" i="91"/>
  <c r="J9" i="91"/>
  <c r="I9" i="91"/>
  <c r="J8" i="91"/>
  <c r="K8" i="91" s="1"/>
  <c r="I8" i="91"/>
  <c r="J20" i="91"/>
  <c r="K20" i="91" s="1"/>
  <c r="I20" i="91"/>
  <c r="J17" i="91"/>
  <c r="K17" i="91" s="1"/>
  <c r="I17" i="91"/>
  <c r="J7" i="91"/>
  <c r="I7" i="91"/>
  <c r="J18" i="91"/>
  <c r="K18" i="91" s="1"/>
  <c r="I18" i="91"/>
  <c r="J5" i="91"/>
  <c r="K5" i="91" s="1"/>
  <c r="I5" i="91"/>
  <c r="J16" i="91"/>
  <c r="I16" i="91"/>
  <c r="J6" i="91"/>
  <c r="I6" i="91"/>
  <c r="J24" i="90"/>
  <c r="K24" i="90" s="1"/>
  <c r="I24" i="90"/>
  <c r="J23" i="90"/>
  <c r="K23" i="90" s="1"/>
  <c r="I23" i="90"/>
  <c r="J22" i="90"/>
  <c r="K22" i="90" s="1"/>
  <c r="I22" i="90"/>
  <c r="J21" i="90"/>
  <c r="K21" i="90" s="1"/>
  <c r="I21" i="90"/>
  <c r="J16" i="90"/>
  <c r="K16" i="90" s="1"/>
  <c r="I16" i="90"/>
  <c r="J14" i="90"/>
  <c r="I14" i="90"/>
  <c r="J19" i="90"/>
  <c r="K19" i="90" s="1"/>
  <c r="I19" i="90"/>
  <c r="J18" i="90"/>
  <c r="K18" i="90" s="1"/>
  <c r="I18" i="90"/>
  <c r="J15" i="90"/>
  <c r="K15" i="90" s="1"/>
  <c r="I15" i="90"/>
  <c r="J6" i="90"/>
  <c r="I6" i="90"/>
  <c r="J13" i="90"/>
  <c r="I13" i="90"/>
  <c r="J5" i="90"/>
  <c r="I5" i="90"/>
  <c r="J20" i="90"/>
  <c r="K20" i="90" s="1"/>
  <c r="I20" i="90"/>
  <c r="J12" i="90"/>
  <c r="I12" i="90"/>
  <c r="J10" i="90"/>
  <c r="K10" i="90" s="1"/>
  <c r="I10" i="90"/>
  <c r="J17" i="90"/>
  <c r="I17" i="90"/>
  <c r="J11" i="90"/>
  <c r="I11" i="90"/>
  <c r="J9" i="90"/>
  <c r="I9" i="90"/>
  <c r="J7" i="90"/>
  <c r="I7" i="90"/>
  <c r="J24" i="89"/>
  <c r="K24" i="89" s="1"/>
  <c r="I24" i="89"/>
  <c r="J8" i="89"/>
  <c r="I8" i="89"/>
  <c r="J23" i="89"/>
  <c r="K23" i="89" s="1"/>
  <c r="I23" i="89"/>
  <c r="J17" i="89"/>
  <c r="K17" i="89" s="1"/>
  <c r="I17" i="89"/>
  <c r="J16" i="89"/>
  <c r="K16" i="89" s="1"/>
  <c r="I16" i="89"/>
  <c r="J11" i="89"/>
  <c r="K11" i="89" s="1"/>
  <c r="I11" i="89"/>
  <c r="J14" i="89"/>
  <c r="K14" i="89" s="1"/>
  <c r="I14" i="89"/>
  <c r="J9" i="89"/>
  <c r="I9" i="89"/>
  <c r="J22" i="89"/>
  <c r="K22" i="89" s="1"/>
  <c r="I22" i="89"/>
  <c r="J18" i="89"/>
  <c r="K18" i="89" s="1"/>
  <c r="I18" i="89"/>
  <c r="J20" i="89"/>
  <c r="K20" i="89" s="1"/>
  <c r="I20" i="89"/>
  <c r="J15" i="89"/>
  <c r="I15" i="89"/>
  <c r="J21" i="89"/>
  <c r="K21" i="89" s="1"/>
  <c r="I21" i="89"/>
  <c r="J12" i="89"/>
  <c r="I12" i="89"/>
  <c r="J5" i="89"/>
  <c r="I5" i="89"/>
  <c r="J7" i="89"/>
  <c r="K7" i="89" s="1"/>
  <c r="I7" i="89"/>
  <c r="J10" i="89"/>
  <c r="I10" i="89"/>
  <c r="J6" i="89"/>
  <c r="I6" i="89"/>
  <c r="J13" i="89"/>
  <c r="K13" i="89" s="1"/>
  <c r="I13" i="89"/>
  <c r="J16" i="88"/>
  <c r="K16" i="88" s="1"/>
  <c r="I16" i="88"/>
  <c r="J23" i="88"/>
  <c r="K23" i="88" s="1"/>
  <c r="F23" i="92" s="1"/>
  <c r="I23" i="88"/>
  <c r="J13" i="88"/>
  <c r="K13" i="88" s="1"/>
  <c r="I13" i="88"/>
  <c r="J11" i="88"/>
  <c r="K11" i="88" s="1"/>
  <c r="I11" i="88"/>
  <c r="J19" i="88"/>
  <c r="K19" i="88" s="1"/>
  <c r="I19" i="88"/>
  <c r="J22" i="88"/>
  <c r="I22" i="88"/>
  <c r="J18" i="88"/>
  <c r="K18" i="88" s="1"/>
  <c r="I18" i="88"/>
  <c r="J15" i="88"/>
  <c r="K15" i="88" s="1"/>
  <c r="I15" i="88"/>
  <c r="J24" i="88"/>
  <c r="I24" i="88"/>
  <c r="J12" i="88"/>
  <c r="K12" i="88" s="1"/>
  <c r="I12" i="88"/>
  <c r="J8" i="88"/>
  <c r="I8" i="88"/>
  <c r="J5" i="88"/>
  <c r="K5" i="88" s="1"/>
  <c r="I5" i="88"/>
  <c r="J21" i="88"/>
  <c r="K21" i="88" s="1"/>
  <c r="I21" i="88"/>
  <c r="J20" i="88"/>
  <c r="I20" i="88"/>
  <c r="J17" i="88"/>
  <c r="I17" i="88"/>
  <c r="J9" i="88"/>
  <c r="I9" i="88"/>
  <c r="J6" i="88"/>
  <c r="I6" i="88"/>
  <c r="J10" i="88"/>
  <c r="I10" i="88"/>
  <c r="J7" i="88"/>
  <c r="I7" i="88"/>
  <c r="J24" i="101"/>
  <c r="K24" i="101" s="1"/>
  <c r="I24" i="101"/>
  <c r="J23" i="101"/>
  <c r="K23" i="101" s="1"/>
  <c r="I23" i="101"/>
  <c r="J22" i="101"/>
  <c r="K22" i="101" s="1"/>
  <c r="I22" i="101"/>
  <c r="J21" i="101"/>
  <c r="K21" i="101" s="1"/>
  <c r="I21" i="101"/>
  <c r="J20" i="101"/>
  <c r="K20" i="101" s="1"/>
  <c r="I20" i="101"/>
  <c r="J19" i="101"/>
  <c r="K19" i="101" s="1"/>
  <c r="I19" i="101"/>
  <c r="J18" i="101"/>
  <c r="K18" i="101" s="1"/>
  <c r="I18" i="101"/>
  <c r="J17" i="101"/>
  <c r="K17" i="101" s="1"/>
  <c r="I17" i="101"/>
  <c r="J16" i="101"/>
  <c r="K16" i="101" s="1"/>
  <c r="I16" i="101"/>
  <c r="J15" i="101"/>
  <c r="K15" i="101" s="1"/>
  <c r="I15" i="101"/>
  <c r="J14" i="101"/>
  <c r="K14" i="101" s="1"/>
  <c r="I14" i="101"/>
  <c r="J13" i="101"/>
  <c r="K13" i="101" s="1"/>
  <c r="I13" i="101"/>
  <c r="J12" i="101"/>
  <c r="K12" i="101" s="1"/>
  <c r="I12" i="101"/>
  <c r="J11" i="101"/>
  <c r="K11" i="101" s="1"/>
  <c r="I11" i="101"/>
  <c r="J10" i="101"/>
  <c r="K10" i="101" s="1"/>
  <c r="I10" i="101"/>
  <c r="J9" i="101"/>
  <c r="K9" i="101" s="1"/>
  <c r="I9" i="101"/>
  <c r="J8" i="101"/>
  <c r="K8" i="101" s="1"/>
  <c r="I8" i="101"/>
  <c r="J7" i="101"/>
  <c r="K7" i="101" s="1"/>
  <c r="I7" i="101"/>
  <c r="J6" i="101"/>
  <c r="K6" i="101" s="1"/>
  <c r="I6" i="101"/>
  <c r="J24" i="100"/>
  <c r="K24" i="100" s="1"/>
  <c r="I24" i="100"/>
  <c r="J23" i="100"/>
  <c r="K23" i="100" s="1"/>
  <c r="I23" i="100"/>
  <c r="J22" i="100"/>
  <c r="K22" i="100" s="1"/>
  <c r="I22" i="100"/>
  <c r="J21" i="100"/>
  <c r="K21" i="100" s="1"/>
  <c r="I21" i="100"/>
  <c r="J20" i="100"/>
  <c r="K20" i="100" s="1"/>
  <c r="I20" i="100"/>
  <c r="J19" i="100"/>
  <c r="K19" i="100" s="1"/>
  <c r="I19" i="100"/>
  <c r="J18" i="100"/>
  <c r="K18" i="100" s="1"/>
  <c r="I18" i="100"/>
  <c r="J17" i="100"/>
  <c r="K17" i="100" s="1"/>
  <c r="I17" i="100"/>
  <c r="J16" i="100"/>
  <c r="K16" i="100" s="1"/>
  <c r="I16" i="100"/>
  <c r="J15" i="100"/>
  <c r="K15" i="100" s="1"/>
  <c r="I15" i="100"/>
  <c r="J14" i="100"/>
  <c r="K14" i="100" s="1"/>
  <c r="I14" i="100"/>
  <c r="J13" i="100"/>
  <c r="K13" i="100" s="1"/>
  <c r="I13" i="100"/>
  <c r="J12" i="100"/>
  <c r="K12" i="100" s="1"/>
  <c r="I12" i="100"/>
  <c r="J10" i="100"/>
  <c r="K10" i="100" s="1"/>
  <c r="I10" i="100"/>
  <c r="J11" i="100"/>
  <c r="K11" i="100" s="1"/>
  <c r="I11" i="100"/>
  <c r="J5" i="100"/>
  <c r="I5" i="100"/>
  <c r="J9" i="100"/>
  <c r="K9" i="100" s="1"/>
  <c r="F5" i="103" s="1"/>
  <c r="I9" i="100"/>
  <c r="J8" i="100"/>
  <c r="K8" i="100" s="1"/>
  <c r="F7" i="103" s="1"/>
  <c r="I8" i="100"/>
  <c r="J6" i="100"/>
  <c r="I6" i="100"/>
  <c r="J24" i="99"/>
  <c r="K24" i="99" s="1"/>
  <c r="I24" i="99"/>
  <c r="J23" i="99"/>
  <c r="K23" i="99" s="1"/>
  <c r="I23" i="99"/>
  <c r="J22" i="99"/>
  <c r="K22" i="99" s="1"/>
  <c r="I22" i="99"/>
  <c r="J21" i="99"/>
  <c r="K21" i="99" s="1"/>
  <c r="I21" i="99"/>
  <c r="J20" i="99"/>
  <c r="K20" i="99" s="1"/>
  <c r="I20" i="99"/>
  <c r="J19" i="99"/>
  <c r="K19" i="99" s="1"/>
  <c r="I19" i="99"/>
  <c r="J18" i="99"/>
  <c r="K18" i="99" s="1"/>
  <c r="I18" i="99"/>
  <c r="J17" i="99"/>
  <c r="K17" i="99" s="1"/>
  <c r="I17" i="99"/>
  <c r="J16" i="99"/>
  <c r="K16" i="99" s="1"/>
  <c r="I16" i="99"/>
  <c r="J15" i="99"/>
  <c r="K15" i="99" s="1"/>
  <c r="I15" i="99"/>
  <c r="J14" i="99"/>
  <c r="K14" i="99" s="1"/>
  <c r="I14" i="99"/>
  <c r="J13" i="99"/>
  <c r="K13" i="99" s="1"/>
  <c r="I13" i="99"/>
  <c r="J12" i="99"/>
  <c r="K12" i="99" s="1"/>
  <c r="I12" i="99"/>
  <c r="J11" i="99"/>
  <c r="K11" i="99" s="1"/>
  <c r="I11" i="99"/>
  <c r="J10" i="99"/>
  <c r="K10" i="99" s="1"/>
  <c r="I10" i="99"/>
  <c r="J9" i="99"/>
  <c r="K9" i="99" s="1"/>
  <c r="I9" i="99"/>
  <c r="J8" i="99"/>
  <c r="K8" i="99" s="1"/>
  <c r="I8" i="99"/>
  <c r="J7" i="99"/>
  <c r="K7" i="99" s="1"/>
  <c r="I7" i="99"/>
  <c r="J6" i="99"/>
  <c r="K6" i="99" s="1"/>
  <c r="I6" i="99"/>
  <c r="J24" i="98"/>
  <c r="K24" i="98" s="1"/>
  <c r="I24" i="98"/>
  <c r="J23" i="98"/>
  <c r="K23" i="98" s="1"/>
  <c r="I23" i="98"/>
  <c r="J22" i="98"/>
  <c r="K22" i="98" s="1"/>
  <c r="I22" i="98"/>
  <c r="J21" i="98"/>
  <c r="K21" i="98" s="1"/>
  <c r="I21" i="98"/>
  <c r="J20" i="98"/>
  <c r="K20" i="98" s="1"/>
  <c r="I20" i="98"/>
  <c r="J19" i="98"/>
  <c r="K19" i="98" s="1"/>
  <c r="I19" i="98"/>
  <c r="J18" i="98"/>
  <c r="K18" i="98" s="1"/>
  <c r="I18" i="98"/>
  <c r="J17" i="98"/>
  <c r="K17" i="98" s="1"/>
  <c r="I17" i="98"/>
  <c r="J16" i="98"/>
  <c r="K16" i="98" s="1"/>
  <c r="I16" i="98"/>
  <c r="J15" i="98"/>
  <c r="K15" i="98" s="1"/>
  <c r="I15" i="98"/>
  <c r="J14" i="98"/>
  <c r="K14" i="98" s="1"/>
  <c r="I14" i="98"/>
  <c r="J13" i="98"/>
  <c r="K13" i="98" s="1"/>
  <c r="I13" i="98"/>
  <c r="J12" i="98"/>
  <c r="K12" i="98" s="1"/>
  <c r="I12" i="98"/>
  <c r="J11" i="98"/>
  <c r="K11" i="98" s="1"/>
  <c r="I11" i="98"/>
  <c r="J10" i="98"/>
  <c r="K10" i="98" s="1"/>
  <c r="I10" i="98"/>
  <c r="J9" i="98"/>
  <c r="K9" i="98" s="1"/>
  <c r="I9" i="98"/>
  <c r="J8" i="98"/>
  <c r="K8" i="98" s="1"/>
  <c r="I8" i="98"/>
  <c r="J7" i="98"/>
  <c r="K7" i="98" s="1"/>
  <c r="I7" i="98"/>
  <c r="J6" i="98"/>
  <c r="K6" i="98" s="1"/>
  <c r="I6" i="98"/>
  <c r="J24" i="97"/>
  <c r="K24" i="97" s="1"/>
  <c r="I24" i="97"/>
  <c r="J23" i="97"/>
  <c r="K23" i="97" s="1"/>
  <c r="I23" i="97"/>
  <c r="J22" i="97"/>
  <c r="K22" i="97" s="1"/>
  <c r="I22" i="97"/>
  <c r="J21" i="97"/>
  <c r="K21" i="97" s="1"/>
  <c r="I21" i="97"/>
  <c r="J20" i="97"/>
  <c r="K20" i="97" s="1"/>
  <c r="I20" i="97"/>
  <c r="J19" i="97"/>
  <c r="K19" i="97" s="1"/>
  <c r="I19" i="97"/>
  <c r="J18" i="97"/>
  <c r="K18" i="97" s="1"/>
  <c r="I18" i="97"/>
  <c r="J17" i="97"/>
  <c r="K17" i="97" s="1"/>
  <c r="I17" i="97"/>
  <c r="J16" i="97"/>
  <c r="K16" i="97" s="1"/>
  <c r="I16" i="97"/>
  <c r="J15" i="97"/>
  <c r="K15" i="97" s="1"/>
  <c r="I15" i="97"/>
  <c r="J11" i="97"/>
  <c r="K11" i="97" s="1"/>
  <c r="I11" i="97"/>
  <c r="J14" i="97"/>
  <c r="K14" i="97" s="1"/>
  <c r="I14" i="97"/>
  <c r="J9" i="97"/>
  <c r="K9" i="97" s="1"/>
  <c r="I9" i="97"/>
  <c r="J13" i="97"/>
  <c r="K13" i="97" s="1"/>
  <c r="I13" i="97"/>
  <c r="J5" i="97"/>
  <c r="K5" i="97" s="1"/>
  <c r="I5" i="97"/>
  <c r="J8" i="97"/>
  <c r="K8" i="97" s="1"/>
  <c r="I8" i="97"/>
  <c r="J12" i="97"/>
  <c r="K12" i="97" s="1"/>
  <c r="I12" i="97"/>
  <c r="J7" i="97"/>
  <c r="I7" i="97"/>
  <c r="J10" i="97"/>
  <c r="K10" i="97" s="1"/>
  <c r="I10" i="97"/>
  <c r="J24" i="96"/>
  <c r="K24" i="96" s="1"/>
  <c r="I24" i="96"/>
  <c r="J23" i="96"/>
  <c r="K23" i="96" s="1"/>
  <c r="I23" i="96"/>
  <c r="J22" i="96"/>
  <c r="K22" i="96" s="1"/>
  <c r="I22" i="96"/>
  <c r="J21" i="96"/>
  <c r="K21" i="96" s="1"/>
  <c r="I21" i="96"/>
  <c r="J20" i="96"/>
  <c r="K20" i="96" s="1"/>
  <c r="I20" i="96"/>
  <c r="J19" i="96"/>
  <c r="K19" i="96" s="1"/>
  <c r="I19" i="96"/>
  <c r="J18" i="96"/>
  <c r="K18" i="96" s="1"/>
  <c r="I18" i="96"/>
  <c r="J17" i="96"/>
  <c r="K17" i="96" s="1"/>
  <c r="I17" i="96"/>
  <c r="J16" i="96"/>
  <c r="K16" i="96" s="1"/>
  <c r="I16" i="96"/>
  <c r="J15" i="96"/>
  <c r="K15" i="96" s="1"/>
  <c r="I15" i="96"/>
  <c r="J11" i="96"/>
  <c r="K11" i="96" s="1"/>
  <c r="I11" i="96"/>
  <c r="J9" i="96"/>
  <c r="K9" i="96" s="1"/>
  <c r="I9" i="96"/>
  <c r="J7" i="96"/>
  <c r="I7" i="96"/>
  <c r="J8" i="96"/>
  <c r="I8" i="96"/>
  <c r="J13" i="96"/>
  <c r="I13" i="96"/>
  <c r="J10" i="96"/>
  <c r="I10" i="96"/>
  <c r="J12" i="96"/>
  <c r="K12" i="96" s="1"/>
  <c r="I12" i="96"/>
  <c r="J14" i="96"/>
  <c r="I14" i="96"/>
  <c r="J5" i="96"/>
  <c r="I5" i="96"/>
  <c r="J24" i="95"/>
  <c r="K24" i="95" s="1"/>
  <c r="I24" i="95"/>
  <c r="J23" i="95"/>
  <c r="K23" i="95" s="1"/>
  <c r="I23" i="95"/>
  <c r="J22" i="95"/>
  <c r="K22" i="95" s="1"/>
  <c r="I22" i="95"/>
  <c r="J21" i="95"/>
  <c r="K21" i="95" s="1"/>
  <c r="I21" i="95"/>
  <c r="J16" i="95"/>
  <c r="K16" i="95" s="1"/>
  <c r="I16" i="95"/>
  <c r="J20" i="95"/>
  <c r="K20" i="95" s="1"/>
  <c r="I20" i="95"/>
  <c r="J8" i="95"/>
  <c r="I8" i="95"/>
  <c r="J19" i="95"/>
  <c r="K19" i="95" s="1"/>
  <c r="I19" i="95"/>
  <c r="J13" i="95"/>
  <c r="I13" i="95"/>
  <c r="J9" i="95"/>
  <c r="I9" i="95"/>
  <c r="J18" i="95"/>
  <c r="K18" i="95" s="1"/>
  <c r="I18" i="95"/>
  <c r="J14" i="95"/>
  <c r="I14" i="95"/>
  <c r="J15" i="95"/>
  <c r="K15" i="95" s="1"/>
  <c r="I15" i="95"/>
  <c r="J12" i="95"/>
  <c r="I12" i="95"/>
  <c r="J11" i="95"/>
  <c r="I11" i="95"/>
  <c r="J5" i="95"/>
  <c r="I5" i="95"/>
  <c r="J10" i="95"/>
  <c r="K10" i="95" s="1"/>
  <c r="I10" i="95"/>
  <c r="J7" i="95"/>
  <c r="I7" i="95"/>
  <c r="J17" i="95"/>
  <c r="I17" i="95"/>
  <c r="J24" i="94"/>
  <c r="K24" i="94" s="1"/>
  <c r="I24" i="94"/>
  <c r="J23" i="94"/>
  <c r="K23" i="94" s="1"/>
  <c r="I23" i="94"/>
  <c r="J22" i="94"/>
  <c r="K22" i="94" s="1"/>
  <c r="I22" i="94"/>
  <c r="J21" i="94"/>
  <c r="K21" i="94" s="1"/>
  <c r="I21" i="94"/>
  <c r="J12" i="94"/>
  <c r="I12" i="94"/>
  <c r="J16" i="94"/>
  <c r="K16" i="94" s="1"/>
  <c r="I16" i="94"/>
  <c r="J8" i="94"/>
  <c r="I8" i="94"/>
  <c r="J6" i="94"/>
  <c r="K6" i="94" s="1"/>
  <c r="I6" i="94"/>
  <c r="J14" i="94"/>
  <c r="I14" i="94"/>
  <c r="J11" i="94"/>
  <c r="K11" i="94" s="1"/>
  <c r="I11" i="94"/>
  <c r="J15" i="94"/>
  <c r="I15" i="94"/>
  <c r="J19" i="94"/>
  <c r="K19" i="94" s="1"/>
  <c r="I19" i="94"/>
  <c r="J10" i="94"/>
  <c r="I10" i="94"/>
  <c r="J20" i="94"/>
  <c r="I20" i="94"/>
  <c r="J17" i="94"/>
  <c r="I17" i="94"/>
  <c r="J18" i="94"/>
  <c r="I18" i="94"/>
  <c r="J9" i="94"/>
  <c r="K9" i="94" s="1"/>
  <c r="I9" i="94"/>
  <c r="J13" i="94"/>
  <c r="K13" i="94" s="1"/>
  <c r="I13" i="94"/>
  <c r="J5" i="94"/>
  <c r="K5" i="94" s="1"/>
  <c r="I5" i="94"/>
  <c r="K5" i="84" l="1"/>
  <c r="K5" i="90"/>
  <c r="K6" i="90"/>
  <c r="K14" i="90"/>
  <c r="K10" i="88"/>
  <c r="K11" i="95"/>
  <c r="K8" i="95"/>
  <c r="F14" i="87"/>
  <c r="K8" i="71"/>
  <c r="K5" i="71"/>
  <c r="K5" i="79"/>
  <c r="K6" i="79"/>
  <c r="K16" i="79"/>
  <c r="K5" i="100"/>
  <c r="K5" i="52"/>
  <c r="K6" i="52"/>
  <c r="K7" i="49"/>
  <c r="K11" i="55"/>
  <c r="K9" i="54"/>
  <c r="F13" i="57"/>
  <c r="F21" i="57"/>
  <c r="F24" i="57"/>
  <c r="F19" i="57"/>
  <c r="F16" i="57"/>
  <c r="K5" i="75"/>
  <c r="K11" i="71"/>
  <c r="K13" i="71"/>
  <c r="K15" i="78"/>
  <c r="F18" i="81" s="1"/>
  <c r="G18" i="81" s="1"/>
  <c r="K9" i="77"/>
  <c r="K5" i="77"/>
  <c r="K11" i="77"/>
  <c r="F9" i="81" s="1"/>
  <c r="G9" i="81" s="1"/>
  <c r="F17" i="87"/>
  <c r="G17" i="87" s="1"/>
  <c r="F20" i="92"/>
  <c r="H20" i="92" s="1"/>
  <c r="K8" i="56"/>
  <c r="K9" i="56"/>
  <c r="K6" i="100"/>
  <c r="K7" i="97"/>
  <c r="K5" i="96"/>
  <c r="K7" i="96"/>
  <c r="K8" i="96"/>
  <c r="K13" i="96"/>
  <c r="K5" i="95"/>
  <c r="K9" i="95"/>
  <c r="K7" i="95"/>
  <c r="K14" i="95"/>
  <c r="K12" i="94"/>
  <c r="K8" i="94"/>
  <c r="K17" i="94"/>
  <c r="K10" i="94"/>
  <c r="K14" i="94"/>
  <c r="K15" i="94"/>
  <c r="K13" i="85"/>
  <c r="F13" i="87" s="1"/>
  <c r="K12" i="85"/>
  <c r="K5" i="85"/>
  <c r="K10" i="84"/>
  <c r="K8" i="84"/>
  <c r="K6" i="84"/>
  <c r="K13" i="84"/>
  <c r="F15" i="87" s="1"/>
  <c r="G15" i="87" s="1"/>
  <c r="K7" i="84"/>
  <c r="K12" i="83"/>
  <c r="F18" i="87" s="1"/>
  <c r="K5" i="83"/>
  <c r="K11" i="83"/>
  <c r="K7" i="82"/>
  <c r="F5" i="87" s="1"/>
  <c r="K6" i="91"/>
  <c r="K11" i="90"/>
  <c r="K7" i="90"/>
  <c r="K13" i="90"/>
  <c r="K12" i="89"/>
  <c r="K15" i="89"/>
  <c r="K8" i="89"/>
  <c r="K9" i="89"/>
  <c r="K6" i="89"/>
  <c r="K7" i="88"/>
  <c r="K8" i="88"/>
  <c r="K6" i="88"/>
  <c r="K17" i="88"/>
  <c r="K24" i="88"/>
  <c r="K11" i="75"/>
  <c r="K5" i="72"/>
  <c r="K13" i="72"/>
  <c r="K6" i="71"/>
  <c r="K7" i="79"/>
  <c r="K14" i="79"/>
  <c r="K9" i="79"/>
  <c r="K14" i="78"/>
  <c r="K8" i="77"/>
  <c r="F12" i="81" s="1"/>
  <c r="G12" i="81" s="1"/>
  <c r="K7" i="51"/>
  <c r="K5" i="51"/>
  <c r="K7" i="50"/>
  <c r="K5" i="50"/>
  <c r="K10" i="49"/>
  <c r="K7" i="56"/>
  <c r="K15" i="56"/>
  <c r="F22" i="57" s="1"/>
  <c r="K8" i="55"/>
  <c r="K5" i="55"/>
  <c r="K12" i="55"/>
  <c r="F12" i="57" s="1"/>
  <c r="K5" i="54"/>
  <c r="H25" i="57"/>
  <c r="G25" i="57"/>
  <c r="K18" i="53"/>
  <c r="K17" i="53"/>
  <c r="K12" i="53"/>
  <c r="F18" i="57" s="1"/>
  <c r="K16" i="71"/>
  <c r="F19" i="92"/>
  <c r="H19" i="92" s="1"/>
  <c r="H5" i="103"/>
  <c r="K16" i="91"/>
  <c r="F18" i="92" s="1"/>
  <c r="K20" i="94"/>
  <c r="K5" i="89"/>
  <c r="K7" i="91"/>
  <c r="K11" i="72"/>
  <c r="K6" i="73"/>
  <c r="K5" i="73"/>
  <c r="K10" i="75"/>
  <c r="K7" i="53"/>
  <c r="K5" i="53"/>
  <c r="K7" i="54"/>
  <c r="K26" i="54"/>
  <c r="K18" i="55"/>
  <c r="K9" i="88"/>
  <c r="K20" i="88"/>
  <c r="K22" i="88"/>
  <c r="K10" i="89"/>
  <c r="K9" i="91"/>
  <c r="F14" i="92" s="1"/>
  <c r="K6" i="72"/>
  <c r="K11" i="73"/>
  <c r="K7" i="73"/>
  <c r="K8" i="74"/>
  <c r="K8" i="75"/>
  <c r="K20" i="53"/>
  <c r="K8" i="54"/>
  <c r="K10" i="55"/>
  <c r="K18" i="56"/>
  <c r="K11" i="56"/>
  <c r="K6" i="56"/>
  <c r="K11" i="82"/>
  <c r="K7" i="85"/>
  <c r="K8" i="85"/>
  <c r="K9" i="71"/>
  <c r="K18" i="94"/>
  <c r="F5" i="102"/>
  <c r="G5" i="102" s="1"/>
  <c r="K5" i="49"/>
  <c r="K10" i="96"/>
  <c r="F12" i="102" s="1"/>
  <c r="G12" i="102" s="1"/>
  <c r="K14" i="96"/>
  <c r="O10" i="96"/>
  <c r="K17" i="95"/>
  <c r="F19" i="102" s="1"/>
  <c r="K13" i="95"/>
  <c r="K12" i="95"/>
  <c r="K9" i="90"/>
  <c r="K12" i="90"/>
  <c r="F13" i="92" s="1"/>
  <c r="F10" i="92"/>
  <c r="K17" i="90"/>
  <c r="K17" i="85"/>
  <c r="K8" i="83"/>
  <c r="K9" i="83"/>
  <c r="K6" i="83"/>
  <c r="K6" i="82"/>
  <c r="K14" i="82"/>
  <c r="K5" i="82"/>
  <c r="K15" i="71"/>
  <c r="F16" i="76" s="1"/>
  <c r="G16" i="76" s="1"/>
  <c r="K10" i="71"/>
  <c r="K12" i="79"/>
  <c r="K8" i="79"/>
  <c r="K5" i="78"/>
  <c r="K12" i="77"/>
  <c r="K17" i="77"/>
  <c r="K7" i="52"/>
  <c r="K11" i="52"/>
  <c r="K6" i="51"/>
  <c r="K8" i="51"/>
  <c r="F9" i="70" s="1"/>
  <c r="G9" i="70" s="1"/>
  <c r="K10" i="51"/>
  <c r="K9" i="50"/>
  <c r="K11" i="50"/>
  <c r="K11" i="49"/>
  <c r="K9" i="49"/>
  <c r="K6" i="49"/>
  <c r="F7" i="70" s="1"/>
  <c r="K9" i="55"/>
  <c r="K13" i="55"/>
  <c r="K25" i="55"/>
  <c r="K13" i="54"/>
  <c r="K20" i="54"/>
  <c r="K6" i="53"/>
  <c r="K14" i="53"/>
  <c r="F20" i="57" s="1"/>
  <c r="K10" i="53"/>
  <c r="K15" i="53"/>
  <c r="K10" i="78"/>
  <c r="E14" i="90"/>
  <c r="F14" i="90"/>
  <c r="G14" i="90" s="1"/>
  <c r="M14" i="90"/>
  <c r="N14" i="90"/>
  <c r="O14" i="90" s="1"/>
  <c r="Q14" i="90"/>
  <c r="R14" i="90"/>
  <c r="U14" i="90"/>
  <c r="V14" i="90"/>
  <c r="W14" i="90" s="1"/>
  <c r="Y14" i="90"/>
  <c r="Z14" i="90"/>
  <c r="AA14" i="90" s="1"/>
  <c r="AC14" i="90"/>
  <c r="AD14" i="90"/>
  <c r="E14" i="85"/>
  <c r="F14" i="85"/>
  <c r="G14" i="85" s="1"/>
  <c r="M14" i="85"/>
  <c r="N14" i="85"/>
  <c r="O14" i="85" s="1"/>
  <c r="Q14" i="85"/>
  <c r="R14" i="85"/>
  <c r="S14" i="85" s="1"/>
  <c r="U14" i="85"/>
  <c r="V14" i="85"/>
  <c r="Y14" i="85"/>
  <c r="Z14" i="85"/>
  <c r="AA14" i="85" s="1"/>
  <c r="AC14" i="85"/>
  <c r="AD14" i="85"/>
  <c r="AE14" i="85" s="1"/>
  <c r="J23" i="77"/>
  <c r="Y11" i="103"/>
  <c r="Z12" i="103"/>
  <c r="Y13" i="103"/>
  <c r="Y15" i="103"/>
  <c r="Y16" i="103"/>
  <c r="Z17" i="103"/>
  <c r="Y19" i="103"/>
  <c r="Z20" i="103"/>
  <c r="Z21" i="103"/>
  <c r="Y23" i="103"/>
  <c r="Z24" i="103"/>
  <c r="V8" i="103"/>
  <c r="W10" i="103"/>
  <c r="V12" i="103"/>
  <c r="W13" i="103"/>
  <c r="W14" i="103"/>
  <c r="V16" i="103"/>
  <c r="V17" i="103"/>
  <c r="W18" i="103"/>
  <c r="V20" i="103"/>
  <c r="W21" i="103"/>
  <c r="W22" i="103"/>
  <c r="V24" i="103"/>
  <c r="S8" i="103"/>
  <c r="T10" i="103"/>
  <c r="T11" i="103"/>
  <c r="T13" i="103"/>
  <c r="T14" i="103"/>
  <c r="S15" i="103"/>
  <c r="S17" i="103"/>
  <c r="T18" i="103"/>
  <c r="T19" i="103"/>
  <c r="T21" i="103"/>
  <c r="T22" i="103"/>
  <c r="S23" i="103"/>
  <c r="P8" i="103"/>
  <c r="P10" i="103"/>
  <c r="P11" i="103"/>
  <c r="P12" i="103"/>
  <c r="P14" i="103"/>
  <c r="Q15" i="103"/>
  <c r="Q16" i="103"/>
  <c r="P18" i="103"/>
  <c r="Q19" i="103"/>
  <c r="P20" i="103"/>
  <c r="Q22" i="103"/>
  <c r="Q23" i="103"/>
  <c r="P24" i="103"/>
  <c r="M8" i="103"/>
  <c r="M10" i="103"/>
  <c r="M11" i="103"/>
  <c r="M12" i="103"/>
  <c r="M13" i="103"/>
  <c r="M15" i="103"/>
  <c r="M16" i="103"/>
  <c r="N17" i="103"/>
  <c r="N19" i="103"/>
  <c r="N20" i="103"/>
  <c r="N21" i="103"/>
  <c r="N23" i="103"/>
  <c r="N24" i="103"/>
  <c r="J8" i="103"/>
  <c r="K10" i="103"/>
  <c r="J12" i="103"/>
  <c r="J13" i="103"/>
  <c r="K14" i="103"/>
  <c r="J16" i="103"/>
  <c r="K17" i="103"/>
  <c r="K18" i="103"/>
  <c r="K20" i="103"/>
  <c r="J21" i="103"/>
  <c r="K22" i="103"/>
  <c r="J24" i="103"/>
  <c r="G9" i="103"/>
  <c r="G10" i="103"/>
  <c r="H11" i="103"/>
  <c r="H13" i="103"/>
  <c r="H14" i="103"/>
  <c r="H15" i="103"/>
  <c r="G17" i="103"/>
  <c r="H18" i="103"/>
  <c r="H19" i="103"/>
  <c r="G21" i="103"/>
  <c r="H22" i="103"/>
  <c r="G23" i="103"/>
  <c r="E8" i="103"/>
  <c r="D10" i="103"/>
  <c r="D11" i="103"/>
  <c r="D12" i="103"/>
  <c r="D14" i="103"/>
  <c r="E15" i="103"/>
  <c r="E16" i="103"/>
  <c r="D18" i="103"/>
  <c r="E19" i="103"/>
  <c r="E20" i="103"/>
  <c r="D22" i="103"/>
  <c r="E23" i="103"/>
  <c r="E24" i="103"/>
  <c r="Z24" i="102"/>
  <c r="Y23" i="102"/>
  <c r="Z21" i="102"/>
  <c r="Z16" i="102"/>
  <c r="Y18" i="102"/>
  <c r="Z17" i="102"/>
  <c r="Z20" i="102"/>
  <c r="V24" i="102"/>
  <c r="W22" i="102"/>
  <c r="W21" i="102"/>
  <c r="T23" i="102"/>
  <c r="T22" i="102"/>
  <c r="S21" i="102"/>
  <c r="Q24" i="102"/>
  <c r="Q23" i="102"/>
  <c r="P22" i="102"/>
  <c r="N24" i="102"/>
  <c r="M23" i="102"/>
  <c r="N21" i="102"/>
  <c r="J24" i="102"/>
  <c r="K22" i="102"/>
  <c r="K21" i="102"/>
  <c r="G21" i="102"/>
  <c r="H22" i="102"/>
  <c r="H23" i="102"/>
  <c r="D22" i="102"/>
  <c r="E23" i="102"/>
  <c r="D24" i="102"/>
  <c r="W24" i="103"/>
  <c r="AD24" i="101"/>
  <c r="AE24" i="101" s="1"/>
  <c r="AC24" i="101"/>
  <c r="Z24" i="101"/>
  <c r="AA24" i="101" s="1"/>
  <c r="Y24" i="101"/>
  <c r="V24" i="101"/>
  <c r="W24" i="101" s="1"/>
  <c r="U24" i="101"/>
  <c r="R24" i="101"/>
  <c r="S24" i="101" s="1"/>
  <c r="Q24" i="101"/>
  <c r="N24" i="101"/>
  <c r="O24" i="101" s="1"/>
  <c r="M24" i="101"/>
  <c r="F24" i="101"/>
  <c r="G24" i="101" s="1"/>
  <c r="E24" i="101"/>
  <c r="AD23" i="101"/>
  <c r="AE23" i="101" s="1"/>
  <c r="AC23" i="101"/>
  <c r="Z23" i="101"/>
  <c r="AA23" i="101" s="1"/>
  <c r="Y23" i="101"/>
  <c r="V23" i="101"/>
  <c r="W23" i="101" s="1"/>
  <c r="U23" i="101"/>
  <c r="R23" i="101"/>
  <c r="S23" i="101" s="1"/>
  <c r="Q23" i="101"/>
  <c r="N23" i="101"/>
  <c r="O23" i="101" s="1"/>
  <c r="M23" i="101"/>
  <c r="F23" i="101"/>
  <c r="G23" i="101" s="1"/>
  <c r="E23" i="101"/>
  <c r="AD22" i="101"/>
  <c r="AE22" i="101" s="1"/>
  <c r="AC22" i="101"/>
  <c r="Z22" i="101"/>
  <c r="AA22" i="101" s="1"/>
  <c r="Y22" i="101"/>
  <c r="V22" i="101"/>
  <c r="W22" i="101" s="1"/>
  <c r="U22" i="101"/>
  <c r="R22" i="101"/>
  <c r="S22" i="101" s="1"/>
  <c r="Q22" i="101"/>
  <c r="N22" i="101"/>
  <c r="O22" i="101" s="1"/>
  <c r="M22" i="101"/>
  <c r="F22" i="101"/>
  <c r="G22" i="101" s="1"/>
  <c r="E22" i="101"/>
  <c r="AD21" i="101"/>
  <c r="AE21" i="101" s="1"/>
  <c r="AC21" i="101"/>
  <c r="Z21" i="101"/>
  <c r="AA21" i="101" s="1"/>
  <c r="Y21" i="101"/>
  <c r="V21" i="101"/>
  <c r="W21" i="101" s="1"/>
  <c r="U21" i="101"/>
  <c r="R21" i="101"/>
  <c r="S21" i="101" s="1"/>
  <c r="Q21" i="101"/>
  <c r="N21" i="101"/>
  <c r="O21" i="101" s="1"/>
  <c r="M21" i="101"/>
  <c r="F21" i="101"/>
  <c r="G21" i="101" s="1"/>
  <c r="E21" i="101"/>
  <c r="AD20" i="101"/>
  <c r="AE20" i="101" s="1"/>
  <c r="AC20" i="101"/>
  <c r="Z20" i="101"/>
  <c r="AA20" i="101" s="1"/>
  <c r="Y20" i="101"/>
  <c r="V20" i="101"/>
  <c r="W20" i="101" s="1"/>
  <c r="U20" i="101"/>
  <c r="R20" i="101"/>
  <c r="S20" i="101" s="1"/>
  <c r="Q20" i="101"/>
  <c r="N20" i="101"/>
  <c r="O20" i="101" s="1"/>
  <c r="M20" i="101"/>
  <c r="F20" i="101"/>
  <c r="G20" i="101" s="1"/>
  <c r="E20" i="101"/>
  <c r="AD19" i="101"/>
  <c r="AE19" i="101" s="1"/>
  <c r="AC19" i="101"/>
  <c r="Z19" i="101"/>
  <c r="AA19" i="101" s="1"/>
  <c r="Y19" i="101"/>
  <c r="V19" i="101"/>
  <c r="W19" i="101" s="1"/>
  <c r="U19" i="101"/>
  <c r="R19" i="101"/>
  <c r="S19" i="101" s="1"/>
  <c r="Q19" i="101"/>
  <c r="N19" i="101"/>
  <c r="O19" i="101" s="1"/>
  <c r="M19" i="101"/>
  <c r="F19" i="101"/>
  <c r="G19" i="101" s="1"/>
  <c r="E19" i="101"/>
  <c r="AD18" i="101"/>
  <c r="AE18" i="101" s="1"/>
  <c r="AC18" i="101"/>
  <c r="Z18" i="101"/>
  <c r="AA18" i="101" s="1"/>
  <c r="Y18" i="101"/>
  <c r="V18" i="101"/>
  <c r="W18" i="101" s="1"/>
  <c r="U18" i="101"/>
  <c r="R18" i="101"/>
  <c r="S18" i="101" s="1"/>
  <c r="Q18" i="101"/>
  <c r="N18" i="101"/>
  <c r="O18" i="101" s="1"/>
  <c r="M18" i="101"/>
  <c r="F18" i="101"/>
  <c r="G18" i="101" s="1"/>
  <c r="E18" i="101"/>
  <c r="AD17" i="101"/>
  <c r="AE17" i="101" s="1"/>
  <c r="AC17" i="101"/>
  <c r="Z17" i="101"/>
  <c r="AA17" i="101" s="1"/>
  <c r="Y17" i="101"/>
  <c r="V17" i="101"/>
  <c r="W17" i="101" s="1"/>
  <c r="U17" i="101"/>
  <c r="R17" i="101"/>
  <c r="S17" i="101" s="1"/>
  <c r="Q17" i="101"/>
  <c r="N17" i="101"/>
  <c r="O17" i="101" s="1"/>
  <c r="M17" i="101"/>
  <c r="F17" i="101"/>
  <c r="G17" i="101" s="1"/>
  <c r="E17" i="101"/>
  <c r="AD16" i="101"/>
  <c r="AE16" i="101" s="1"/>
  <c r="AC16" i="101"/>
  <c r="Z16" i="101"/>
  <c r="AA16" i="101" s="1"/>
  <c r="Y16" i="101"/>
  <c r="V16" i="101"/>
  <c r="W16" i="101" s="1"/>
  <c r="U16" i="101"/>
  <c r="R16" i="101"/>
  <c r="S16" i="101" s="1"/>
  <c r="Q16" i="101"/>
  <c r="N16" i="101"/>
  <c r="O16" i="101" s="1"/>
  <c r="M16" i="101"/>
  <c r="F16" i="101"/>
  <c r="G16" i="101" s="1"/>
  <c r="E16" i="101"/>
  <c r="AD15" i="101"/>
  <c r="AE15" i="101" s="1"/>
  <c r="AC15" i="101"/>
  <c r="Z15" i="101"/>
  <c r="AA15" i="101" s="1"/>
  <c r="Y15" i="101"/>
  <c r="V15" i="101"/>
  <c r="W15" i="101" s="1"/>
  <c r="U15" i="101"/>
  <c r="R15" i="101"/>
  <c r="S15" i="101" s="1"/>
  <c r="Q15" i="101"/>
  <c r="N15" i="101"/>
  <c r="O15" i="101" s="1"/>
  <c r="M15" i="101"/>
  <c r="F15" i="101"/>
  <c r="G15" i="101" s="1"/>
  <c r="E15" i="101"/>
  <c r="AD14" i="101"/>
  <c r="AE14" i="101" s="1"/>
  <c r="AC14" i="101"/>
  <c r="Z14" i="101"/>
  <c r="AA14" i="101" s="1"/>
  <c r="Y14" i="101"/>
  <c r="V14" i="101"/>
  <c r="W14" i="101" s="1"/>
  <c r="U14" i="101"/>
  <c r="R14" i="101"/>
  <c r="S14" i="101" s="1"/>
  <c r="Q14" i="101"/>
  <c r="N14" i="101"/>
  <c r="O14" i="101" s="1"/>
  <c r="M14" i="101"/>
  <c r="F14" i="101"/>
  <c r="G14" i="101" s="1"/>
  <c r="E14" i="101"/>
  <c r="AD13" i="101"/>
  <c r="AE13" i="101" s="1"/>
  <c r="AC13" i="101"/>
  <c r="Z13" i="101"/>
  <c r="AA13" i="101" s="1"/>
  <c r="Y13" i="101"/>
  <c r="V13" i="101"/>
  <c r="W13" i="101" s="1"/>
  <c r="U13" i="101"/>
  <c r="R13" i="101"/>
  <c r="S13" i="101" s="1"/>
  <c r="Q13" i="101"/>
  <c r="N13" i="101"/>
  <c r="O13" i="101" s="1"/>
  <c r="M13" i="101"/>
  <c r="F13" i="101"/>
  <c r="G13" i="101" s="1"/>
  <c r="E13" i="101"/>
  <c r="AD12" i="101"/>
  <c r="AE12" i="101" s="1"/>
  <c r="AC12" i="101"/>
  <c r="Z12" i="101"/>
  <c r="AA12" i="101" s="1"/>
  <c r="Y12" i="101"/>
  <c r="V12" i="101"/>
  <c r="W12" i="101" s="1"/>
  <c r="U12" i="101"/>
  <c r="R12" i="101"/>
  <c r="S12" i="101" s="1"/>
  <c r="Q12" i="101"/>
  <c r="N12" i="101"/>
  <c r="O12" i="101" s="1"/>
  <c r="M12" i="101"/>
  <c r="F12" i="101"/>
  <c r="G12" i="101" s="1"/>
  <c r="E12" i="101"/>
  <c r="AD11" i="101"/>
  <c r="AE11" i="101" s="1"/>
  <c r="AC11" i="101"/>
  <c r="Z11" i="101"/>
  <c r="AA11" i="101" s="1"/>
  <c r="Y11" i="101"/>
  <c r="V11" i="101"/>
  <c r="W11" i="101" s="1"/>
  <c r="U11" i="101"/>
  <c r="R11" i="101"/>
  <c r="S11" i="101" s="1"/>
  <c r="Q11" i="101"/>
  <c r="N11" i="101"/>
  <c r="O11" i="101" s="1"/>
  <c r="M11" i="101"/>
  <c r="F11" i="101"/>
  <c r="G11" i="101" s="1"/>
  <c r="E11" i="101"/>
  <c r="AD10" i="101"/>
  <c r="AE10" i="101" s="1"/>
  <c r="AC10" i="101"/>
  <c r="Z10" i="101"/>
  <c r="AA10" i="101" s="1"/>
  <c r="Y10" i="101"/>
  <c r="V10" i="101"/>
  <c r="W10" i="101" s="1"/>
  <c r="U10" i="101"/>
  <c r="R10" i="101"/>
  <c r="S10" i="101" s="1"/>
  <c r="Q10" i="101"/>
  <c r="N10" i="101"/>
  <c r="O10" i="101" s="1"/>
  <c r="M10" i="101"/>
  <c r="F10" i="101"/>
  <c r="G10" i="101" s="1"/>
  <c r="E10" i="101"/>
  <c r="AD9" i="101"/>
  <c r="AE9" i="101" s="1"/>
  <c r="AC9" i="101"/>
  <c r="Z9" i="101"/>
  <c r="AA9" i="101" s="1"/>
  <c r="Y9" i="101"/>
  <c r="V9" i="101"/>
  <c r="W9" i="101" s="1"/>
  <c r="U9" i="101"/>
  <c r="R9" i="101"/>
  <c r="S9" i="101" s="1"/>
  <c r="Q9" i="101"/>
  <c r="N9" i="101"/>
  <c r="O9" i="101" s="1"/>
  <c r="M9" i="101"/>
  <c r="F9" i="101"/>
  <c r="G9" i="101" s="1"/>
  <c r="E9" i="101"/>
  <c r="AD8" i="101"/>
  <c r="AE8" i="101" s="1"/>
  <c r="AC8" i="101"/>
  <c r="Z8" i="101"/>
  <c r="AA8" i="101" s="1"/>
  <c r="Y8" i="101"/>
  <c r="V8" i="101"/>
  <c r="W8" i="101" s="1"/>
  <c r="U8" i="101"/>
  <c r="R8" i="101"/>
  <c r="S8" i="101" s="1"/>
  <c r="Q8" i="101"/>
  <c r="N8" i="101"/>
  <c r="O8" i="101" s="1"/>
  <c r="M8" i="101"/>
  <c r="F8" i="101"/>
  <c r="G8" i="101" s="1"/>
  <c r="E8" i="101"/>
  <c r="AD7" i="101"/>
  <c r="AE7" i="101" s="1"/>
  <c r="AC7" i="101"/>
  <c r="Z7" i="101"/>
  <c r="AA7" i="101" s="1"/>
  <c r="Y7" i="101"/>
  <c r="V7" i="101"/>
  <c r="W7" i="101" s="1"/>
  <c r="U7" i="101"/>
  <c r="R7" i="101"/>
  <c r="S7" i="101" s="1"/>
  <c r="Q7" i="101"/>
  <c r="N7" i="101"/>
  <c r="O7" i="101" s="1"/>
  <c r="M7" i="101"/>
  <c r="F7" i="101"/>
  <c r="G7" i="101" s="1"/>
  <c r="E7" i="101"/>
  <c r="AD6" i="101"/>
  <c r="AE6" i="101" s="1"/>
  <c r="AC6" i="101"/>
  <c r="Z6" i="101"/>
  <c r="AA6" i="101" s="1"/>
  <c r="Y6" i="101"/>
  <c r="V6" i="101"/>
  <c r="W6" i="101" s="1"/>
  <c r="U6" i="101"/>
  <c r="R6" i="101"/>
  <c r="S6" i="101" s="1"/>
  <c r="Q6" i="101"/>
  <c r="N6" i="101"/>
  <c r="O6" i="101" s="1"/>
  <c r="M6" i="101"/>
  <c r="F6" i="101"/>
  <c r="G6" i="101" s="1"/>
  <c r="E6" i="101"/>
  <c r="Z7" i="103"/>
  <c r="AD5" i="101"/>
  <c r="AE5" i="101" s="1"/>
  <c r="AC5" i="101"/>
  <c r="Z5" i="101"/>
  <c r="AA5" i="101" s="1"/>
  <c r="Y5" i="101"/>
  <c r="V5" i="101"/>
  <c r="W5" i="101" s="1"/>
  <c r="U5" i="101"/>
  <c r="R5" i="101"/>
  <c r="Q5" i="101"/>
  <c r="N5" i="101"/>
  <c r="O5" i="101" s="1"/>
  <c r="M5" i="101"/>
  <c r="J5" i="101"/>
  <c r="K5" i="101" s="1"/>
  <c r="I5" i="101"/>
  <c r="F5" i="101"/>
  <c r="G5" i="101" s="1"/>
  <c r="E5" i="101"/>
  <c r="AD24" i="100"/>
  <c r="AE24" i="100" s="1"/>
  <c r="AC24" i="100"/>
  <c r="Z24" i="100"/>
  <c r="AA24" i="100" s="1"/>
  <c r="Y24" i="100"/>
  <c r="V24" i="100"/>
  <c r="W24" i="100" s="1"/>
  <c r="U24" i="100"/>
  <c r="R24" i="100"/>
  <c r="S24" i="100" s="1"/>
  <c r="Q24" i="100"/>
  <c r="N24" i="100"/>
  <c r="O24" i="100" s="1"/>
  <c r="M24" i="100"/>
  <c r="F24" i="100"/>
  <c r="G24" i="100" s="1"/>
  <c r="E24" i="100"/>
  <c r="AD23" i="100"/>
  <c r="AE23" i="100" s="1"/>
  <c r="AC23" i="100"/>
  <c r="Z23" i="100"/>
  <c r="AA23" i="100" s="1"/>
  <c r="Y23" i="100"/>
  <c r="V23" i="100"/>
  <c r="W23" i="100" s="1"/>
  <c r="U23" i="100"/>
  <c r="R23" i="100"/>
  <c r="S23" i="100" s="1"/>
  <c r="Q23" i="100"/>
  <c r="N23" i="100"/>
  <c r="O23" i="100" s="1"/>
  <c r="M23" i="100"/>
  <c r="F23" i="100"/>
  <c r="G23" i="100" s="1"/>
  <c r="E23" i="100"/>
  <c r="AD22" i="100"/>
  <c r="AE22" i="100" s="1"/>
  <c r="AC22" i="100"/>
  <c r="Z22" i="100"/>
  <c r="AA22" i="100" s="1"/>
  <c r="Y22" i="100"/>
  <c r="V22" i="100"/>
  <c r="W22" i="100" s="1"/>
  <c r="U22" i="100"/>
  <c r="R22" i="100"/>
  <c r="S22" i="100" s="1"/>
  <c r="Q22" i="100"/>
  <c r="N22" i="100"/>
  <c r="O22" i="100" s="1"/>
  <c r="M22" i="100"/>
  <c r="F22" i="100"/>
  <c r="G22" i="100" s="1"/>
  <c r="E22" i="100"/>
  <c r="AD21" i="100"/>
  <c r="AE21" i="100" s="1"/>
  <c r="AC21" i="100"/>
  <c r="Z21" i="100"/>
  <c r="AA21" i="100" s="1"/>
  <c r="Y21" i="100"/>
  <c r="V21" i="100"/>
  <c r="W21" i="100" s="1"/>
  <c r="U21" i="100"/>
  <c r="R21" i="100"/>
  <c r="S21" i="100" s="1"/>
  <c r="Q21" i="100"/>
  <c r="N21" i="100"/>
  <c r="O21" i="100" s="1"/>
  <c r="M21" i="100"/>
  <c r="F21" i="100"/>
  <c r="G21" i="100" s="1"/>
  <c r="E21" i="100"/>
  <c r="AD20" i="100"/>
  <c r="AE20" i="100" s="1"/>
  <c r="AC20" i="100"/>
  <c r="Z20" i="100"/>
  <c r="AA20" i="100" s="1"/>
  <c r="Y20" i="100"/>
  <c r="V20" i="100"/>
  <c r="W20" i="100" s="1"/>
  <c r="U20" i="100"/>
  <c r="R20" i="100"/>
  <c r="S20" i="100" s="1"/>
  <c r="Q20" i="100"/>
  <c r="N20" i="100"/>
  <c r="O20" i="100" s="1"/>
  <c r="M20" i="100"/>
  <c r="F20" i="100"/>
  <c r="G20" i="100" s="1"/>
  <c r="E20" i="100"/>
  <c r="AD19" i="100"/>
  <c r="AE19" i="100" s="1"/>
  <c r="AC19" i="100"/>
  <c r="Z19" i="100"/>
  <c r="AA19" i="100" s="1"/>
  <c r="Y19" i="100"/>
  <c r="V19" i="100"/>
  <c r="W19" i="100" s="1"/>
  <c r="U19" i="100"/>
  <c r="R19" i="100"/>
  <c r="S19" i="100" s="1"/>
  <c r="Q19" i="100"/>
  <c r="N19" i="100"/>
  <c r="O19" i="100" s="1"/>
  <c r="M19" i="100"/>
  <c r="F19" i="100"/>
  <c r="G19" i="100" s="1"/>
  <c r="E19" i="100"/>
  <c r="AD18" i="100"/>
  <c r="AE18" i="100" s="1"/>
  <c r="AC18" i="100"/>
  <c r="Z18" i="100"/>
  <c r="AA18" i="100" s="1"/>
  <c r="Y18" i="100"/>
  <c r="V18" i="100"/>
  <c r="W18" i="100" s="1"/>
  <c r="U18" i="100"/>
  <c r="R18" i="100"/>
  <c r="S18" i="100" s="1"/>
  <c r="Q18" i="100"/>
  <c r="N18" i="100"/>
  <c r="O18" i="100" s="1"/>
  <c r="M18" i="100"/>
  <c r="F18" i="100"/>
  <c r="G18" i="100" s="1"/>
  <c r="E18" i="100"/>
  <c r="AD17" i="100"/>
  <c r="AE17" i="100" s="1"/>
  <c r="AC17" i="100"/>
  <c r="Z17" i="100"/>
  <c r="AA17" i="100" s="1"/>
  <c r="Y17" i="100"/>
  <c r="V17" i="100"/>
  <c r="W17" i="100" s="1"/>
  <c r="U17" i="100"/>
  <c r="R17" i="100"/>
  <c r="S17" i="100" s="1"/>
  <c r="Q17" i="100"/>
  <c r="N17" i="100"/>
  <c r="O17" i="100" s="1"/>
  <c r="M17" i="100"/>
  <c r="F17" i="100"/>
  <c r="G17" i="100" s="1"/>
  <c r="E17" i="100"/>
  <c r="AD16" i="100"/>
  <c r="AE16" i="100" s="1"/>
  <c r="AC16" i="100"/>
  <c r="Z16" i="100"/>
  <c r="AA16" i="100" s="1"/>
  <c r="Y16" i="100"/>
  <c r="V16" i="100"/>
  <c r="W16" i="100" s="1"/>
  <c r="U16" i="100"/>
  <c r="R16" i="100"/>
  <c r="S16" i="100" s="1"/>
  <c r="Q16" i="100"/>
  <c r="N16" i="100"/>
  <c r="O16" i="100" s="1"/>
  <c r="M16" i="100"/>
  <c r="F16" i="100"/>
  <c r="G16" i="100" s="1"/>
  <c r="E16" i="100"/>
  <c r="AD15" i="100"/>
  <c r="AE15" i="100" s="1"/>
  <c r="AC15" i="100"/>
  <c r="Z15" i="100"/>
  <c r="AA15" i="100" s="1"/>
  <c r="Y15" i="100"/>
  <c r="V15" i="100"/>
  <c r="W15" i="100" s="1"/>
  <c r="U15" i="100"/>
  <c r="R15" i="100"/>
  <c r="S15" i="100" s="1"/>
  <c r="Q15" i="100"/>
  <c r="N15" i="100"/>
  <c r="O15" i="100" s="1"/>
  <c r="M15" i="100"/>
  <c r="F15" i="100"/>
  <c r="G15" i="100" s="1"/>
  <c r="E15" i="100"/>
  <c r="AD14" i="100"/>
  <c r="AE14" i="100" s="1"/>
  <c r="AC14" i="100"/>
  <c r="Z14" i="100"/>
  <c r="AA14" i="100" s="1"/>
  <c r="Y14" i="100"/>
  <c r="V14" i="100"/>
  <c r="W14" i="100" s="1"/>
  <c r="U14" i="100"/>
  <c r="R14" i="100"/>
  <c r="S14" i="100" s="1"/>
  <c r="Q14" i="100"/>
  <c r="N14" i="100"/>
  <c r="O14" i="100" s="1"/>
  <c r="M14" i="100"/>
  <c r="F14" i="100"/>
  <c r="G14" i="100" s="1"/>
  <c r="E14" i="100"/>
  <c r="AD13" i="100"/>
  <c r="AE13" i="100" s="1"/>
  <c r="AC13" i="100"/>
  <c r="Z13" i="100"/>
  <c r="AA13" i="100" s="1"/>
  <c r="Y13" i="100"/>
  <c r="V13" i="100"/>
  <c r="W13" i="100" s="1"/>
  <c r="U13" i="100"/>
  <c r="R13" i="100"/>
  <c r="S13" i="100" s="1"/>
  <c r="Q13" i="100"/>
  <c r="N13" i="100"/>
  <c r="O13" i="100" s="1"/>
  <c r="M13" i="100"/>
  <c r="F13" i="100"/>
  <c r="G13" i="100" s="1"/>
  <c r="E13" i="100"/>
  <c r="AD12" i="100"/>
  <c r="AE12" i="100" s="1"/>
  <c r="AC12" i="100"/>
  <c r="Z12" i="100"/>
  <c r="AA12" i="100" s="1"/>
  <c r="Y12" i="100"/>
  <c r="V12" i="100"/>
  <c r="W12" i="100" s="1"/>
  <c r="U12" i="100"/>
  <c r="R12" i="100"/>
  <c r="S12" i="100" s="1"/>
  <c r="Q12" i="100"/>
  <c r="N12" i="100"/>
  <c r="O12" i="100" s="1"/>
  <c r="M12" i="100"/>
  <c r="F12" i="100"/>
  <c r="G12" i="100" s="1"/>
  <c r="E12" i="100"/>
  <c r="AD10" i="100"/>
  <c r="AE10" i="100" s="1"/>
  <c r="AC10" i="100"/>
  <c r="Z10" i="100"/>
  <c r="Y10" i="100"/>
  <c r="V10" i="100"/>
  <c r="W10" i="100" s="1"/>
  <c r="U10" i="100"/>
  <c r="R10" i="100"/>
  <c r="S10" i="100" s="1"/>
  <c r="Q10" i="100"/>
  <c r="N10" i="100"/>
  <c r="M10" i="100"/>
  <c r="F10" i="100"/>
  <c r="G10" i="100" s="1"/>
  <c r="E10" i="100"/>
  <c r="AD11" i="100"/>
  <c r="AE11" i="100" s="1"/>
  <c r="AC11" i="100"/>
  <c r="Z11" i="100"/>
  <c r="AA11" i="100" s="1"/>
  <c r="Y11" i="100"/>
  <c r="V11" i="100"/>
  <c r="W11" i="100" s="1"/>
  <c r="U11" i="100"/>
  <c r="R11" i="100"/>
  <c r="S11" i="100" s="1"/>
  <c r="Q11" i="100"/>
  <c r="N11" i="100"/>
  <c r="O11" i="100" s="1"/>
  <c r="M11" i="100"/>
  <c r="F11" i="100"/>
  <c r="G11" i="100" s="1"/>
  <c r="E11" i="100"/>
  <c r="AD5" i="100"/>
  <c r="AC5" i="100"/>
  <c r="Z5" i="100"/>
  <c r="Y5" i="100"/>
  <c r="V5" i="100"/>
  <c r="W5" i="100" s="1"/>
  <c r="U5" i="100"/>
  <c r="R5" i="100"/>
  <c r="Q5" i="100"/>
  <c r="N5" i="100"/>
  <c r="M5" i="100"/>
  <c r="F5" i="100"/>
  <c r="E5" i="100"/>
  <c r="Y9" i="103"/>
  <c r="AD9" i="100"/>
  <c r="AC9" i="100"/>
  <c r="Z9" i="100"/>
  <c r="Y9" i="100"/>
  <c r="V9" i="100"/>
  <c r="U9" i="100"/>
  <c r="R9" i="100"/>
  <c r="Q9" i="100"/>
  <c r="N9" i="100"/>
  <c r="M9" i="100"/>
  <c r="F9" i="100"/>
  <c r="E9" i="100"/>
  <c r="Y5" i="103"/>
  <c r="AD8" i="100"/>
  <c r="AC8" i="100"/>
  <c r="Z8" i="100"/>
  <c r="Y8" i="100"/>
  <c r="V8" i="100"/>
  <c r="U8" i="100"/>
  <c r="R8" i="100"/>
  <c r="Q8" i="100"/>
  <c r="N8" i="100"/>
  <c r="M8" i="100"/>
  <c r="F8" i="100"/>
  <c r="E8" i="100"/>
  <c r="AD6" i="100"/>
  <c r="AC6" i="100"/>
  <c r="Z6" i="100"/>
  <c r="Y6" i="100"/>
  <c r="V6" i="100"/>
  <c r="U6" i="100"/>
  <c r="R6" i="100"/>
  <c r="Q6" i="100"/>
  <c r="N6" i="100"/>
  <c r="M6" i="100"/>
  <c r="F6" i="100"/>
  <c r="E6" i="100"/>
  <c r="AD7" i="100"/>
  <c r="AC7" i="100"/>
  <c r="Z7" i="100"/>
  <c r="AA7" i="100" s="1"/>
  <c r="R6" i="103" s="1"/>
  <c r="Y7" i="100"/>
  <c r="V7" i="100"/>
  <c r="U7" i="100"/>
  <c r="R7" i="100"/>
  <c r="Q7" i="100"/>
  <c r="N7" i="100"/>
  <c r="O7" i="100" s="1"/>
  <c r="I6" i="103" s="1"/>
  <c r="M7" i="100"/>
  <c r="J7" i="100"/>
  <c r="I7" i="100"/>
  <c r="F7" i="100"/>
  <c r="E7" i="100"/>
  <c r="AH24" i="99"/>
  <c r="AI24" i="99" s="1"/>
  <c r="AG24" i="99"/>
  <c r="AD24" i="99"/>
  <c r="AE24" i="99" s="1"/>
  <c r="AC24" i="99"/>
  <c r="Z24" i="99"/>
  <c r="AA24" i="99" s="1"/>
  <c r="Y24" i="99"/>
  <c r="V24" i="99"/>
  <c r="W24" i="99" s="1"/>
  <c r="U24" i="99"/>
  <c r="R24" i="99"/>
  <c r="S24" i="99" s="1"/>
  <c r="Q24" i="99"/>
  <c r="N24" i="99"/>
  <c r="O24" i="99" s="1"/>
  <c r="M24" i="99"/>
  <c r="F24" i="99"/>
  <c r="E24" i="99"/>
  <c r="AH23" i="99"/>
  <c r="AI23" i="99" s="1"/>
  <c r="AG23" i="99"/>
  <c r="AD23" i="99"/>
  <c r="AE23" i="99" s="1"/>
  <c r="AC23" i="99"/>
  <c r="Z23" i="99"/>
  <c r="AA23" i="99" s="1"/>
  <c r="Y23" i="99"/>
  <c r="V23" i="99"/>
  <c r="W23" i="99" s="1"/>
  <c r="U23" i="99"/>
  <c r="R23" i="99"/>
  <c r="S23" i="99" s="1"/>
  <c r="Q23" i="99"/>
  <c r="N23" i="99"/>
  <c r="O23" i="99" s="1"/>
  <c r="M23" i="99"/>
  <c r="F23" i="99"/>
  <c r="G23" i="99" s="1"/>
  <c r="E23" i="99"/>
  <c r="AH22" i="99"/>
  <c r="AI22" i="99" s="1"/>
  <c r="AG22" i="99"/>
  <c r="AD22" i="99"/>
  <c r="AE22" i="99" s="1"/>
  <c r="AC22" i="99"/>
  <c r="Z22" i="99"/>
  <c r="AA22" i="99" s="1"/>
  <c r="Y22" i="99"/>
  <c r="V22" i="99"/>
  <c r="W22" i="99" s="1"/>
  <c r="U22" i="99"/>
  <c r="R22" i="99"/>
  <c r="S22" i="99" s="1"/>
  <c r="Q22" i="99"/>
  <c r="N22" i="99"/>
  <c r="O22" i="99" s="1"/>
  <c r="M22" i="99"/>
  <c r="F22" i="99"/>
  <c r="E22" i="99"/>
  <c r="AH21" i="99"/>
  <c r="AI21" i="99" s="1"/>
  <c r="AG21" i="99"/>
  <c r="AD21" i="99"/>
  <c r="AE21" i="99" s="1"/>
  <c r="AC21" i="99"/>
  <c r="Z21" i="99"/>
  <c r="AA21" i="99" s="1"/>
  <c r="Y21" i="99"/>
  <c r="V21" i="99"/>
  <c r="W21" i="99" s="1"/>
  <c r="U21" i="99"/>
  <c r="R21" i="99"/>
  <c r="S21" i="99" s="1"/>
  <c r="Q21" i="99"/>
  <c r="N21" i="99"/>
  <c r="O21" i="99" s="1"/>
  <c r="M21" i="99"/>
  <c r="F21" i="99"/>
  <c r="G21" i="99" s="1"/>
  <c r="E21" i="99"/>
  <c r="AH20" i="99"/>
  <c r="AI20" i="99" s="1"/>
  <c r="AG20" i="99"/>
  <c r="AD20" i="99"/>
  <c r="AE20" i="99" s="1"/>
  <c r="AC20" i="99"/>
  <c r="Z20" i="99"/>
  <c r="AA20" i="99" s="1"/>
  <c r="Y20" i="99"/>
  <c r="V20" i="99"/>
  <c r="W20" i="99" s="1"/>
  <c r="U20" i="99"/>
  <c r="R20" i="99"/>
  <c r="S20" i="99" s="1"/>
  <c r="Q20" i="99"/>
  <c r="N20" i="99"/>
  <c r="O20" i="99" s="1"/>
  <c r="M20" i="99"/>
  <c r="F20" i="99"/>
  <c r="E20" i="99"/>
  <c r="AH19" i="99"/>
  <c r="AI19" i="99" s="1"/>
  <c r="AG19" i="99"/>
  <c r="AD19" i="99"/>
  <c r="AE19" i="99" s="1"/>
  <c r="AC19" i="99"/>
  <c r="Z19" i="99"/>
  <c r="AA19" i="99" s="1"/>
  <c r="Y19" i="99"/>
  <c r="V19" i="99"/>
  <c r="W19" i="99" s="1"/>
  <c r="U19" i="99"/>
  <c r="R19" i="99"/>
  <c r="S19" i="99" s="1"/>
  <c r="Q19" i="99"/>
  <c r="N19" i="99"/>
  <c r="O19" i="99" s="1"/>
  <c r="M19" i="99"/>
  <c r="F19" i="99"/>
  <c r="G19" i="99" s="1"/>
  <c r="E19" i="99"/>
  <c r="AH18" i="99"/>
  <c r="AI18" i="99" s="1"/>
  <c r="AG18" i="99"/>
  <c r="AD18" i="99"/>
  <c r="AE18" i="99" s="1"/>
  <c r="AC18" i="99"/>
  <c r="Z18" i="99"/>
  <c r="AA18" i="99" s="1"/>
  <c r="Y18" i="99"/>
  <c r="V18" i="99"/>
  <c r="W18" i="99" s="1"/>
  <c r="U18" i="99"/>
  <c r="R18" i="99"/>
  <c r="S18" i="99" s="1"/>
  <c r="Q18" i="99"/>
  <c r="N18" i="99"/>
  <c r="O18" i="99" s="1"/>
  <c r="M18" i="99"/>
  <c r="F18" i="99"/>
  <c r="E18" i="99"/>
  <c r="AH17" i="99"/>
  <c r="AI17" i="99" s="1"/>
  <c r="AG17" i="99"/>
  <c r="AD17" i="99"/>
  <c r="AE17" i="99" s="1"/>
  <c r="AC17" i="99"/>
  <c r="Z17" i="99"/>
  <c r="AA17" i="99" s="1"/>
  <c r="Y17" i="99"/>
  <c r="V17" i="99"/>
  <c r="W17" i="99" s="1"/>
  <c r="U17" i="99"/>
  <c r="R17" i="99"/>
  <c r="S17" i="99" s="1"/>
  <c r="Q17" i="99"/>
  <c r="N17" i="99"/>
  <c r="O17" i="99" s="1"/>
  <c r="M17" i="99"/>
  <c r="F17" i="99"/>
  <c r="G17" i="99" s="1"/>
  <c r="E17" i="99"/>
  <c r="AH16" i="99"/>
  <c r="AI16" i="99" s="1"/>
  <c r="AG16" i="99"/>
  <c r="AD16" i="99"/>
  <c r="AE16" i="99" s="1"/>
  <c r="AC16" i="99"/>
  <c r="Z16" i="99"/>
  <c r="AA16" i="99" s="1"/>
  <c r="Y16" i="99"/>
  <c r="V16" i="99"/>
  <c r="W16" i="99" s="1"/>
  <c r="U16" i="99"/>
  <c r="R16" i="99"/>
  <c r="S16" i="99" s="1"/>
  <c r="Q16" i="99"/>
  <c r="N16" i="99"/>
  <c r="O16" i="99" s="1"/>
  <c r="M16" i="99"/>
  <c r="F16" i="99"/>
  <c r="E16" i="99"/>
  <c r="AH15" i="99"/>
  <c r="AI15" i="99" s="1"/>
  <c r="AG15" i="99"/>
  <c r="AD15" i="99"/>
  <c r="AE15" i="99" s="1"/>
  <c r="AC15" i="99"/>
  <c r="Z15" i="99"/>
  <c r="AA15" i="99" s="1"/>
  <c r="Y15" i="99"/>
  <c r="V15" i="99"/>
  <c r="W15" i="99" s="1"/>
  <c r="U15" i="99"/>
  <c r="R15" i="99"/>
  <c r="S15" i="99" s="1"/>
  <c r="Q15" i="99"/>
  <c r="N15" i="99"/>
  <c r="O15" i="99" s="1"/>
  <c r="M15" i="99"/>
  <c r="F15" i="99"/>
  <c r="G15" i="99" s="1"/>
  <c r="E15" i="99"/>
  <c r="AH14" i="99"/>
  <c r="AI14" i="99" s="1"/>
  <c r="AG14" i="99"/>
  <c r="AD14" i="99"/>
  <c r="AE14" i="99" s="1"/>
  <c r="AC14" i="99"/>
  <c r="Z14" i="99"/>
  <c r="AA14" i="99" s="1"/>
  <c r="Y14" i="99"/>
  <c r="V14" i="99"/>
  <c r="W14" i="99" s="1"/>
  <c r="U14" i="99"/>
  <c r="R14" i="99"/>
  <c r="S14" i="99" s="1"/>
  <c r="Q14" i="99"/>
  <c r="N14" i="99"/>
  <c r="O14" i="99" s="1"/>
  <c r="M14" i="99"/>
  <c r="F14" i="99"/>
  <c r="E14" i="99"/>
  <c r="AH13" i="99"/>
  <c r="AI13" i="99" s="1"/>
  <c r="AG13" i="99"/>
  <c r="AD13" i="99"/>
  <c r="AE13" i="99" s="1"/>
  <c r="AC13" i="99"/>
  <c r="Z13" i="99"/>
  <c r="AA13" i="99" s="1"/>
  <c r="Y13" i="99"/>
  <c r="V13" i="99"/>
  <c r="W13" i="99" s="1"/>
  <c r="U13" i="99"/>
  <c r="R13" i="99"/>
  <c r="S13" i="99" s="1"/>
  <c r="Q13" i="99"/>
  <c r="N13" i="99"/>
  <c r="O13" i="99" s="1"/>
  <c r="M13" i="99"/>
  <c r="F13" i="99"/>
  <c r="G13" i="99" s="1"/>
  <c r="E13" i="99"/>
  <c r="AH12" i="99"/>
  <c r="AI12" i="99" s="1"/>
  <c r="AG12" i="99"/>
  <c r="AD12" i="99"/>
  <c r="AE12" i="99" s="1"/>
  <c r="AC12" i="99"/>
  <c r="Z12" i="99"/>
  <c r="AA12" i="99" s="1"/>
  <c r="Y12" i="99"/>
  <c r="V12" i="99"/>
  <c r="W12" i="99" s="1"/>
  <c r="U12" i="99"/>
  <c r="R12" i="99"/>
  <c r="S12" i="99" s="1"/>
  <c r="Q12" i="99"/>
  <c r="N12" i="99"/>
  <c r="O12" i="99" s="1"/>
  <c r="M12" i="99"/>
  <c r="F12" i="99"/>
  <c r="E12" i="99"/>
  <c r="AH11" i="99"/>
  <c r="AI11" i="99" s="1"/>
  <c r="AG11" i="99"/>
  <c r="AD11" i="99"/>
  <c r="AE11" i="99" s="1"/>
  <c r="AC11" i="99"/>
  <c r="Z11" i="99"/>
  <c r="AA11" i="99" s="1"/>
  <c r="Y11" i="99"/>
  <c r="V11" i="99"/>
  <c r="W11" i="99" s="1"/>
  <c r="U11" i="99"/>
  <c r="R11" i="99"/>
  <c r="S11" i="99" s="1"/>
  <c r="Q11" i="99"/>
  <c r="N11" i="99"/>
  <c r="O11" i="99" s="1"/>
  <c r="M11" i="99"/>
  <c r="F11" i="99"/>
  <c r="G11" i="99" s="1"/>
  <c r="E11" i="99"/>
  <c r="AH10" i="99"/>
  <c r="AI10" i="99" s="1"/>
  <c r="AG10" i="99"/>
  <c r="AD10" i="99"/>
  <c r="AE10" i="99" s="1"/>
  <c r="AC10" i="99"/>
  <c r="Z10" i="99"/>
  <c r="AA10" i="99" s="1"/>
  <c r="Y10" i="99"/>
  <c r="V10" i="99"/>
  <c r="W10" i="99" s="1"/>
  <c r="U10" i="99"/>
  <c r="R10" i="99"/>
  <c r="S10" i="99" s="1"/>
  <c r="Q10" i="99"/>
  <c r="N10" i="99"/>
  <c r="O10" i="99" s="1"/>
  <c r="M10" i="99"/>
  <c r="F10" i="99"/>
  <c r="E10" i="99"/>
  <c r="AH9" i="99"/>
  <c r="AI9" i="99" s="1"/>
  <c r="AG9" i="99"/>
  <c r="AD9" i="99"/>
  <c r="AE9" i="99" s="1"/>
  <c r="AC9" i="99"/>
  <c r="Z9" i="99"/>
  <c r="AA9" i="99" s="1"/>
  <c r="Y9" i="99"/>
  <c r="V9" i="99"/>
  <c r="W9" i="99" s="1"/>
  <c r="U9" i="99"/>
  <c r="R9" i="99"/>
  <c r="S9" i="99" s="1"/>
  <c r="Q9" i="99"/>
  <c r="N9" i="99"/>
  <c r="O9" i="99" s="1"/>
  <c r="M9" i="99"/>
  <c r="F9" i="99"/>
  <c r="G9" i="99" s="1"/>
  <c r="E9" i="99"/>
  <c r="AH8" i="99"/>
  <c r="AI8" i="99" s="1"/>
  <c r="AG8" i="99"/>
  <c r="AD8" i="99"/>
  <c r="AE8" i="99" s="1"/>
  <c r="AC8" i="99"/>
  <c r="Z8" i="99"/>
  <c r="AA8" i="99" s="1"/>
  <c r="Y8" i="99"/>
  <c r="V8" i="99"/>
  <c r="W8" i="99" s="1"/>
  <c r="U8" i="99"/>
  <c r="R8" i="99"/>
  <c r="S8" i="99" s="1"/>
  <c r="Q8" i="99"/>
  <c r="N8" i="99"/>
  <c r="O8" i="99" s="1"/>
  <c r="M8" i="99"/>
  <c r="F8" i="99"/>
  <c r="E8" i="99"/>
  <c r="AH7" i="99"/>
  <c r="AI7" i="99" s="1"/>
  <c r="AG7" i="99"/>
  <c r="AD7" i="99"/>
  <c r="AE7" i="99" s="1"/>
  <c r="AC7" i="99"/>
  <c r="Z7" i="99"/>
  <c r="AA7" i="99" s="1"/>
  <c r="Y7" i="99"/>
  <c r="V7" i="99"/>
  <c r="W7" i="99" s="1"/>
  <c r="U7" i="99"/>
  <c r="R7" i="99"/>
  <c r="S7" i="99" s="1"/>
  <c r="Q7" i="99"/>
  <c r="N7" i="99"/>
  <c r="O7" i="99" s="1"/>
  <c r="M7" i="99"/>
  <c r="F7" i="99"/>
  <c r="G7" i="99" s="1"/>
  <c r="E7" i="99"/>
  <c r="AH6" i="99"/>
  <c r="AI6" i="99" s="1"/>
  <c r="AG6" i="99"/>
  <c r="AD6" i="99"/>
  <c r="AE6" i="99" s="1"/>
  <c r="AC6" i="99"/>
  <c r="Z6" i="99"/>
  <c r="AA6" i="99" s="1"/>
  <c r="Y6" i="99"/>
  <c r="V6" i="99"/>
  <c r="W6" i="99" s="1"/>
  <c r="U6" i="99"/>
  <c r="R6" i="99"/>
  <c r="S6" i="99" s="1"/>
  <c r="Q6" i="99"/>
  <c r="N6" i="99"/>
  <c r="O6" i="99" s="1"/>
  <c r="M6" i="99"/>
  <c r="F6" i="99"/>
  <c r="E6" i="99"/>
  <c r="AH5" i="99"/>
  <c r="AI5" i="99" s="1"/>
  <c r="AG5" i="99"/>
  <c r="AD5" i="99"/>
  <c r="AE5" i="99" s="1"/>
  <c r="AC5" i="99"/>
  <c r="Z5" i="99"/>
  <c r="AA5" i="99" s="1"/>
  <c r="Y5" i="99"/>
  <c r="V5" i="99"/>
  <c r="W5" i="99" s="1"/>
  <c r="U5" i="99"/>
  <c r="R5" i="99"/>
  <c r="S5" i="99" s="1"/>
  <c r="Q5" i="99"/>
  <c r="N5" i="99"/>
  <c r="O5" i="99" s="1"/>
  <c r="M5" i="99"/>
  <c r="J5" i="99"/>
  <c r="K5" i="99" s="1"/>
  <c r="I5" i="99"/>
  <c r="F5" i="99"/>
  <c r="G5" i="99" s="1"/>
  <c r="E5" i="99"/>
  <c r="AH24" i="98"/>
  <c r="AI24" i="98" s="1"/>
  <c r="AG24" i="98"/>
  <c r="AD24" i="98"/>
  <c r="AE24" i="98" s="1"/>
  <c r="AC24" i="98"/>
  <c r="Z24" i="98"/>
  <c r="AA24" i="98" s="1"/>
  <c r="Y24" i="98"/>
  <c r="V24" i="98"/>
  <c r="W24" i="98" s="1"/>
  <c r="U24" i="98"/>
  <c r="R24" i="98"/>
  <c r="S24" i="98" s="1"/>
  <c r="Q24" i="98"/>
  <c r="N24" i="98"/>
  <c r="O24" i="98" s="1"/>
  <c r="M24" i="98"/>
  <c r="F24" i="98"/>
  <c r="G24" i="98" s="1"/>
  <c r="AH23" i="98"/>
  <c r="AI23" i="98" s="1"/>
  <c r="AG23" i="98"/>
  <c r="AD23" i="98"/>
  <c r="AE23" i="98" s="1"/>
  <c r="AC23" i="98"/>
  <c r="Z23" i="98"/>
  <c r="AA23" i="98" s="1"/>
  <c r="Y23" i="98"/>
  <c r="V23" i="98"/>
  <c r="W23" i="98" s="1"/>
  <c r="U23" i="98"/>
  <c r="R23" i="98"/>
  <c r="S23" i="98" s="1"/>
  <c r="Q23" i="98"/>
  <c r="N23" i="98"/>
  <c r="O23" i="98" s="1"/>
  <c r="M23" i="98"/>
  <c r="F23" i="98"/>
  <c r="G23" i="98" s="1"/>
  <c r="AH22" i="98"/>
  <c r="AI22" i="98" s="1"/>
  <c r="AG22" i="98"/>
  <c r="AD22" i="98"/>
  <c r="AE22" i="98" s="1"/>
  <c r="AC22" i="98"/>
  <c r="Z22" i="98"/>
  <c r="AA22" i="98" s="1"/>
  <c r="Y22" i="98"/>
  <c r="V22" i="98"/>
  <c r="W22" i="98" s="1"/>
  <c r="U22" i="98"/>
  <c r="R22" i="98"/>
  <c r="S22" i="98" s="1"/>
  <c r="Q22" i="98"/>
  <c r="N22" i="98"/>
  <c r="O22" i="98" s="1"/>
  <c r="M22" i="98"/>
  <c r="F22" i="98"/>
  <c r="G22" i="98" s="1"/>
  <c r="AH21" i="98"/>
  <c r="AI21" i="98" s="1"/>
  <c r="AG21" i="98"/>
  <c r="AD21" i="98"/>
  <c r="AE21" i="98" s="1"/>
  <c r="AC21" i="98"/>
  <c r="Z21" i="98"/>
  <c r="AA21" i="98" s="1"/>
  <c r="Y21" i="98"/>
  <c r="V21" i="98"/>
  <c r="W21" i="98" s="1"/>
  <c r="U21" i="98"/>
  <c r="R21" i="98"/>
  <c r="S21" i="98" s="1"/>
  <c r="Q21" i="98"/>
  <c r="N21" i="98"/>
  <c r="O21" i="98" s="1"/>
  <c r="M21" i="98"/>
  <c r="F21" i="98"/>
  <c r="G21" i="98" s="1"/>
  <c r="AH20" i="98"/>
  <c r="AI20" i="98" s="1"/>
  <c r="AG20" i="98"/>
  <c r="AD20" i="98"/>
  <c r="AE20" i="98" s="1"/>
  <c r="AC20" i="98"/>
  <c r="Z20" i="98"/>
  <c r="AA20" i="98" s="1"/>
  <c r="Y20" i="98"/>
  <c r="V20" i="98"/>
  <c r="W20" i="98" s="1"/>
  <c r="U20" i="98"/>
  <c r="R20" i="98"/>
  <c r="S20" i="98" s="1"/>
  <c r="Q20" i="98"/>
  <c r="N20" i="98"/>
  <c r="O20" i="98" s="1"/>
  <c r="M20" i="98"/>
  <c r="F20" i="98"/>
  <c r="G20" i="98" s="1"/>
  <c r="AH19" i="98"/>
  <c r="AI19" i="98" s="1"/>
  <c r="AG19" i="98"/>
  <c r="AD19" i="98"/>
  <c r="AE19" i="98" s="1"/>
  <c r="AC19" i="98"/>
  <c r="Z19" i="98"/>
  <c r="AA19" i="98" s="1"/>
  <c r="Y19" i="98"/>
  <c r="V19" i="98"/>
  <c r="W19" i="98" s="1"/>
  <c r="U19" i="98"/>
  <c r="R19" i="98"/>
  <c r="S19" i="98" s="1"/>
  <c r="Q19" i="98"/>
  <c r="N19" i="98"/>
  <c r="O19" i="98" s="1"/>
  <c r="M19" i="98"/>
  <c r="F19" i="98"/>
  <c r="G19" i="98" s="1"/>
  <c r="AH18" i="98"/>
  <c r="AI18" i="98" s="1"/>
  <c r="AG18" i="98"/>
  <c r="AD18" i="98"/>
  <c r="AE18" i="98" s="1"/>
  <c r="AC18" i="98"/>
  <c r="Z18" i="98"/>
  <c r="AA18" i="98" s="1"/>
  <c r="Y18" i="98"/>
  <c r="V18" i="98"/>
  <c r="W18" i="98" s="1"/>
  <c r="U18" i="98"/>
  <c r="R18" i="98"/>
  <c r="S18" i="98" s="1"/>
  <c r="Q18" i="98"/>
  <c r="N18" i="98"/>
  <c r="O18" i="98" s="1"/>
  <c r="M18" i="98"/>
  <c r="F18" i="98"/>
  <c r="G18" i="98" s="1"/>
  <c r="AH17" i="98"/>
  <c r="AI17" i="98" s="1"/>
  <c r="AG17" i="98"/>
  <c r="AD17" i="98"/>
  <c r="AE17" i="98" s="1"/>
  <c r="AC17" i="98"/>
  <c r="Z17" i="98"/>
  <c r="AA17" i="98" s="1"/>
  <c r="Y17" i="98"/>
  <c r="V17" i="98"/>
  <c r="W17" i="98" s="1"/>
  <c r="U17" i="98"/>
  <c r="R17" i="98"/>
  <c r="S17" i="98" s="1"/>
  <c r="Q17" i="98"/>
  <c r="N17" i="98"/>
  <c r="O17" i="98" s="1"/>
  <c r="M17" i="98"/>
  <c r="F17" i="98"/>
  <c r="G17" i="98" s="1"/>
  <c r="AH16" i="98"/>
  <c r="AI16" i="98" s="1"/>
  <c r="AG16" i="98"/>
  <c r="AD16" i="98"/>
  <c r="AE16" i="98" s="1"/>
  <c r="AC16" i="98"/>
  <c r="Z16" i="98"/>
  <c r="AA16" i="98" s="1"/>
  <c r="Y16" i="98"/>
  <c r="V16" i="98"/>
  <c r="W16" i="98" s="1"/>
  <c r="U16" i="98"/>
  <c r="R16" i="98"/>
  <c r="S16" i="98" s="1"/>
  <c r="Q16" i="98"/>
  <c r="N16" i="98"/>
  <c r="O16" i="98" s="1"/>
  <c r="M16" i="98"/>
  <c r="AJ16" i="98"/>
  <c r="AK16" i="98" s="1"/>
  <c r="AL16" i="98" s="1"/>
  <c r="F16" i="98"/>
  <c r="G16" i="98" s="1"/>
  <c r="AH15" i="98"/>
  <c r="AI15" i="98" s="1"/>
  <c r="AG15" i="98"/>
  <c r="AD15" i="98"/>
  <c r="AE15" i="98" s="1"/>
  <c r="AC15" i="98"/>
  <c r="Z15" i="98"/>
  <c r="AA15" i="98" s="1"/>
  <c r="Y15" i="98"/>
  <c r="V15" i="98"/>
  <c r="W15" i="98" s="1"/>
  <c r="U15" i="98"/>
  <c r="R15" i="98"/>
  <c r="S15" i="98" s="1"/>
  <c r="Q15" i="98"/>
  <c r="N15" i="98"/>
  <c r="O15" i="98" s="1"/>
  <c r="M15" i="98"/>
  <c r="F15" i="98"/>
  <c r="G15" i="98" s="1"/>
  <c r="AH14" i="98"/>
  <c r="AI14" i="98" s="1"/>
  <c r="AG14" i="98"/>
  <c r="AD14" i="98"/>
  <c r="AE14" i="98" s="1"/>
  <c r="AC14" i="98"/>
  <c r="Z14" i="98"/>
  <c r="AA14" i="98" s="1"/>
  <c r="Y14" i="98"/>
  <c r="V14" i="98"/>
  <c r="W14" i="98" s="1"/>
  <c r="U14" i="98"/>
  <c r="R14" i="98"/>
  <c r="S14" i="98" s="1"/>
  <c r="Q14" i="98"/>
  <c r="N14" i="98"/>
  <c r="O14" i="98" s="1"/>
  <c r="M14" i="98"/>
  <c r="F14" i="98"/>
  <c r="G14" i="98" s="1"/>
  <c r="AH13" i="98"/>
  <c r="AI13" i="98" s="1"/>
  <c r="AG13" i="98"/>
  <c r="AD13" i="98"/>
  <c r="AE13" i="98" s="1"/>
  <c r="AC13" i="98"/>
  <c r="Z13" i="98"/>
  <c r="AA13" i="98" s="1"/>
  <c r="Y13" i="98"/>
  <c r="V13" i="98"/>
  <c r="W13" i="98" s="1"/>
  <c r="U13" i="98"/>
  <c r="R13" i="98"/>
  <c r="S13" i="98" s="1"/>
  <c r="Q13" i="98"/>
  <c r="N13" i="98"/>
  <c r="O13" i="98" s="1"/>
  <c r="M13" i="98"/>
  <c r="F13" i="98"/>
  <c r="G13" i="98" s="1"/>
  <c r="AH12" i="98"/>
  <c r="AI12" i="98" s="1"/>
  <c r="AG12" i="98"/>
  <c r="AD12" i="98"/>
  <c r="AE12" i="98" s="1"/>
  <c r="AC12" i="98"/>
  <c r="Z12" i="98"/>
  <c r="AA12" i="98" s="1"/>
  <c r="Y12" i="98"/>
  <c r="V12" i="98"/>
  <c r="W12" i="98" s="1"/>
  <c r="U12" i="98"/>
  <c r="R12" i="98"/>
  <c r="S12" i="98" s="1"/>
  <c r="Q12" i="98"/>
  <c r="N12" i="98"/>
  <c r="O12" i="98" s="1"/>
  <c r="M12" i="98"/>
  <c r="F12" i="98"/>
  <c r="G12" i="98" s="1"/>
  <c r="AJ12" i="98" s="1"/>
  <c r="AK12" i="98" s="1"/>
  <c r="AL12" i="98" s="1"/>
  <c r="AH11" i="98"/>
  <c r="AI11" i="98" s="1"/>
  <c r="AG11" i="98"/>
  <c r="AD11" i="98"/>
  <c r="AE11" i="98" s="1"/>
  <c r="AC11" i="98"/>
  <c r="Z11" i="98"/>
  <c r="AA11" i="98" s="1"/>
  <c r="Y11" i="98"/>
  <c r="V11" i="98"/>
  <c r="W11" i="98" s="1"/>
  <c r="U11" i="98"/>
  <c r="R11" i="98"/>
  <c r="S11" i="98" s="1"/>
  <c r="Q11" i="98"/>
  <c r="N11" i="98"/>
  <c r="O11" i="98" s="1"/>
  <c r="M11" i="98"/>
  <c r="F11" i="98"/>
  <c r="G11" i="98" s="1"/>
  <c r="AH10" i="98"/>
  <c r="AI10" i="98" s="1"/>
  <c r="AG10" i="98"/>
  <c r="AD10" i="98"/>
  <c r="AE10" i="98" s="1"/>
  <c r="AC10" i="98"/>
  <c r="Z10" i="98"/>
  <c r="AA10" i="98" s="1"/>
  <c r="Y10" i="98"/>
  <c r="V10" i="98"/>
  <c r="W10" i="98" s="1"/>
  <c r="U10" i="98"/>
  <c r="R10" i="98"/>
  <c r="S10" i="98" s="1"/>
  <c r="Q10" i="98"/>
  <c r="N10" i="98"/>
  <c r="O10" i="98" s="1"/>
  <c r="M10" i="98"/>
  <c r="F10" i="98"/>
  <c r="G10" i="98" s="1"/>
  <c r="AH9" i="98"/>
  <c r="AI9" i="98" s="1"/>
  <c r="AG9" i="98"/>
  <c r="AD9" i="98"/>
  <c r="AE9" i="98" s="1"/>
  <c r="AC9" i="98"/>
  <c r="Z9" i="98"/>
  <c r="AA9" i="98" s="1"/>
  <c r="Y9" i="98"/>
  <c r="V9" i="98"/>
  <c r="W9" i="98" s="1"/>
  <c r="U9" i="98"/>
  <c r="R9" i="98"/>
  <c r="S9" i="98" s="1"/>
  <c r="Q9" i="98"/>
  <c r="N9" i="98"/>
  <c r="O9" i="98" s="1"/>
  <c r="M9" i="98"/>
  <c r="F9" i="98"/>
  <c r="G9" i="98" s="1"/>
  <c r="AH8" i="98"/>
  <c r="AI8" i="98" s="1"/>
  <c r="AG8" i="98"/>
  <c r="AD8" i="98"/>
  <c r="AE8" i="98" s="1"/>
  <c r="AC8" i="98"/>
  <c r="Z8" i="98"/>
  <c r="AA8" i="98" s="1"/>
  <c r="Y8" i="98"/>
  <c r="V8" i="98"/>
  <c r="W8" i="98" s="1"/>
  <c r="U8" i="98"/>
  <c r="R8" i="98"/>
  <c r="S8" i="98" s="1"/>
  <c r="Q8" i="98"/>
  <c r="N8" i="98"/>
  <c r="O8" i="98" s="1"/>
  <c r="M8" i="98"/>
  <c r="F8" i="98"/>
  <c r="G8" i="98" s="1"/>
  <c r="AH7" i="98"/>
  <c r="AI7" i="98" s="1"/>
  <c r="AG7" i="98"/>
  <c r="AD7" i="98"/>
  <c r="AE7" i="98" s="1"/>
  <c r="AC7" i="98"/>
  <c r="Z7" i="98"/>
  <c r="AA7" i="98" s="1"/>
  <c r="Y7" i="98"/>
  <c r="V7" i="98"/>
  <c r="W7" i="98" s="1"/>
  <c r="U7" i="98"/>
  <c r="R7" i="98"/>
  <c r="S7" i="98" s="1"/>
  <c r="Q7" i="98"/>
  <c r="N7" i="98"/>
  <c r="O7" i="98" s="1"/>
  <c r="M7" i="98"/>
  <c r="F7" i="98"/>
  <c r="G7" i="98" s="1"/>
  <c r="AH6" i="98"/>
  <c r="AI6" i="98" s="1"/>
  <c r="AG6" i="98"/>
  <c r="AD6" i="98"/>
  <c r="AE6" i="98" s="1"/>
  <c r="AC6" i="98"/>
  <c r="Z6" i="98"/>
  <c r="AA6" i="98" s="1"/>
  <c r="Y6" i="98"/>
  <c r="V6" i="98"/>
  <c r="W6" i="98" s="1"/>
  <c r="U6" i="98"/>
  <c r="R6" i="98"/>
  <c r="S6" i="98" s="1"/>
  <c r="Q6" i="98"/>
  <c r="N6" i="98"/>
  <c r="O6" i="98" s="1"/>
  <c r="M6" i="98"/>
  <c r="F6" i="98"/>
  <c r="G6" i="98" s="1"/>
  <c r="AH5" i="98"/>
  <c r="AI5" i="98" s="1"/>
  <c r="AG5" i="98"/>
  <c r="AD5" i="98"/>
  <c r="AE5" i="98" s="1"/>
  <c r="AC5" i="98"/>
  <c r="Z5" i="98"/>
  <c r="AA5" i="98" s="1"/>
  <c r="Y5" i="98"/>
  <c r="V5" i="98"/>
  <c r="W5" i="98" s="1"/>
  <c r="U5" i="98"/>
  <c r="R5" i="98"/>
  <c r="S5" i="98" s="1"/>
  <c r="Q5" i="98"/>
  <c r="N5" i="98"/>
  <c r="O5" i="98" s="1"/>
  <c r="M5" i="98"/>
  <c r="J5" i="98"/>
  <c r="K5" i="98" s="1"/>
  <c r="I5" i="98"/>
  <c r="F5" i="98"/>
  <c r="G5" i="98" s="1"/>
  <c r="AD24" i="97"/>
  <c r="AE24" i="97" s="1"/>
  <c r="AC24" i="97"/>
  <c r="Z24" i="97"/>
  <c r="AA24" i="97" s="1"/>
  <c r="Y24" i="97"/>
  <c r="V24" i="97"/>
  <c r="W24" i="97" s="1"/>
  <c r="U24" i="97"/>
  <c r="R24" i="97"/>
  <c r="S24" i="97" s="1"/>
  <c r="Q24" i="97"/>
  <c r="N24" i="97"/>
  <c r="O24" i="97" s="1"/>
  <c r="M24" i="97"/>
  <c r="F24" i="97"/>
  <c r="G24" i="97" s="1"/>
  <c r="E24" i="97"/>
  <c r="AD23" i="97"/>
  <c r="AE23" i="97" s="1"/>
  <c r="AC23" i="97"/>
  <c r="Z23" i="97"/>
  <c r="AA23" i="97" s="1"/>
  <c r="Y23" i="97"/>
  <c r="V23" i="97"/>
  <c r="W23" i="97" s="1"/>
  <c r="U23" i="97"/>
  <c r="R23" i="97"/>
  <c r="S23" i="97" s="1"/>
  <c r="Q23" i="97"/>
  <c r="N23" i="97"/>
  <c r="O23" i="97" s="1"/>
  <c r="M23" i="97"/>
  <c r="F23" i="97"/>
  <c r="G23" i="97" s="1"/>
  <c r="E23" i="97"/>
  <c r="AD22" i="97"/>
  <c r="AE22" i="97" s="1"/>
  <c r="AC22" i="97"/>
  <c r="Z22" i="97"/>
  <c r="AA22" i="97" s="1"/>
  <c r="Y22" i="97"/>
  <c r="V22" i="97"/>
  <c r="W22" i="97" s="1"/>
  <c r="U22" i="97"/>
  <c r="R22" i="97"/>
  <c r="S22" i="97" s="1"/>
  <c r="Q22" i="97"/>
  <c r="N22" i="97"/>
  <c r="O22" i="97" s="1"/>
  <c r="M22" i="97"/>
  <c r="F22" i="97"/>
  <c r="G22" i="97" s="1"/>
  <c r="E22" i="97"/>
  <c r="AD21" i="97"/>
  <c r="AE21" i="97" s="1"/>
  <c r="AC21" i="97"/>
  <c r="Z21" i="97"/>
  <c r="AA21" i="97" s="1"/>
  <c r="Y21" i="97"/>
  <c r="V21" i="97"/>
  <c r="W21" i="97" s="1"/>
  <c r="U21" i="97"/>
  <c r="R21" i="97"/>
  <c r="S21" i="97" s="1"/>
  <c r="Q21" i="97"/>
  <c r="N21" i="97"/>
  <c r="O21" i="97" s="1"/>
  <c r="M21" i="97"/>
  <c r="F21" i="97"/>
  <c r="G21" i="97" s="1"/>
  <c r="E21" i="97"/>
  <c r="AD20" i="97"/>
  <c r="AE20" i="97" s="1"/>
  <c r="AC20" i="97"/>
  <c r="Z20" i="97"/>
  <c r="AA20" i="97" s="1"/>
  <c r="Y20" i="97"/>
  <c r="V20" i="97"/>
  <c r="W20" i="97" s="1"/>
  <c r="U20" i="97"/>
  <c r="R20" i="97"/>
  <c r="S20" i="97" s="1"/>
  <c r="Q20" i="97"/>
  <c r="N20" i="97"/>
  <c r="O20" i="97" s="1"/>
  <c r="M20" i="97"/>
  <c r="F20" i="97"/>
  <c r="G20" i="97" s="1"/>
  <c r="E20" i="97"/>
  <c r="AD19" i="97"/>
  <c r="AE19" i="97" s="1"/>
  <c r="AC19" i="97"/>
  <c r="Z19" i="97"/>
  <c r="AA19" i="97" s="1"/>
  <c r="Y19" i="97"/>
  <c r="V19" i="97"/>
  <c r="W19" i="97" s="1"/>
  <c r="U19" i="97"/>
  <c r="R19" i="97"/>
  <c r="S19" i="97" s="1"/>
  <c r="Q19" i="97"/>
  <c r="N19" i="97"/>
  <c r="O19" i="97" s="1"/>
  <c r="M19" i="97"/>
  <c r="F19" i="97"/>
  <c r="G19" i="97" s="1"/>
  <c r="E19" i="97"/>
  <c r="AD18" i="97"/>
  <c r="AE18" i="97" s="1"/>
  <c r="AC18" i="97"/>
  <c r="Z18" i="97"/>
  <c r="AA18" i="97" s="1"/>
  <c r="Y18" i="97"/>
  <c r="V18" i="97"/>
  <c r="W18" i="97" s="1"/>
  <c r="U18" i="97"/>
  <c r="R18" i="97"/>
  <c r="S18" i="97" s="1"/>
  <c r="Q18" i="97"/>
  <c r="N18" i="97"/>
  <c r="O18" i="97" s="1"/>
  <c r="M18" i="97"/>
  <c r="F18" i="97"/>
  <c r="G18" i="97" s="1"/>
  <c r="E18" i="97"/>
  <c r="AD17" i="97"/>
  <c r="AE17" i="97" s="1"/>
  <c r="AC17" i="97"/>
  <c r="Z17" i="97"/>
  <c r="AA17" i="97" s="1"/>
  <c r="Y17" i="97"/>
  <c r="V17" i="97"/>
  <c r="W17" i="97" s="1"/>
  <c r="U17" i="97"/>
  <c r="R17" i="97"/>
  <c r="S17" i="97" s="1"/>
  <c r="Q17" i="97"/>
  <c r="N17" i="97"/>
  <c r="O17" i="97" s="1"/>
  <c r="M17" i="97"/>
  <c r="F17" i="97"/>
  <c r="G17" i="97" s="1"/>
  <c r="E17" i="97"/>
  <c r="AD16" i="97"/>
  <c r="AE16" i="97" s="1"/>
  <c r="AC16" i="97"/>
  <c r="Z16" i="97"/>
  <c r="AA16" i="97" s="1"/>
  <c r="Y16" i="97"/>
  <c r="V16" i="97"/>
  <c r="W16" i="97" s="1"/>
  <c r="U16" i="97"/>
  <c r="R16" i="97"/>
  <c r="S16" i="97" s="1"/>
  <c r="Q16" i="97"/>
  <c r="N16" i="97"/>
  <c r="O16" i="97" s="1"/>
  <c r="M16" i="97"/>
  <c r="F16" i="97"/>
  <c r="G16" i="97" s="1"/>
  <c r="E16" i="97"/>
  <c r="AD15" i="97"/>
  <c r="AE15" i="97" s="1"/>
  <c r="AC15" i="97"/>
  <c r="Z15" i="97"/>
  <c r="AA15" i="97" s="1"/>
  <c r="Y15" i="97"/>
  <c r="V15" i="97"/>
  <c r="W15" i="97" s="1"/>
  <c r="U15" i="97"/>
  <c r="R15" i="97"/>
  <c r="S15" i="97" s="1"/>
  <c r="Q15" i="97"/>
  <c r="N15" i="97"/>
  <c r="O15" i="97" s="1"/>
  <c r="M15" i="97"/>
  <c r="F15" i="97"/>
  <c r="G15" i="97" s="1"/>
  <c r="E15" i="97"/>
  <c r="AD11" i="97"/>
  <c r="AE11" i="97" s="1"/>
  <c r="AC11" i="97"/>
  <c r="Z11" i="97"/>
  <c r="AA11" i="97" s="1"/>
  <c r="Y11" i="97"/>
  <c r="V11" i="97"/>
  <c r="W11" i="97" s="1"/>
  <c r="U11" i="97"/>
  <c r="R11" i="97"/>
  <c r="S11" i="97" s="1"/>
  <c r="Q11" i="97"/>
  <c r="N11" i="97"/>
  <c r="M11" i="97"/>
  <c r="F11" i="97"/>
  <c r="G11" i="97" s="1"/>
  <c r="E11" i="97"/>
  <c r="AD14" i="97"/>
  <c r="AE14" i="97" s="1"/>
  <c r="AC14" i="97"/>
  <c r="Z14" i="97"/>
  <c r="AA14" i="97" s="1"/>
  <c r="Y14" i="97"/>
  <c r="V14" i="97"/>
  <c r="W14" i="97" s="1"/>
  <c r="U14" i="97"/>
  <c r="R14" i="97"/>
  <c r="S14" i="97" s="1"/>
  <c r="Q14" i="97"/>
  <c r="N14" i="97"/>
  <c r="O14" i="97" s="1"/>
  <c r="M14" i="97"/>
  <c r="F14" i="97"/>
  <c r="G14" i="97" s="1"/>
  <c r="E14" i="97"/>
  <c r="AD9" i="97"/>
  <c r="AE9" i="97" s="1"/>
  <c r="AC9" i="97"/>
  <c r="Z9" i="97"/>
  <c r="AA9" i="97" s="1"/>
  <c r="Y9" i="97"/>
  <c r="V9" i="97"/>
  <c r="W9" i="97" s="1"/>
  <c r="U9" i="97"/>
  <c r="R9" i="97"/>
  <c r="Q9" i="97"/>
  <c r="N9" i="97"/>
  <c r="O9" i="97" s="1"/>
  <c r="M9" i="97"/>
  <c r="F9" i="97"/>
  <c r="G9" i="97" s="1"/>
  <c r="E9" i="97"/>
  <c r="AD13" i="97"/>
  <c r="AE13" i="97" s="1"/>
  <c r="AC13" i="97"/>
  <c r="Z13" i="97"/>
  <c r="AA13" i="97" s="1"/>
  <c r="Y13" i="97"/>
  <c r="V13" i="97"/>
  <c r="W13" i="97" s="1"/>
  <c r="U13" i="97"/>
  <c r="R13" i="97"/>
  <c r="S13" i="97" s="1"/>
  <c r="Q13" i="97"/>
  <c r="N13" i="97"/>
  <c r="O13" i="97" s="1"/>
  <c r="M13" i="97"/>
  <c r="F13" i="97"/>
  <c r="G13" i="97" s="1"/>
  <c r="E13" i="97"/>
  <c r="Y15" i="102"/>
  <c r="AD5" i="97"/>
  <c r="AC5" i="97"/>
  <c r="Z5" i="97"/>
  <c r="AA5" i="97" s="1"/>
  <c r="Y5" i="97"/>
  <c r="V5" i="97"/>
  <c r="U5" i="97"/>
  <c r="R5" i="97"/>
  <c r="Q5" i="97"/>
  <c r="N5" i="97"/>
  <c r="M5" i="97"/>
  <c r="F5" i="97"/>
  <c r="E5" i="97"/>
  <c r="AD8" i="97"/>
  <c r="AC8" i="97"/>
  <c r="Z8" i="97"/>
  <c r="Y8" i="97"/>
  <c r="V8" i="97"/>
  <c r="W8" i="97" s="1"/>
  <c r="U8" i="97"/>
  <c r="R8" i="97"/>
  <c r="Q8" i="97"/>
  <c r="N8" i="97"/>
  <c r="M8" i="97"/>
  <c r="F8" i="97"/>
  <c r="E8" i="97"/>
  <c r="AD12" i="97"/>
  <c r="AE12" i="97" s="1"/>
  <c r="AC12" i="97"/>
  <c r="Z12" i="97"/>
  <c r="AA12" i="97" s="1"/>
  <c r="Y12" i="97"/>
  <c r="V12" i="97"/>
  <c r="W12" i="97" s="1"/>
  <c r="U12" i="97"/>
  <c r="R12" i="97"/>
  <c r="S12" i="97" s="1"/>
  <c r="Q12" i="97"/>
  <c r="N12" i="97"/>
  <c r="O12" i="97" s="1"/>
  <c r="M12" i="97"/>
  <c r="F12" i="97"/>
  <c r="E12" i="97"/>
  <c r="AD7" i="97"/>
  <c r="AE7" i="97" s="1"/>
  <c r="AC7" i="97"/>
  <c r="Z7" i="97"/>
  <c r="AA7" i="97" s="1"/>
  <c r="Y7" i="97"/>
  <c r="V7" i="97"/>
  <c r="U7" i="97"/>
  <c r="R7" i="97"/>
  <c r="Q7" i="97"/>
  <c r="N7" i="97"/>
  <c r="M7" i="97"/>
  <c r="F7" i="97"/>
  <c r="G7" i="97" s="1"/>
  <c r="E7" i="97"/>
  <c r="AD10" i="97"/>
  <c r="AC10" i="97"/>
  <c r="Z10" i="97"/>
  <c r="AA10" i="97" s="1"/>
  <c r="Y10" i="97"/>
  <c r="V10" i="97"/>
  <c r="U10" i="97"/>
  <c r="R10" i="97"/>
  <c r="S10" i="97" s="1"/>
  <c r="Q10" i="97"/>
  <c r="N10" i="97"/>
  <c r="O10" i="97" s="1"/>
  <c r="M10" i="97"/>
  <c r="F10" i="97"/>
  <c r="G10" i="97" s="1"/>
  <c r="E10" i="97"/>
  <c r="AD6" i="97"/>
  <c r="AC6" i="97"/>
  <c r="Z6" i="97"/>
  <c r="AA6" i="97" s="1"/>
  <c r="Y6" i="97"/>
  <c r="V6" i="97"/>
  <c r="U6" i="97"/>
  <c r="R6" i="97"/>
  <c r="Q6" i="97"/>
  <c r="N6" i="97"/>
  <c r="M6" i="97"/>
  <c r="J6" i="97"/>
  <c r="I6" i="97"/>
  <c r="F6" i="97"/>
  <c r="E6" i="97"/>
  <c r="AD24" i="96"/>
  <c r="AE24" i="96" s="1"/>
  <c r="AC24" i="96"/>
  <c r="Z24" i="96"/>
  <c r="AA24" i="96" s="1"/>
  <c r="Y24" i="96"/>
  <c r="V24" i="96"/>
  <c r="W24" i="96" s="1"/>
  <c r="U24" i="96"/>
  <c r="R24" i="96"/>
  <c r="S24" i="96" s="1"/>
  <c r="Q24" i="96"/>
  <c r="N24" i="96"/>
  <c r="O24" i="96" s="1"/>
  <c r="M24" i="96"/>
  <c r="F24" i="96"/>
  <c r="G24" i="96" s="1"/>
  <c r="E24" i="96"/>
  <c r="AD23" i="96"/>
  <c r="AE23" i="96" s="1"/>
  <c r="AC23" i="96"/>
  <c r="Z23" i="96"/>
  <c r="AA23" i="96" s="1"/>
  <c r="Y23" i="96"/>
  <c r="V23" i="96"/>
  <c r="W23" i="96" s="1"/>
  <c r="U23" i="96"/>
  <c r="R23" i="96"/>
  <c r="S23" i="96" s="1"/>
  <c r="Q23" i="96"/>
  <c r="N23" i="96"/>
  <c r="O23" i="96" s="1"/>
  <c r="M23" i="96"/>
  <c r="F23" i="96"/>
  <c r="G23" i="96" s="1"/>
  <c r="E23" i="96"/>
  <c r="AD22" i="96"/>
  <c r="AE22" i="96" s="1"/>
  <c r="AC22" i="96"/>
  <c r="Z22" i="96"/>
  <c r="AA22" i="96" s="1"/>
  <c r="Y22" i="96"/>
  <c r="V22" i="96"/>
  <c r="W22" i="96" s="1"/>
  <c r="U22" i="96"/>
  <c r="R22" i="96"/>
  <c r="S22" i="96" s="1"/>
  <c r="Q22" i="96"/>
  <c r="N22" i="96"/>
  <c r="O22" i="96" s="1"/>
  <c r="M22" i="96"/>
  <c r="F22" i="96"/>
  <c r="G22" i="96" s="1"/>
  <c r="E22" i="96"/>
  <c r="AD21" i="96"/>
  <c r="AE21" i="96" s="1"/>
  <c r="AC21" i="96"/>
  <c r="Z21" i="96"/>
  <c r="AA21" i="96" s="1"/>
  <c r="Y21" i="96"/>
  <c r="V21" i="96"/>
  <c r="W21" i="96" s="1"/>
  <c r="U21" i="96"/>
  <c r="R21" i="96"/>
  <c r="S21" i="96" s="1"/>
  <c r="Q21" i="96"/>
  <c r="N21" i="96"/>
  <c r="O21" i="96" s="1"/>
  <c r="M21" i="96"/>
  <c r="F21" i="96"/>
  <c r="G21" i="96" s="1"/>
  <c r="E21" i="96"/>
  <c r="AD20" i="96"/>
  <c r="AE20" i="96" s="1"/>
  <c r="AC20" i="96"/>
  <c r="Z20" i="96"/>
  <c r="AA20" i="96" s="1"/>
  <c r="Y20" i="96"/>
  <c r="V20" i="96"/>
  <c r="W20" i="96" s="1"/>
  <c r="U20" i="96"/>
  <c r="R20" i="96"/>
  <c r="S20" i="96" s="1"/>
  <c r="Q20" i="96"/>
  <c r="N20" i="96"/>
  <c r="O20" i="96" s="1"/>
  <c r="M20" i="96"/>
  <c r="F20" i="96"/>
  <c r="G20" i="96" s="1"/>
  <c r="E20" i="96"/>
  <c r="AD19" i="96"/>
  <c r="AE19" i="96" s="1"/>
  <c r="AC19" i="96"/>
  <c r="Z19" i="96"/>
  <c r="AA19" i="96" s="1"/>
  <c r="Y19" i="96"/>
  <c r="V19" i="96"/>
  <c r="W19" i="96" s="1"/>
  <c r="U19" i="96"/>
  <c r="R19" i="96"/>
  <c r="S19" i="96" s="1"/>
  <c r="Q19" i="96"/>
  <c r="N19" i="96"/>
  <c r="O19" i="96" s="1"/>
  <c r="M19" i="96"/>
  <c r="F19" i="96"/>
  <c r="G19" i="96" s="1"/>
  <c r="E19" i="96"/>
  <c r="AD18" i="96"/>
  <c r="AE18" i="96" s="1"/>
  <c r="AC18" i="96"/>
  <c r="Z18" i="96"/>
  <c r="AA18" i="96" s="1"/>
  <c r="Y18" i="96"/>
  <c r="V18" i="96"/>
  <c r="W18" i="96" s="1"/>
  <c r="U18" i="96"/>
  <c r="R18" i="96"/>
  <c r="S18" i="96" s="1"/>
  <c r="Q18" i="96"/>
  <c r="N18" i="96"/>
  <c r="O18" i="96" s="1"/>
  <c r="M18" i="96"/>
  <c r="F18" i="96"/>
  <c r="G18" i="96" s="1"/>
  <c r="E18" i="96"/>
  <c r="AD17" i="96"/>
  <c r="AE17" i="96" s="1"/>
  <c r="AC17" i="96"/>
  <c r="Z17" i="96"/>
  <c r="AA17" i="96" s="1"/>
  <c r="Y17" i="96"/>
  <c r="V17" i="96"/>
  <c r="W17" i="96" s="1"/>
  <c r="U17" i="96"/>
  <c r="R17" i="96"/>
  <c r="S17" i="96" s="1"/>
  <c r="Q17" i="96"/>
  <c r="N17" i="96"/>
  <c r="O17" i="96" s="1"/>
  <c r="M17" i="96"/>
  <c r="F17" i="96"/>
  <c r="G17" i="96" s="1"/>
  <c r="E17" i="96"/>
  <c r="AD16" i="96"/>
  <c r="AE16" i="96" s="1"/>
  <c r="AC16" i="96"/>
  <c r="Z16" i="96"/>
  <c r="AA16" i="96" s="1"/>
  <c r="Y16" i="96"/>
  <c r="V16" i="96"/>
  <c r="W16" i="96" s="1"/>
  <c r="U16" i="96"/>
  <c r="R16" i="96"/>
  <c r="S16" i="96" s="1"/>
  <c r="Q16" i="96"/>
  <c r="N16" i="96"/>
  <c r="O16" i="96" s="1"/>
  <c r="M16" i="96"/>
  <c r="F16" i="96"/>
  <c r="G16" i="96" s="1"/>
  <c r="E16" i="96"/>
  <c r="AD15" i="96"/>
  <c r="AE15" i="96" s="1"/>
  <c r="AC15" i="96"/>
  <c r="Z15" i="96"/>
  <c r="AA15" i="96" s="1"/>
  <c r="Y15" i="96"/>
  <c r="V15" i="96"/>
  <c r="W15" i="96" s="1"/>
  <c r="U15" i="96"/>
  <c r="R15" i="96"/>
  <c r="S15" i="96" s="1"/>
  <c r="Q15" i="96"/>
  <c r="N15" i="96"/>
  <c r="O15" i="96" s="1"/>
  <c r="M15" i="96"/>
  <c r="F15" i="96"/>
  <c r="G15" i="96" s="1"/>
  <c r="E15" i="96"/>
  <c r="AD11" i="96"/>
  <c r="AE11" i="96" s="1"/>
  <c r="AC11" i="96"/>
  <c r="Z11" i="96"/>
  <c r="AA11" i="96" s="1"/>
  <c r="Y11" i="96"/>
  <c r="V11" i="96"/>
  <c r="W11" i="96" s="1"/>
  <c r="U11" i="96"/>
  <c r="R11" i="96"/>
  <c r="Q11" i="96"/>
  <c r="N11" i="96"/>
  <c r="M11" i="96"/>
  <c r="F11" i="96"/>
  <c r="G11" i="96" s="1"/>
  <c r="E11" i="96"/>
  <c r="AD9" i="96"/>
  <c r="AE9" i="96" s="1"/>
  <c r="AC9" i="96"/>
  <c r="Z9" i="96"/>
  <c r="Y9" i="96"/>
  <c r="V9" i="96"/>
  <c r="W9" i="96" s="1"/>
  <c r="U9" i="96"/>
  <c r="R9" i="96"/>
  <c r="Q9" i="96"/>
  <c r="N9" i="96"/>
  <c r="M9" i="96"/>
  <c r="F9" i="96"/>
  <c r="G9" i="96" s="1"/>
  <c r="E9" i="96"/>
  <c r="AD7" i="96"/>
  <c r="AE7" i="96" s="1"/>
  <c r="AC7" i="96"/>
  <c r="Z7" i="96"/>
  <c r="AA7" i="96" s="1"/>
  <c r="Y7" i="96"/>
  <c r="V7" i="96"/>
  <c r="W7" i="96" s="1"/>
  <c r="U7" i="96"/>
  <c r="R7" i="96"/>
  <c r="Q7" i="96"/>
  <c r="N7" i="96"/>
  <c r="M7" i="96"/>
  <c r="F7" i="96"/>
  <c r="E7" i="96"/>
  <c r="AD8" i="96"/>
  <c r="AE8" i="96" s="1"/>
  <c r="AC8" i="96"/>
  <c r="Z8" i="96"/>
  <c r="Y8" i="96"/>
  <c r="V8" i="96"/>
  <c r="W8" i="96" s="1"/>
  <c r="U8" i="96"/>
  <c r="R8" i="96"/>
  <c r="Q8" i="96"/>
  <c r="F8" i="96"/>
  <c r="G8" i="96" s="1"/>
  <c r="E8" i="96"/>
  <c r="AD13" i="96"/>
  <c r="AE13" i="96" s="1"/>
  <c r="AC13" i="96"/>
  <c r="Z13" i="96"/>
  <c r="AA13" i="96" s="1"/>
  <c r="Y13" i="96"/>
  <c r="V13" i="96"/>
  <c r="W13" i="96" s="1"/>
  <c r="U13" i="96"/>
  <c r="R13" i="96"/>
  <c r="S13" i="96" s="1"/>
  <c r="Q13" i="96"/>
  <c r="F13" i="96"/>
  <c r="G13" i="96" s="1"/>
  <c r="E13" i="96"/>
  <c r="AD10" i="96"/>
  <c r="AE10" i="96" s="1"/>
  <c r="AC10" i="96"/>
  <c r="Z10" i="96"/>
  <c r="AA10" i="96" s="1"/>
  <c r="Y10" i="96"/>
  <c r="V10" i="96"/>
  <c r="W10" i="96" s="1"/>
  <c r="U10" i="96"/>
  <c r="R10" i="96"/>
  <c r="S10" i="96" s="1"/>
  <c r="Q10" i="96"/>
  <c r="F10" i="96"/>
  <c r="G10" i="96" s="1"/>
  <c r="E10" i="96"/>
  <c r="AD12" i="96"/>
  <c r="AE12" i="96" s="1"/>
  <c r="AC12" i="96"/>
  <c r="Z12" i="96"/>
  <c r="AA12" i="96" s="1"/>
  <c r="Y12" i="96"/>
  <c r="V12" i="96"/>
  <c r="U12" i="96"/>
  <c r="R12" i="96"/>
  <c r="S12" i="96" s="1"/>
  <c r="Q12" i="96"/>
  <c r="N12" i="96"/>
  <c r="M12" i="96"/>
  <c r="F12" i="96"/>
  <c r="G12" i="96" s="1"/>
  <c r="E12" i="96"/>
  <c r="AD14" i="96"/>
  <c r="AE14" i="96" s="1"/>
  <c r="AC14" i="96"/>
  <c r="Z14" i="96"/>
  <c r="AA14" i="96" s="1"/>
  <c r="Y14" i="96"/>
  <c r="V14" i="96"/>
  <c r="W14" i="96" s="1"/>
  <c r="U14" i="96"/>
  <c r="R14" i="96"/>
  <c r="S14" i="96" s="1"/>
  <c r="Q14" i="96"/>
  <c r="N14" i="96"/>
  <c r="O14" i="96" s="1"/>
  <c r="M14" i="96"/>
  <c r="F14" i="96"/>
  <c r="G14" i="96" s="1"/>
  <c r="E14" i="96"/>
  <c r="AD5" i="96"/>
  <c r="AC5" i="96"/>
  <c r="Z5" i="96"/>
  <c r="Y5" i="96"/>
  <c r="V5" i="96"/>
  <c r="U5" i="96"/>
  <c r="R5" i="96"/>
  <c r="Q5" i="96"/>
  <c r="N5" i="96"/>
  <c r="M5" i="96"/>
  <c r="F5" i="96"/>
  <c r="G5" i="96" s="1"/>
  <c r="E5" i="96"/>
  <c r="AD6" i="96"/>
  <c r="AC6" i="96"/>
  <c r="Z6" i="96"/>
  <c r="AA6" i="96" s="1"/>
  <c r="Y6" i="96"/>
  <c r="V6" i="96"/>
  <c r="U6" i="96"/>
  <c r="R6" i="96"/>
  <c r="Q6" i="96"/>
  <c r="N6" i="96"/>
  <c r="M6" i="96"/>
  <c r="J6" i="96"/>
  <c r="I6" i="96"/>
  <c r="F6" i="96"/>
  <c r="E6" i="96"/>
  <c r="AD24" i="95"/>
  <c r="AE24" i="95" s="1"/>
  <c r="AC24" i="95"/>
  <c r="Z24" i="95"/>
  <c r="AA24" i="95" s="1"/>
  <c r="Y24" i="95"/>
  <c r="V24" i="95"/>
  <c r="W24" i="95" s="1"/>
  <c r="U24" i="95"/>
  <c r="R24" i="95"/>
  <c r="S24" i="95" s="1"/>
  <c r="Q24" i="95"/>
  <c r="N24" i="95"/>
  <c r="O24" i="95" s="1"/>
  <c r="M24" i="95"/>
  <c r="F24" i="95"/>
  <c r="G24" i="95" s="1"/>
  <c r="E24" i="95"/>
  <c r="AD23" i="95"/>
  <c r="AE23" i="95" s="1"/>
  <c r="AC23" i="95"/>
  <c r="Z23" i="95"/>
  <c r="AA23" i="95" s="1"/>
  <c r="Y23" i="95"/>
  <c r="V23" i="95"/>
  <c r="W23" i="95" s="1"/>
  <c r="U23" i="95"/>
  <c r="R23" i="95"/>
  <c r="S23" i="95" s="1"/>
  <c r="Q23" i="95"/>
  <c r="N23" i="95"/>
  <c r="O23" i="95" s="1"/>
  <c r="M23" i="95"/>
  <c r="F23" i="95"/>
  <c r="G23" i="95" s="1"/>
  <c r="E23" i="95"/>
  <c r="AD22" i="95"/>
  <c r="AE22" i="95" s="1"/>
  <c r="AC22" i="95"/>
  <c r="Z22" i="95"/>
  <c r="AA22" i="95" s="1"/>
  <c r="Y22" i="95"/>
  <c r="V22" i="95"/>
  <c r="W22" i="95" s="1"/>
  <c r="U22" i="95"/>
  <c r="R22" i="95"/>
  <c r="S22" i="95" s="1"/>
  <c r="Q22" i="95"/>
  <c r="N22" i="95"/>
  <c r="O22" i="95" s="1"/>
  <c r="M22" i="95"/>
  <c r="F22" i="95"/>
  <c r="G22" i="95" s="1"/>
  <c r="E22" i="95"/>
  <c r="AD21" i="95"/>
  <c r="AE21" i="95" s="1"/>
  <c r="AC21" i="95"/>
  <c r="Z21" i="95"/>
  <c r="AA21" i="95" s="1"/>
  <c r="Y21" i="95"/>
  <c r="V21" i="95"/>
  <c r="W21" i="95" s="1"/>
  <c r="U21" i="95"/>
  <c r="R21" i="95"/>
  <c r="S21" i="95" s="1"/>
  <c r="Q21" i="95"/>
  <c r="N21" i="95"/>
  <c r="O21" i="95" s="1"/>
  <c r="M21" i="95"/>
  <c r="F21" i="95"/>
  <c r="G21" i="95" s="1"/>
  <c r="E21" i="95"/>
  <c r="AD16" i="95"/>
  <c r="AE16" i="95" s="1"/>
  <c r="AC16" i="95"/>
  <c r="Z16" i="95"/>
  <c r="AA16" i="95" s="1"/>
  <c r="Y16" i="95"/>
  <c r="V16" i="95"/>
  <c r="W16" i="95" s="1"/>
  <c r="U16" i="95"/>
  <c r="R16" i="95"/>
  <c r="S16" i="95" s="1"/>
  <c r="Q16" i="95"/>
  <c r="N16" i="95"/>
  <c r="O16" i="95" s="1"/>
  <c r="M16" i="95"/>
  <c r="F16" i="95"/>
  <c r="G16" i="95" s="1"/>
  <c r="E16" i="95"/>
  <c r="AD20" i="95"/>
  <c r="AE20" i="95" s="1"/>
  <c r="AC20" i="95"/>
  <c r="Z20" i="95"/>
  <c r="AA20" i="95" s="1"/>
  <c r="Y20" i="95"/>
  <c r="V20" i="95"/>
  <c r="W20" i="95" s="1"/>
  <c r="U20" i="95"/>
  <c r="R20" i="95"/>
  <c r="S20" i="95" s="1"/>
  <c r="Q20" i="95"/>
  <c r="N20" i="95"/>
  <c r="O20" i="95" s="1"/>
  <c r="M20" i="95"/>
  <c r="F20" i="95"/>
  <c r="G20" i="95" s="1"/>
  <c r="E20" i="95"/>
  <c r="AD8" i="95"/>
  <c r="AE8" i="95" s="1"/>
  <c r="AC8" i="95"/>
  <c r="Z8" i="95"/>
  <c r="AA8" i="95" s="1"/>
  <c r="Y8" i="95"/>
  <c r="V8" i="95"/>
  <c r="U8" i="95"/>
  <c r="R8" i="95"/>
  <c r="Q8" i="95"/>
  <c r="N8" i="95"/>
  <c r="M8" i="95"/>
  <c r="F8" i="95"/>
  <c r="G8" i="95" s="1"/>
  <c r="E8" i="95"/>
  <c r="AD19" i="95"/>
  <c r="AE19" i="95" s="1"/>
  <c r="AC19" i="95"/>
  <c r="Z19" i="95"/>
  <c r="AA19" i="95" s="1"/>
  <c r="Y19" i="95"/>
  <c r="V19" i="95"/>
  <c r="W19" i="95" s="1"/>
  <c r="U19" i="95"/>
  <c r="R19" i="95"/>
  <c r="S19" i="95" s="1"/>
  <c r="Q19" i="95"/>
  <c r="N19" i="95"/>
  <c r="O19" i="95" s="1"/>
  <c r="M19" i="95"/>
  <c r="F19" i="95"/>
  <c r="G19" i="95" s="1"/>
  <c r="E19" i="95"/>
  <c r="Y14" i="102"/>
  <c r="AD13" i="95"/>
  <c r="AC13" i="95"/>
  <c r="Z13" i="95"/>
  <c r="Y13" i="95"/>
  <c r="V13" i="95"/>
  <c r="U13" i="95"/>
  <c r="R13" i="95"/>
  <c r="Q13" i="95"/>
  <c r="N13" i="95"/>
  <c r="M13" i="95"/>
  <c r="F13" i="95"/>
  <c r="E13" i="95"/>
  <c r="AD9" i="95"/>
  <c r="AC9" i="95"/>
  <c r="Z9" i="95"/>
  <c r="Y9" i="95"/>
  <c r="V9" i="95"/>
  <c r="U9" i="95"/>
  <c r="R9" i="95"/>
  <c r="Q9" i="95"/>
  <c r="N9" i="95"/>
  <c r="M9" i="95"/>
  <c r="F9" i="95"/>
  <c r="G9" i="95" s="1"/>
  <c r="E9" i="95"/>
  <c r="AD18" i="95"/>
  <c r="AE18" i="95" s="1"/>
  <c r="AC18" i="95"/>
  <c r="Z18" i="95"/>
  <c r="AA18" i="95" s="1"/>
  <c r="Y18" i="95"/>
  <c r="V18" i="95"/>
  <c r="W18" i="95" s="1"/>
  <c r="U18" i="95"/>
  <c r="R18" i="95"/>
  <c r="Q18" i="95"/>
  <c r="N18" i="95"/>
  <c r="O18" i="95" s="1"/>
  <c r="M18" i="95"/>
  <c r="F18" i="95"/>
  <c r="G18" i="95" s="1"/>
  <c r="E18" i="95"/>
  <c r="AD14" i="95"/>
  <c r="AE14" i="95" s="1"/>
  <c r="AC14" i="95"/>
  <c r="Z14" i="95"/>
  <c r="AA14" i="95" s="1"/>
  <c r="Y14" i="95"/>
  <c r="V14" i="95"/>
  <c r="W14" i="95" s="1"/>
  <c r="U14" i="95"/>
  <c r="R14" i="95"/>
  <c r="S14" i="95" s="1"/>
  <c r="Q14" i="95"/>
  <c r="N14" i="95"/>
  <c r="O14" i="95" s="1"/>
  <c r="M14" i="95"/>
  <c r="F14" i="95"/>
  <c r="G14" i="95" s="1"/>
  <c r="E14" i="95"/>
  <c r="AD15" i="95"/>
  <c r="AE15" i="95" s="1"/>
  <c r="AC15" i="95"/>
  <c r="Z15" i="95"/>
  <c r="AA15" i="95" s="1"/>
  <c r="Y15" i="95"/>
  <c r="V15" i="95"/>
  <c r="W15" i="95" s="1"/>
  <c r="U15" i="95"/>
  <c r="R15" i="95"/>
  <c r="S15" i="95" s="1"/>
  <c r="Q15" i="95"/>
  <c r="N15" i="95"/>
  <c r="O15" i="95" s="1"/>
  <c r="M15" i="95"/>
  <c r="F15" i="95"/>
  <c r="E15" i="95"/>
  <c r="AD12" i="95"/>
  <c r="AE12" i="95" s="1"/>
  <c r="AC12" i="95"/>
  <c r="Z12" i="95"/>
  <c r="Y12" i="95"/>
  <c r="V12" i="95"/>
  <c r="W12" i="95" s="1"/>
  <c r="U12" i="95"/>
  <c r="R12" i="95"/>
  <c r="Q12" i="95"/>
  <c r="N12" i="95"/>
  <c r="O12" i="95" s="1"/>
  <c r="M12" i="95"/>
  <c r="F12" i="95"/>
  <c r="E12" i="95"/>
  <c r="AD11" i="95"/>
  <c r="AC11" i="95"/>
  <c r="Z11" i="95"/>
  <c r="AA11" i="95" s="1"/>
  <c r="Y11" i="95"/>
  <c r="V11" i="95"/>
  <c r="W11" i="95" s="1"/>
  <c r="U11" i="95"/>
  <c r="R11" i="95"/>
  <c r="Q11" i="95"/>
  <c r="N11" i="95"/>
  <c r="M11" i="95"/>
  <c r="F11" i="95"/>
  <c r="E11" i="95"/>
  <c r="AD5" i="95"/>
  <c r="AC5" i="95"/>
  <c r="Z5" i="95"/>
  <c r="Y5" i="95"/>
  <c r="V5" i="95"/>
  <c r="U5" i="95"/>
  <c r="R5" i="95"/>
  <c r="Q5" i="95"/>
  <c r="N5" i="95"/>
  <c r="M5" i="95"/>
  <c r="F5" i="95"/>
  <c r="E5" i="95"/>
  <c r="AD10" i="95"/>
  <c r="AC10" i="95"/>
  <c r="Z10" i="95"/>
  <c r="Y10" i="95"/>
  <c r="V10" i="95"/>
  <c r="U10" i="95"/>
  <c r="R10" i="95"/>
  <c r="Q10" i="95"/>
  <c r="N10" i="95"/>
  <c r="M10" i="95"/>
  <c r="F10" i="95"/>
  <c r="E10" i="95"/>
  <c r="AD7" i="95"/>
  <c r="AC7" i="95"/>
  <c r="Z7" i="95"/>
  <c r="Y7" i="95"/>
  <c r="V7" i="95"/>
  <c r="U7" i="95"/>
  <c r="R7" i="95"/>
  <c r="S7" i="95" s="1"/>
  <c r="Q7" i="95"/>
  <c r="N7" i="95"/>
  <c r="M7" i="95"/>
  <c r="F7" i="95"/>
  <c r="E7" i="95"/>
  <c r="AD17" i="95"/>
  <c r="AE17" i="95" s="1"/>
  <c r="AC17" i="95"/>
  <c r="Z17" i="95"/>
  <c r="AA17" i="95" s="1"/>
  <c r="Y17" i="95"/>
  <c r="V17" i="95"/>
  <c r="W17" i="95" s="1"/>
  <c r="U17" i="95"/>
  <c r="R17" i="95"/>
  <c r="S17" i="95" s="1"/>
  <c r="Q17" i="95"/>
  <c r="N17" i="95"/>
  <c r="O17" i="95" s="1"/>
  <c r="M17" i="95"/>
  <c r="F17" i="95"/>
  <c r="E17" i="95"/>
  <c r="AD6" i="95"/>
  <c r="AC6" i="95"/>
  <c r="Z6" i="95"/>
  <c r="Y6" i="95"/>
  <c r="V6" i="95"/>
  <c r="U6" i="95"/>
  <c r="R6" i="95"/>
  <c r="Q6" i="95"/>
  <c r="N6" i="95"/>
  <c r="O6" i="95" s="1"/>
  <c r="M6" i="95"/>
  <c r="J6" i="95"/>
  <c r="K6" i="95" s="1"/>
  <c r="F10" i="102" s="1"/>
  <c r="G10" i="102" s="1"/>
  <c r="I6" i="95"/>
  <c r="F6" i="95"/>
  <c r="E6" i="95"/>
  <c r="AD24" i="94"/>
  <c r="AE24" i="94" s="1"/>
  <c r="AC24" i="94"/>
  <c r="Z24" i="94"/>
  <c r="AA24" i="94" s="1"/>
  <c r="Y24" i="94"/>
  <c r="V24" i="94"/>
  <c r="W24" i="94" s="1"/>
  <c r="U24" i="94"/>
  <c r="R24" i="94"/>
  <c r="S24" i="94" s="1"/>
  <c r="Q24" i="94"/>
  <c r="N24" i="94"/>
  <c r="O24" i="94" s="1"/>
  <c r="M24" i="94"/>
  <c r="F24" i="94"/>
  <c r="G24" i="94" s="1"/>
  <c r="E24" i="94"/>
  <c r="AD23" i="94"/>
  <c r="AE23" i="94" s="1"/>
  <c r="AC23" i="94"/>
  <c r="Z23" i="94"/>
  <c r="AA23" i="94" s="1"/>
  <c r="Y23" i="94"/>
  <c r="V23" i="94"/>
  <c r="W23" i="94" s="1"/>
  <c r="U23" i="94"/>
  <c r="R23" i="94"/>
  <c r="S23" i="94" s="1"/>
  <c r="Q23" i="94"/>
  <c r="N23" i="94"/>
  <c r="O23" i="94" s="1"/>
  <c r="M23" i="94"/>
  <c r="F23" i="94"/>
  <c r="G23" i="94" s="1"/>
  <c r="E23" i="94"/>
  <c r="AD22" i="94"/>
  <c r="AE22" i="94" s="1"/>
  <c r="AC22" i="94"/>
  <c r="Z22" i="94"/>
  <c r="AA22" i="94" s="1"/>
  <c r="Y22" i="94"/>
  <c r="V22" i="94"/>
  <c r="W22" i="94" s="1"/>
  <c r="U22" i="94"/>
  <c r="R22" i="94"/>
  <c r="S22" i="94" s="1"/>
  <c r="Q22" i="94"/>
  <c r="N22" i="94"/>
  <c r="O22" i="94" s="1"/>
  <c r="M22" i="94"/>
  <c r="F22" i="94"/>
  <c r="G22" i="94" s="1"/>
  <c r="E22" i="94"/>
  <c r="AD21" i="94"/>
  <c r="AE21" i="94" s="1"/>
  <c r="AC21" i="94"/>
  <c r="Z21" i="94"/>
  <c r="AA21" i="94" s="1"/>
  <c r="Y21" i="94"/>
  <c r="V21" i="94"/>
  <c r="W21" i="94" s="1"/>
  <c r="U21" i="94"/>
  <c r="R21" i="94"/>
  <c r="S21" i="94" s="1"/>
  <c r="Q21" i="94"/>
  <c r="N21" i="94"/>
  <c r="O21" i="94" s="1"/>
  <c r="M21" i="94"/>
  <c r="F21" i="94"/>
  <c r="G21" i="94" s="1"/>
  <c r="E21" i="94"/>
  <c r="AD12" i="94"/>
  <c r="AE12" i="94" s="1"/>
  <c r="AC12" i="94"/>
  <c r="Z12" i="94"/>
  <c r="AA12" i="94" s="1"/>
  <c r="Y12" i="94"/>
  <c r="V12" i="94"/>
  <c r="W12" i="94" s="1"/>
  <c r="U12" i="94"/>
  <c r="R12" i="94"/>
  <c r="Q12" i="94"/>
  <c r="N12" i="94"/>
  <c r="M12" i="94"/>
  <c r="F12" i="94"/>
  <c r="G12" i="94" s="1"/>
  <c r="E12" i="94"/>
  <c r="AD16" i="94"/>
  <c r="AE16" i="94" s="1"/>
  <c r="AC16" i="94"/>
  <c r="Z16" i="94"/>
  <c r="AA16" i="94" s="1"/>
  <c r="Y16" i="94"/>
  <c r="V16" i="94"/>
  <c r="W16" i="94" s="1"/>
  <c r="U16" i="94"/>
  <c r="R16" i="94"/>
  <c r="S16" i="94" s="1"/>
  <c r="Q16" i="94"/>
  <c r="N16" i="94"/>
  <c r="O16" i="94" s="1"/>
  <c r="M16" i="94"/>
  <c r="F16" i="94"/>
  <c r="G16" i="94" s="1"/>
  <c r="E16" i="94"/>
  <c r="AD8" i="94"/>
  <c r="AC8" i="94"/>
  <c r="Z8" i="94"/>
  <c r="Y8" i="94"/>
  <c r="V8" i="94"/>
  <c r="W8" i="94" s="1"/>
  <c r="U8" i="94"/>
  <c r="R8" i="94"/>
  <c r="Q8" i="94"/>
  <c r="N8" i="94"/>
  <c r="M8" i="94"/>
  <c r="F8" i="94"/>
  <c r="G8" i="94" s="1"/>
  <c r="E8" i="94"/>
  <c r="AD6" i="94"/>
  <c r="AC6" i="94"/>
  <c r="Z6" i="94"/>
  <c r="Y6" i="94"/>
  <c r="V6" i="94"/>
  <c r="W6" i="94" s="1"/>
  <c r="U6" i="94"/>
  <c r="R6" i="94"/>
  <c r="Q6" i="94"/>
  <c r="N6" i="94"/>
  <c r="M6" i="94"/>
  <c r="F6" i="94"/>
  <c r="G6" i="94" s="1"/>
  <c r="E6" i="94"/>
  <c r="AD14" i="94"/>
  <c r="AE14" i="94" s="1"/>
  <c r="AC14" i="94"/>
  <c r="Z14" i="94"/>
  <c r="AA14" i="94" s="1"/>
  <c r="Y14" i="94"/>
  <c r="V14" i="94"/>
  <c r="W14" i="94" s="1"/>
  <c r="U14" i="94"/>
  <c r="R14" i="94"/>
  <c r="S14" i="94" s="1"/>
  <c r="Q14" i="94"/>
  <c r="N14" i="94"/>
  <c r="O14" i="94" s="1"/>
  <c r="M14" i="94"/>
  <c r="AD11" i="94"/>
  <c r="AC11" i="94"/>
  <c r="Z11" i="94"/>
  <c r="AA11" i="94" s="1"/>
  <c r="Y11" i="94"/>
  <c r="V11" i="94"/>
  <c r="U11" i="94"/>
  <c r="R11" i="94"/>
  <c r="S11" i="94" s="1"/>
  <c r="Q11" i="94"/>
  <c r="N11" i="94"/>
  <c r="M11" i="94"/>
  <c r="F11" i="94"/>
  <c r="G11" i="94" s="1"/>
  <c r="E11" i="94"/>
  <c r="AD15" i="94"/>
  <c r="AE15" i="94" s="1"/>
  <c r="AC15" i="94"/>
  <c r="Z15" i="94"/>
  <c r="AA15" i="94" s="1"/>
  <c r="Y15" i="94"/>
  <c r="V15" i="94"/>
  <c r="U15" i="94"/>
  <c r="R15" i="94"/>
  <c r="Q15" i="94"/>
  <c r="N15" i="94"/>
  <c r="M15" i="94"/>
  <c r="F15" i="94"/>
  <c r="G15" i="94" s="1"/>
  <c r="E15" i="94"/>
  <c r="AD19" i="94"/>
  <c r="AE19" i="94" s="1"/>
  <c r="AC19" i="94"/>
  <c r="Z19" i="94"/>
  <c r="AA19" i="94" s="1"/>
  <c r="Y19" i="94"/>
  <c r="V19" i="94"/>
  <c r="W19" i="94" s="1"/>
  <c r="U19" i="94"/>
  <c r="R19" i="94"/>
  <c r="S19" i="94" s="1"/>
  <c r="Q19" i="94"/>
  <c r="N19" i="94"/>
  <c r="O19" i="94" s="1"/>
  <c r="M19" i="94"/>
  <c r="F19" i="94"/>
  <c r="G19" i="94" s="1"/>
  <c r="E19" i="94"/>
  <c r="Z9" i="102"/>
  <c r="AD10" i="94"/>
  <c r="AC10" i="94"/>
  <c r="Z10" i="94"/>
  <c r="Y10" i="94"/>
  <c r="V10" i="94"/>
  <c r="U10" i="94"/>
  <c r="R10" i="94"/>
  <c r="Q10" i="94"/>
  <c r="N10" i="94"/>
  <c r="M10" i="94"/>
  <c r="F10" i="94"/>
  <c r="E10" i="94"/>
  <c r="AD20" i="94"/>
  <c r="AC20" i="94"/>
  <c r="Z20" i="94"/>
  <c r="Y20" i="94"/>
  <c r="V20" i="94"/>
  <c r="U20" i="94"/>
  <c r="R20" i="94"/>
  <c r="Q20" i="94"/>
  <c r="N20" i="94"/>
  <c r="M20" i="94"/>
  <c r="F20" i="94"/>
  <c r="E20" i="94"/>
  <c r="Y5" i="102"/>
  <c r="AD17" i="94"/>
  <c r="AC17" i="94"/>
  <c r="Z17" i="94"/>
  <c r="Y17" i="94"/>
  <c r="V17" i="94"/>
  <c r="U17" i="94"/>
  <c r="R17" i="94"/>
  <c r="Q17" i="94"/>
  <c r="N17" i="94"/>
  <c r="M17" i="94"/>
  <c r="F17" i="94"/>
  <c r="E17" i="94"/>
  <c r="AD18" i="94"/>
  <c r="AE18" i="94" s="1"/>
  <c r="AC18" i="94"/>
  <c r="Z18" i="94"/>
  <c r="Y18" i="94"/>
  <c r="V18" i="94"/>
  <c r="U18" i="94"/>
  <c r="R18" i="94"/>
  <c r="S18" i="94" s="1"/>
  <c r="Q18" i="94"/>
  <c r="N18" i="94"/>
  <c r="M18" i="94"/>
  <c r="F18" i="94"/>
  <c r="G18" i="94" s="1"/>
  <c r="E18" i="94"/>
  <c r="AD9" i="94"/>
  <c r="AC9" i="94"/>
  <c r="Z9" i="94"/>
  <c r="Y9" i="94"/>
  <c r="V9" i="94"/>
  <c r="U9" i="94"/>
  <c r="R9" i="94"/>
  <c r="Q9" i="94"/>
  <c r="N9" i="94"/>
  <c r="O9" i="94" s="1"/>
  <c r="M9" i="94"/>
  <c r="F9" i="94"/>
  <c r="E9" i="94"/>
  <c r="AD13" i="94"/>
  <c r="AC13" i="94"/>
  <c r="Z13" i="94"/>
  <c r="Y13" i="94"/>
  <c r="V13" i="94"/>
  <c r="W13" i="94" s="1"/>
  <c r="U13" i="94"/>
  <c r="R13" i="94"/>
  <c r="Q13" i="94"/>
  <c r="N13" i="94"/>
  <c r="M13" i="94"/>
  <c r="F13" i="94"/>
  <c r="E13" i="94"/>
  <c r="AD5" i="94"/>
  <c r="AC5" i="94"/>
  <c r="Z5" i="94"/>
  <c r="Y5" i="94"/>
  <c r="V5" i="94"/>
  <c r="W5" i="94" s="1"/>
  <c r="U5" i="94"/>
  <c r="R5" i="94"/>
  <c r="Q5" i="94"/>
  <c r="N5" i="94"/>
  <c r="M5" i="94"/>
  <c r="F5" i="94"/>
  <c r="E5" i="94"/>
  <c r="AD7" i="94"/>
  <c r="AC7" i="94"/>
  <c r="Z7" i="94"/>
  <c r="Y7" i="94"/>
  <c r="V7" i="94"/>
  <c r="U7" i="94"/>
  <c r="R7" i="94"/>
  <c r="Q7" i="94"/>
  <c r="N7" i="94"/>
  <c r="O7" i="94" s="1"/>
  <c r="M7" i="94"/>
  <c r="J7" i="94"/>
  <c r="K7" i="94" s="1"/>
  <c r="I7" i="94"/>
  <c r="F7" i="94"/>
  <c r="E7" i="94"/>
  <c r="Y12" i="87"/>
  <c r="Y14" i="87"/>
  <c r="Y17" i="87"/>
  <c r="Z20" i="87"/>
  <c r="Z21" i="87"/>
  <c r="Z23" i="87"/>
  <c r="Z24" i="87"/>
  <c r="W20" i="87"/>
  <c r="V21" i="87"/>
  <c r="V22" i="87"/>
  <c r="V24" i="87"/>
  <c r="T20" i="87"/>
  <c r="T22" i="87"/>
  <c r="T23" i="87"/>
  <c r="P20" i="87"/>
  <c r="Q22" i="87"/>
  <c r="P23" i="87"/>
  <c r="Q24" i="87"/>
  <c r="N20" i="87"/>
  <c r="N21" i="87"/>
  <c r="M23" i="87"/>
  <c r="N24" i="87"/>
  <c r="J20" i="87"/>
  <c r="K21" i="87"/>
  <c r="J22" i="87"/>
  <c r="J24" i="87"/>
  <c r="H14" i="87"/>
  <c r="H19" i="87"/>
  <c r="G11" i="87"/>
  <c r="H20" i="87"/>
  <c r="G21" i="87"/>
  <c r="G22" i="87"/>
  <c r="H23" i="87"/>
  <c r="S21" i="87"/>
  <c r="E20" i="87"/>
  <c r="E21" i="87"/>
  <c r="D22" i="87"/>
  <c r="E23" i="87"/>
  <c r="D24" i="87"/>
  <c r="Z19" i="92"/>
  <c r="Y24" i="92"/>
  <c r="W24" i="92"/>
  <c r="Q24" i="92"/>
  <c r="M24" i="92"/>
  <c r="K24" i="92"/>
  <c r="G23" i="92"/>
  <c r="E24" i="92"/>
  <c r="AH24" i="93"/>
  <c r="AI24" i="93" s="1"/>
  <c r="AG24" i="93"/>
  <c r="AD24" i="93"/>
  <c r="AE24" i="93" s="1"/>
  <c r="AC24" i="93"/>
  <c r="Z24" i="93"/>
  <c r="AA24" i="93" s="1"/>
  <c r="Y24" i="93"/>
  <c r="V24" i="93"/>
  <c r="W24" i="93" s="1"/>
  <c r="U24" i="93"/>
  <c r="R24" i="93"/>
  <c r="S24" i="93" s="1"/>
  <c r="Q24" i="93"/>
  <c r="N24" i="93"/>
  <c r="O24" i="93" s="1"/>
  <c r="M24" i="93"/>
  <c r="F24" i="93"/>
  <c r="G24" i="93" s="1"/>
  <c r="E24" i="93"/>
  <c r="AH23" i="93"/>
  <c r="AI23" i="93" s="1"/>
  <c r="AG23" i="93"/>
  <c r="AD23" i="93"/>
  <c r="AE23" i="93" s="1"/>
  <c r="AC23" i="93"/>
  <c r="Z23" i="93"/>
  <c r="AA23" i="93" s="1"/>
  <c r="Y23" i="93"/>
  <c r="V23" i="93"/>
  <c r="W23" i="93" s="1"/>
  <c r="U23" i="93"/>
  <c r="R23" i="93"/>
  <c r="S23" i="93" s="1"/>
  <c r="Q23" i="93"/>
  <c r="N23" i="93"/>
  <c r="O23" i="93" s="1"/>
  <c r="M23" i="93"/>
  <c r="F23" i="93"/>
  <c r="G23" i="93" s="1"/>
  <c r="E23" i="93"/>
  <c r="AH22" i="93"/>
  <c r="AI22" i="93" s="1"/>
  <c r="AG22" i="93"/>
  <c r="AD22" i="93"/>
  <c r="AE22" i="93" s="1"/>
  <c r="AC22" i="93"/>
  <c r="Z22" i="93"/>
  <c r="AA22" i="93" s="1"/>
  <c r="Y22" i="93"/>
  <c r="V22" i="93"/>
  <c r="W22" i="93" s="1"/>
  <c r="U22" i="93"/>
  <c r="R22" i="93"/>
  <c r="S22" i="93" s="1"/>
  <c r="Q22" i="93"/>
  <c r="N22" i="93"/>
  <c r="O22" i="93" s="1"/>
  <c r="M22" i="93"/>
  <c r="F22" i="93"/>
  <c r="G22" i="93" s="1"/>
  <c r="E22" i="93"/>
  <c r="AH21" i="93"/>
  <c r="AI21" i="93" s="1"/>
  <c r="AG21" i="93"/>
  <c r="AD21" i="93"/>
  <c r="AE21" i="93" s="1"/>
  <c r="AC21" i="93"/>
  <c r="Z21" i="93"/>
  <c r="AA21" i="93" s="1"/>
  <c r="Y21" i="93"/>
  <c r="V21" i="93"/>
  <c r="W21" i="93" s="1"/>
  <c r="U21" i="93"/>
  <c r="R21" i="93"/>
  <c r="S21" i="93" s="1"/>
  <c r="Q21" i="93"/>
  <c r="N21" i="93"/>
  <c r="O21" i="93" s="1"/>
  <c r="M21" i="93"/>
  <c r="F21" i="93"/>
  <c r="G21" i="93" s="1"/>
  <c r="AJ21" i="93" s="1"/>
  <c r="AK21" i="93" s="1"/>
  <c r="AL21" i="93" s="1"/>
  <c r="E21" i="93"/>
  <c r="AH20" i="93"/>
  <c r="AI20" i="93" s="1"/>
  <c r="AG20" i="93"/>
  <c r="AD20" i="93"/>
  <c r="AE20" i="93" s="1"/>
  <c r="AC20" i="93"/>
  <c r="Z20" i="93"/>
  <c r="AA20" i="93" s="1"/>
  <c r="Y20" i="93"/>
  <c r="V20" i="93"/>
  <c r="W20" i="93" s="1"/>
  <c r="U20" i="93"/>
  <c r="R20" i="93"/>
  <c r="S20" i="93" s="1"/>
  <c r="Q20" i="93"/>
  <c r="N20" i="93"/>
  <c r="O20" i="93" s="1"/>
  <c r="M20" i="93"/>
  <c r="F20" i="93"/>
  <c r="G20" i="93" s="1"/>
  <c r="E20" i="93"/>
  <c r="AH19" i="93"/>
  <c r="AI19" i="93" s="1"/>
  <c r="AG19" i="93"/>
  <c r="AD19" i="93"/>
  <c r="AE19" i="93" s="1"/>
  <c r="AC19" i="93"/>
  <c r="Z19" i="93"/>
  <c r="AA19" i="93" s="1"/>
  <c r="Y19" i="93"/>
  <c r="V19" i="93"/>
  <c r="W19" i="93" s="1"/>
  <c r="U19" i="93"/>
  <c r="R19" i="93"/>
  <c r="S19" i="93" s="1"/>
  <c r="Q19" i="93"/>
  <c r="N19" i="93"/>
  <c r="O19" i="93" s="1"/>
  <c r="M19" i="93"/>
  <c r="F19" i="93"/>
  <c r="G19" i="93" s="1"/>
  <c r="E19" i="93"/>
  <c r="AH18" i="93"/>
  <c r="AI18" i="93" s="1"/>
  <c r="AG18" i="93"/>
  <c r="AD18" i="93"/>
  <c r="AE18" i="93" s="1"/>
  <c r="AC18" i="93"/>
  <c r="Z18" i="93"/>
  <c r="AA18" i="93" s="1"/>
  <c r="Y18" i="93"/>
  <c r="V18" i="93"/>
  <c r="W18" i="93" s="1"/>
  <c r="U18" i="93"/>
  <c r="R18" i="93"/>
  <c r="S18" i="93" s="1"/>
  <c r="Q18" i="93"/>
  <c r="N18" i="93"/>
  <c r="O18" i="93" s="1"/>
  <c r="M18" i="93"/>
  <c r="F18" i="93"/>
  <c r="G18" i="93" s="1"/>
  <c r="E18" i="93"/>
  <c r="AH17" i="93"/>
  <c r="AI17" i="93" s="1"/>
  <c r="AG17" i="93"/>
  <c r="AD17" i="93"/>
  <c r="AE17" i="93" s="1"/>
  <c r="AC17" i="93"/>
  <c r="Z17" i="93"/>
  <c r="AA17" i="93" s="1"/>
  <c r="Y17" i="93"/>
  <c r="V17" i="93"/>
  <c r="W17" i="93" s="1"/>
  <c r="U17" i="93"/>
  <c r="R17" i="93"/>
  <c r="S17" i="93" s="1"/>
  <c r="Q17" i="93"/>
  <c r="N17" i="93"/>
  <c r="O17" i="93" s="1"/>
  <c r="M17" i="93"/>
  <c r="F17" i="93"/>
  <c r="G17" i="93" s="1"/>
  <c r="AJ17" i="93" s="1"/>
  <c r="AK17" i="93" s="1"/>
  <c r="AL17" i="93" s="1"/>
  <c r="E17" i="93"/>
  <c r="AH16" i="93"/>
  <c r="AI16" i="93" s="1"/>
  <c r="AG16" i="93"/>
  <c r="AD16" i="93"/>
  <c r="AE16" i="93" s="1"/>
  <c r="AC16" i="93"/>
  <c r="Z16" i="93"/>
  <c r="AA16" i="93" s="1"/>
  <c r="Y16" i="93"/>
  <c r="V16" i="93"/>
  <c r="W16" i="93" s="1"/>
  <c r="U16" i="93"/>
  <c r="R16" i="93"/>
  <c r="S16" i="93" s="1"/>
  <c r="Q16" i="93"/>
  <c r="N16" i="93"/>
  <c r="O16" i="93" s="1"/>
  <c r="M16" i="93"/>
  <c r="F16" i="93"/>
  <c r="G16" i="93" s="1"/>
  <c r="E16" i="93"/>
  <c r="AH15" i="93"/>
  <c r="AI15" i="93" s="1"/>
  <c r="AG15" i="93"/>
  <c r="AD15" i="93"/>
  <c r="AE15" i="93" s="1"/>
  <c r="AC15" i="93"/>
  <c r="Z15" i="93"/>
  <c r="AA15" i="93" s="1"/>
  <c r="Y15" i="93"/>
  <c r="V15" i="93"/>
  <c r="W15" i="93" s="1"/>
  <c r="U15" i="93"/>
  <c r="R15" i="93"/>
  <c r="S15" i="93" s="1"/>
  <c r="Q15" i="93"/>
  <c r="N15" i="93"/>
  <c r="O15" i="93" s="1"/>
  <c r="M15" i="93"/>
  <c r="F15" i="93"/>
  <c r="G15" i="93" s="1"/>
  <c r="E15" i="93"/>
  <c r="AH14" i="93"/>
  <c r="AI14" i="93" s="1"/>
  <c r="AG14" i="93"/>
  <c r="AD14" i="93"/>
  <c r="AE14" i="93" s="1"/>
  <c r="AC14" i="93"/>
  <c r="Z14" i="93"/>
  <c r="AA14" i="93" s="1"/>
  <c r="Y14" i="93"/>
  <c r="V14" i="93"/>
  <c r="W14" i="93" s="1"/>
  <c r="U14" i="93"/>
  <c r="R14" i="93"/>
  <c r="S14" i="93" s="1"/>
  <c r="Q14" i="93"/>
  <c r="N14" i="93"/>
  <c r="O14" i="93" s="1"/>
  <c r="M14" i="93"/>
  <c r="F14" i="93"/>
  <c r="G14" i="93" s="1"/>
  <c r="E14" i="93"/>
  <c r="AH13" i="93"/>
  <c r="AI13" i="93" s="1"/>
  <c r="AG13" i="93"/>
  <c r="AD13" i="93"/>
  <c r="AE13" i="93" s="1"/>
  <c r="AC13" i="93"/>
  <c r="Z13" i="93"/>
  <c r="AA13" i="93" s="1"/>
  <c r="Y13" i="93"/>
  <c r="V13" i="93"/>
  <c r="W13" i="93" s="1"/>
  <c r="U13" i="93"/>
  <c r="R13" i="93"/>
  <c r="S13" i="93" s="1"/>
  <c r="Q13" i="93"/>
  <c r="N13" i="93"/>
  <c r="O13" i="93" s="1"/>
  <c r="M13" i="93"/>
  <c r="AJ13" i="93"/>
  <c r="AK13" i="93" s="1"/>
  <c r="AL13" i="93" s="1"/>
  <c r="F13" i="93"/>
  <c r="G13" i="93" s="1"/>
  <c r="E13" i="93"/>
  <c r="AH12" i="93"/>
  <c r="AI12" i="93" s="1"/>
  <c r="AG12" i="93"/>
  <c r="AD12" i="93"/>
  <c r="AE12" i="93" s="1"/>
  <c r="AC12" i="93"/>
  <c r="Z12" i="93"/>
  <c r="AA12" i="93" s="1"/>
  <c r="Y12" i="93"/>
  <c r="V12" i="93"/>
  <c r="W12" i="93" s="1"/>
  <c r="U12" i="93"/>
  <c r="R12" i="93"/>
  <c r="S12" i="93" s="1"/>
  <c r="Q12" i="93"/>
  <c r="N12" i="93"/>
  <c r="O12" i="93" s="1"/>
  <c r="M12" i="93"/>
  <c r="F12" i="93"/>
  <c r="G12" i="93" s="1"/>
  <c r="E12" i="93"/>
  <c r="AH11" i="93"/>
  <c r="AI11" i="93" s="1"/>
  <c r="AG11" i="93"/>
  <c r="AD11" i="93"/>
  <c r="AE11" i="93" s="1"/>
  <c r="AC11" i="93"/>
  <c r="Z11" i="93"/>
  <c r="AA11" i="93" s="1"/>
  <c r="Y11" i="93"/>
  <c r="V11" i="93"/>
  <c r="W11" i="93" s="1"/>
  <c r="U11" i="93"/>
  <c r="R11" i="93"/>
  <c r="S11" i="93" s="1"/>
  <c r="Q11" i="93"/>
  <c r="N11" i="93"/>
  <c r="O11" i="93" s="1"/>
  <c r="M11" i="93"/>
  <c r="F11" i="93"/>
  <c r="G11" i="93" s="1"/>
  <c r="E11" i="93"/>
  <c r="AH10" i="93"/>
  <c r="AI10" i="93" s="1"/>
  <c r="AG10" i="93"/>
  <c r="AD10" i="93"/>
  <c r="AE10" i="93" s="1"/>
  <c r="AC10" i="93"/>
  <c r="Z10" i="93"/>
  <c r="AA10" i="93" s="1"/>
  <c r="Y10" i="93"/>
  <c r="V10" i="93"/>
  <c r="W10" i="93" s="1"/>
  <c r="U10" i="93"/>
  <c r="R10" i="93"/>
  <c r="S10" i="93" s="1"/>
  <c r="Q10" i="93"/>
  <c r="N10" i="93"/>
  <c r="O10" i="93" s="1"/>
  <c r="M10" i="93"/>
  <c r="F10" i="93"/>
  <c r="G10" i="93" s="1"/>
  <c r="E10" i="93"/>
  <c r="AH9" i="93"/>
  <c r="AI9" i="93" s="1"/>
  <c r="AG9" i="93"/>
  <c r="AD9" i="93"/>
  <c r="AE9" i="93" s="1"/>
  <c r="AC9" i="93"/>
  <c r="Z9" i="93"/>
  <c r="AA9" i="93" s="1"/>
  <c r="Y9" i="93"/>
  <c r="V9" i="93"/>
  <c r="W9" i="93" s="1"/>
  <c r="U9" i="93"/>
  <c r="R9" i="93"/>
  <c r="S9" i="93" s="1"/>
  <c r="Q9" i="93"/>
  <c r="N9" i="93"/>
  <c r="O9" i="93" s="1"/>
  <c r="M9" i="93"/>
  <c r="AJ9" i="93"/>
  <c r="AK9" i="93" s="1"/>
  <c r="AL9" i="93" s="1"/>
  <c r="F9" i="93"/>
  <c r="G9" i="93" s="1"/>
  <c r="E9" i="93"/>
  <c r="AH8" i="93"/>
  <c r="AI8" i="93" s="1"/>
  <c r="AG8" i="93"/>
  <c r="AD8" i="93"/>
  <c r="AE8" i="93" s="1"/>
  <c r="AC8" i="93"/>
  <c r="Z8" i="93"/>
  <c r="AA8" i="93" s="1"/>
  <c r="Y8" i="93"/>
  <c r="V8" i="93"/>
  <c r="W8" i="93" s="1"/>
  <c r="U8" i="93"/>
  <c r="R8" i="93"/>
  <c r="S8" i="93" s="1"/>
  <c r="Q8" i="93"/>
  <c r="N8" i="93"/>
  <c r="O8" i="93" s="1"/>
  <c r="M8" i="93"/>
  <c r="F8" i="93"/>
  <c r="G8" i="93" s="1"/>
  <c r="E8" i="93"/>
  <c r="AH7" i="93"/>
  <c r="AI7" i="93" s="1"/>
  <c r="AG7" i="93"/>
  <c r="AD7" i="93"/>
  <c r="AE7" i="93" s="1"/>
  <c r="AC7" i="93"/>
  <c r="Z7" i="93"/>
  <c r="AA7" i="93" s="1"/>
  <c r="Y7" i="93"/>
  <c r="V7" i="93"/>
  <c r="W7" i="93" s="1"/>
  <c r="U7" i="93"/>
  <c r="R7" i="93"/>
  <c r="S7" i="93" s="1"/>
  <c r="Q7" i="93"/>
  <c r="N7" i="93"/>
  <c r="O7" i="93" s="1"/>
  <c r="M7" i="93"/>
  <c r="F7" i="93"/>
  <c r="G7" i="93" s="1"/>
  <c r="E7" i="93"/>
  <c r="AH6" i="93"/>
  <c r="AI6" i="93" s="1"/>
  <c r="AG6" i="93"/>
  <c r="AD6" i="93"/>
  <c r="AE6" i="93" s="1"/>
  <c r="AC6" i="93"/>
  <c r="Z6" i="93"/>
  <c r="AA6" i="93" s="1"/>
  <c r="Y6" i="93"/>
  <c r="V6" i="93"/>
  <c r="W6" i="93" s="1"/>
  <c r="U6" i="93"/>
  <c r="R6" i="93"/>
  <c r="S6" i="93" s="1"/>
  <c r="Q6" i="93"/>
  <c r="N6" i="93"/>
  <c r="O6" i="93" s="1"/>
  <c r="M6" i="93"/>
  <c r="F6" i="93"/>
  <c r="G6" i="93" s="1"/>
  <c r="E6" i="93"/>
  <c r="AH5" i="93"/>
  <c r="AI5" i="93" s="1"/>
  <c r="AG5" i="93"/>
  <c r="AD5" i="93"/>
  <c r="AE5" i="93" s="1"/>
  <c r="AC5" i="93"/>
  <c r="Z5" i="93"/>
  <c r="AA5" i="93" s="1"/>
  <c r="Y5" i="93"/>
  <c r="V5" i="93"/>
  <c r="W5" i="93" s="1"/>
  <c r="U5" i="93"/>
  <c r="R5" i="93"/>
  <c r="S5" i="93" s="1"/>
  <c r="Q5" i="93"/>
  <c r="N5" i="93"/>
  <c r="O5" i="93" s="1"/>
  <c r="M5" i="93"/>
  <c r="J5" i="93"/>
  <c r="I5" i="93"/>
  <c r="F5" i="93"/>
  <c r="G5" i="93" s="1"/>
  <c r="E5" i="93"/>
  <c r="AD24" i="91"/>
  <c r="AE24" i="91" s="1"/>
  <c r="AC24" i="91"/>
  <c r="Z24" i="91"/>
  <c r="AA24" i="91" s="1"/>
  <c r="Y24" i="91"/>
  <c r="V24" i="91"/>
  <c r="W24" i="91" s="1"/>
  <c r="U24" i="91"/>
  <c r="R24" i="91"/>
  <c r="S24" i="91" s="1"/>
  <c r="Q24" i="91"/>
  <c r="N24" i="91"/>
  <c r="O24" i="91" s="1"/>
  <c r="M24" i="91"/>
  <c r="F24" i="91"/>
  <c r="G24" i="91" s="1"/>
  <c r="E24" i="91"/>
  <c r="AD23" i="91"/>
  <c r="AE23" i="91" s="1"/>
  <c r="AC23" i="91"/>
  <c r="Z23" i="91"/>
  <c r="AA23" i="91" s="1"/>
  <c r="Y23" i="91"/>
  <c r="V23" i="91"/>
  <c r="W23" i="91" s="1"/>
  <c r="U23" i="91"/>
  <c r="R23" i="91"/>
  <c r="S23" i="91" s="1"/>
  <c r="Q23" i="91"/>
  <c r="N23" i="91"/>
  <c r="O23" i="91" s="1"/>
  <c r="M23" i="91"/>
  <c r="F23" i="91"/>
  <c r="G23" i="91" s="1"/>
  <c r="E23" i="91"/>
  <c r="AD22" i="91"/>
  <c r="AE22" i="91" s="1"/>
  <c r="AC22" i="91"/>
  <c r="Z22" i="91"/>
  <c r="AA22" i="91" s="1"/>
  <c r="Y22" i="91"/>
  <c r="V22" i="91"/>
  <c r="W22" i="91" s="1"/>
  <c r="U22" i="91"/>
  <c r="R22" i="91"/>
  <c r="S22" i="91" s="1"/>
  <c r="Q22" i="91"/>
  <c r="N22" i="91"/>
  <c r="O22" i="91" s="1"/>
  <c r="M22" i="91"/>
  <c r="F22" i="91"/>
  <c r="G22" i="91" s="1"/>
  <c r="E22" i="91"/>
  <c r="AD21" i="91"/>
  <c r="AE21" i="91" s="1"/>
  <c r="AC21" i="91"/>
  <c r="Z21" i="91"/>
  <c r="AA21" i="91" s="1"/>
  <c r="Y21" i="91"/>
  <c r="V21" i="91"/>
  <c r="W21" i="91" s="1"/>
  <c r="U21" i="91"/>
  <c r="R21" i="91"/>
  <c r="S21" i="91" s="1"/>
  <c r="Q21" i="91"/>
  <c r="N21" i="91"/>
  <c r="O21" i="91" s="1"/>
  <c r="M21" i="91"/>
  <c r="F21" i="91"/>
  <c r="G21" i="91" s="1"/>
  <c r="E21" i="91"/>
  <c r="AD12" i="91"/>
  <c r="AE12" i="91" s="1"/>
  <c r="AC12" i="91"/>
  <c r="Z12" i="91"/>
  <c r="AA12" i="91" s="1"/>
  <c r="Y12" i="91"/>
  <c r="V12" i="91"/>
  <c r="W12" i="91" s="1"/>
  <c r="U12" i="91"/>
  <c r="R12" i="91"/>
  <c r="S12" i="91" s="1"/>
  <c r="Q12" i="91"/>
  <c r="N12" i="91"/>
  <c r="O12" i="91" s="1"/>
  <c r="M12" i="91"/>
  <c r="F12" i="91"/>
  <c r="G12" i="91" s="1"/>
  <c r="E12" i="91"/>
  <c r="AD13" i="91"/>
  <c r="AE13" i="91" s="1"/>
  <c r="AC13" i="91"/>
  <c r="Z13" i="91"/>
  <c r="AA13" i="91" s="1"/>
  <c r="Y13" i="91"/>
  <c r="V13" i="91"/>
  <c r="W13" i="91" s="1"/>
  <c r="U13" i="91"/>
  <c r="R13" i="91"/>
  <c r="S13" i="91" s="1"/>
  <c r="Q13" i="91"/>
  <c r="N13" i="91"/>
  <c r="O13" i="91" s="1"/>
  <c r="M13" i="91"/>
  <c r="F13" i="91"/>
  <c r="G13" i="91" s="1"/>
  <c r="E13" i="91"/>
  <c r="AD11" i="91"/>
  <c r="AE11" i="91" s="1"/>
  <c r="AC11" i="91"/>
  <c r="Z11" i="91"/>
  <c r="AA11" i="91" s="1"/>
  <c r="Y11" i="91"/>
  <c r="V11" i="91"/>
  <c r="U11" i="91"/>
  <c r="R11" i="91"/>
  <c r="S11" i="91" s="1"/>
  <c r="Q11" i="91"/>
  <c r="N11" i="91"/>
  <c r="O11" i="91" s="1"/>
  <c r="M11" i="91"/>
  <c r="F11" i="91"/>
  <c r="G11" i="91" s="1"/>
  <c r="E11" i="91"/>
  <c r="AD15" i="91"/>
  <c r="AE15" i="91" s="1"/>
  <c r="AC15" i="91"/>
  <c r="Z15" i="91"/>
  <c r="AA15" i="91" s="1"/>
  <c r="Y15" i="91"/>
  <c r="V15" i="91"/>
  <c r="W15" i="91" s="1"/>
  <c r="U15" i="91"/>
  <c r="R15" i="91"/>
  <c r="S15" i="91" s="1"/>
  <c r="Q15" i="91"/>
  <c r="N15" i="91"/>
  <c r="O15" i="91" s="1"/>
  <c r="M15" i="91"/>
  <c r="F15" i="91"/>
  <c r="E15" i="91"/>
  <c r="AD14" i="91"/>
  <c r="AE14" i="91" s="1"/>
  <c r="AC14" i="91"/>
  <c r="Z14" i="91"/>
  <c r="AA14" i="91" s="1"/>
  <c r="Y14" i="91"/>
  <c r="V14" i="91"/>
  <c r="W14" i="91" s="1"/>
  <c r="U14" i="91"/>
  <c r="R14" i="91"/>
  <c r="S14" i="91" s="1"/>
  <c r="Q14" i="91"/>
  <c r="N14" i="91"/>
  <c r="O14" i="91" s="1"/>
  <c r="M14" i="91"/>
  <c r="F14" i="91"/>
  <c r="G14" i="91" s="1"/>
  <c r="E14" i="91"/>
  <c r="AD10" i="91"/>
  <c r="AC10" i="91"/>
  <c r="Z10" i="91"/>
  <c r="Y10" i="91"/>
  <c r="V10" i="91"/>
  <c r="W10" i="91" s="1"/>
  <c r="U10" i="91"/>
  <c r="R10" i="91"/>
  <c r="S10" i="91" s="1"/>
  <c r="Q10" i="91"/>
  <c r="N10" i="91"/>
  <c r="O10" i="91" s="1"/>
  <c r="M10" i="91"/>
  <c r="F10" i="91"/>
  <c r="G10" i="91" s="1"/>
  <c r="E10" i="91"/>
  <c r="AD9" i="91"/>
  <c r="AE9" i="91" s="1"/>
  <c r="AC9" i="91"/>
  <c r="Z9" i="91"/>
  <c r="Y9" i="91"/>
  <c r="V9" i="91"/>
  <c r="U9" i="91"/>
  <c r="R9" i="91"/>
  <c r="S9" i="91" s="1"/>
  <c r="Q9" i="91"/>
  <c r="N9" i="91"/>
  <c r="O9" i="91" s="1"/>
  <c r="M9" i="91"/>
  <c r="F9" i="91"/>
  <c r="E9" i="91"/>
  <c r="AD8" i="91"/>
  <c r="AE8" i="91" s="1"/>
  <c r="AC8" i="91"/>
  <c r="Z8" i="91"/>
  <c r="Y8" i="91"/>
  <c r="V8" i="91"/>
  <c r="U8" i="91"/>
  <c r="R8" i="91"/>
  <c r="Q8" i="91"/>
  <c r="N8" i="91"/>
  <c r="M8" i="91"/>
  <c r="F8" i="91"/>
  <c r="G8" i="91" s="1"/>
  <c r="E8" i="91"/>
  <c r="AD20" i="91"/>
  <c r="AE20" i="91" s="1"/>
  <c r="AC20" i="91"/>
  <c r="Z20" i="91"/>
  <c r="AA20" i="91" s="1"/>
  <c r="Y20" i="91"/>
  <c r="V20" i="91"/>
  <c r="W20" i="91" s="1"/>
  <c r="U20" i="91"/>
  <c r="R20" i="91"/>
  <c r="Q20" i="91"/>
  <c r="N20" i="91"/>
  <c r="O20" i="91" s="1"/>
  <c r="M20" i="91"/>
  <c r="F20" i="91"/>
  <c r="G20" i="91" s="1"/>
  <c r="E20" i="91"/>
  <c r="AD17" i="91"/>
  <c r="AE17" i="91" s="1"/>
  <c r="AC17" i="91"/>
  <c r="Z17" i="91"/>
  <c r="AA17" i="91" s="1"/>
  <c r="Y17" i="91"/>
  <c r="V17" i="91"/>
  <c r="W17" i="91" s="1"/>
  <c r="U17" i="91"/>
  <c r="R17" i="91"/>
  <c r="S17" i="91" s="1"/>
  <c r="Q17" i="91"/>
  <c r="N17" i="91"/>
  <c r="O17" i="91" s="1"/>
  <c r="M17" i="91"/>
  <c r="F17" i="91"/>
  <c r="G17" i="91" s="1"/>
  <c r="E17" i="91"/>
  <c r="AD7" i="91"/>
  <c r="AE7" i="91" s="1"/>
  <c r="AC7" i="91"/>
  <c r="Z7" i="91"/>
  <c r="Y7" i="91"/>
  <c r="V7" i="91"/>
  <c r="U7" i="91"/>
  <c r="R7" i="91"/>
  <c r="Q7" i="91"/>
  <c r="N7" i="91"/>
  <c r="M7" i="91"/>
  <c r="F7" i="91"/>
  <c r="E7" i="91"/>
  <c r="AD18" i="91"/>
  <c r="AE18" i="91" s="1"/>
  <c r="AC18" i="91"/>
  <c r="Z18" i="91"/>
  <c r="AA18" i="91" s="1"/>
  <c r="Y18" i="91"/>
  <c r="V18" i="91"/>
  <c r="U18" i="91"/>
  <c r="R18" i="91"/>
  <c r="S18" i="91" s="1"/>
  <c r="Q18" i="91"/>
  <c r="N18" i="91"/>
  <c r="O18" i="91" s="1"/>
  <c r="M18" i="91"/>
  <c r="F18" i="91"/>
  <c r="G18" i="91" s="1"/>
  <c r="E18" i="91"/>
  <c r="AD5" i="91"/>
  <c r="AE5" i="91" s="1"/>
  <c r="AC5" i="91"/>
  <c r="Z5" i="91"/>
  <c r="Y5" i="91"/>
  <c r="V5" i="91"/>
  <c r="W5" i="91" s="1"/>
  <c r="U5" i="91"/>
  <c r="R5" i="91"/>
  <c r="Q5" i="91"/>
  <c r="N5" i="91"/>
  <c r="O5" i="91" s="1"/>
  <c r="M5" i="91"/>
  <c r="F5" i="91"/>
  <c r="G5" i="91" s="1"/>
  <c r="E5" i="91"/>
  <c r="AD16" i="91"/>
  <c r="AC16" i="91"/>
  <c r="Z16" i="91"/>
  <c r="Y16" i="91"/>
  <c r="V16" i="91"/>
  <c r="U16" i="91"/>
  <c r="R16" i="91"/>
  <c r="Q16" i="91"/>
  <c r="N16" i="91"/>
  <c r="O16" i="91" s="1"/>
  <c r="M16" i="91"/>
  <c r="F16" i="91"/>
  <c r="G16" i="91" s="1"/>
  <c r="E16" i="91"/>
  <c r="AD6" i="91"/>
  <c r="AC6" i="91"/>
  <c r="Z6" i="91"/>
  <c r="Y6" i="91"/>
  <c r="V6" i="91"/>
  <c r="W6" i="91" s="1"/>
  <c r="U6" i="91"/>
  <c r="R6" i="91"/>
  <c r="Q6" i="91"/>
  <c r="N6" i="91"/>
  <c r="O6" i="91" s="1"/>
  <c r="M6" i="91"/>
  <c r="F6" i="91"/>
  <c r="E6" i="91"/>
  <c r="AD19" i="91"/>
  <c r="AE19" i="91" s="1"/>
  <c r="AC19" i="91"/>
  <c r="Z19" i="91"/>
  <c r="AA19" i="91" s="1"/>
  <c r="Y19" i="91"/>
  <c r="V19" i="91"/>
  <c r="W19" i="91" s="1"/>
  <c r="U19" i="91"/>
  <c r="R19" i="91"/>
  <c r="S19" i="91" s="1"/>
  <c r="Q19" i="91"/>
  <c r="N19" i="91"/>
  <c r="O19" i="91" s="1"/>
  <c r="M19" i="91"/>
  <c r="J19" i="91"/>
  <c r="I19" i="91"/>
  <c r="F19" i="91"/>
  <c r="G19" i="91" s="1"/>
  <c r="E19" i="91"/>
  <c r="AD24" i="90"/>
  <c r="AE24" i="90" s="1"/>
  <c r="AC24" i="90"/>
  <c r="Z24" i="90"/>
  <c r="AA24" i="90" s="1"/>
  <c r="Y24" i="90"/>
  <c r="V24" i="90"/>
  <c r="W24" i="90" s="1"/>
  <c r="U24" i="90"/>
  <c r="R24" i="90"/>
  <c r="S24" i="90" s="1"/>
  <c r="Q24" i="90"/>
  <c r="N24" i="90"/>
  <c r="O24" i="90" s="1"/>
  <c r="M24" i="90"/>
  <c r="F24" i="90"/>
  <c r="G24" i="90" s="1"/>
  <c r="E24" i="90"/>
  <c r="AD23" i="90"/>
  <c r="AE23" i="90" s="1"/>
  <c r="AC23" i="90"/>
  <c r="Z23" i="90"/>
  <c r="AA23" i="90" s="1"/>
  <c r="Y23" i="90"/>
  <c r="V23" i="90"/>
  <c r="W23" i="90" s="1"/>
  <c r="U23" i="90"/>
  <c r="R23" i="90"/>
  <c r="S23" i="90" s="1"/>
  <c r="Q23" i="90"/>
  <c r="N23" i="90"/>
  <c r="O23" i="90" s="1"/>
  <c r="M23" i="90"/>
  <c r="F23" i="90"/>
  <c r="G23" i="90" s="1"/>
  <c r="E23" i="90"/>
  <c r="AD22" i="90"/>
  <c r="AE22" i="90" s="1"/>
  <c r="AC22" i="90"/>
  <c r="Z22" i="90"/>
  <c r="AA22" i="90" s="1"/>
  <c r="Y22" i="90"/>
  <c r="V22" i="90"/>
  <c r="W22" i="90" s="1"/>
  <c r="U22" i="90"/>
  <c r="R22" i="90"/>
  <c r="S22" i="90" s="1"/>
  <c r="Q22" i="90"/>
  <c r="N22" i="90"/>
  <c r="O22" i="90" s="1"/>
  <c r="M22" i="90"/>
  <c r="F22" i="90"/>
  <c r="G22" i="90" s="1"/>
  <c r="E22" i="90"/>
  <c r="AD21" i="90"/>
  <c r="AE21" i="90" s="1"/>
  <c r="AC21" i="90"/>
  <c r="Z21" i="90"/>
  <c r="AA21" i="90" s="1"/>
  <c r="Y21" i="90"/>
  <c r="V21" i="90"/>
  <c r="W21" i="90" s="1"/>
  <c r="U21" i="90"/>
  <c r="R21" i="90"/>
  <c r="S21" i="90" s="1"/>
  <c r="Q21" i="90"/>
  <c r="N21" i="90"/>
  <c r="O21" i="90" s="1"/>
  <c r="M21" i="90"/>
  <c r="F21" i="90"/>
  <c r="G21" i="90" s="1"/>
  <c r="E21" i="90"/>
  <c r="AD16" i="90"/>
  <c r="AE16" i="90" s="1"/>
  <c r="AC16" i="90"/>
  <c r="Z16" i="90"/>
  <c r="Y16" i="90"/>
  <c r="V16" i="90"/>
  <c r="U16" i="90"/>
  <c r="R16" i="90"/>
  <c r="Q16" i="90"/>
  <c r="N16" i="90"/>
  <c r="M16" i="90"/>
  <c r="F16" i="90"/>
  <c r="G16" i="90" s="1"/>
  <c r="C20" i="92" s="1"/>
  <c r="D20" i="92" s="1"/>
  <c r="E16" i="90"/>
  <c r="AD5" i="90"/>
  <c r="AC5" i="90"/>
  <c r="Z5" i="90"/>
  <c r="Y5" i="90"/>
  <c r="V5" i="90"/>
  <c r="U5" i="90"/>
  <c r="R5" i="90"/>
  <c r="Q5" i="90"/>
  <c r="N5" i="90"/>
  <c r="M5" i="90"/>
  <c r="F5" i="90"/>
  <c r="E5" i="90"/>
  <c r="AD20" i="90"/>
  <c r="AC20" i="90"/>
  <c r="Z20" i="90"/>
  <c r="Y20" i="90"/>
  <c r="V20" i="90"/>
  <c r="W20" i="90" s="1"/>
  <c r="U20" i="90"/>
  <c r="R20" i="90"/>
  <c r="S20" i="90" s="1"/>
  <c r="Q20" i="90"/>
  <c r="N20" i="90"/>
  <c r="M20" i="90"/>
  <c r="F20" i="90"/>
  <c r="G20" i="90" s="1"/>
  <c r="E20" i="90"/>
  <c r="AD17" i="90"/>
  <c r="AC17" i="90"/>
  <c r="Z17" i="90"/>
  <c r="Y17" i="90"/>
  <c r="V17" i="90"/>
  <c r="W17" i="90" s="1"/>
  <c r="U17" i="90"/>
  <c r="R17" i="90"/>
  <c r="S17" i="90" s="1"/>
  <c r="Q17" i="90"/>
  <c r="N17" i="90"/>
  <c r="M17" i="90"/>
  <c r="F17" i="90"/>
  <c r="E17" i="90"/>
  <c r="AD19" i="90"/>
  <c r="AE19" i="90" s="1"/>
  <c r="AC19" i="90"/>
  <c r="Z19" i="90"/>
  <c r="AA19" i="90" s="1"/>
  <c r="Y19" i="90"/>
  <c r="V19" i="90"/>
  <c r="W19" i="90" s="1"/>
  <c r="U19" i="90"/>
  <c r="R19" i="90"/>
  <c r="S19" i="90" s="1"/>
  <c r="Q19" i="90"/>
  <c r="N19" i="90"/>
  <c r="O19" i="90" s="1"/>
  <c r="M19" i="90"/>
  <c r="F19" i="90"/>
  <c r="G19" i="90" s="1"/>
  <c r="E19" i="90"/>
  <c r="AD15" i="90"/>
  <c r="AE15" i="90" s="1"/>
  <c r="AC15" i="90"/>
  <c r="Z15" i="90"/>
  <c r="AA15" i="90" s="1"/>
  <c r="Y15" i="90"/>
  <c r="V15" i="90"/>
  <c r="W15" i="90" s="1"/>
  <c r="U15" i="90"/>
  <c r="R15" i="90"/>
  <c r="Q15" i="90"/>
  <c r="N15" i="90"/>
  <c r="O15" i="90" s="1"/>
  <c r="M15" i="90"/>
  <c r="F15" i="90"/>
  <c r="G15" i="90" s="1"/>
  <c r="E15" i="90"/>
  <c r="AD9" i="90"/>
  <c r="AC9" i="90"/>
  <c r="Z9" i="90"/>
  <c r="Y9" i="90"/>
  <c r="V9" i="90"/>
  <c r="U9" i="90"/>
  <c r="R9" i="90"/>
  <c r="S9" i="90" s="1"/>
  <c r="Q9" i="90"/>
  <c r="N9" i="90"/>
  <c r="M9" i="90"/>
  <c r="F9" i="90"/>
  <c r="E9" i="90"/>
  <c r="AD6" i="90"/>
  <c r="AC6" i="90"/>
  <c r="Z6" i="90"/>
  <c r="Y6" i="90"/>
  <c r="V6" i="90"/>
  <c r="U6" i="90"/>
  <c r="R6" i="90"/>
  <c r="Q6" i="90"/>
  <c r="N6" i="90"/>
  <c r="M6" i="90"/>
  <c r="F6" i="90"/>
  <c r="E6" i="90"/>
  <c r="AD18" i="90"/>
  <c r="AE18" i="90" s="1"/>
  <c r="AC18" i="90"/>
  <c r="Z18" i="90"/>
  <c r="Y18" i="90"/>
  <c r="V18" i="90"/>
  <c r="W18" i="90" s="1"/>
  <c r="U18" i="90"/>
  <c r="R18" i="90"/>
  <c r="S18" i="90" s="1"/>
  <c r="Q18" i="90"/>
  <c r="N18" i="90"/>
  <c r="O18" i="90" s="1"/>
  <c r="M18" i="90"/>
  <c r="F18" i="90"/>
  <c r="G18" i="90" s="1"/>
  <c r="E18" i="90"/>
  <c r="AD11" i="90"/>
  <c r="AE11" i="90" s="1"/>
  <c r="AC11" i="90"/>
  <c r="Z11" i="90"/>
  <c r="Y11" i="90"/>
  <c r="V11" i="90"/>
  <c r="W11" i="90" s="1"/>
  <c r="U11" i="90"/>
  <c r="R11" i="90"/>
  <c r="S11" i="90" s="1"/>
  <c r="Q11" i="90"/>
  <c r="N11" i="90"/>
  <c r="M11" i="90"/>
  <c r="F11" i="90"/>
  <c r="E11" i="90"/>
  <c r="AD12" i="90"/>
  <c r="AE12" i="90" s="1"/>
  <c r="AC12" i="90"/>
  <c r="Z12" i="90"/>
  <c r="Y12" i="90"/>
  <c r="V12" i="90"/>
  <c r="W12" i="90" s="1"/>
  <c r="U12" i="90"/>
  <c r="R12" i="90"/>
  <c r="Q12" i="90"/>
  <c r="N12" i="90"/>
  <c r="O12" i="90" s="1"/>
  <c r="M12" i="90"/>
  <c r="F12" i="90"/>
  <c r="E12" i="90"/>
  <c r="AD13" i="90"/>
  <c r="AE13" i="90" s="1"/>
  <c r="AC13" i="90"/>
  <c r="Z13" i="90"/>
  <c r="Y13" i="90"/>
  <c r="V13" i="90"/>
  <c r="W13" i="90" s="1"/>
  <c r="U13" i="90"/>
  <c r="R13" i="90"/>
  <c r="S13" i="90" s="1"/>
  <c r="Q13" i="90"/>
  <c r="N13" i="90"/>
  <c r="O13" i="90" s="1"/>
  <c r="M13" i="90"/>
  <c r="F13" i="90"/>
  <c r="E13" i="90"/>
  <c r="AD7" i="90"/>
  <c r="AC7" i="90"/>
  <c r="Z7" i="90"/>
  <c r="Y7" i="90"/>
  <c r="V7" i="90"/>
  <c r="U7" i="90"/>
  <c r="R7" i="90"/>
  <c r="S7" i="90" s="1"/>
  <c r="Q7" i="90"/>
  <c r="N7" i="90"/>
  <c r="M7" i="90"/>
  <c r="F7" i="90"/>
  <c r="E7" i="90"/>
  <c r="AD8" i="90"/>
  <c r="AC8" i="90"/>
  <c r="Z8" i="90"/>
  <c r="Y8" i="90"/>
  <c r="V8" i="90"/>
  <c r="U8" i="90"/>
  <c r="R8" i="90"/>
  <c r="Q8" i="90"/>
  <c r="N8" i="90"/>
  <c r="M8" i="90"/>
  <c r="J8" i="90"/>
  <c r="I8" i="90"/>
  <c r="F8" i="90"/>
  <c r="E8" i="90"/>
  <c r="AD10" i="90"/>
  <c r="AC10" i="90"/>
  <c r="Z10" i="90"/>
  <c r="Y10" i="90"/>
  <c r="V10" i="90"/>
  <c r="W10" i="90" s="1"/>
  <c r="U10" i="90"/>
  <c r="R10" i="90"/>
  <c r="Q10" i="90"/>
  <c r="N10" i="90"/>
  <c r="M10" i="90"/>
  <c r="F10" i="90"/>
  <c r="G10" i="90" s="1"/>
  <c r="E10" i="90"/>
  <c r="AD24" i="89"/>
  <c r="AE24" i="89" s="1"/>
  <c r="AC24" i="89"/>
  <c r="Z24" i="89"/>
  <c r="Y24" i="89"/>
  <c r="V24" i="89"/>
  <c r="W24" i="89" s="1"/>
  <c r="U24" i="89"/>
  <c r="R24" i="89"/>
  <c r="S24" i="89" s="1"/>
  <c r="Q24" i="89"/>
  <c r="N24" i="89"/>
  <c r="O24" i="89" s="1"/>
  <c r="M24" i="89"/>
  <c r="F24" i="89"/>
  <c r="G24" i="89" s="1"/>
  <c r="E24" i="89"/>
  <c r="AD20" i="89"/>
  <c r="AC20" i="89"/>
  <c r="Z20" i="89"/>
  <c r="AA20" i="89" s="1"/>
  <c r="Y20" i="89"/>
  <c r="V20" i="89"/>
  <c r="W20" i="89" s="1"/>
  <c r="U20" i="89"/>
  <c r="R20" i="89"/>
  <c r="Q20" i="89"/>
  <c r="N20" i="89"/>
  <c r="O20" i="89" s="1"/>
  <c r="M20" i="89"/>
  <c r="F20" i="89"/>
  <c r="G20" i="89" s="1"/>
  <c r="E20" i="89"/>
  <c r="AD8" i="89"/>
  <c r="AC8" i="89"/>
  <c r="Z8" i="89"/>
  <c r="Y8" i="89"/>
  <c r="V8" i="89"/>
  <c r="W8" i="89" s="1"/>
  <c r="U8" i="89"/>
  <c r="R8" i="89"/>
  <c r="Q8" i="89"/>
  <c r="N8" i="89"/>
  <c r="M8" i="89"/>
  <c r="F8" i="89"/>
  <c r="E8" i="89"/>
  <c r="AD23" i="89"/>
  <c r="AE23" i="89" s="1"/>
  <c r="AC23" i="89"/>
  <c r="Z23" i="89"/>
  <c r="AA23" i="89" s="1"/>
  <c r="Y23" i="89"/>
  <c r="V23" i="89"/>
  <c r="W23" i="89" s="1"/>
  <c r="U23" i="89"/>
  <c r="R23" i="89"/>
  <c r="S23" i="89" s="1"/>
  <c r="Q23" i="89"/>
  <c r="N23" i="89"/>
  <c r="O23" i="89" s="1"/>
  <c r="M23" i="89"/>
  <c r="F23" i="89"/>
  <c r="G23" i="89" s="1"/>
  <c r="E23" i="89"/>
  <c r="AD17" i="89"/>
  <c r="AE17" i="89" s="1"/>
  <c r="AC17" i="89"/>
  <c r="Z17" i="89"/>
  <c r="AA17" i="89" s="1"/>
  <c r="Y17" i="89"/>
  <c r="V17" i="89"/>
  <c r="W17" i="89" s="1"/>
  <c r="U17" i="89"/>
  <c r="R17" i="89"/>
  <c r="S17" i="89" s="1"/>
  <c r="Q17" i="89"/>
  <c r="N17" i="89"/>
  <c r="O17" i="89" s="1"/>
  <c r="M17" i="89"/>
  <c r="F17" i="89"/>
  <c r="G17" i="89" s="1"/>
  <c r="E17" i="89"/>
  <c r="AD14" i="89"/>
  <c r="AC14" i="89"/>
  <c r="Z14" i="89"/>
  <c r="AA14" i="89" s="1"/>
  <c r="Y14" i="89"/>
  <c r="V14" i="89"/>
  <c r="W14" i="89" s="1"/>
  <c r="U14" i="89"/>
  <c r="R14" i="89"/>
  <c r="S14" i="89" s="1"/>
  <c r="Q14" i="89"/>
  <c r="N14" i="89"/>
  <c r="M14" i="89"/>
  <c r="F14" i="89"/>
  <c r="G14" i="89" s="1"/>
  <c r="E14" i="89"/>
  <c r="AD12" i="89"/>
  <c r="AE12" i="89" s="1"/>
  <c r="AC12" i="89"/>
  <c r="Z12" i="89"/>
  <c r="AA12" i="89" s="1"/>
  <c r="Y12" i="89"/>
  <c r="V12" i="89"/>
  <c r="U12" i="89"/>
  <c r="R12" i="89"/>
  <c r="Q12" i="89"/>
  <c r="N12" i="89"/>
  <c r="O12" i="89" s="1"/>
  <c r="M12" i="89"/>
  <c r="F12" i="89"/>
  <c r="G12" i="89" s="1"/>
  <c r="E12" i="89"/>
  <c r="AD16" i="89"/>
  <c r="AE16" i="89" s="1"/>
  <c r="AC16" i="89"/>
  <c r="Z16" i="89"/>
  <c r="AA16" i="89" s="1"/>
  <c r="Y16" i="89"/>
  <c r="V16" i="89"/>
  <c r="W16" i="89" s="1"/>
  <c r="U16" i="89"/>
  <c r="R16" i="89"/>
  <c r="S16" i="89" s="1"/>
  <c r="Q16" i="89"/>
  <c r="N16" i="89"/>
  <c r="O16" i="89" s="1"/>
  <c r="M16" i="89"/>
  <c r="F16" i="89"/>
  <c r="G16" i="89" s="1"/>
  <c r="E16" i="89"/>
  <c r="AD9" i="89"/>
  <c r="AE9" i="89" s="1"/>
  <c r="AC9" i="89"/>
  <c r="Z9" i="89"/>
  <c r="Y9" i="89"/>
  <c r="V9" i="89"/>
  <c r="U9" i="89"/>
  <c r="R9" i="89"/>
  <c r="Q9" i="89"/>
  <c r="N9" i="89"/>
  <c r="O9" i="89" s="1"/>
  <c r="M9" i="89"/>
  <c r="F9" i="89"/>
  <c r="G9" i="89" s="1"/>
  <c r="E9" i="89"/>
  <c r="AD15" i="89"/>
  <c r="AE15" i="89" s="1"/>
  <c r="AC15" i="89"/>
  <c r="Z15" i="89"/>
  <c r="AA15" i="89" s="1"/>
  <c r="Y15" i="89"/>
  <c r="V15" i="89"/>
  <c r="W15" i="89" s="1"/>
  <c r="U15" i="89"/>
  <c r="R15" i="89"/>
  <c r="Q15" i="89"/>
  <c r="N15" i="89"/>
  <c r="O15" i="89" s="1"/>
  <c r="M15" i="89"/>
  <c r="F15" i="89"/>
  <c r="E15" i="89"/>
  <c r="AD5" i="89"/>
  <c r="AC5" i="89"/>
  <c r="Z5" i="89"/>
  <c r="Y5" i="89"/>
  <c r="V5" i="89"/>
  <c r="U5" i="89"/>
  <c r="R5" i="89"/>
  <c r="Q5" i="89"/>
  <c r="N5" i="89"/>
  <c r="M5" i="89"/>
  <c r="F5" i="89"/>
  <c r="E5" i="89"/>
  <c r="AD11" i="89"/>
  <c r="AC11" i="89"/>
  <c r="Z11" i="89"/>
  <c r="Y11" i="89"/>
  <c r="V11" i="89"/>
  <c r="W11" i="89" s="1"/>
  <c r="U11" i="89"/>
  <c r="R11" i="89"/>
  <c r="S11" i="89" s="1"/>
  <c r="Q11" i="89"/>
  <c r="N11" i="89"/>
  <c r="M11" i="89"/>
  <c r="F11" i="89"/>
  <c r="E11" i="89"/>
  <c r="AD18" i="89"/>
  <c r="AE18" i="89" s="1"/>
  <c r="AC18" i="89"/>
  <c r="Z18" i="89"/>
  <c r="Y18" i="89"/>
  <c r="V18" i="89"/>
  <c r="W18" i="89" s="1"/>
  <c r="U18" i="89"/>
  <c r="R18" i="89"/>
  <c r="S18" i="89" s="1"/>
  <c r="Q18" i="89"/>
  <c r="N18" i="89"/>
  <c r="O18" i="89" s="1"/>
  <c r="M18" i="89"/>
  <c r="F18" i="89"/>
  <c r="G18" i="89" s="1"/>
  <c r="E18" i="89"/>
  <c r="AD13" i="89"/>
  <c r="AC13" i="89"/>
  <c r="Z13" i="89"/>
  <c r="Y13" i="89"/>
  <c r="V13" i="89"/>
  <c r="U13" i="89"/>
  <c r="R13" i="89"/>
  <c r="Q13" i="89"/>
  <c r="N13" i="89"/>
  <c r="M13" i="89"/>
  <c r="F13" i="89"/>
  <c r="E13" i="89"/>
  <c r="AD21" i="89"/>
  <c r="AE21" i="89" s="1"/>
  <c r="AC21" i="89"/>
  <c r="Z21" i="89"/>
  <c r="AA21" i="89" s="1"/>
  <c r="Y21" i="89"/>
  <c r="V21" i="89"/>
  <c r="W21" i="89" s="1"/>
  <c r="U21" i="89"/>
  <c r="R21" i="89"/>
  <c r="Q21" i="89"/>
  <c r="N21" i="89"/>
  <c r="M21" i="89"/>
  <c r="F21" i="89"/>
  <c r="G21" i="89" s="1"/>
  <c r="E21" i="89"/>
  <c r="AD19" i="89"/>
  <c r="AC19" i="89"/>
  <c r="Z19" i="89"/>
  <c r="Y19" i="89"/>
  <c r="V19" i="89"/>
  <c r="W19" i="89" s="1"/>
  <c r="U19" i="89"/>
  <c r="R19" i="89"/>
  <c r="Q19" i="89"/>
  <c r="N19" i="89"/>
  <c r="M19" i="89"/>
  <c r="J19" i="89"/>
  <c r="I19" i="89"/>
  <c r="F19" i="89"/>
  <c r="E19" i="89"/>
  <c r="AD6" i="89"/>
  <c r="AC6" i="89"/>
  <c r="Z6" i="89"/>
  <c r="Y6" i="89"/>
  <c r="V6" i="89"/>
  <c r="U6" i="89"/>
  <c r="R6" i="89"/>
  <c r="Q6" i="89"/>
  <c r="N6" i="89"/>
  <c r="M6" i="89"/>
  <c r="F6" i="89"/>
  <c r="E6" i="89"/>
  <c r="AD22" i="89"/>
  <c r="AE22" i="89" s="1"/>
  <c r="AC22" i="89"/>
  <c r="Z22" i="89"/>
  <c r="AA22" i="89" s="1"/>
  <c r="Y22" i="89"/>
  <c r="V22" i="89"/>
  <c r="W22" i="89" s="1"/>
  <c r="U22" i="89"/>
  <c r="R22" i="89"/>
  <c r="S22" i="89" s="1"/>
  <c r="Q22" i="89"/>
  <c r="N22" i="89"/>
  <c r="O22" i="89" s="1"/>
  <c r="M22" i="89"/>
  <c r="F22" i="89"/>
  <c r="E22" i="89"/>
  <c r="AD7" i="89"/>
  <c r="AC7" i="89"/>
  <c r="Z7" i="89"/>
  <c r="Y7" i="89"/>
  <c r="V7" i="89"/>
  <c r="U7" i="89"/>
  <c r="R7" i="89"/>
  <c r="Q7" i="89"/>
  <c r="N7" i="89"/>
  <c r="M7" i="89"/>
  <c r="F7" i="89"/>
  <c r="E7" i="89"/>
  <c r="AD10" i="89"/>
  <c r="AC10" i="89"/>
  <c r="Z10" i="89"/>
  <c r="Y10" i="89"/>
  <c r="V10" i="89"/>
  <c r="U10" i="89"/>
  <c r="R10" i="89"/>
  <c r="S10" i="89" s="1"/>
  <c r="Q10" i="89"/>
  <c r="N10" i="89"/>
  <c r="M10" i="89"/>
  <c r="F10" i="89"/>
  <c r="E10" i="89"/>
  <c r="AI16" i="88"/>
  <c r="AD16" i="88"/>
  <c r="AE16" i="88" s="1"/>
  <c r="AC16" i="88"/>
  <c r="Z16" i="88"/>
  <c r="Y16" i="88"/>
  <c r="V16" i="88"/>
  <c r="W16" i="88" s="1"/>
  <c r="U16" i="88"/>
  <c r="R16" i="88"/>
  <c r="S16" i="88" s="1"/>
  <c r="Q16" i="88"/>
  <c r="N16" i="88"/>
  <c r="O16" i="88" s="1"/>
  <c r="M16" i="88"/>
  <c r="F16" i="88"/>
  <c r="G16" i="88" s="1"/>
  <c r="E16" i="88"/>
  <c r="AI23" i="88"/>
  <c r="AD23" i="88"/>
  <c r="AE23" i="88" s="1"/>
  <c r="U23" i="92" s="1"/>
  <c r="W23" i="92" s="1"/>
  <c r="AC23" i="88"/>
  <c r="Z23" i="88"/>
  <c r="AA23" i="88" s="1"/>
  <c r="R23" i="92" s="1"/>
  <c r="S23" i="92" s="1"/>
  <c r="Y23" i="88"/>
  <c r="V23" i="88"/>
  <c r="W23" i="88" s="1"/>
  <c r="O23" i="92" s="1"/>
  <c r="Q23" i="92" s="1"/>
  <c r="U23" i="88"/>
  <c r="R23" i="88"/>
  <c r="S23" i="88" s="1"/>
  <c r="L23" i="92" s="1"/>
  <c r="Q23" i="88"/>
  <c r="N23" i="88"/>
  <c r="O23" i="88" s="1"/>
  <c r="I23" i="92" s="1"/>
  <c r="K23" i="92" s="1"/>
  <c r="M23" i="88"/>
  <c r="F23" i="88"/>
  <c r="G23" i="88" s="1"/>
  <c r="C23" i="92" s="1"/>
  <c r="E23" i="92" s="1"/>
  <c r="E23" i="88"/>
  <c r="AI13" i="88"/>
  <c r="AD13" i="88"/>
  <c r="AC13" i="88"/>
  <c r="Z13" i="88"/>
  <c r="Y13" i="88"/>
  <c r="V13" i="88"/>
  <c r="U13" i="88"/>
  <c r="R13" i="88"/>
  <c r="S13" i="88" s="1"/>
  <c r="Q13" i="88"/>
  <c r="N13" i="88"/>
  <c r="O13" i="88" s="1"/>
  <c r="M13" i="88"/>
  <c r="F13" i="88"/>
  <c r="G13" i="88" s="1"/>
  <c r="E13" i="88"/>
  <c r="AD11" i="88"/>
  <c r="AC11" i="88"/>
  <c r="Z11" i="88"/>
  <c r="Y11" i="88"/>
  <c r="V11" i="88"/>
  <c r="U11" i="88"/>
  <c r="R11" i="88"/>
  <c r="Q11" i="88"/>
  <c r="N11" i="88"/>
  <c r="M11" i="88"/>
  <c r="F11" i="88"/>
  <c r="G11" i="88" s="1"/>
  <c r="E11" i="88"/>
  <c r="AD19" i="88"/>
  <c r="AE19" i="88" s="1"/>
  <c r="AC19" i="88"/>
  <c r="Z19" i="88"/>
  <c r="AA19" i="88" s="1"/>
  <c r="Y19" i="88"/>
  <c r="V19" i="88"/>
  <c r="W19" i="88" s="1"/>
  <c r="U19" i="88"/>
  <c r="R19" i="88"/>
  <c r="S19" i="88" s="1"/>
  <c r="Q19" i="88"/>
  <c r="N19" i="88"/>
  <c r="O19" i="88" s="1"/>
  <c r="M19" i="88"/>
  <c r="F19" i="88"/>
  <c r="G19" i="88" s="1"/>
  <c r="E19" i="88"/>
  <c r="AI22" i="88"/>
  <c r="AD22" i="88"/>
  <c r="AE22" i="88" s="1"/>
  <c r="AC22" i="88"/>
  <c r="Z22" i="88"/>
  <c r="Y22" i="88"/>
  <c r="V22" i="88"/>
  <c r="W22" i="88" s="1"/>
  <c r="U22" i="88"/>
  <c r="R22" i="88"/>
  <c r="Q22" i="88"/>
  <c r="N22" i="88"/>
  <c r="M22" i="88"/>
  <c r="F22" i="88"/>
  <c r="E22" i="88"/>
  <c r="AI18" i="88"/>
  <c r="AD18" i="88"/>
  <c r="AC18" i="88"/>
  <c r="Z18" i="88"/>
  <c r="AA18" i="88" s="1"/>
  <c r="Y18" i="88"/>
  <c r="V18" i="88"/>
  <c r="W18" i="88" s="1"/>
  <c r="U18" i="88"/>
  <c r="R18" i="88"/>
  <c r="S18" i="88" s="1"/>
  <c r="Q18" i="88"/>
  <c r="N18" i="88"/>
  <c r="O18" i="88" s="1"/>
  <c r="M18" i="88"/>
  <c r="F18" i="88"/>
  <c r="G18" i="88" s="1"/>
  <c r="E18" i="88"/>
  <c r="AD15" i="88"/>
  <c r="AE15" i="88" s="1"/>
  <c r="AC15" i="88"/>
  <c r="Z15" i="88"/>
  <c r="AA15" i="88" s="1"/>
  <c r="Y15" i="88"/>
  <c r="V15" i="88"/>
  <c r="W15" i="88" s="1"/>
  <c r="U15" i="88"/>
  <c r="R15" i="88"/>
  <c r="Q15" i="88"/>
  <c r="N15" i="88"/>
  <c r="O15" i="88" s="1"/>
  <c r="M15" i="88"/>
  <c r="F15" i="88"/>
  <c r="G15" i="88" s="1"/>
  <c r="E15" i="88"/>
  <c r="AI24" i="88"/>
  <c r="X17" i="92" s="1"/>
  <c r="AD24" i="88"/>
  <c r="AE24" i="88" s="1"/>
  <c r="AC24" i="88"/>
  <c r="Z24" i="88"/>
  <c r="AA24" i="88" s="1"/>
  <c r="Y24" i="88"/>
  <c r="V24" i="88"/>
  <c r="W24" i="88" s="1"/>
  <c r="U24" i="88"/>
  <c r="R24" i="88"/>
  <c r="S24" i="88" s="1"/>
  <c r="Q24" i="88"/>
  <c r="N24" i="88"/>
  <c r="O24" i="88" s="1"/>
  <c r="M24" i="88"/>
  <c r="F24" i="88"/>
  <c r="G24" i="88" s="1"/>
  <c r="E24" i="88"/>
  <c r="AI12" i="88"/>
  <c r="AD12" i="88"/>
  <c r="AC12" i="88"/>
  <c r="Z12" i="88"/>
  <c r="AA12" i="88" s="1"/>
  <c r="Y12" i="88"/>
  <c r="V12" i="88"/>
  <c r="U12" i="88"/>
  <c r="R12" i="88"/>
  <c r="Q12" i="88"/>
  <c r="N12" i="88"/>
  <c r="M12" i="88"/>
  <c r="F12" i="88"/>
  <c r="E12" i="88"/>
  <c r="AI8" i="88"/>
  <c r="X9" i="92" s="1"/>
  <c r="AD8" i="88"/>
  <c r="AE8" i="88" s="1"/>
  <c r="AC8" i="88"/>
  <c r="Z8" i="88"/>
  <c r="Y8" i="88"/>
  <c r="V8" i="88"/>
  <c r="U8" i="88"/>
  <c r="R8" i="88"/>
  <c r="Q8" i="88"/>
  <c r="N8" i="88"/>
  <c r="M8" i="88"/>
  <c r="F8" i="88"/>
  <c r="E8" i="88"/>
  <c r="AI5" i="88"/>
  <c r="AD5" i="88"/>
  <c r="AC5" i="88"/>
  <c r="Z5" i="88"/>
  <c r="Y5" i="88"/>
  <c r="V5" i="88"/>
  <c r="U5" i="88"/>
  <c r="R5" i="88"/>
  <c r="Q5" i="88"/>
  <c r="N5" i="88"/>
  <c r="M5" i="88"/>
  <c r="F5" i="88"/>
  <c r="E5" i="88"/>
  <c r="AI21" i="88"/>
  <c r="AD21" i="88"/>
  <c r="AC21" i="88"/>
  <c r="Z21" i="88"/>
  <c r="Y21" i="88"/>
  <c r="V21" i="88"/>
  <c r="U21" i="88"/>
  <c r="R21" i="88"/>
  <c r="S21" i="88" s="1"/>
  <c r="Q21" i="88"/>
  <c r="N21" i="88"/>
  <c r="O21" i="88" s="1"/>
  <c r="M21" i="88"/>
  <c r="F21" i="88"/>
  <c r="G21" i="88" s="1"/>
  <c r="E21" i="88"/>
  <c r="AI20" i="88"/>
  <c r="X22" i="92" s="1"/>
  <c r="AD20" i="88"/>
  <c r="AC20" i="88"/>
  <c r="Z20" i="88"/>
  <c r="Y20" i="88"/>
  <c r="V20" i="88"/>
  <c r="U20" i="88"/>
  <c r="R20" i="88"/>
  <c r="Q20" i="88"/>
  <c r="N20" i="88"/>
  <c r="M20" i="88"/>
  <c r="F20" i="88"/>
  <c r="E20" i="88"/>
  <c r="AI17" i="88"/>
  <c r="AD17" i="88"/>
  <c r="AE17" i="88" s="1"/>
  <c r="AC17" i="88"/>
  <c r="Z17" i="88"/>
  <c r="Y17" i="88"/>
  <c r="V17" i="88"/>
  <c r="U17" i="88"/>
  <c r="R17" i="88"/>
  <c r="S17" i="88" s="1"/>
  <c r="Q17" i="88"/>
  <c r="N17" i="88"/>
  <c r="M17" i="88"/>
  <c r="F17" i="88"/>
  <c r="E17" i="88"/>
  <c r="AI9" i="88"/>
  <c r="AD9" i="88"/>
  <c r="AC9" i="88"/>
  <c r="Z9" i="88"/>
  <c r="AA9" i="88" s="1"/>
  <c r="Y9" i="88"/>
  <c r="V9" i="88"/>
  <c r="U9" i="88"/>
  <c r="R9" i="88"/>
  <c r="Q9" i="88"/>
  <c r="N9" i="88"/>
  <c r="M9" i="88"/>
  <c r="F9" i="88"/>
  <c r="E9" i="88"/>
  <c r="AI6" i="88"/>
  <c r="X7" i="92" s="1"/>
  <c r="AD6" i="88"/>
  <c r="AC6" i="88"/>
  <c r="Z6" i="88"/>
  <c r="Y6" i="88"/>
  <c r="V6" i="88"/>
  <c r="U6" i="88"/>
  <c r="R6" i="88"/>
  <c r="Q6" i="88"/>
  <c r="N6" i="88"/>
  <c r="M6" i="88"/>
  <c r="F6" i="88"/>
  <c r="E6" i="88"/>
  <c r="AI10" i="88"/>
  <c r="X10" i="92" s="1"/>
  <c r="AD10" i="88"/>
  <c r="AC10" i="88"/>
  <c r="Z10" i="88"/>
  <c r="AA10" i="88" s="1"/>
  <c r="Y10" i="88"/>
  <c r="V10" i="88"/>
  <c r="U10" i="88"/>
  <c r="R10" i="88"/>
  <c r="Q10" i="88"/>
  <c r="N10" i="88"/>
  <c r="M10" i="88"/>
  <c r="F10" i="88"/>
  <c r="E10" i="88"/>
  <c r="AI7" i="88"/>
  <c r="AD7" i="88"/>
  <c r="AE7" i="88" s="1"/>
  <c r="AC7" i="88"/>
  <c r="Z7" i="88"/>
  <c r="Y7" i="88"/>
  <c r="V7" i="88"/>
  <c r="U7" i="88"/>
  <c r="R7" i="88"/>
  <c r="Q7" i="88"/>
  <c r="N7" i="88"/>
  <c r="O7" i="88" s="1"/>
  <c r="M7" i="88"/>
  <c r="F7" i="88"/>
  <c r="E7" i="88"/>
  <c r="AI14" i="88"/>
  <c r="AD14" i="88"/>
  <c r="AC14" i="88"/>
  <c r="Z14" i="88"/>
  <c r="Y14" i="88"/>
  <c r="V14" i="88"/>
  <c r="W14" i="88" s="1"/>
  <c r="U14" i="88"/>
  <c r="R14" i="88"/>
  <c r="Q14" i="88"/>
  <c r="N14" i="88"/>
  <c r="M14" i="88"/>
  <c r="J14" i="88"/>
  <c r="I14" i="88"/>
  <c r="F14" i="88"/>
  <c r="E14" i="88"/>
  <c r="AH24" i="86"/>
  <c r="AI24" i="86" s="1"/>
  <c r="AG24" i="86"/>
  <c r="AD24" i="86"/>
  <c r="AE24" i="86" s="1"/>
  <c r="AC24" i="86"/>
  <c r="Z24" i="86"/>
  <c r="AA24" i="86" s="1"/>
  <c r="Y24" i="86"/>
  <c r="V24" i="86"/>
  <c r="W24" i="86" s="1"/>
  <c r="U24" i="86"/>
  <c r="R24" i="86"/>
  <c r="S24" i="86" s="1"/>
  <c r="Q24" i="86"/>
  <c r="N24" i="86"/>
  <c r="O24" i="86" s="1"/>
  <c r="M24" i="86"/>
  <c r="F24" i="86"/>
  <c r="G24" i="86" s="1"/>
  <c r="E24" i="86"/>
  <c r="AH23" i="86"/>
  <c r="AI23" i="86" s="1"/>
  <c r="AG23" i="86"/>
  <c r="AD23" i="86"/>
  <c r="AE23" i="86" s="1"/>
  <c r="AC23" i="86"/>
  <c r="Z23" i="86"/>
  <c r="AA23" i="86" s="1"/>
  <c r="Y23" i="86"/>
  <c r="V23" i="86"/>
  <c r="W23" i="86" s="1"/>
  <c r="U23" i="86"/>
  <c r="R23" i="86"/>
  <c r="S23" i="86" s="1"/>
  <c r="Q23" i="86"/>
  <c r="N23" i="86"/>
  <c r="O23" i="86" s="1"/>
  <c r="M23" i="86"/>
  <c r="F23" i="86"/>
  <c r="G23" i="86" s="1"/>
  <c r="E23" i="86"/>
  <c r="AH22" i="86"/>
  <c r="AI22" i="86" s="1"/>
  <c r="AG22" i="86"/>
  <c r="AD22" i="86"/>
  <c r="AE22" i="86" s="1"/>
  <c r="AC22" i="86"/>
  <c r="Z22" i="86"/>
  <c r="AA22" i="86" s="1"/>
  <c r="Y22" i="86"/>
  <c r="V22" i="86"/>
  <c r="W22" i="86" s="1"/>
  <c r="U22" i="86"/>
  <c r="R22" i="86"/>
  <c r="S22" i="86" s="1"/>
  <c r="Q22" i="86"/>
  <c r="N22" i="86"/>
  <c r="O22" i="86" s="1"/>
  <c r="M22" i="86"/>
  <c r="F22" i="86"/>
  <c r="G22" i="86" s="1"/>
  <c r="E22" i="86"/>
  <c r="AH21" i="86"/>
  <c r="AI21" i="86" s="1"/>
  <c r="AG21" i="86"/>
  <c r="AD21" i="86"/>
  <c r="AE21" i="86" s="1"/>
  <c r="AC21" i="86"/>
  <c r="Z21" i="86"/>
  <c r="AA21" i="86" s="1"/>
  <c r="Y21" i="86"/>
  <c r="V21" i="86"/>
  <c r="W21" i="86" s="1"/>
  <c r="U21" i="86"/>
  <c r="R21" i="86"/>
  <c r="S21" i="86" s="1"/>
  <c r="Q21" i="86"/>
  <c r="N21" i="86"/>
  <c r="O21" i="86" s="1"/>
  <c r="AJ21" i="86" s="1"/>
  <c r="AK21" i="86" s="1"/>
  <c r="AL21" i="86" s="1"/>
  <c r="M21" i="86"/>
  <c r="F21" i="86"/>
  <c r="G21" i="86" s="1"/>
  <c r="E21" i="86"/>
  <c r="AH20" i="86"/>
  <c r="AI20" i="86" s="1"/>
  <c r="AG20" i="86"/>
  <c r="AD20" i="86"/>
  <c r="AE20" i="86" s="1"/>
  <c r="AC20" i="86"/>
  <c r="Z20" i="86"/>
  <c r="AA20" i="86" s="1"/>
  <c r="Y20" i="86"/>
  <c r="V20" i="86"/>
  <c r="W20" i="86" s="1"/>
  <c r="U20" i="86"/>
  <c r="R20" i="86"/>
  <c r="S20" i="86" s="1"/>
  <c r="Q20" i="86"/>
  <c r="N20" i="86"/>
  <c r="O20" i="86" s="1"/>
  <c r="M20" i="86"/>
  <c r="F20" i="86"/>
  <c r="G20" i="86" s="1"/>
  <c r="E20" i="86"/>
  <c r="AH19" i="86"/>
  <c r="AI19" i="86" s="1"/>
  <c r="AG19" i="86"/>
  <c r="AD19" i="86"/>
  <c r="AE19" i="86" s="1"/>
  <c r="AC19" i="86"/>
  <c r="Z19" i="86"/>
  <c r="AA19" i="86" s="1"/>
  <c r="Y19" i="86"/>
  <c r="V19" i="86"/>
  <c r="W19" i="86" s="1"/>
  <c r="U19" i="86"/>
  <c r="R19" i="86"/>
  <c r="S19" i="86" s="1"/>
  <c r="Q19" i="86"/>
  <c r="N19" i="86"/>
  <c r="O19" i="86" s="1"/>
  <c r="M19" i="86"/>
  <c r="F19" i="86"/>
  <c r="G19" i="86" s="1"/>
  <c r="E19" i="86"/>
  <c r="AH18" i="86"/>
  <c r="AI18" i="86" s="1"/>
  <c r="AG18" i="86"/>
  <c r="AD18" i="86"/>
  <c r="AE18" i="86" s="1"/>
  <c r="AC18" i="86"/>
  <c r="Z18" i="86"/>
  <c r="AA18" i="86" s="1"/>
  <c r="Y18" i="86"/>
  <c r="V18" i="86"/>
  <c r="W18" i="86" s="1"/>
  <c r="U18" i="86"/>
  <c r="R18" i="86"/>
  <c r="S18" i="86" s="1"/>
  <c r="Q18" i="86"/>
  <c r="N18" i="86"/>
  <c r="O18" i="86" s="1"/>
  <c r="M18" i="86"/>
  <c r="F18" i="86"/>
  <c r="G18" i="86" s="1"/>
  <c r="E18" i="86"/>
  <c r="AH17" i="86"/>
  <c r="AI17" i="86" s="1"/>
  <c r="AG17" i="86"/>
  <c r="AD17" i="86"/>
  <c r="AE17" i="86" s="1"/>
  <c r="AC17" i="86"/>
  <c r="Z17" i="86"/>
  <c r="AA17" i="86" s="1"/>
  <c r="Y17" i="86"/>
  <c r="V17" i="86"/>
  <c r="W17" i="86" s="1"/>
  <c r="U17" i="86"/>
  <c r="R17" i="86"/>
  <c r="S17" i="86" s="1"/>
  <c r="Q17" i="86"/>
  <c r="N17" i="86"/>
  <c r="O17" i="86" s="1"/>
  <c r="M17" i="86"/>
  <c r="F17" i="86"/>
  <c r="G17" i="86" s="1"/>
  <c r="AJ17" i="86" s="1"/>
  <c r="AK17" i="86" s="1"/>
  <c r="AL17" i="86" s="1"/>
  <c r="E17" i="86"/>
  <c r="AH16" i="86"/>
  <c r="AI16" i="86" s="1"/>
  <c r="AG16" i="86"/>
  <c r="AD16" i="86"/>
  <c r="AE16" i="86" s="1"/>
  <c r="AC16" i="86"/>
  <c r="Z16" i="86"/>
  <c r="AA16" i="86" s="1"/>
  <c r="Y16" i="86"/>
  <c r="V16" i="86"/>
  <c r="W16" i="86" s="1"/>
  <c r="U16" i="86"/>
  <c r="R16" i="86"/>
  <c r="S16" i="86" s="1"/>
  <c r="Q16" i="86"/>
  <c r="N16" i="86"/>
  <c r="O16" i="86" s="1"/>
  <c r="M16" i="86"/>
  <c r="F16" i="86"/>
  <c r="G16" i="86" s="1"/>
  <c r="E16" i="86"/>
  <c r="AH15" i="86"/>
  <c r="AI15" i="86" s="1"/>
  <c r="AG15" i="86"/>
  <c r="AD15" i="86"/>
  <c r="AE15" i="86" s="1"/>
  <c r="AC15" i="86"/>
  <c r="Z15" i="86"/>
  <c r="AA15" i="86" s="1"/>
  <c r="Y15" i="86"/>
  <c r="V15" i="86"/>
  <c r="W15" i="86" s="1"/>
  <c r="U15" i="86"/>
  <c r="R15" i="86"/>
  <c r="S15" i="86" s="1"/>
  <c r="Q15" i="86"/>
  <c r="N15" i="86"/>
  <c r="O15" i="86" s="1"/>
  <c r="M15" i="86"/>
  <c r="F15" i="86"/>
  <c r="G15" i="86" s="1"/>
  <c r="E15" i="86"/>
  <c r="AH14" i="86"/>
  <c r="AI14" i="86" s="1"/>
  <c r="AG14" i="86"/>
  <c r="AD14" i="86"/>
  <c r="AE14" i="86" s="1"/>
  <c r="AC14" i="86"/>
  <c r="Z14" i="86"/>
  <c r="AA14" i="86" s="1"/>
  <c r="Y14" i="86"/>
  <c r="V14" i="86"/>
  <c r="W14" i="86" s="1"/>
  <c r="U14" i="86"/>
  <c r="R14" i="86"/>
  <c r="S14" i="86" s="1"/>
  <c r="Q14" i="86"/>
  <c r="N14" i="86"/>
  <c r="O14" i="86" s="1"/>
  <c r="M14" i="86"/>
  <c r="F14" i="86"/>
  <c r="G14" i="86" s="1"/>
  <c r="E14" i="86"/>
  <c r="AH13" i="86"/>
  <c r="AI13" i="86" s="1"/>
  <c r="AG13" i="86"/>
  <c r="AD13" i="86"/>
  <c r="AE13" i="86" s="1"/>
  <c r="AC13" i="86"/>
  <c r="Z13" i="86"/>
  <c r="AA13" i="86" s="1"/>
  <c r="Y13" i="86"/>
  <c r="V13" i="86"/>
  <c r="W13" i="86" s="1"/>
  <c r="U13" i="86"/>
  <c r="R13" i="86"/>
  <c r="S13" i="86" s="1"/>
  <c r="Q13" i="86"/>
  <c r="N13" i="86"/>
  <c r="O13" i="86" s="1"/>
  <c r="M13" i="86"/>
  <c r="AJ13" i="86"/>
  <c r="AK13" i="86" s="1"/>
  <c r="AL13" i="86" s="1"/>
  <c r="F13" i="86"/>
  <c r="G13" i="86" s="1"/>
  <c r="E13" i="86"/>
  <c r="AH12" i="86"/>
  <c r="AI12" i="86" s="1"/>
  <c r="AG12" i="86"/>
  <c r="AD12" i="86"/>
  <c r="AE12" i="86" s="1"/>
  <c r="AC12" i="86"/>
  <c r="Z12" i="86"/>
  <c r="AA12" i="86" s="1"/>
  <c r="Y12" i="86"/>
  <c r="V12" i="86"/>
  <c r="W12" i="86" s="1"/>
  <c r="U12" i="86"/>
  <c r="R12" i="86"/>
  <c r="S12" i="86" s="1"/>
  <c r="Q12" i="86"/>
  <c r="N12" i="86"/>
  <c r="O12" i="86" s="1"/>
  <c r="M12" i="86"/>
  <c r="F12" i="86"/>
  <c r="G12" i="86" s="1"/>
  <c r="E12" i="86"/>
  <c r="AH11" i="86"/>
  <c r="AI11" i="86" s="1"/>
  <c r="AG11" i="86"/>
  <c r="AD11" i="86"/>
  <c r="AE11" i="86" s="1"/>
  <c r="AC11" i="86"/>
  <c r="Z11" i="86"/>
  <c r="AA11" i="86" s="1"/>
  <c r="Y11" i="86"/>
  <c r="V11" i="86"/>
  <c r="W11" i="86" s="1"/>
  <c r="U11" i="86"/>
  <c r="R11" i="86"/>
  <c r="S11" i="86" s="1"/>
  <c r="Q11" i="86"/>
  <c r="N11" i="86"/>
  <c r="O11" i="86" s="1"/>
  <c r="M11" i="86"/>
  <c r="F11" i="86"/>
  <c r="G11" i="86" s="1"/>
  <c r="E11" i="86"/>
  <c r="AH10" i="86"/>
  <c r="AI10" i="86" s="1"/>
  <c r="AG10" i="86"/>
  <c r="AD10" i="86"/>
  <c r="AE10" i="86" s="1"/>
  <c r="AC10" i="86"/>
  <c r="Z10" i="86"/>
  <c r="AA10" i="86" s="1"/>
  <c r="Y10" i="86"/>
  <c r="V10" i="86"/>
  <c r="W10" i="86" s="1"/>
  <c r="U10" i="86"/>
  <c r="R10" i="86"/>
  <c r="S10" i="86" s="1"/>
  <c r="Q10" i="86"/>
  <c r="N10" i="86"/>
  <c r="O10" i="86" s="1"/>
  <c r="M10" i="86"/>
  <c r="F10" i="86"/>
  <c r="G10" i="86" s="1"/>
  <c r="E10" i="86"/>
  <c r="AH9" i="86"/>
  <c r="AI9" i="86" s="1"/>
  <c r="AG9" i="86"/>
  <c r="AD9" i="86"/>
  <c r="AE9" i="86" s="1"/>
  <c r="AC9" i="86"/>
  <c r="Z9" i="86"/>
  <c r="AA9" i="86" s="1"/>
  <c r="Y9" i="86"/>
  <c r="V9" i="86"/>
  <c r="W9" i="86" s="1"/>
  <c r="U9" i="86"/>
  <c r="R9" i="86"/>
  <c r="S9" i="86" s="1"/>
  <c r="Q9" i="86"/>
  <c r="N9" i="86"/>
  <c r="O9" i="86" s="1"/>
  <c r="M9" i="86"/>
  <c r="AJ9" i="86"/>
  <c r="AK9" i="86" s="1"/>
  <c r="AL9" i="86" s="1"/>
  <c r="F9" i="86"/>
  <c r="G9" i="86" s="1"/>
  <c r="E9" i="86"/>
  <c r="AH8" i="86"/>
  <c r="AI8" i="86" s="1"/>
  <c r="AG8" i="86"/>
  <c r="AD8" i="86"/>
  <c r="AE8" i="86" s="1"/>
  <c r="AC8" i="86"/>
  <c r="Z8" i="86"/>
  <c r="AA8" i="86" s="1"/>
  <c r="Y8" i="86"/>
  <c r="V8" i="86"/>
  <c r="W8" i="86" s="1"/>
  <c r="U8" i="86"/>
  <c r="R8" i="86"/>
  <c r="S8" i="86" s="1"/>
  <c r="Q8" i="86"/>
  <c r="N8" i="86"/>
  <c r="O8" i="86" s="1"/>
  <c r="M8" i="86"/>
  <c r="F8" i="86"/>
  <c r="G8" i="86" s="1"/>
  <c r="E8" i="86"/>
  <c r="AH7" i="86"/>
  <c r="AI7" i="86" s="1"/>
  <c r="AG7" i="86"/>
  <c r="AD7" i="86"/>
  <c r="AE7" i="86" s="1"/>
  <c r="AC7" i="86"/>
  <c r="Z7" i="86"/>
  <c r="AA7" i="86" s="1"/>
  <c r="Y7" i="86"/>
  <c r="V7" i="86"/>
  <c r="W7" i="86" s="1"/>
  <c r="U7" i="86"/>
  <c r="R7" i="86"/>
  <c r="S7" i="86" s="1"/>
  <c r="Q7" i="86"/>
  <c r="N7" i="86"/>
  <c r="O7" i="86" s="1"/>
  <c r="M7" i="86"/>
  <c r="F7" i="86"/>
  <c r="G7" i="86" s="1"/>
  <c r="E7" i="86"/>
  <c r="AH6" i="86"/>
  <c r="AI6" i="86" s="1"/>
  <c r="AG6" i="86"/>
  <c r="AD6" i="86"/>
  <c r="AE6" i="86" s="1"/>
  <c r="AC6" i="86"/>
  <c r="Z6" i="86"/>
  <c r="AA6" i="86" s="1"/>
  <c r="Y6" i="86"/>
  <c r="V6" i="86"/>
  <c r="W6" i="86" s="1"/>
  <c r="U6" i="86"/>
  <c r="R6" i="86"/>
  <c r="S6" i="86" s="1"/>
  <c r="Q6" i="86"/>
  <c r="N6" i="86"/>
  <c r="O6" i="86" s="1"/>
  <c r="M6" i="86"/>
  <c r="F6" i="86"/>
  <c r="G6" i="86" s="1"/>
  <c r="E6" i="86"/>
  <c r="AH5" i="86"/>
  <c r="AI5" i="86" s="1"/>
  <c r="AG5" i="86"/>
  <c r="AD5" i="86"/>
  <c r="AE5" i="86" s="1"/>
  <c r="AC5" i="86"/>
  <c r="Z5" i="86"/>
  <c r="AA5" i="86" s="1"/>
  <c r="Y5" i="86"/>
  <c r="V5" i="86"/>
  <c r="W5" i="86" s="1"/>
  <c r="U5" i="86"/>
  <c r="R5" i="86"/>
  <c r="S5" i="86" s="1"/>
  <c r="Q5" i="86"/>
  <c r="N5" i="86"/>
  <c r="O5" i="86" s="1"/>
  <c r="M5" i="86"/>
  <c r="J5" i="86"/>
  <c r="I5" i="86"/>
  <c r="F5" i="86"/>
  <c r="G5" i="86" s="1"/>
  <c r="E5" i="86"/>
  <c r="AD24" i="85"/>
  <c r="AE24" i="85" s="1"/>
  <c r="AC24" i="85"/>
  <c r="Z24" i="85"/>
  <c r="AA24" i="85" s="1"/>
  <c r="Y24" i="85"/>
  <c r="V24" i="85"/>
  <c r="W24" i="85" s="1"/>
  <c r="U24" i="85"/>
  <c r="R24" i="85"/>
  <c r="S24" i="85" s="1"/>
  <c r="Q24" i="85"/>
  <c r="N24" i="85"/>
  <c r="O24" i="85" s="1"/>
  <c r="M24" i="85"/>
  <c r="F24" i="85"/>
  <c r="G24" i="85" s="1"/>
  <c r="E24" i="85"/>
  <c r="AD23" i="85"/>
  <c r="AE23" i="85" s="1"/>
  <c r="AC23" i="85"/>
  <c r="Z23" i="85"/>
  <c r="AA23" i="85" s="1"/>
  <c r="Y23" i="85"/>
  <c r="V23" i="85"/>
  <c r="W23" i="85" s="1"/>
  <c r="U23" i="85"/>
  <c r="R23" i="85"/>
  <c r="S23" i="85" s="1"/>
  <c r="Q23" i="85"/>
  <c r="N23" i="85"/>
  <c r="O23" i="85" s="1"/>
  <c r="M23" i="85"/>
  <c r="F23" i="85"/>
  <c r="G23" i="85" s="1"/>
  <c r="E23" i="85"/>
  <c r="AD22" i="85"/>
  <c r="AE22" i="85" s="1"/>
  <c r="AC22" i="85"/>
  <c r="Z22" i="85"/>
  <c r="AA22" i="85" s="1"/>
  <c r="Y22" i="85"/>
  <c r="V22" i="85"/>
  <c r="W22" i="85" s="1"/>
  <c r="U22" i="85"/>
  <c r="R22" i="85"/>
  <c r="S22" i="85" s="1"/>
  <c r="Q22" i="85"/>
  <c r="N22" i="85"/>
  <c r="O22" i="85" s="1"/>
  <c r="M22" i="85"/>
  <c r="F22" i="85"/>
  <c r="G22" i="85" s="1"/>
  <c r="E22" i="85"/>
  <c r="AD21" i="85"/>
  <c r="AE21" i="85" s="1"/>
  <c r="AC21" i="85"/>
  <c r="Z21" i="85"/>
  <c r="AA21" i="85" s="1"/>
  <c r="Y21" i="85"/>
  <c r="V21" i="85"/>
  <c r="W21" i="85" s="1"/>
  <c r="U21" i="85"/>
  <c r="R21" i="85"/>
  <c r="S21" i="85" s="1"/>
  <c r="Q21" i="85"/>
  <c r="N21" i="85"/>
  <c r="O21" i="85" s="1"/>
  <c r="M21" i="85"/>
  <c r="F21" i="85"/>
  <c r="G21" i="85" s="1"/>
  <c r="E21" i="85"/>
  <c r="AD20" i="85"/>
  <c r="AE20" i="85" s="1"/>
  <c r="AC20" i="85"/>
  <c r="Z20" i="85"/>
  <c r="AA20" i="85" s="1"/>
  <c r="Y20" i="85"/>
  <c r="V20" i="85"/>
  <c r="W20" i="85" s="1"/>
  <c r="U20" i="85"/>
  <c r="R20" i="85"/>
  <c r="S20" i="85" s="1"/>
  <c r="Q20" i="85"/>
  <c r="N20" i="85"/>
  <c r="O20" i="85" s="1"/>
  <c r="M20" i="85"/>
  <c r="F20" i="85"/>
  <c r="G20" i="85" s="1"/>
  <c r="E20" i="85"/>
  <c r="AD19" i="85"/>
  <c r="AE19" i="85" s="1"/>
  <c r="AC19" i="85"/>
  <c r="Z19" i="85"/>
  <c r="AA19" i="85" s="1"/>
  <c r="Y19" i="85"/>
  <c r="V19" i="85"/>
  <c r="W19" i="85" s="1"/>
  <c r="U19" i="85"/>
  <c r="R19" i="85"/>
  <c r="S19" i="85" s="1"/>
  <c r="Q19" i="85"/>
  <c r="N19" i="85"/>
  <c r="O19" i="85" s="1"/>
  <c r="M19" i="85"/>
  <c r="F19" i="85"/>
  <c r="G19" i="85" s="1"/>
  <c r="E19" i="85"/>
  <c r="AD12" i="85"/>
  <c r="AC12" i="85"/>
  <c r="Z12" i="85"/>
  <c r="Y12" i="85"/>
  <c r="V12" i="85"/>
  <c r="W12" i="85" s="1"/>
  <c r="U12" i="85"/>
  <c r="R12" i="85"/>
  <c r="S12" i="85" s="1"/>
  <c r="Q12" i="85"/>
  <c r="N12" i="85"/>
  <c r="O12" i="85" s="1"/>
  <c r="M12" i="85"/>
  <c r="F12" i="85"/>
  <c r="G12" i="85" s="1"/>
  <c r="E12" i="85"/>
  <c r="AD16" i="85"/>
  <c r="AE16" i="85" s="1"/>
  <c r="AC16" i="85"/>
  <c r="Z16" i="85"/>
  <c r="AA16" i="85" s="1"/>
  <c r="Y16" i="85"/>
  <c r="V16" i="85"/>
  <c r="W16" i="85" s="1"/>
  <c r="U16" i="85"/>
  <c r="R16" i="85"/>
  <c r="S16" i="85" s="1"/>
  <c r="Q16" i="85"/>
  <c r="N16" i="85"/>
  <c r="O16" i="85" s="1"/>
  <c r="M16" i="85"/>
  <c r="F16" i="85"/>
  <c r="G16" i="85" s="1"/>
  <c r="E16" i="85"/>
  <c r="AD15" i="85"/>
  <c r="AE15" i="85" s="1"/>
  <c r="AC15" i="85"/>
  <c r="Z15" i="85"/>
  <c r="AA15" i="85" s="1"/>
  <c r="Y15" i="85"/>
  <c r="V15" i="85"/>
  <c r="W15" i="85" s="1"/>
  <c r="U15" i="85"/>
  <c r="R15" i="85"/>
  <c r="S15" i="85" s="1"/>
  <c r="Q15" i="85"/>
  <c r="N15" i="85"/>
  <c r="O15" i="85" s="1"/>
  <c r="M15" i="85"/>
  <c r="F15" i="85"/>
  <c r="G15" i="85" s="1"/>
  <c r="E15" i="85"/>
  <c r="AD18" i="85"/>
  <c r="AE18" i="85" s="1"/>
  <c r="AC18" i="85"/>
  <c r="Z18" i="85"/>
  <c r="AA18" i="85" s="1"/>
  <c r="Y18" i="85"/>
  <c r="V18" i="85"/>
  <c r="W18" i="85" s="1"/>
  <c r="U18" i="85"/>
  <c r="R18" i="85"/>
  <c r="S18" i="85" s="1"/>
  <c r="Q18" i="85"/>
  <c r="N18" i="85"/>
  <c r="O18" i="85" s="1"/>
  <c r="M18" i="85"/>
  <c r="F18" i="85"/>
  <c r="G18" i="85" s="1"/>
  <c r="E18" i="85"/>
  <c r="AD5" i="85"/>
  <c r="AC5" i="85"/>
  <c r="Z5" i="85"/>
  <c r="Y5" i="85"/>
  <c r="V5" i="85"/>
  <c r="W5" i="85" s="1"/>
  <c r="U5" i="85"/>
  <c r="R5" i="85"/>
  <c r="Q5" i="85"/>
  <c r="N5" i="85"/>
  <c r="M5" i="85"/>
  <c r="F5" i="85"/>
  <c r="G5" i="85" s="1"/>
  <c r="E5" i="85"/>
  <c r="AD11" i="85"/>
  <c r="AE11" i="85" s="1"/>
  <c r="AC11" i="85"/>
  <c r="Z11" i="85"/>
  <c r="AA11" i="85" s="1"/>
  <c r="R12" i="87" s="1"/>
  <c r="Y11" i="85"/>
  <c r="V11" i="85"/>
  <c r="W11" i="85" s="1"/>
  <c r="O12" i="87" s="1"/>
  <c r="U11" i="85"/>
  <c r="R11" i="85"/>
  <c r="Q11" i="85"/>
  <c r="N11" i="85"/>
  <c r="O11" i="85" s="1"/>
  <c r="I12" i="87" s="1"/>
  <c r="M11" i="85"/>
  <c r="F11" i="85"/>
  <c r="E11" i="85"/>
  <c r="AD10" i="85"/>
  <c r="AC10" i="85"/>
  <c r="Z10" i="85"/>
  <c r="Y10" i="85"/>
  <c r="V10" i="85"/>
  <c r="W10" i="85" s="1"/>
  <c r="U10" i="85"/>
  <c r="R10" i="85"/>
  <c r="S10" i="85" s="1"/>
  <c r="Q10" i="85"/>
  <c r="N10" i="85"/>
  <c r="O10" i="85" s="1"/>
  <c r="M10" i="85"/>
  <c r="F10" i="85"/>
  <c r="G10" i="85" s="1"/>
  <c r="E10" i="85"/>
  <c r="AD7" i="85"/>
  <c r="AC7" i="85"/>
  <c r="Z7" i="85"/>
  <c r="Y7" i="85"/>
  <c r="V7" i="85"/>
  <c r="W7" i="85" s="1"/>
  <c r="U7" i="85"/>
  <c r="R7" i="85"/>
  <c r="S7" i="85" s="1"/>
  <c r="Q7" i="85"/>
  <c r="N7" i="85"/>
  <c r="O7" i="85" s="1"/>
  <c r="M7" i="85"/>
  <c r="F7" i="85"/>
  <c r="E7" i="85"/>
  <c r="AD9" i="85"/>
  <c r="AE9" i="85" s="1"/>
  <c r="AC9" i="85"/>
  <c r="Z9" i="85"/>
  <c r="AA9" i="85" s="1"/>
  <c r="Y9" i="85"/>
  <c r="V9" i="85"/>
  <c r="U9" i="85"/>
  <c r="R9" i="85"/>
  <c r="Q9" i="85"/>
  <c r="N9" i="85"/>
  <c r="O9" i="85" s="1"/>
  <c r="M9" i="85"/>
  <c r="F9" i="85"/>
  <c r="G9" i="85" s="1"/>
  <c r="E9" i="85"/>
  <c r="AD17" i="85"/>
  <c r="AC17" i="85"/>
  <c r="Z17" i="85"/>
  <c r="Y17" i="85"/>
  <c r="V17" i="85"/>
  <c r="W17" i="85" s="1"/>
  <c r="U17" i="85"/>
  <c r="R17" i="85"/>
  <c r="Q17" i="85"/>
  <c r="N17" i="85"/>
  <c r="M17" i="85"/>
  <c r="F17" i="85"/>
  <c r="G17" i="85" s="1"/>
  <c r="E17" i="85"/>
  <c r="AD13" i="85"/>
  <c r="AE13" i="85" s="1"/>
  <c r="AC13" i="85"/>
  <c r="Z13" i="85"/>
  <c r="AA13" i="85" s="1"/>
  <c r="Y13" i="85"/>
  <c r="V13" i="85"/>
  <c r="W13" i="85" s="1"/>
  <c r="U13" i="85"/>
  <c r="R13" i="85"/>
  <c r="Q13" i="85"/>
  <c r="N13" i="85"/>
  <c r="O13" i="85" s="1"/>
  <c r="M13" i="85"/>
  <c r="F13" i="85"/>
  <c r="G13" i="85" s="1"/>
  <c r="E13" i="85"/>
  <c r="AD6" i="85"/>
  <c r="AC6" i="85"/>
  <c r="Z6" i="85"/>
  <c r="Y6" i="85"/>
  <c r="V6" i="85"/>
  <c r="U6" i="85"/>
  <c r="R6" i="85"/>
  <c r="Q6" i="85"/>
  <c r="N6" i="85"/>
  <c r="M6" i="85"/>
  <c r="J6" i="85"/>
  <c r="I6" i="85"/>
  <c r="F6" i="85"/>
  <c r="E6" i="85"/>
  <c r="AD8" i="85"/>
  <c r="AC8" i="85"/>
  <c r="Z8" i="85"/>
  <c r="AA8" i="85" s="1"/>
  <c r="Y8" i="85"/>
  <c r="V8" i="85"/>
  <c r="U8" i="85"/>
  <c r="R8" i="85"/>
  <c r="S8" i="85" s="1"/>
  <c r="Q8" i="85"/>
  <c r="N8" i="85"/>
  <c r="M8" i="85"/>
  <c r="F8" i="85"/>
  <c r="E8" i="85"/>
  <c r="AD24" i="84"/>
  <c r="AE24" i="84" s="1"/>
  <c r="AC24" i="84"/>
  <c r="Z24" i="84"/>
  <c r="AA24" i="84" s="1"/>
  <c r="Y24" i="84"/>
  <c r="V24" i="84"/>
  <c r="W24" i="84" s="1"/>
  <c r="U24" i="84"/>
  <c r="R24" i="84"/>
  <c r="S24" i="84" s="1"/>
  <c r="Q24" i="84"/>
  <c r="N24" i="84"/>
  <c r="O24" i="84" s="1"/>
  <c r="M24" i="84"/>
  <c r="F24" i="84"/>
  <c r="G24" i="84" s="1"/>
  <c r="E24" i="84"/>
  <c r="AD23" i="84"/>
  <c r="AE23" i="84" s="1"/>
  <c r="AC23" i="84"/>
  <c r="Z23" i="84"/>
  <c r="AA23" i="84" s="1"/>
  <c r="Y23" i="84"/>
  <c r="V23" i="84"/>
  <c r="W23" i="84" s="1"/>
  <c r="U23" i="84"/>
  <c r="R23" i="84"/>
  <c r="S23" i="84" s="1"/>
  <c r="Q23" i="84"/>
  <c r="N23" i="84"/>
  <c r="O23" i="84" s="1"/>
  <c r="M23" i="84"/>
  <c r="F23" i="84"/>
  <c r="G23" i="84" s="1"/>
  <c r="E23" i="84"/>
  <c r="AD22" i="84"/>
  <c r="AE22" i="84" s="1"/>
  <c r="AC22" i="84"/>
  <c r="Z22" i="84"/>
  <c r="AA22" i="84" s="1"/>
  <c r="Y22" i="84"/>
  <c r="V22" i="84"/>
  <c r="W22" i="84" s="1"/>
  <c r="U22" i="84"/>
  <c r="R22" i="84"/>
  <c r="S22" i="84" s="1"/>
  <c r="Q22" i="84"/>
  <c r="N22" i="84"/>
  <c r="O22" i="84" s="1"/>
  <c r="M22" i="84"/>
  <c r="F22" i="84"/>
  <c r="G22" i="84" s="1"/>
  <c r="E22" i="84"/>
  <c r="AD21" i="84"/>
  <c r="AE21" i="84" s="1"/>
  <c r="AC21" i="84"/>
  <c r="Z21" i="84"/>
  <c r="AA21" i="84" s="1"/>
  <c r="Y21" i="84"/>
  <c r="V21" i="84"/>
  <c r="W21" i="84" s="1"/>
  <c r="U21" i="84"/>
  <c r="R21" i="84"/>
  <c r="S21" i="84" s="1"/>
  <c r="Q21" i="84"/>
  <c r="N21" i="84"/>
  <c r="O21" i="84" s="1"/>
  <c r="M21" i="84"/>
  <c r="F21" i="84"/>
  <c r="G21" i="84" s="1"/>
  <c r="E21" i="84"/>
  <c r="AD20" i="84"/>
  <c r="AE20" i="84" s="1"/>
  <c r="AC20" i="84"/>
  <c r="Z20" i="84"/>
  <c r="AA20" i="84" s="1"/>
  <c r="Y20" i="84"/>
  <c r="V20" i="84"/>
  <c r="W20" i="84" s="1"/>
  <c r="U20" i="84"/>
  <c r="R20" i="84"/>
  <c r="S20" i="84" s="1"/>
  <c r="Q20" i="84"/>
  <c r="N20" i="84"/>
  <c r="O20" i="84" s="1"/>
  <c r="M20" i="84"/>
  <c r="F20" i="84"/>
  <c r="G20" i="84" s="1"/>
  <c r="E20" i="84"/>
  <c r="AD19" i="84"/>
  <c r="AE19" i="84" s="1"/>
  <c r="AC19" i="84"/>
  <c r="Z19" i="84"/>
  <c r="AA19" i="84" s="1"/>
  <c r="Y19" i="84"/>
  <c r="V19" i="84"/>
  <c r="W19" i="84" s="1"/>
  <c r="U19" i="84"/>
  <c r="R19" i="84"/>
  <c r="S19" i="84" s="1"/>
  <c r="Q19" i="84"/>
  <c r="N19" i="84"/>
  <c r="O19" i="84" s="1"/>
  <c r="M19" i="84"/>
  <c r="F19" i="84"/>
  <c r="G19" i="84" s="1"/>
  <c r="E19" i="84"/>
  <c r="AD18" i="84"/>
  <c r="AE18" i="84" s="1"/>
  <c r="AC18" i="84"/>
  <c r="Z18" i="84"/>
  <c r="AA18" i="84" s="1"/>
  <c r="Y18" i="84"/>
  <c r="V18" i="84"/>
  <c r="W18" i="84" s="1"/>
  <c r="U18" i="84"/>
  <c r="R18" i="84"/>
  <c r="S18" i="84" s="1"/>
  <c r="Q18" i="84"/>
  <c r="N18" i="84"/>
  <c r="O18" i="84" s="1"/>
  <c r="M18" i="84"/>
  <c r="F18" i="84"/>
  <c r="G18" i="84" s="1"/>
  <c r="E18" i="84"/>
  <c r="AD17" i="84"/>
  <c r="AE17" i="84" s="1"/>
  <c r="AC17" i="84"/>
  <c r="Z17" i="84"/>
  <c r="AA17" i="84" s="1"/>
  <c r="Y17" i="84"/>
  <c r="V17" i="84"/>
  <c r="W17" i="84" s="1"/>
  <c r="U17" i="84"/>
  <c r="R17" i="84"/>
  <c r="S17" i="84" s="1"/>
  <c r="Q17" i="84"/>
  <c r="N17" i="84"/>
  <c r="O17" i="84" s="1"/>
  <c r="M17" i="84"/>
  <c r="F17" i="84"/>
  <c r="G17" i="84" s="1"/>
  <c r="E17" i="84"/>
  <c r="AD12" i="84"/>
  <c r="AE12" i="84" s="1"/>
  <c r="AC12" i="84"/>
  <c r="Z12" i="84"/>
  <c r="AA12" i="84" s="1"/>
  <c r="Y12" i="84"/>
  <c r="V12" i="84"/>
  <c r="U12" i="84"/>
  <c r="R12" i="84"/>
  <c r="Q12" i="84"/>
  <c r="N12" i="84"/>
  <c r="O12" i="84" s="1"/>
  <c r="M12" i="84"/>
  <c r="F12" i="84"/>
  <c r="G12" i="84" s="1"/>
  <c r="E12" i="84"/>
  <c r="AD14" i="84"/>
  <c r="AE14" i="84" s="1"/>
  <c r="AC14" i="84"/>
  <c r="Z14" i="84"/>
  <c r="AA14" i="84" s="1"/>
  <c r="Y14" i="84"/>
  <c r="V14" i="84"/>
  <c r="W14" i="84" s="1"/>
  <c r="U14" i="84"/>
  <c r="R14" i="84"/>
  <c r="S14" i="84" s="1"/>
  <c r="Q14" i="84"/>
  <c r="N14" i="84"/>
  <c r="O14" i="84" s="1"/>
  <c r="M14" i="84"/>
  <c r="F14" i="84"/>
  <c r="G14" i="84" s="1"/>
  <c r="E14" i="84"/>
  <c r="AD8" i="84"/>
  <c r="AC8" i="84"/>
  <c r="Z8" i="84"/>
  <c r="Y8" i="84"/>
  <c r="V8" i="84"/>
  <c r="U8" i="84"/>
  <c r="R8" i="84"/>
  <c r="Q8" i="84"/>
  <c r="N8" i="84"/>
  <c r="M8" i="84"/>
  <c r="F8" i="84"/>
  <c r="G8" i="84" s="1"/>
  <c r="E8" i="84"/>
  <c r="AD16" i="84"/>
  <c r="AE16" i="84" s="1"/>
  <c r="AC16" i="84"/>
  <c r="Z16" i="84"/>
  <c r="AA16" i="84" s="1"/>
  <c r="Y16" i="84"/>
  <c r="V16" i="84"/>
  <c r="W16" i="84" s="1"/>
  <c r="U16" i="84"/>
  <c r="R16" i="84"/>
  <c r="S16" i="84" s="1"/>
  <c r="Q16" i="84"/>
  <c r="N16" i="84"/>
  <c r="O16" i="84" s="1"/>
  <c r="M16" i="84"/>
  <c r="F16" i="84"/>
  <c r="G16" i="84" s="1"/>
  <c r="E16" i="84"/>
  <c r="AD13" i="84"/>
  <c r="AE13" i="84" s="1"/>
  <c r="AC13" i="84"/>
  <c r="Z13" i="84"/>
  <c r="AA13" i="84" s="1"/>
  <c r="Y13" i="84"/>
  <c r="V13" i="84"/>
  <c r="U13" i="84"/>
  <c r="R13" i="84"/>
  <c r="Q13" i="84"/>
  <c r="N13" i="84"/>
  <c r="O13" i="84" s="1"/>
  <c r="M13" i="84"/>
  <c r="F13" i="84"/>
  <c r="E13" i="84"/>
  <c r="AD7" i="84"/>
  <c r="AC7" i="84"/>
  <c r="Z7" i="84"/>
  <c r="Y7" i="84"/>
  <c r="V7" i="84"/>
  <c r="U7" i="84"/>
  <c r="R7" i="84"/>
  <c r="Q7" i="84"/>
  <c r="N7" i="84"/>
  <c r="O7" i="84" s="1"/>
  <c r="M7" i="84"/>
  <c r="F7" i="84"/>
  <c r="E7" i="84"/>
  <c r="AD11" i="84"/>
  <c r="AC11" i="84"/>
  <c r="Z11" i="84"/>
  <c r="Y11" i="84"/>
  <c r="V11" i="84"/>
  <c r="U11" i="84"/>
  <c r="R11" i="84"/>
  <c r="Q11" i="84"/>
  <c r="N11" i="84"/>
  <c r="O11" i="84" s="1"/>
  <c r="M11" i="84"/>
  <c r="F11" i="84"/>
  <c r="G11" i="84" s="1"/>
  <c r="E11" i="84"/>
  <c r="AD15" i="84"/>
  <c r="AE15" i="84" s="1"/>
  <c r="AC15" i="84"/>
  <c r="Z15" i="84"/>
  <c r="AA15" i="84" s="1"/>
  <c r="Y15" i="84"/>
  <c r="V15" i="84"/>
  <c r="W15" i="84" s="1"/>
  <c r="U15" i="84"/>
  <c r="R15" i="84"/>
  <c r="S15" i="84" s="1"/>
  <c r="Q15" i="84"/>
  <c r="N15" i="84"/>
  <c r="O15" i="84" s="1"/>
  <c r="M15" i="84"/>
  <c r="F15" i="84"/>
  <c r="G15" i="84" s="1"/>
  <c r="E15" i="84"/>
  <c r="Y13" i="87"/>
  <c r="AD6" i="84"/>
  <c r="AC6" i="84"/>
  <c r="Z6" i="84"/>
  <c r="Y6" i="84"/>
  <c r="V6" i="84"/>
  <c r="U6" i="84"/>
  <c r="R6" i="84"/>
  <c r="Q6" i="84"/>
  <c r="N6" i="84"/>
  <c r="M6" i="84"/>
  <c r="F6" i="84"/>
  <c r="E6" i="84"/>
  <c r="AD5" i="84"/>
  <c r="AC5" i="84"/>
  <c r="Z5" i="84"/>
  <c r="Y5" i="84"/>
  <c r="V5" i="84"/>
  <c r="U5" i="84"/>
  <c r="R5" i="84"/>
  <c r="Q5" i="84"/>
  <c r="N5" i="84"/>
  <c r="M5" i="84"/>
  <c r="F5" i="84"/>
  <c r="E5" i="84"/>
  <c r="AD10" i="84"/>
  <c r="AE10" i="84" s="1"/>
  <c r="AC10" i="84"/>
  <c r="Z10" i="84"/>
  <c r="Y10" i="84"/>
  <c r="V10" i="84"/>
  <c r="U10" i="84"/>
  <c r="R10" i="84"/>
  <c r="Q10" i="84"/>
  <c r="N10" i="84"/>
  <c r="M10" i="84"/>
  <c r="F10" i="84"/>
  <c r="E10" i="84"/>
  <c r="AD9" i="84"/>
  <c r="AC9" i="84"/>
  <c r="Z9" i="84"/>
  <c r="Y9" i="84"/>
  <c r="V9" i="84"/>
  <c r="U9" i="84"/>
  <c r="R9" i="84"/>
  <c r="Q9" i="84"/>
  <c r="N9" i="84"/>
  <c r="M9" i="84"/>
  <c r="J9" i="84"/>
  <c r="I9" i="84"/>
  <c r="F9" i="84"/>
  <c r="E9" i="84"/>
  <c r="AD24" i="83"/>
  <c r="AE24" i="83" s="1"/>
  <c r="AC24" i="83"/>
  <c r="Z24" i="83"/>
  <c r="AA24" i="83" s="1"/>
  <c r="Y24" i="83"/>
  <c r="V24" i="83"/>
  <c r="W24" i="83" s="1"/>
  <c r="U24" i="83"/>
  <c r="R24" i="83"/>
  <c r="S24" i="83" s="1"/>
  <c r="Q24" i="83"/>
  <c r="N24" i="83"/>
  <c r="O24" i="83" s="1"/>
  <c r="M24" i="83"/>
  <c r="F24" i="83"/>
  <c r="G24" i="83" s="1"/>
  <c r="E24" i="83"/>
  <c r="AD23" i="83"/>
  <c r="AE23" i="83" s="1"/>
  <c r="AC23" i="83"/>
  <c r="Z23" i="83"/>
  <c r="AA23" i="83" s="1"/>
  <c r="Y23" i="83"/>
  <c r="V23" i="83"/>
  <c r="W23" i="83" s="1"/>
  <c r="U23" i="83"/>
  <c r="R23" i="83"/>
  <c r="S23" i="83" s="1"/>
  <c r="Q23" i="83"/>
  <c r="N23" i="83"/>
  <c r="O23" i="83" s="1"/>
  <c r="M23" i="83"/>
  <c r="F23" i="83"/>
  <c r="G23" i="83" s="1"/>
  <c r="E23" i="83"/>
  <c r="AD22" i="83"/>
  <c r="AE22" i="83" s="1"/>
  <c r="AC22" i="83"/>
  <c r="Z22" i="83"/>
  <c r="AA22" i="83" s="1"/>
  <c r="Y22" i="83"/>
  <c r="V22" i="83"/>
  <c r="W22" i="83" s="1"/>
  <c r="U22" i="83"/>
  <c r="R22" i="83"/>
  <c r="S22" i="83" s="1"/>
  <c r="Q22" i="83"/>
  <c r="N22" i="83"/>
  <c r="O22" i="83" s="1"/>
  <c r="M22" i="83"/>
  <c r="F22" i="83"/>
  <c r="G22" i="83" s="1"/>
  <c r="E22" i="83"/>
  <c r="AD21" i="83"/>
  <c r="AE21" i="83" s="1"/>
  <c r="AC21" i="83"/>
  <c r="Z21" i="83"/>
  <c r="AA21" i="83" s="1"/>
  <c r="Y21" i="83"/>
  <c r="V21" i="83"/>
  <c r="W21" i="83" s="1"/>
  <c r="U21" i="83"/>
  <c r="R21" i="83"/>
  <c r="S21" i="83" s="1"/>
  <c r="Q21" i="83"/>
  <c r="N21" i="83"/>
  <c r="O21" i="83" s="1"/>
  <c r="M21" i="83"/>
  <c r="F21" i="83"/>
  <c r="G21" i="83" s="1"/>
  <c r="E21" i="83"/>
  <c r="AD20" i="83"/>
  <c r="AE20" i="83" s="1"/>
  <c r="AC20" i="83"/>
  <c r="Z20" i="83"/>
  <c r="AA20" i="83" s="1"/>
  <c r="Y20" i="83"/>
  <c r="V20" i="83"/>
  <c r="W20" i="83" s="1"/>
  <c r="U20" i="83"/>
  <c r="R20" i="83"/>
  <c r="S20" i="83" s="1"/>
  <c r="Q20" i="83"/>
  <c r="N20" i="83"/>
  <c r="O20" i="83" s="1"/>
  <c r="M20" i="83"/>
  <c r="F20" i="83"/>
  <c r="G20" i="83" s="1"/>
  <c r="E20" i="83"/>
  <c r="AD19" i="83"/>
  <c r="AE19" i="83" s="1"/>
  <c r="AC19" i="83"/>
  <c r="Z19" i="83"/>
  <c r="AA19" i="83" s="1"/>
  <c r="Y19" i="83"/>
  <c r="V19" i="83"/>
  <c r="W19" i="83" s="1"/>
  <c r="U19" i="83"/>
  <c r="R19" i="83"/>
  <c r="S19" i="83" s="1"/>
  <c r="Q19" i="83"/>
  <c r="N19" i="83"/>
  <c r="O19" i="83" s="1"/>
  <c r="M19" i="83"/>
  <c r="F19" i="83"/>
  <c r="G19" i="83" s="1"/>
  <c r="E19" i="83"/>
  <c r="AD18" i="83"/>
  <c r="AE18" i="83" s="1"/>
  <c r="AC18" i="83"/>
  <c r="Z18" i="83"/>
  <c r="AA18" i="83" s="1"/>
  <c r="Y18" i="83"/>
  <c r="V18" i="83"/>
  <c r="W18" i="83" s="1"/>
  <c r="U18" i="83"/>
  <c r="R18" i="83"/>
  <c r="S18" i="83" s="1"/>
  <c r="Q18" i="83"/>
  <c r="N18" i="83"/>
  <c r="O18" i="83" s="1"/>
  <c r="M18" i="83"/>
  <c r="F18" i="83"/>
  <c r="G18" i="83" s="1"/>
  <c r="E18" i="83"/>
  <c r="AD14" i="83"/>
  <c r="AC14" i="83"/>
  <c r="Z14" i="83"/>
  <c r="AA14" i="83" s="1"/>
  <c r="Y14" i="83"/>
  <c r="V14" i="83"/>
  <c r="U14" i="83"/>
  <c r="R14" i="83"/>
  <c r="S14" i="83" s="1"/>
  <c r="Q14" i="83"/>
  <c r="N14" i="83"/>
  <c r="O14" i="83" s="1"/>
  <c r="M14" i="83"/>
  <c r="F14" i="83"/>
  <c r="G14" i="83" s="1"/>
  <c r="E14" i="83"/>
  <c r="AD17" i="83"/>
  <c r="AE17" i="83" s="1"/>
  <c r="AC17" i="83"/>
  <c r="Z17" i="83"/>
  <c r="AA17" i="83" s="1"/>
  <c r="Y17" i="83"/>
  <c r="V17" i="83"/>
  <c r="W17" i="83" s="1"/>
  <c r="U17" i="83"/>
  <c r="R17" i="83"/>
  <c r="Q17" i="83"/>
  <c r="N17" i="83"/>
  <c r="M17" i="83"/>
  <c r="F17" i="83"/>
  <c r="G17" i="83" s="1"/>
  <c r="E17" i="83"/>
  <c r="AD16" i="83"/>
  <c r="AE16" i="83" s="1"/>
  <c r="AC16" i="83"/>
  <c r="Z16" i="83"/>
  <c r="AA16" i="83" s="1"/>
  <c r="Y16" i="83"/>
  <c r="V16" i="83"/>
  <c r="W16" i="83" s="1"/>
  <c r="U16" i="83"/>
  <c r="R16" i="83"/>
  <c r="S16" i="83" s="1"/>
  <c r="Q16" i="83"/>
  <c r="N16" i="83"/>
  <c r="M16" i="83"/>
  <c r="F16" i="83"/>
  <c r="G16" i="83" s="1"/>
  <c r="E16" i="83"/>
  <c r="AD10" i="83"/>
  <c r="AE10" i="83" s="1"/>
  <c r="AC10" i="83"/>
  <c r="Z10" i="83"/>
  <c r="AA10" i="83" s="1"/>
  <c r="Y10" i="83"/>
  <c r="V10" i="83"/>
  <c r="U10" i="83"/>
  <c r="R10" i="83"/>
  <c r="S10" i="83" s="1"/>
  <c r="Q10" i="83"/>
  <c r="N10" i="83"/>
  <c r="M10" i="83"/>
  <c r="F10" i="83"/>
  <c r="E10" i="83"/>
  <c r="AD11" i="83"/>
  <c r="AE11" i="83" s="1"/>
  <c r="AC11" i="83"/>
  <c r="Z11" i="83"/>
  <c r="Y11" i="83"/>
  <c r="V11" i="83"/>
  <c r="U11" i="83"/>
  <c r="R11" i="83"/>
  <c r="Q11" i="83"/>
  <c r="N11" i="83"/>
  <c r="O11" i="83" s="1"/>
  <c r="M11" i="83"/>
  <c r="F11" i="83"/>
  <c r="G11" i="83" s="1"/>
  <c r="E11" i="83"/>
  <c r="AD13" i="83"/>
  <c r="AE13" i="83" s="1"/>
  <c r="AC13" i="83"/>
  <c r="Z13" i="83"/>
  <c r="AA13" i="83" s="1"/>
  <c r="Y13" i="83"/>
  <c r="V13" i="83"/>
  <c r="W13" i="83" s="1"/>
  <c r="U13" i="83"/>
  <c r="R13" i="83"/>
  <c r="Q13" i="83"/>
  <c r="N13" i="83"/>
  <c r="O13" i="83" s="1"/>
  <c r="M13" i="83"/>
  <c r="F13" i="83"/>
  <c r="G13" i="83" s="1"/>
  <c r="E13" i="83"/>
  <c r="AD12" i="83"/>
  <c r="AC12" i="83"/>
  <c r="Z12" i="83"/>
  <c r="Y12" i="83"/>
  <c r="V12" i="83"/>
  <c r="U12" i="83"/>
  <c r="R12" i="83"/>
  <c r="Q12" i="83"/>
  <c r="N12" i="83"/>
  <c r="O12" i="83" s="1"/>
  <c r="M12" i="83"/>
  <c r="F12" i="83"/>
  <c r="E12" i="83"/>
  <c r="AD6" i="83"/>
  <c r="AC6" i="83"/>
  <c r="Z6" i="83"/>
  <c r="Y6" i="83"/>
  <c r="V6" i="83"/>
  <c r="U6" i="83"/>
  <c r="R6" i="83"/>
  <c r="Q6" i="83"/>
  <c r="N6" i="83"/>
  <c r="O6" i="83" s="1"/>
  <c r="M6" i="83"/>
  <c r="F6" i="83"/>
  <c r="E6" i="83"/>
  <c r="AD5" i="83"/>
  <c r="AC5" i="83"/>
  <c r="Z5" i="83"/>
  <c r="Y5" i="83"/>
  <c r="V5" i="83"/>
  <c r="U5" i="83"/>
  <c r="R5" i="83"/>
  <c r="Q5" i="83"/>
  <c r="N5" i="83"/>
  <c r="O5" i="83" s="1"/>
  <c r="M5" i="83"/>
  <c r="F5" i="83"/>
  <c r="E5" i="83"/>
  <c r="AD9" i="83"/>
  <c r="AC9" i="83"/>
  <c r="Z9" i="83"/>
  <c r="Y9" i="83"/>
  <c r="V9" i="83"/>
  <c r="W9" i="83" s="1"/>
  <c r="U9" i="83"/>
  <c r="R9" i="83"/>
  <c r="Q9" i="83"/>
  <c r="N9" i="83"/>
  <c r="O9" i="83" s="1"/>
  <c r="M9" i="83"/>
  <c r="F9" i="83"/>
  <c r="E9" i="83"/>
  <c r="AD8" i="83"/>
  <c r="AC8" i="83"/>
  <c r="Z8" i="83"/>
  <c r="Y8" i="83"/>
  <c r="V8" i="83"/>
  <c r="U8" i="83"/>
  <c r="R8" i="83"/>
  <c r="Q8" i="83"/>
  <c r="N8" i="83"/>
  <c r="O8" i="83" s="1"/>
  <c r="M8" i="83"/>
  <c r="F8" i="83"/>
  <c r="E8" i="83"/>
  <c r="AD7" i="83"/>
  <c r="AC7" i="83"/>
  <c r="Z7" i="83"/>
  <c r="Y7" i="83"/>
  <c r="V7" i="83"/>
  <c r="U7" i="83"/>
  <c r="R7" i="83"/>
  <c r="Q7" i="83"/>
  <c r="N7" i="83"/>
  <c r="O7" i="83" s="1"/>
  <c r="M7" i="83"/>
  <c r="J7" i="83"/>
  <c r="I7" i="83"/>
  <c r="F7" i="83"/>
  <c r="E7" i="83"/>
  <c r="AD15" i="83"/>
  <c r="AC15" i="83"/>
  <c r="Z15" i="83"/>
  <c r="Y15" i="83"/>
  <c r="V15" i="83"/>
  <c r="U15" i="83"/>
  <c r="R15" i="83"/>
  <c r="Q15" i="83"/>
  <c r="N15" i="83"/>
  <c r="O15" i="83" s="1"/>
  <c r="M15" i="83"/>
  <c r="F15" i="83"/>
  <c r="G15" i="83" s="1"/>
  <c r="E15" i="83"/>
  <c r="AI24" i="82"/>
  <c r="AD24" i="82"/>
  <c r="AE24" i="82" s="1"/>
  <c r="AC24" i="82"/>
  <c r="Z24" i="82"/>
  <c r="AA24" i="82" s="1"/>
  <c r="Y24" i="82"/>
  <c r="V24" i="82"/>
  <c r="W24" i="82" s="1"/>
  <c r="U24" i="82"/>
  <c r="R24" i="82"/>
  <c r="S24" i="82" s="1"/>
  <c r="Q24" i="82"/>
  <c r="N24" i="82"/>
  <c r="O24" i="82" s="1"/>
  <c r="M24" i="82"/>
  <c r="F24" i="82"/>
  <c r="G24" i="82" s="1"/>
  <c r="E24" i="82"/>
  <c r="AI23" i="82"/>
  <c r="AD23" i="82"/>
  <c r="AE23" i="82" s="1"/>
  <c r="AC23" i="82"/>
  <c r="Z23" i="82"/>
  <c r="AA23" i="82" s="1"/>
  <c r="Y23" i="82"/>
  <c r="V23" i="82"/>
  <c r="W23" i="82" s="1"/>
  <c r="U23" i="82"/>
  <c r="R23" i="82"/>
  <c r="S23" i="82" s="1"/>
  <c r="Q23" i="82"/>
  <c r="N23" i="82"/>
  <c r="O23" i="82" s="1"/>
  <c r="M23" i="82"/>
  <c r="F23" i="82"/>
  <c r="G23" i="82" s="1"/>
  <c r="E23" i="82"/>
  <c r="AI22" i="82"/>
  <c r="AD22" i="82"/>
  <c r="AE22" i="82" s="1"/>
  <c r="AC22" i="82"/>
  <c r="Z22" i="82"/>
  <c r="AA22" i="82" s="1"/>
  <c r="Y22" i="82"/>
  <c r="V22" i="82"/>
  <c r="W22" i="82" s="1"/>
  <c r="U22" i="82"/>
  <c r="R22" i="82"/>
  <c r="S22" i="82" s="1"/>
  <c r="Q22" i="82"/>
  <c r="N22" i="82"/>
  <c r="O22" i="82" s="1"/>
  <c r="M22" i="82"/>
  <c r="F22" i="82"/>
  <c r="G22" i="82" s="1"/>
  <c r="E22" i="82"/>
  <c r="AI21" i="82"/>
  <c r="AD21" i="82"/>
  <c r="AE21" i="82" s="1"/>
  <c r="AC21" i="82"/>
  <c r="Z21" i="82"/>
  <c r="AA21" i="82" s="1"/>
  <c r="Y21" i="82"/>
  <c r="V21" i="82"/>
  <c r="W21" i="82" s="1"/>
  <c r="U21" i="82"/>
  <c r="R21" i="82"/>
  <c r="S21" i="82" s="1"/>
  <c r="Q21" i="82"/>
  <c r="N21" i="82"/>
  <c r="O21" i="82" s="1"/>
  <c r="M21" i="82"/>
  <c r="F21" i="82"/>
  <c r="G21" i="82" s="1"/>
  <c r="E21" i="82"/>
  <c r="AI20" i="82"/>
  <c r="AD20" i="82"/>
  <c r="AE20" i="82" s="1"/>
  <c r="AC20" i="82"/>
  <c r="Z20" i="82"/>
  <c r="AA20" i="82" s="1"/>
  <c r="Y20" i="82"/>
  <c r="V20" i="82"/>
  <c r="W20" i="82" s="1"/>
  <c r="U20" i="82"/>
  <c r="R20" i="82"/>
  <c r="S20" i="82" s="1"/>
  <c r="Q20" i="82"/>
  <c r="N20" i="82"/>
  <c r="O20" i="82" s="1"/>
  <c r="M20" i="82"/>
  <c r="F20" i="82"/>
  <c r="G20" i="82" s="1"/>
  <c r="E20" i="82"/>
  <c r="AI19" i="82"/>
  <c r="AD19" i="82"/>
  <c r="AE19" i="82" s="1"/>
  <c r="AC19" i="82"/>
  <c r="Z19" i="82"/>
  <c r="AA19" i="82" s="1"/>
  <c r="Y19" i="82"/>
  <c r="V19" i="82"/>
  <c r="W19" i="82" s="1"/>
  <c r="U19" i="82"/>
  <c r="R19" i="82"/>
  <c r="S19" i="82" s="1"/>
  <c r="Q19" i="82"/>
  <c r="N19" i="82"/>
  <c r="O19" i="82" s="1"/>
  <c r="M19" i="82"/>
  <c r="F19" i="82"/>
  <c r="G19" i="82" s="1"/>
  <c r="E19" i="82"/>
  <c r="AI18" i="82"/>
  <c r="AD18" i="82"/>
  <c r="AE18" i="82" s="1"/>
  <c r="AC18" i="82"/>
  <c r="Z18" i="82"/>
  <c r="AA18" i="82" s="1"/>
  <c r="Y18" i="82"/>
  <c r="V18" i="82"/>
  <c r="W18" i="82" s="1"/>
  <c r="U18" i="82"/>
  <c r="R18" i="82"/>
  <c r="S18" i="82" s="1"/>
  <c r="Q18" i="82"/>
  <c r="N18" i="82"/>
  <c r="O18" i="82" s="1"/>
  <c r="M18" i="82"/>
  <c r="F18" i="82"/>
  <c r="G18" i="82" s="1"/>
  <c r="E18" i="82"/>
  <c r="AI17" i="82"/>
  <c r="AD17" i="82"/>
  <c r="AE17" i="82" s="1"/>
  <c r="AC17" i="82"/>
  <c r="Z17" i="82"/>
  <c r="AA17" i="82" s="1"/>
  <c r="Y17" i="82"/>
  <c r="V17" i="82"/>
  <c r="W17" i="82" s="1"/>
  <c r="U17" i="82"/>
  <c r="R17" i="82"/>
  <c r="S17" i="82" s="1"/>
  <c r="Q17" i="82"/>
  <c r="N17" i="82"/>
  <c r="O17" i="82" s="1"/>
  <c r="M17" i="82"/>
  <c r="F17" i="82"/>
  <c r="G17" i="82" s="1"/>
  <c r="E17" i="82"/>
  <c r="AI12" i="82"/>
  <c r="AD12" i="82"/>
  <c r="AE12" i="82" s="1"/>
  <c r="AC12" i="82"/>
  <c r="Z12" i="82"/>
  <c r="AA12" i="82" s="1"/>
  <c r="Y12" i="82"/>
  <c r="V12" i="82"/>
  <c r="U12" i="82"/>
  <c r="R12" i="82"/>
  <c r="S12" i="82" s="1"/>
  <c r="Q12" i="82"/>
  <c r="N12" i="82"/>
  <c r="O12" i="82" s="1"/>
  <c r="M12" i="82"/>
  <c r="F12" i="82"/>
  <c r="G12" i="82" s="1"/>
  <c r="E12" i="82"/>
  <c r="AI15" i="82"/>
  <c r="AD15" i="82"/>
  <c r="AC15" i="82"/>
  <c r="Z15" i="82"/>
  <c r="Y15" i="82"/>
  <c r="V15" i="82"/>
  <c r="U15" i="82"/>
  <c r="R15" i="82"/>
  <c r="Q15" i="82"/>
  <c r="N15" i="82"/>
  <c r="M15" i="82"/>
  <c r="F15" i="82"/>
  <c r="G15" i="82" s="1"/>
  <c r="E15" i="82"/>
  <c r="AI7" i="82"/>
  <c r="AD7" i="82"/>
  <c r="AC7" i="82"/>
  <c r="Z7" i="82"/>
  <c r="Y7" i="82"/>
  <c r="V7" i="82"/>
  <c r="U7" i="82"/>
  <c r="R7" i="82"/>
  <c r="Q7" i="82"/>
  <c r="N7" i="82"/>
  <c r="M7" i="82"/>
  <c r="F7" i="82"/>
  <c r="E7" i="82"/>
  <c r="AI8" i="82"/>
  <c r="X11" i="87" s="1"/>
  <c r="AD8" i="82"/>
  <c r="AE8" i="82" s="1"/>
  <c r="U11" i="87" s="1"/>
  <c r="AC8" i="82"/>
  <c r="Z8" i="82"/>
  <c r="Y8" i="82"/>
  <c r="V8" i="82"/>
  <c r="U8" i="82"/>
  <c r="R8" i="82"/>
  <c r="Q8" i="82"/>
  <c r="N8" i="82"/>
  <c r="M8" i="82"/>
  <c r="F8" i="82"/>
  <c r="G8" i="82" s="1"/>
  <c r="C11" i="87" s="1"/>
  <c r="D11" i="87" s="1"/>
  <c r="E8" i="82"/>
  <c r="AI13" i="82"/>
  <c r="X19" i="87" s="1"/>
  <c r="Y19" i="87" s="1"/>
  <c r="AD13" i="82"/>
  <c r="AE13" i="82" s="1"/>
  <c r="U19" i="87" s="1"/>
  <c r="V19" i="87" s="1"/>
  <c r="AC13" i="82"/>
  <c r="Z13" i="82"/>
  <c r="AA13" i="82" s="1"/>
  <c r="R19" i="87" s="1"/>
  <c r="S19" i="87" s="1"/>
  <c r="Y13" i="82"/>
  <c r="V13" i="82"/>
  <c r="W13" i="82" s="1"/>
  <c r="O19" i="87" s="1"/>
  <c r="P19" i="87" s="1"/>
  <c r="U13" i="82"/>
  <c r="R13" i="82"/>
  <c r="S13" i="82" s="1"/>
  <c r="L19" i="87" s="1"/>
  <c r="N19" i="87" s="1"/>
  <c r="Q13" i="82"/>
  <c r="N13" i="82"/>
  <c r="O13" i="82" s="1"/>
  <c r="I19" i="87" s="1"/>
  <c r="K19" i="87" s="1"/>
  <c r="M13" i="82"/>
  <c r="F13" i="82"/>
  <c r="G13" i="82" s="1"/>
  <c r="C19" i="87" s="1"/>
  <c r="E19" i="87" s="1"/>
  <c r="E13" i="82"/>
  <c r="AI9" i="82"/>
  <c r="AD9" i="82"/>
  <c r="AE9" i="82" s="1"/>
  <c r="AC9" i="82"/>
  <c r="Z9" i="82"/>
  <c r="Y9" i="82"/>
  <c r="V9" i="82"/>
  <c r="W9" i="82" s="1"/>
  <c r="U9" i="82"/>
  <c r="R9" i="82"/>
  <c r="Q9" i="82"/>
  <c r="N9" i="82"/>
  <c r="M9" i="82"/>
  <c r="F9" i="82"/>
  <c r="E9" i="82"/>
  <c r="AI16" i="82"/>
  <c r="X18" i="87" s="1"/>
  <c r="AD16" i="82"/>
  <c r="AE16" i="82" s="1"/>
  <c r="AC16" i="82"/>
  <c r="Z16" i="82"/>
  <c r="AA16" i="82" s="1"/>
  <c r="Y16" i="82"/>
  <c r="V16" i="82"/>
  <c r="W16" i="82" s="1"/>
  <c r="U16" i="82"/>
  <c r="R16" i="82"/>
  <c r="S16" i="82" s="1"/>
  <c r="Q16" i="82"/>
  <c r="N16" i="82"/>
  <c r="O16" i="82" s="1"/>
  <c r="M16" i="82"/>
  <c r="F16" i="82"/>
  <c r="G16" i="82" s="1"/>
  <c r="E16" i="82"/>
  <c r="AI14" i="82"/>
  <c r="AD14" i="82"/>
  <c r="AC14" i="82"/>
  <c r="Z14" i="82"/>
  <c r="Y14" i="82"/>
  <c r="V14" i="82"/>
  <c r="W14" i="82" s="1"/>
  <c r="U14" i="82"/>
  <c r="R14" i="82"/>
  <c r="Q14" i="82"/>
  <c r="N14" i="82"/>
  <c r="O14" i="82" s="1"/>
  <c r="M14" i="82"/>
  <c r="F14" i="82"/>
  <c r="E14" i="82"/>
  <c r="AI11" i="82"/>
  <c r="AD11" i="82"/>
  <c r="AE11" i="82" s="1"/>
  <c r="AC11" i="82"/>
  <c r="Z11" i="82"/>
  <c r="AA11" i="82" s="1"/>
  <c r="Y11" i="82"/>
  <c r="V11" i="82"/>
  <c r="W11" i="82" s="1"/>
  <c r="U11" i="82"/>
  <c r="R11" i="82"/>
  <c r="S11" i="82" s="1"/>
  <c r="Q11" i="82"/>
  <c r="N11" i="82"/>
  <c r="O11" i="82" s="1"/>
  <c r="M11" i="82"/>
  <c r="F11" i="82"/>
  <c r="E11" i="82"/>
  <c r="AI6" i="82"/>
  <c r="X6" i="87" s="1"/>
  <c r="AD6" i="82"/>
  <c r="AC6" i="82"/>
  <c r="Z6" i="82"/>
  <c r="Y6" i="82"/>
  <c r="V6" i="82"/>
  <c r="U6" i="82"/>
  <c r="R6" i="82"/>
  <c r="Q6" i="82"/>
  <c r="N6" i="82"/>
  <c r="M6" i="82"/>
  <c r="F6" i="82"/>
  <c r="E6" i="82"/>
  <c r="AI10" i="82"/>
  <c r="AD10" i="82"/>
  <c r="AE10" i="82" s="1"/>
  <c r="AC10" i="82"/>
  <c r="Z10" i="82"/>
  <c r="AA10" i="82" s="1"/>
  <c r="Y10" i="82"/>
  <c r="V10" i="82"/>
  <c r="U10" i="82"/>
  <c r="R10" i="82"/>
  <c r="S10" i="82" s="1"/>
  <c r="Q10" i="82"/>
  <c r="N10" i="82"/>
  <c r="M10" i="82"/>
  <c r="J10" i="82"/>
  <c r="I10" i="82"/>
  <c r="F10" i="82"/>
  <c r="E10" i="82"/>
  <c r="AI5" i="82"/>
  <c r="AD5" i="82"/>
  <c r="AC5" i="82"/>
  <c r="Z5" i="82"/>
  <c r="Y5" i="82"/>
  <c r="V5" i="82"/>
  <c r="U5" i="82"/>
  <c r="R5" i="82"/>
  <c r="Q5" i="82"/>
  <c r="N5" i="82"/>
  <c r="M5" i="82"/>
  <c r="F5" i="82"/>
  <c r="E5" i="82"/>
  <c r="F23" i="81"/>
  <c r="G23" i="81" s="1"/>
  <c r="F22" i="81"/>
  <c r="AD24" i="80"/>
  <c r="AE24" i="80" s="1"/>
  <c r="AC24" i="80"/>
  <c r="Z24" i="80"/>
  <c r="AA24" i="80" s="1"/>
  <c r="Y24" i="80"/>
  <c r="V24" i="80"/>
  <c r="W24" i="80" s="1"/>
  <c r="U24" i="80"/>
  <c r="R24" i="80"/>
  <c r="S24" i="80" s="1"/>
  <c r="Q24" i="80"/>
  <c r="N24" i="80"/>
  <c r="O24" i="80" s="1"/>
  <c r="M24" i="80"/>
  <c r="F24" i="80"/>
  <c r="G24" i="80" s="1"/>
  <c r="E24" i="80"/>
  <c r="AD23" i="80"/>
  <c r="AE23" i="80" s="1"/>
  <c r="AC23" i="80"/>
  <c r="Z23" i="80"/>
  <c r="AA23" i="80" s="1"/>
  <c r="Y23" i="80"/>
  <c r="V23" i="80"/>
  <c r="W23" i="80" s="1"/>
  <c r="U23" i="80"/>
  <c r="R23" i="80"/>
  <c r="S23" i="80" s="1"/>
  <c r="Q23" i="80"/>
  <c r="N23" i="80"/>
  <c r="O23" i="80" s="1"/>
  <c r="M23" i="80"/>
  <c r="F23" i="80"/>
  <c r="G23" i="80" s="1"/>
  <c r="E23" i="80"/>
  <c r="AD22" i="80"/>
  <c r="AE22" i="80" s="1"/>
  <c r="AC22" i="80"/>
  <c r="Z22" i="80"/>
  <c r="AA22" i="80" s="1"/>
  <c r="Y22" i="80"/>
  <c r="V22" i="80"/>
  <c r="W22" i="80" s="1"/>
  <c r="U22" i="80"/>
  <c r="R22" i="80"/>
  <c r="S22" i="80" s="1"/>
  <c r="Q22" i="80"/>
  <c r="N22" i="80"/>
  <c r="O22" i="80" s="1"/>
  <c r="M22" i="80"/>
  <c r="F22" i="80"/>
  <c r="G22" i="80" s="1"/>
  <c r="E22" i="80"/>
  <c r="AD21" i="80"/>
  <c r="AE21" i="80" s="1"/>
  <c r="AC21" i="80"/>
  <c r="Z21" i="80"/>
  <c r="AA21" i="80" s="1"/>
  <c r="Y21" i="80"/>
  <c r="V21" i="80"/>
  <c r="W21" i="80" s="1"/>
  <c r="U21" i="80"/>
  <c r="R21" i="80"/>
  <c r="S21" i="80" s="1"/>
  <c r="Q21" i="80"/>
  <c r="N21" i="80"/>
  <c r="O21" i="80" s="1"/>
  <c r="M21" i="80"/>
  <c r="F21" i="80"/>
  <c r="G21" i="80" s="1"/>
  <c r="E21" i="80"/>
  <c r="AD20" i="80"/>
  <c r="AE20" i="80" s="1"/>
  <c r="AC20" i="80"/>
  <c r="Z20" i="80"/>
  <c r="AA20" i="80" s="1"/>
  <c r="Y20" i="80"/>
  <c r="V20" i="80"/>
  <c r="W20" i="80" s="1"/>
  <c r="U20" i="80"/>
  <c r="R20" i="80"/>
  <c r="S20" i="80" s="1"/>
  <c r="Q20" i="80"/>
  <c r="N20" i="80"/>
  <c r="O20" i="80" s="1"/>
  <c r="M20" i="80"/>
  <c r="F20" i="80"/>
  <c r="G20" i="80" s="1"/>
  <c r="E20" i="80"/>
  <c r="AD19" i="80"/>
  <c r="AE19" i="80" s="1"/>
  <c r="AC19" i="80"/>
  <c r="Z19" i="80"/>
  <c r="AA19" i="80" s="1"/>
  <c r="Y19" i="80"/>
  <c r="V19" i="80"/>
  <c r="W19" i="80" s="1"/>
  <c r="U19" i="80"/>
  <c r="R19" i="80"/>
  <c r="S19" i="80" s="1"/>
  <c r="Q19" i="80"/>
  <c r="N19" i="80"/>
  <c r="O19" i="80" s="1"/>
  <c r="M19" i="80"/>
  <c r="F19" i="80"/>
  <c r="G19" i="80" s="1"/>
  <c r="E19" i="80"/>
  <c r="AD18" i="80"/>
  <c r="AE18" i="80" s="1"/>
  <c r="AC18" i="80"/>
  <c r="Z18" i="80"/>
  <c r="AA18" i="80" s="1"/>
  <c r="Y18" i="80"/>
  <c r="V18" i="80"/>
  <c r="W18" i="80" s="1"/>
  <c r="U18" i="80"/>
  <c r="R18" i="80"/>
  <c r="S18" i="80" s="1"/>
  <c r="Q18" i="80"/>
  <c r="N18" i="80"/>
  <c r="O18" i="80" s="1"/>
  <c r="M18" i="80"/>
  <c r="F18" i="80"/>
  <c r="G18" i="80" s="1"/>
  <c r="E18" i="80"/>
  <c r="AD17" i="80"/>
  <c r="AE17" i="80" s="1"/>
  <c r="AC17" i="80"/>
  <c r="Z17" i="80"/>
  <c r="AA17" i="80" s="1"/>
  <c r="Y17" i="80"/>
  <c r="V17" i="80"/>
  <c r="W17" i="80" s="1"/>
  <c r="U17" i="80"/>
  <c r="R17" i="80"/>
  <c r="S17" i="80" s="1"/>
  <c r="Q17" i="80"/>
  <c r="N17" i="80"/>
  <c r="O17" i="80" s="1"/>
  <c r="M17" i="80"/>
  <c r="F17" i="80"/>
  <c r="G17" i="80" s="1"/>
  <c r="E17" i="80"/>
  <c r="AD16" i="80"/>
  <c r="AE16" i="80" s="1"/>
  <c r="AC16" i="80"/>
  <c r="Z16" i="80"/>
  <c r="AA16" i="80" s="1"/>
  <c r="Y16" i="80"/>
  <c r="V16" i="80"/>
  <c r="W16" i="80" s="1"/>
  <c r="U16" i="80"/>
  <c r="R16" i="80"/>
  <c r="S16" i="80" s="1"/>
  <c r="Q16" i="80"/>
  <c r="N16" i="80"/>
  <c r="O16" i="80" s="1"/>
  <c r="M16" i="80"/>
  <c r="F16" i="80"/>
  <c r="G16" i="80" s="1"/>
  <c r="E16" i="80"/>
  <c r="AD15" i="80"/>
  <c r="AE15" i="80" s="1"/>
  <c r="AC15" i="80"/>
  <c r="Z15" i="80"/>
  <c r="AA15" i="80" s="1"/>
  <c r="Y15" i="80"/>
  <c r="V15" i="80"/>
  <c r="W15" i="80" s="1"/>
  <c r="U15" i="80"/>
  <c r="R15" i="80"/>
  <c r="S15" i="80" s="1"/>
  <c r="Q15" i="80"/>
  <c r="N15" i="80"/>
  <c r="O15" i="80" s="1"/>
  <c r="M15" i="80"/>
  <c r="F15" i="80"/>
  <c r="G15" i="80" s="1"/>
  <c r="E15" i="80"/>
  <c r="AD14" i="80"/>
  <c r="AE14" i="80" s="1"/>
  <c r="AC14" i="80"/>
  <c r="Z14" i="80"/>
  <c r="AA14" i="80" s="1"/>
  <c r="Y14" i="80"/>
  <c r="V14" i="80"/>
  <c r="W14" i="80" s="1"/>
  <c r="U14" i="80"/>
  <c r="R14" i="80"/>
  <c r="S14" i="80" s="1"/>
  <c r="Q14" i="80"/>
  <c r="N14" i="80"/>
  <c r="O14" i="80" s="1"/>
  <c r="M14" i="80"/>
  <c r="F14" i="80"/>
  <c r="G14" i="80" s="1"/>
  <c r="E14" i="80"/>
  <c r="AD13" i="80"/>
  <c r="AE13" i="80" s="1"/>
  <c r="AC13" i="80"/>
  <c r="Z13" i="80"/>
  <c r="AA13" i="80" s="1"/>
  <c r="Y13" i="80"/>
  <c r="V13" i="80"/>
  <c r="W13" i="80" s="1"/>
  <c r="U13" i="80"/>
  <c r="R13" i="80"/>
  <c r="S13" i="80" s="1"/>
  <c r="Q13" i="80"/>
  <c r="N13" i="80"/>
  <c r="O13" i="80" s="1"/>
  <c r="M13" i="80"/>
  <c r="F13" i="80"/>
  <c r="G13" i="80" s="1"/>
  <c r="E13" i="80"/>
  <c r="AD12" i="80"/>
  <c r="AE12" i="80" s="1"/>
  <c r="AC12" i="80"/>
  <c r="Z12" i="80"/>
  <c r="AA12" i="80" s="1"/>
  <c r="Y12" i="80"/>
  <c r="V12" i="80"/>
  <c r="W12" i="80" s="1"/>
  <c r="U12" i="80"/>
  <c r="R12" i="80"/>
  <c r="S12" i="80" s="1"/>
  <c r="Q12" i="80"/>
  <c r="N12" i="80"/>
  <c r="O12" i="80" s="1"/>
  <c r="M12" i="80"/>
  <c r="F12" i="80"/>
  <c r="G12" i="80" s="1"/>
  <c r="E12" i="80"/>
  <c r="AD8" i="80"/>
  <c r="AE8" i="80" s="1"/>
  <c r="AC8" i="80"/>
  <c r="Z8" i="80"/>
  <c r="AA8" i="80" s="1"/>
  <c r="Y8" i="80"/>
  <c r="V8" i="80"/>
  <c r="W8" i="80" s="1"/>
  <c r="U8" i="80"/>
  <c r="R8" i="80"/>
  <c r="S8" i="80" s="1"/>
  <c r="Q8" i="80"/>
  <c r="N8" i="80"/>
  <c r="O8" i="80" s="1"/>
  <c r="M8" i="80"/>
  <c r="F8" i="80"/>
  <c r="G8" i="80" s="1"/>
  <c r="E8" i="80"/>
  <c r="AD5" i="80"/>
  <c r="AE5" i="80" s="1"/>
  <c r="AC5" i="80"/>
  <c r="Z5" i="80"/>
  <c r="Y5" i="80"/>
  <c r="V5" i="80"/>
  <c r="W5" i="80" s="1"/>
  <c r="U5" i="80"/>
  <c r="R5" i="80"/>
  <c r="S5" i="80" s="1"/>
  <c r="Q5" i="80"/>
  <c r="N5" i="80"/>
  <c r="O5" i="80" s="1"/>
  <c r="M5" i="80"/>
  <c r="F5" i="80"/>
  <c r="G5" i="80" s="1"/>
  <c r="E5" i="80"/>
  <c r="AD11" i="80"/>
  <c r="AE11" i="80" s="1"/>
  <c r="AC11" i="80"/>
  <c r="Z11" i="80"/>
  <c r="Y11" i="80"/>
  <c r="V11" i="80"/>
  <c r="W11" i="80" s="1"/>
  <c r="U11" i="80"/>
  <c r="R11" i="80"/>
  <c r="S11" i="80" s="1"/>
  <c r="Q11" i="80"/>
  <c r="N11" i="80"/>
  <c r="O11" i="80" s="1"/>
  <c r="M11" i="80"/>
  <c r="F11" i="80"/>
  <c r="G11" i="80" s="1"/>
  <c r="E11" i="80"/>
  <c r="AD9" i="80"/>
  <c r="AE9" i="80" s="1"/>
  <c r="AC9" i="80"/>
  <c r="Z9" i="80"/>
  <c r="Y9" i="80"/>
  <c r="V9" i="80"/>
  <c r="W9" i="80" s="1"/>
  <c r="U9" i="80"/>
  <c r="R9" i="80"/>
  <c r="S9" i="80" s="1"/>
  <c r="Q9" i="80"/>
  <c r="N9" i="80"/>
  <c r="M9" i="80"/>
  <c r="F9" i="80"/>
  <c r="G9" i="80" s="1"/>
  <c r="E9" i="80"/>
  <c r="AD10" i="80"/>
  <c r="AE10" i="80" s="1"/>
  <c r="AC10" i="80"/>
  <c r="Z10" i="80"/>
  <c r="AA10" i="80" s="1"/>
  <c r="Y10" i="80"/>
  <c r="V10" i="80"/>
  <c r="W10" i="80" s="1"/>
  <c r="U10" i="80"/>
  <c r="R10" i="80"/>
  <c r="S10" i="80" s="1"/>
  <c r="Q10" i="80"/>
  <c r="N10" i="80"/>
  <c r="O10" i="80" s="1"/>
  <c r="M10" i="80"/>
  <c r="F10" i="80"/>
  <c r="G10" i="80" s="1"/>
  <c r="E10" i="80"/>
  <c r="AD6" i="80"/>
  <c r="AC6" i="80"/>
  <c r="Z6" i="80"/>
  <c r="Y6" i="80"/>
  <c r="V6" i="80"/>
  <c r="W6" i="80" s="1"/>
  <c r="U6" i="80"/>
  <c r="R6" i="80"/>
  <c r="S6" i="80" s="1"/>
  <c r="Q6" i="80"/>
  <c r="N6" i="80"/>
  <c r="M6" i="80"/>
  <c r="J6" i="80"/>
  <c r="I6" i="80"/>
  <c r="F6" i="80"/>
  <c r="E6" i="80"/>
  <c r="AD7" i="80"/>
  <c r="AE7" i="80" s="1"/>
  <c r="AC7" i="80"/>
  <c r="Z7" i="80"/>
  <c r="AA7" i="80" s="1"/>
  <c r="Y7" i="80"/>
  <c r="V7" i="80"/>
  <c r="W7" i="80" s="1"/>
  <c r="U7" i="80"/>
  <c r="R7" i="80"/>
  <c r="S7" i="80" s="1"/>
  <c r="Q7" i="80"/>
  <c r="N7" i="80"/>
  <c r="O7" i="80" s="1"/>
  <c r="M7" i="80"/>
  <c r="F7" i="80"/>
  <c r="G7" i="80" s="1"/>
  <c r="E7" i="80"/>
  <c r="AD24" i="79"/>
  <c r="AE24" i="79" s="1"/>
  <c r="AC24" i="79"/>
  <c r="Z24" i="79"/>
  <c r="AA24" i="79" s="1"/>
  <c r="Y24" i="79"/>
  <c r="V24" i="79"/>
  <c r="W24" i="79" s="1"/>
  <c r="U24" i="79"/>
  <c r="R24" i="79"/>
  <c r="S24" i="79" s="1"/>
  <c r="Q24" i="79"/>
  <c r="N24" i="79"/>
  <c r="O24" i="79" s="1"/>
  <c r="M24" i="79"/>
  <c r="F24" i="79"/>
  <c r="G24" i="79" s="1"/>
  <c r="E24" i="79"/>
  <c r="AD23" i="79"/>
  <c r="AE23" i="79" s="1"/>
  <c r="AC23" i="79"/>
  <c r="Z23" i="79"/>
  <c r="AA23" i="79" s="1"/>
  <c r="Y23" i="79"/>
  <c r="V23" i="79"/>
  <c r="W23" i="79" s="1"/>
  <c r="U23" i="79"/>
  <c r="R23" i="79"/>
  <c r="S23" i="79" s="1"/>
  <c r="Q23" i="79"/>
  <c r="N23" i="79"/>
  <c r="O23" i="79" s="1"/>
  <c r="M23" i="79"/>
  <c r="F23" i="79"/>
  <c r="G23" i="79" s="1"/>
  <c r="E23" i="79"/>
  <c r="AD17" i="79"/>
  <c r="AE17" i="79" s="1"/>
  <c r="AC17" i="79"/>
  <c r="Z17" i="79"/>
  <c r="AA17" i="79" s="1"/>
  <c r="Y17" i="79"/>
  <c r="V17" i="79"/>
  <c r="W17" i="79" s="1"/>
  <c r="U17" i="79"/>
  <c r="R17" i="79"/>
  <c r="S17" i="79" s="1"/>
  <c r="Q17" i="79"/>
  <c r="N17" i="79"/>
  <c r="O17" i="79" s="1"/>
  <c r="M17" i="79"/>
  <c r="F17" i="79"/>
  <c r="G17" i="79" s="1"/>
  <c r="E17" i="79"/>
  <c r="AD20" i="79"/>
  <c r="AE20" i="79" s="1"/>
  <c r="AC20" i="79"/>
  <c r="Z20" i="79"/>
  <c r="AA20" i="79" s="1"/>
  <c r="Y20" i="79"/>
  <c r="V20" i="79"/>
  <c r="W20" i="79" s="1"/>
  <c r="U20" i="79"/>
  <c r="R20" i="79"/>
  <c r="S20" i="79" s="1"/>
  <c r="Q20" i="79"/>
  <c r="N20" i="79"/>
  <c r="O20" i="79" s="1"/>
  <c r="M20" i="79"/>
  <c r="F20" i="79"/>
  <c r="G20" i="79" s="1"/>
  <c r="E20" i="79"/>
  <c r="AD19" i="79"/>
  <c r="AC19" i="79"/>
  <c r="Z19" i="79"/>
  <c r="AA19" i="79" s="1"/>
  <c r="Y19" i="79"/>
  <c r="V19" i="79"/>
  <c r="W19" i="79" s="1"/>
  <c r="U19" i="79"/>
  <c r="R19" i="79"/>
  <c r="S19" i="79" s="1"/>
  <c r="Q19" i="79"/>
  <c r="N19" i="79"/>
  <c r="O19" i="79" s="1"/>
  <c r="M19" i="79"/>
  <c r="F19" i="79"/>
  <c r="G19" i="79" s="1"/>
  <c r="E19" i="79"/>
  <c r="AD15" i="79"/>
  <c r="AE15" i="79" s="1"/>
  <c r="AC15" i="79"/>
  <c r="Z15" i="79"/>
  <c r="AA15" i="79" s="1"/>
  <c r="Y15" i="79"/>
  <c r="V15" i="79"/>
  <c r="W15" i="79" s="1"/>
  <c r="U15" i="79"/>
  <c r="R15" i="79"/>
  <c r="Q15" i="79"/>
  <c r="N15" i="79"/>
  <c r="O15" i="79" s="1"/>
  <c r="M15" i="79"/>
  <c r="F15" i="79"/>
  <c r="G15" i="79" s="1"/>
  <c r="E15" i="79"/>
  <c r="AD21" i="79"/>
  <c r="AE21" i="79" s="1"/>
  <c r="AC21" i="79"/>
  <c r="Z21" i="79"/>
  <c r="AA21" i="79" s="1"/>
  <c r="Y21" i="79"/>
  <c r="V21" i="79"/>
  <c r="W21" i="79" s="1"/>
  <c r="U21" i="79"/>
  <c r="R21" i="79"/>
  <c r="S21" i="79" s="1"/>
  <c r="Q21" i="79"/>
  <c r="N21" i="79"/>
  <c r="O21" i="79" s="1"/>
  <c r="M21" i="79"/>
  <c r="F21" i="79"/>
  <c r="G21" i="79" s="1"/>
  <c r="E21" i="79"/>
  <c r="AD22" i="79"/>
  <c r="AC22" i="79"/>
  <c r="Z22" i="79"/>
  <c r="AA22" i="79" s="1"/>
  <c r="Y22" i="79"/>
  <c r="V22" i="79"/>
  <c r="W22" i="79" s="1"/>
  <c r="U22" i="79"/>
  <c r="R22" i="79"/>
  <c r="S22" i="79" s="1"/>
  <c r="Q22" i="79"/>
  <c r="N22" i="79"/>
  <c r="M22" i="79"/>
  <c r="F22" i="79"/>
  <c r="G22" i="79" s="1"/>
  <c r="E22" i="79"/>
  <c r="AD12" i="79"/>
  <c r="AC12" i="79"/>
  <c r="Z12" i="79"/>
  <c r="AA12" i="79" s="1"/>
  <c r="Y12" i="79"/>
  <c r="V12" i="79"/>
  <c r="U12" i="79"/>
  <c r="R12" i="79"/>
  <c r="Q12" i="79"/>
  <c r="N12" i="79"/>
  <c r="M12" i="79"/>
  <c r="F12" i="79"/>
  <c r="E12" i="79"/>
  <c r="AD16" i="79"/>
  <c r="AC16" i="79"/>
  <c r="Z16" i="79"/>
  <c r="AA16" i="79" s="1"/>
  <c r="Y16" i="79"/>
  <c r="V16" i="79"/>
  <c r="W16" i="79" s="1"/>
  <c r="U16" i="79"/>
  <c r="R16" i="79"/>
  <c r="Q16" i="79"/>
  <c r="N16" i="79"/>
  <c r="O16" i="79" s="1"/>
  <c r="M16" i="79"/>
  <c r="F16" i="79"/>
  <c r="G16" i="79" s="1"/>
  <c r="E16" i="79"/>
  <c r="AD9" i="79"/>
  <c r="AE9" i="79" s="1"/>
  <c r="AC9" i="79"/>
  <c r="Z9" i="79"/>
  <c r="AA9" i="79" s="1"/>
  <c r="Y9" i="79"/>
  <c r="V9" i="79"/>
  <c r="W9" i="79" s="1"/>
  <c r="U9" i="79"/>
  <c r="R9" i="79"/>
  <c r="Q9" i="79"/>
  <c r="N9" i="79"/>
  <c r="O9" i="79" s="1"/>
  <c r="M9" i="79"/>
  <c r="F9" i="79"/>
  <c r="E9" i="79"/>
  <c r="AD6" i="79"/>
  <c r="AE6" i="79" s="1"/>
  <c r="AC6" i="79"/>
  <c r="Z6" i="79"/>
  <c r="AA6" i="79" s="1"/>
  <c r="Y6" i="79"/>
  <c r="V6" i="79"/>
  <c r="W6" i="79" s="1"/>
  <c r="U6" i="79"/>
  <c r="R6" i="79"/>
  <c r="Q6" i="79"/>
  <c r="N6" i="79"/>
  <c r="O6" i="79" s="1"/>
  <c r="M6" i="79"/>
  <c r="F6" i="79"/>
  <c r="E6" i="79"/>
  <c r="AD14" i="79"/>
  <c r="AC14" i="79"/>
  <c r="Z14" i="79"/>
  <c r="Y14" i="79"/>
  <c r="V14" i="79"/>
  <c r="U14" i="79"/>
  <c r="R14" i="79"/>
  <c r="Q14" i="79"/>
  <c r="N14" i="79"/>
  <c r="O14" i="79" s="1"/>
  <c r="M14" i="79"/>
  <c r="F14" i="79"/>
  <c r="G14" i="79" s="1"/>
  <c r="E14" i="79"/>
  <c r="AD11" i="79"/>
  <c r="AE11" i="79" s="1"/>
  <c r="AC11" i="79"/>
  <c r="Z11" i="79"/>
  <c r="Y11" i="79"/>
  <c r="V11" i="79"/>
  <c r="U11" i="79"/>
  <c r="R11" i="79"/>
  <c r="Q11" i="79"/>
  <c r="N11" i="79"/>
  <c r="M11" i="79"/>
  <c r="F11" i="79"/>
  <c r="E11" i="79"/>
  <c r="AD13" i="79"/>
  <c r="AC13" i="79"/>
  <c r="Z13" i="79"/>
  <c r="Y13" i="79"/>
  <c r="V13" i="79"/>
  <c r="U13" i="79"/>
  <c r="R13" i="79"/>
  <c r="Q13" i="79"/>
  <c r="N13" i="79"/>
  <c r="M13" i="79"/>
  <c r="J13" i="79"/>
  <c r="I13" i="79"/>
  <c r="F13" i="79"/>
  <c r="E13" i="79"/>
  <c r="AD5" i="79"/>
  <c r="AC5" i="79"/>
  <c r="Z5" i="79"/>
  <c r="Y5" i="79"/>
  <c r="V5" i="79"/>
  <c r="U5" i="79"/>
  <c r="R5" i="79"/>
  <c r="Q5" i="79"/>
  <c r="N5" i="79"/>
  <c r="M5" i="79"/>
  <c r="F5" i="79"/>
  <c r="E5" i="79"/>
  <c r="AD10" i="79"/>
  <c r="AE10" i="79" s="1"/>
  <c r="AC10" i="79"/>
  <c r="Z10" i="79"/>
  <c r="Y10" i="79"/>
  <c r="V10" i="79"/>
  <c r="U10" i="79"/>
  <c r="R10" i="79"/>
  <c r="Q10" i="79"/>
  <c r="N10" i="79"/>
  <c r="M10" i="79"/>
  <c r="F10" i="79"/>
  <c r="E10" i="79"/>
  <c r="AD8" i="79"/>
  <c r="AC8" i="79"/>
  <c r="Z8" i="79"/>
  <c r="Y8" i="79"/>
  <c r="V8" i="79"/>
  <c r="W8" i="79" s="1"/>
  <c r="U8" i="79"/>
  <c r="R8" i="79"/>
  <c r="Q8" i="79"/>
  <c r="N8" i="79"/>
  <c r="M8" i="79"/>
  <c r="F8" i="79"/>
  <c r="E8" i="79"/>
  <c r="AD18" i="79"/>
  <c r="AC18" i="79"/>
  <c r="Z18" i="79"/>
  <c r="Y18" i="79"/>
  <c r="V18" i="79"/>
  <c r="W18" i="79" s="1"/>
  <c r="U18" i="79"/>
  <c r="R18" i="79"/>
  <c r="Q18" i="79"/>
  <c r="N18" i="79"/>
  <c r="M18" i="79"/>
  <c r="F18" i="79"/>
  <c r="E18" i="79"/>
  <c r="AD7" i="79"/>
  <c r="AC7" i="79"/>
  <c r="Z7" i="79"/>
  <c r="Y7" i="79"/>
  <c r="V7" i="79"/>
  <c r="U7" i="79"/>
  <c r="R7" i="79"/>
  <c r="Q7" i="79"/>
  <c r="N7" i="79"/>
  <c r="M7" i="79"/>
  <c r="F7" i="79"/>
  <c r="E7" i="79"/>
  <c r="AI16" i="78"/>
  <c r="AD16" i="78"/>
  <c r="AE16" i="78" s="1"/>
  <c r="AC16" i="78"/>
  <c r="Z16" i="78"/>
  <c r="AA16" i="78" s="1"/>
  <c r="Y16" i="78"/>
  <c r="V16" i="78"/>
  <c r="U16" i="78"/>
  <c r="R16" i="78"/>
  <c r="Q16" i="78"/>
  <c r="N16" i="78"/>
  <c r="M16" i="78"/>
  <c r="F16" i="78"/>
  <c r="G16" i="78" s="1"/>
  <c r="E16" i="78"/>
  <c r="AI17" i="78"/>
  <c r="AD17" i="78"/>
  <c r="AE17" i="78" s="1"/>
  <c r="AC17" i="78"/>
  <c r="Z17" i="78"/>
  <c r="AA17" i="78" s="1"/>
  <c r="Y17" i="78"/>
  <c r="V17" i="78"/>
  <c r="W17" i="78" s="1"/>
  <c r="U17" i="78"/>
  <c r="R17" i="78"/>
  <c r="S17" i="78" s="1"/>
  <c r="Q17" i="78"/>
  <c r="N17" i="78"/>
  <c r="O17" i="78" s="1"/>
  <c r="M17" i="78"/>
  <c r="F17" i="78"/>
  <c r="G17" i="78" s="1"/>
  <c r="E17" i="78"/>
  <c r="AI21" i="78"/>
  <c r="X22" i="81" s="1"/>
  <c r="Z22" i="81" s="1"/>
  <c r="AD21" i="78"/>
  <c r="AE21" i="78" s="1"/>
  <c r="AC21" i="78"/>
  <c r="Z21" i="78"/>
  <c r="AA21" i="78" s="1"/>
  <c r="Y21" i="78"/>
  <c r="V21" i="78"/>
  <c r="W21" i="78" s="1"/>
  <c r="U21" i="78"/>
  <c r="R21" i="78"/>
  <c r="S21" i="78" s="1"/>
  <c r="Q21" i="78"/>
  <c r="N21" i="78"/>
  <c r="O21" i="78" s="1"/>
  <c r="M21" i="78"/>
  <c r="F21" i="78"/>
  <c r="G21" i="78" s="1"/>
  <c r="E21" i="78"/>
  <c r="AI22" i="78"/>
  <c r="X23" i="81" s="1"/>
  <c r="Z23" i="81" s="1"/>
  <c r="AD22" i="78"/>
  <c r="AE22" i="78" s="1"/>
  <c r="AC22" i="78"/>
  <c r="Z22" i="78"/>
  <c r="AA22" i="78" s="1"/>
  <c r="Y22" i="78"/>
  <c r="V22" i="78"/>
  <c r="W22" i="78" s="1"/>
  <c r="U22" i="78"/>
  <c r="R22" i="78"/>
  <c r="S22" i="78" s="1"/>
  <c r="Q22" i="78"/>
  <c r="N22" i="78"/>
  <c r="O22" i="78" s="1"/>
  <c r="M22" i="78"/>
  <c r="F22" i="78"/>
  <c r="G22" i="78" s="1"/>
  <c r="E22" i="78"/>
  <c r="AI23" i="78"/>
  <c r="AD23" i="78"/>
  <c r="AE23" i="78" s="1"/>
  <c r="AC23" i="78"/>
  <c r="Z23" i="78"/>
  <c r="AA23" i="78" s="1"/>
  <c r="Y23" i="78"/>
  <c r="V23" i="78"/>
  <c r="W23" i="78" s="1"/>
  <c r="U23" i="78"/>
  <c r="R23" i="78"/>
  <c r="S23" i="78" s="1"/>
  <c r="Q23" i="78"/>
  <c r="N23" i="78"/>
  <c r="O23" i="78" s="1"/>
  <c r="M23" i="78"/>
  <c r="F23" i="78"/>
  <c r="G23" i="78" s="1"/>
  <c r="E23" i="78"/>
  <c r="AI14" i="78"/>
  <c r="X9" i="81" s="1"/>
  <c r="AD14" i="78"/>
  <c r="AC14" i="78"/>
  <c r="Z14" i="78"/>
  <c r="AA14" i="78" s="1"/>
  <c r="Y14" i="78"/>
  <c r="V14" i="78"/>
  <c r="U14" i="78"/>
  <c r="R14" i="78"/>
  <c r="Q14" i="78"/>
  <c r="N14" i="78"/>
  <c r="O14" i="78" s="1"/>
  <c r="M14" i="78"/>
  <c r="F14" i="78"/>
  <c r="G14" i="78" s="1"/>
  <c r="E14" i="78"/>
  <c r="AI20" i="78"/>
  <c r="X17" i="81" s="1"/>
  <c r="Z17" i="81" s="1"/>
  <c r="AD20" i="78"/>
  <c r="AE20" i="78" s="1"/>
  <c r="AC20" i="78"/>
  <c r="Z20" i="78"/>
  <c r="AA20" i="78" s="1"/>
  <c r="Y20" i="78"/>
  <c r="V20" i="78"/>
  <c r="W20" i="78" s="1"/>
  <c r="U20" i="78"/>
  <c r="R20" i="78"/>
  <c r="S20" i="78" s="1"/>
  <c r="Q20" i="78"/>
  <c r="N20" i="78"/>
  <c r="O20" i="78" s="1"/>
  <c r="M20" i="78"/>
  <c r="F20" i="78"/>
  <c r="G20" i="78" s="1"/>
  <c r="E20" i="78"/>
  <c r="AI11" i="78"/>
  <c r="X12" i="81" s="1"/>
  <c r="AD11" i="78"/>
  <c r="AC11" i="78"/>
  <c r="Z11" i="78"/>
  <c r="Y11" i="78"/>
  <c r="V11" i="78"/>
  <c r="U11" i="78"/>
  <c r="R11" i="78"/>
  <c r="Q11" i="78"/>
  <c r="N11" i="78"/>
  <c r="M11" i="78"/>
  <c r="F11" i="78"/>
  <c r="E11" i="78"/>
  <c r="AI18" i="78"/>
  <c r="X16" i="81" s="1"/>
  <c r="Y16" i="81" s="1"/>
  <c r="AD18" i="78"/>
  <c r="AE18" i="78" s="1"/>
  <c r="AC18" i="78"/>
  <c r="Z18" i="78"/>
  <c r="Y18" i="78"/>
  <c r="V18" i="78"/>
  <c r="U18" i="78"/>
  <c r="R18" i="78"/>
  <c r="Q18" i="78"/>
  <c r="N18" i="78"/>
  <c r="M18" i="78"/>
  <c r="F18" i="78"/>
  <c r="G18" i="78" s="1"/>
  <c r="E18" i="78"/>
  <c r="AD13" i="78"/>
  <c r="AC13" i="78"/>
  <c r="Z13" i="78"/>
  <c r="Y13" i="78"/>
  <c r="V13" i="78"/>
  <c r="U13" i="78"/>
  <c r="R13" i="78"/>
  <c r="Q13" i="78"/>
  <c r="N13" i="78"/>
  <c r="M13" i="78"/>
  <c r="F19" i="81"/>
  <c r="G19" i="81" s="1"/>
  <c r="F13" i="78"/>
  <c r="E13" i="78"/>
  <c r="AI7" i="78"/>
  <c r="AD7" i="78"/>
  <c r="AC7" i="78"/>
  <c r="Z7" i="78"/>
  <c r="Y7" i="78"/>
  <c r="V7" i="78"/>
  <c r="U7" i="78"/>
  <c r="R7" i="78"/>
  <c r="Q7" i="78"/>
  <c r="N7" i="78"/>
  <c r="M7" i="78"/>
  <c r="F7" i="78"/>
  <c r="E7" i="78"/>
  <c r="AI12" i="78"/>
  <c r="AD12" i="78"/>
  <c r="AC12" i="78"/>
  <c r="Z12" i="78"/>
  <c r="AA12" i="78" s="1"/>
  <c r="Y12" i="78"/>
  <c r="V12" i="78"/>
  <c r="U12" i="78"/>
  <c r="R12" i="78"/>
  <c r="S12" i="78" s="1"/>
  <c r="Q12" i="78"/>
  <c r="N12" i="78"/>
  <c r="M12" i="78"/>
  <c r="F12" i="78"/>
  <c r="E12" i="78"/>
  <c r="AI10" i="78"/>
  <c r="AD10" i="78"/>
  <c r="AC10" i="78"/>
  <c r="Z10" i="78"/>
  <c r="AA10" i="78" s="1"/>
  <c r="Y10" i="78"/>
  <c r="V10" i="78"/>
  <c r="U10" i="78"/>
  <c r="R10" i="78"/>
  <c r="S10" i="78" s="1"/>
  <c r="Q10" i="78"/>
  <c r="N10" i="78"/>
  <c r="M10" i="78"/>
  <c r="F10" i="78"/>
  <c r="G10" i="78" s="1"/>
  <c r="E10" i="78"/>
  <c r="AD19" i="78"/>
  <c r="AC19" i="78"/>
  <c r="Z19" i="78"/>
  <c r="Y19" i="78"/>
  <c r="V19" i="78"/>
  <c r="U19" i="78"/>
  <c r="R19" i="78"/>
  <c r="S19" i="78" s="1"/>
  <c r="Q19" i="78"/>
  <c r="N19" i="78"/>
  <c r="M19" i="78"/>
  <c r="F19" i="78"/>
  <c r="E19" i="78"/>
  <c r="AI25" i="78"/>
  <c r="AD25" i="78"/>
  <c r="AC25" i="78"/>
  <c r="Z25" i="78"/>
  <c r="AA25" i="78" s="1"/>
  <c r="Y25" i="78"/>
  <c r="V25" i="78"/>
  <c r="U25" i="78"/>
  <c r="R25" i="78"/>
  <c r="S25" i="78" s="1"/>
  <c r="Q25" i="78"/>
  <c r="N25" i="78"/>
  <c r="M25" i="78"/>
  <c r="F25" i="78"/>
  <c r="E25" i="78"/>
  <c r="AI6" i="78"/>
  <c r="AD6" i="78"/>
  <c r="AC6" i="78"/>
  <c r="Z6" i="78"/>
  <c r="Y6" i="78"/>
  <c r="V6" i="78"/>
  <c r="U6" i="78"/>
  <c r="R6" i="78"/>
  <c r="Q6" i="78"/>
  <c r="N6" i="78"/>
  <c r="M6" i="78"/>
  <c r="F6" i="78"/>
  <c r="E6" i="78"/>
  <c r="AI15" i="78"/>
  <c r="AD15" i="78"/>
  <c r="AE15" i="78" s="1"/>
  <c r="AC15" i="78"/>
  <c r="Z15" i="78"/>
  <c r="Y15" i="78"/>
  <c r="V15" i="78"/>
  <c r="W15" i="78" s="1"/>
  <c r="U15" i="78"/>
  <c r="R15" i="78"/>
  <c r="Q15" i="78"/>
  <c r="N15" i="78"/>
  <c r="M15" i="78"/>
  <c r="F15" i="78"/>
  <c r="E15" i="78"/>
  <c r="AD5" i="78"/>
  <c r="AC5" i="78"/>
  <c r="Z5" i="78"/>
  <c r="Y5" i="78"/>
  <c r="V5" i="78"/>
  <c r="U5" i="78"/>
  <c r="R5" i="78"/>
  <c r="Q5" i="78"/>
  <c r="N5" i="78"/>
  <c r="M5" i="78"/>
  <c r="F5" i="78"/>
  <c r="E5" i="78"/>
  <c r="AI8" i="78"/>
  <c r="AD8" i="78"/>
  <c r="AC8" i="78"/>
  <c r="Z8" i="78"/>
  <c r="Y8" i="78"/>
  <c r="V8" i="78"/>
  <c r="U8" i="78"/>
  <c r="R8" i="78"/>
  <c r="Q8" i="78"/>
  <c r="N8" i="78"/>
  <c r="M8" i="78"/>
  <c r="F8" i="78"/>
  <c r="E8" i="78"/>
  <c r="AI9" i="78"/>
  <c r="AD9" i="78"/>
  <c r="AC9" i="78"/>
  <c r="Z9" i="78"/>
  <c r="Y9" i="78"/>
  <c r="V9" i="78"/>
  <c r="U9" i="78"/>
  <c r="R9" i="78"/>
  <c r="Q9" i="78"/>
  <c r="N9" i="78"/>
  <c r="M9" i="78"/>
  <c r="J9" i="78"/>
  <c r="I9" i="78"/>
  <c r="F9" i="78"/>
  <c r="E9" i="78"/>
  <c r="AD19" i="77"/>
  <c r="AE19" i="77" s="1"/>
  <c r="AC19" i="77"/>
  <c r="Z19" i="77"/>
  <c r="AA19" i="77" s="1"/>
  <c r="Y19" i="77"/>
  <c r="V19" i="77"/>
  <c r="W19" i="77" s="1"/>
  <c r="U19" i="77"/>
  <c r="R19" i="77"/>
  <c r="S19" i="77" s="1"/>
  <c r="Q19" i="77"/>
  <c r="N19" i="77"/>
  <c r="O19" i="77" s="1"/>
  <c r="M19" i="77"/>
  <c r="F19" i="77"/>
  <c r="G19" i="77" s="1"/>
  <c r="E19" i="77"/>
  <c r="AD20" i="77"/>
  <c r="AE20" i="77" s="1"/>
  <c r="U23" i="81" s="1"/>
  <c r="AC20" i="77"/>
  <c r="Z20" i="77"/>
  <c r="AA20" i="77" s="1"/>
  <c r="R23" i="81" s="1"/>
  <c r="S23" i="81" s="1"/>
  <c r="Y20" i="77"/>
  <c r="V20" i="77"/>
  <c r="W20" i="77" s="1"/>
  <c r="O23" i="81" s="1"/>
  <c r="P23" i="81" s="1"/>
  <c r="U20" i="77"/>
  <c r="R20" i="77"/>
  <c r="S20" i="77" s="1"/>
  <c r="L23" i="81" s="1"/>
  <c r="M23" i="81" s="1"/>
  <c r="Q20" i="77"/>
  <c r="N20" i="77"/>
  <c r="O20" i="77" s="1"/>
  <c r="I23" i="81" s="1"/>
  <c r="M20" i="77"/>
  <c r="F20" i="77"/>
  <c r="G20" i="77" s="1"/>
  <c r="C23" i="81" s="1"/>
  <c r="D23" i="81" s="1"/>
  <c r="E20" i="77"/>
  <c r="AD11" i="77"/>
  <c r="AE11" i="77" s="1"/>
  <c r="AC11" i="77"/>
  <c r="Z11" i="77"/>
  <c r="Y11" i="77"/>
  <c r="V11" i="77"/>
  <c r="W11" i="77" s="1"/>
  <c r="U11" i="77"/>
  <c r="R11" i="77"/>
  <c r="Q11" i="77"/>
  <c r="N11" i="77"/>
  <c r="M11" i="77"/>
  <c r="F11" i="77"/>
  <c r="G11" i="77" s="1"/>
  <c r="E11" i="77"/>
  <c r="AD15" i="77"/>
  <c r="AE15" i="77" s="1"/>
  <c r="AC15" i="77"/>
  <c r="Z15" i="77"/>
  <c r="AA15" i="77" s="1"/>
  <c r="Y15" i="77"/>
  <c r="V15" i="77"/>
  <c r="W15" i="77" s="1"/>
  <c r="U15" i="77"/>
  <c r="R15" i="77"/>
  <c r="S15" i="77" s="1"/>
  <c r="Q15" i="77"/>
  <c r="N15" i="77"/>
  <c r="M15" i="77"/>
  <c r="F15" i="77"/>
  <c r="E15" i="77"/>
  <c r="AD8" i="77"/>
  <c r="AE8" i="77" s="1"/>
  <c r="AC8" i="77"/>
  <c r="Z8" i="77"/>
  <c r="Y8" i="77"/>
  <c r="V8" i="77"/>
  <c r="U8" i="77"/>
  <c r="R8" i="77"/>
  <c r="Q8" i="77"/>
  <c r="N8" i="77"/>
  <c r="M8" i="77"/>
  <c r="F8" i="77"/>
  <c r="E8" i="77"/>
  <c r="AD24" i="77"/>
  <c r="AE24" i="77" s="1"/>
  <c r="AC24" i="77"/>
  <c r="Z24" i="77"/>
  <c r="AA24" i="77" s="1"/>
  <c r="Y24" i="77"/>
  <c r="V24" i="77"/>
  <c r="W24" i="77" s="1"/>
  <c r="U24" i="77"/>
  <c r="R24" i="77"/>
  <c r="S24" i="77" s="1"/>
  <c r="Q24" i="77"/>
  <c r="N24" i="77"/>
  <c r="M24" i="77"/>
  <c r="F24" i="77"/>
  <c r="G24" i="77" s="1"/>
  <c r="E24" i="77"/>
  <c r="AD22" i="77"/>
  <c r="AE22" i="77" s="1"/>
  <c r="AC22" i="77"/>
  <c r="Z22" i="77"/>
  <c r="AA22" i="77" s="1"/>
  <c r="Y22" i="77"/>
  <c r="V22" i="77"/>
  <c r="W22" i="77" s="1"/>
  <c r="U22" i="77"/>
  <c r="R22" i="77"/>
  <c r="Q22" i="77"/>
  <c r="N22" i="77"/>
  <c r="M22" i="77"/>
  <c r="F22" i="77"/>
  <c r="G22" i="77" s="1"/>
  <c r="E22" i="77"/>
  <c r="AD17" i="77"/>
  <c r="AC17" i="77"/>
  <c r="Z17" i="77"/>
  <c r="AA17" i="77" s="1"/>
  <c r="Y17" i="77"/>
  <c r="V17" i="77"/>
  <c r="W17" i="77" s="1"/>
  <c r="U17" i="77"/>
  <c r="R17" i="77"/>
  <c r="S17" i="77" s="1"/>
  <c r="Q17" i="77"/>
  <c r="N17" i="77"/>
  <c r="M17" i="77"/>
  <c r="F17" i="77"/>
  <c r="G17" i="77" s="1"/>
  <c r="E17" i="77"/>
  <c r="AD21" i="77"/>
  <c r="AE21" i="77" s="1"/>
  <c r="AC21" i="77"/>
  <c r="Z21" i="77"/>
  <c r="AA21" i="77" s="1"/>
  <c r="Y21" i="77"/>
  <c r="V21" i="77"/>
  <c r="W21" i="77" s="1"/>
  <c r="U21" i="77"/>
  <c r="R21" i="77"/>
  <c r="S21" i="77" s="1"/>
  <c r="Q21" i="77"/>
  <c r="N21" i="77"/>
  <c r="O21" i="77" s="1"/>
  <c r="M21" i="77"/>
  <c r="F21" i="77"/>
  <c r="G21" i="77" s="1"/>
  <c r="E21" i="77"/>
  <c r="AD13" i="77"/>
  <c r="AC13" i="77"/>
  <c r="Z13" i="77"/>
  <c r="Y13" i="77"/>
  <c r="V13" i="77"/>
  <c r="U13" i="77"/>
  <c r="R13" i="77"/>
  <c r="Q13" i="77"/>
  <c r="N13" i="77"/>
  <c r="M13" i="77"/>
  <c r="F13" i="77"/>
  <c r="E13" i="77"/>
  <c r="AD5" i="77"/>
  <c r="AE5" i="77" s="1"/>
  <c r="AC5" i="77"/>
  <c r="Z5" i="77"/>
  <c r="Y5" i="77"/>
  <c r="V5" i="77"/>
  <c r="U5" i="77"/>
  <c r="R5" i="77"/>
  <c r="Q5" i="77"/>
  <c r="N5" i="77"/>
  <c r="M5" i="77"/>
  <c r="F5" i="77"/>
  <c r="E5" i="77"/>
  <c r="AD9" i="77"/>
  <c r="AE9" i="77" s="1"/>
  <c r="AC9" i="77"/>
  <c r="Z9" i="77"/>
  <c r="Y9" i="77"/>
  <c r="V9" i="77"/>
  <c r="U9" i="77"/>
  <c r="R9" i="77"/>
  <c r="Q9" i="77"/>
  <c r="N9" i="77"/>
  <c r="M9" i="77"/>
  <c r="F9" i="77"/>
  <c r="G9" i="77" s="1"/>
  <c r="E9" i="77"/>
  <c r="AD6" i="77"/>
  <c r="AC6" i="77"/>
  <c r="Z6" i="77"/>
  <c r="Y6" i="77"/>
  <c r="V6" i="77"/>
  <c r="U6" i="77"/>
  <c r="R6" i="77"/>
  <c r="Q6" i="77"/>
  <c r="N6" i="77"/>
  <c r="M6" i="77"/>
  <c r="F6" i="77"/>
  <c r="E6" i="77"/>
  <c r="AD18" i="77"/>
  <c r="AC18" i="77"/>
  <c r="Z18" i="77"/>
  <c r="AA18" i="77" s="1"/>
  <c r="Y18" i="77"/>
  <c r="V18" i="77"/>
  <c r="W18" i="77" s="1"/>
  <c r="U18" i="77"/>
  <c r="R18" i="77"/>
  <c r="S18" i="77" s="1"/>
  <c r="Q18" i="77"/>
  <c r="N18" i="77"/>
  <c r="O18" i="77" s="1"/>
  <c r="M18" i="77"/>
  <c r="F18" i="77"/>
  <c r="E18" i="77"/>
  <c r="AD14" i="77"/>
  <c r="AC14" i="77"/>
  <c r="Z14" i="77"/>
  <c r="Y14" i="77"/>
  <c r="V14" i="77"/>
  <c r="W14" i="77" s="1"/>
  <c r="U14" i="77"/>
  <c r="R14" i="77"/>
  <c r="Q14" i="77"/>
  <c r="N14" i="77"/>
  <c r="O14" i="77" s="1"/>
  <c r="M14" i="77"/>
  <c r="F14" i="77"/>
  <c r="E14" i="77"/>
  <c r="AD23" i="77"/>
  <c r="AC23" i="77"/>
  <c r="Z23" i="77"/>
  <c r="Y23" i="77"/>
  <c r="V23" i="77"/>
  <c r="U23" i="77"/>
  <c r="R23" i="77"/>
  <c r="Q23" i="77"/>
  <c r="N23" i="77"/>
  <c r="M23" i="77"/>
  <c r="I23" i="77"/>
  <c r="F23" i="77"/>
  <c r="E23" i="77"/>
  <c r="AD12" i="77"/>
  <c r="AE12" i="77" s="1"/>
  <c r="AC12" i="77"/>
  <c r="Z12" i="77"/>
  <c r="AA12" i="77" s="1"/>
  <c r="Y12" i="77"/>
  <c r="V12" i="77"/>
  <c r="W12" i="77" s="1"/>
  <c r="U12" i="77"/>
  <c r="R12" i="77"/>
  <c r="S12" i="77" s="1"/>
  <c r="Q12" i="77"/>
  <c r="N12" i="77"/>
  <c r="M12" i="77"/>
  <c r="F12" i="77"/>
  <c r="E12" i="77"/>
  <c r="AD10" i="77"/>
  <c r="AC10" i="77"/>
  <c r="Z10" i="77"/>
  <c r="Y10" i="77"/>
  <c r="V10" i="77"/>
  <c r="W10" i="77" s="1"/>
  <c r="U10" i="77"/>
  <c r="R10" i="77"/>
  <c r="Q10" i="77"/>
  <c r="N10" i="77"/>
  <c r="M10" i="77"/>
  <c r="F10" i="77"/>
  <c r="E10" i="77"/>
  <c r="AD7" i="77"/>
  <c r="AC7" i="77"/>
  <c r="Z7" i="77"/>
  <c r="Y7" i="77"/>
  <c r="V7" i="77"/>
  <c r="U7" i="77"/>
  <c r="R7" i="77"/>
  <c r="Q7" i="77"/>
  <c r="N7" i="77"/>
  <c r="M7" i="77"/>
  <c r="F7" i="77"/>
  <c r="E7" i="77"/>
  <c r="AD25" i="77"/>
  <c r="AC25" i="77"/>
  <c r="Z25" i="77"/>
  <c r="Y25" i="77"/>
  <c r="V25" i="77"/>
  <c r="W25" i="77" s="1"/>
  <c r="U25" i="77"/>
  <c r="R25" i="77"/>
  <c r="Q25" i="77"/>
  <c r="N25" i="77"/>
  <c r="O25" i="77" s="1"/>
  <c r="M25" i="77"/>
  <c r="F25" i="77"/>
  <c r="G25" i="77" s="1"/>
  <c r="E25" i="77"/>
  <c r="Y19" i="76"/>
  <c r="Y20" i="76"/>
  <c r="Z21" i="76"/>
  <c r="Z23" i="76"/>
  <c r="X24" i="76"/>
  <c r="Z24" i="76" s="1"/>
  <c r="U19" i="76"/>
  <c r="U20" i="76"/>
  <c r="W20" i="76" s="1"/>
  <c r="U21" i="76"/>
  <c r="W21" i="76" s="1"/>
  <c r="U22" i="76"/>
  <c r="W22" i="76" s="1"/>
  <c r="U23" i="76"/>
  <c r="U24" i="76"/>
  <c r="W24" i="76" s="1"/>
  <c r="R19" i="76"/>
  <c r="T19" i="76" s="1"/>
  <c r="R20" i="76"/>
  <c r="R21" i="76"/>
  <c r="S21" i="76" s="1"/>
  <c r="R22" i="76"/>
  <c r="S22" i="76" s="1"/>
  <c r="R23" i="76"/>
  <c r="S23" i="76" s="1"/>
  <c r="R24" i="76"/>
  <c r="O19" i="76"/>
  <c r="Q19" i="76" s="1"/>
  <c r="O20" i="76"/>
  <c r="Q20" i="76" s="1"/>
  <c r="O21" i="76"/>
  <c r="O22" i="76"/>
  <c r="Q22" i="76" s="1"/>
  <c r="O23" i="76"/>
  <c r="P23" i="76" s="1"/>
  <c r="O24" i="76"/>
  <c r="Q24" i="76" s="1"/>
  <c r="L19" i="76"/>
  <c r="N19" i="76" s="1"/>
  <c r="L20" i="76"/>
  <c r="M20" i="76" s="1"/>
  <c r="L21" i="76"/>
  <c r="N21" i="76" s="1"/>
  <c r="L22" i="76"/>
  <c r="L23" i="76"/>
  <c r="M23" i="76" s="1"/>
  <c r="L24" i="76"/>
  <c r="N24" i="76" s="1"/>
  <c r="I19" i="76"/>
  <c r="I20" i="76"/>
  <c r="K20" i="76" s="1"/>
  <c r="I21" i="76"/>
  <c r="K21" i="76" s="1"/>
  <c r="I22" i="76"/>
  <c r="K22" i="76" s="1"/>
  <c r="I23" i="76"/>
  <c r="I24" i="76"/>
  <c r="K24" i="76" s="1"/>
  <c r="F19" i="76"/>
  <c r="G19" i="76" s="1"/>
  <c r="F20" i="76"/>
  <c r="F21" i="76"/>
  <c r="G21" i="76" s="1"/>
  <c r="F22" i="76"/>
  <c r="G22" i="76" s="1"/>
  <c r="F23" i="76"/>
  <c r="G23" i="76" s="1"/>
  <c r="F24" i="76"/>
  <c r="C19" i="76"/>
  <c r="D19" i="76" s="1"/>
  <c r="C20" i="76"/>
  <c r="D20" i="76" s="1"/>
  <c r="C21" i="76"/>
  <c r="C22" i="76"/>
  <c r="C23" i="76"/>
  <c r="D23" i="76" s="1"/>
  <c r="C24" i="76"/>
  <c r="E24" i="76" s="1"/>
  <c r="AD24" i="75"/>
  <c r="AE24" i="75" s="1"/>
  <c r="AC24" i="75"/>
  <c r="Z24" i="75"/>
  <c r="AA24" i="75" s="1"/>
  <c r="Y24" i="75"/>
  <c r="V24" i="75"/>
  <c r="W24" i="75" s="1"/>
  <c r="U24" i="75"/>
  <c r="R24" i="75"/>
  <c r="S24" i="75" s="1"/>
  <c r="Q24" i="75"/>
  <c r="N24" i="75"/>
  <c r="O24" i="75" s="1"/>
  <c r="M24" i="75"/>
  <c r="F24" i="75"/>
  <c r="G24" i="75" s="1"/>
  <c r="E24" i="75"/>
  <c r="AD23" i="75"/>
  <c r="AE23" i="75" s="1"/>
  <c r="AC23" i="75"/>
  <c r="Z23" i="75"/>
  <c r="AA23" i="75" s="1"/>
  <c r="Y23" i="75"/>
  <c r="V23" i="75"/>
  <c r="W23" i="75" s="1"/>
  <c r="U23" i="75"/>
  <c r="R23" i="75"/>
  <c r="S23" i="75" s="1"/>
  <c r="Q23" i="75"/>
  <c r="N23" i="75"/>
  <c r="O23" i="75" s="1"/>
  <c r="M23" i="75"/>
  <c r="F23" i="75"/>
  <c r="G23" i="75" s="1"/>
  <c r="E23" i="75"/>
  <c r="AD22" i="75"/>
  <c r="AE22" i="75" s="1"/>
  <c r="AC22" i="75"/>
  <c r="Z22" i="75"/>
  <c r="AA22" i="75" s="1"/>
  <c r="Y22" i="75"/>
  <c r="V22" i="75"/>
  <c r="W22" i="75" s="1"/>
  <c r="U22" i="75"/>
  <c r="R22" i="75"/>
  <c r="S22" i="75" s="1"/>
  <c r="Q22" i="75"/>
  <c r="N22" i="75"/>
  <c r="O22" i="75" s="1"/>
  <c r="M22" i="75"/>
  <c r="F22" i="75"/>
  <c r="G22" i="75" s="1"/>
  <c r="E22" i="75"/>
  <c r="AD21" i="75"/>
  <c r="AE21" i="75" s="1"/>
  <c r="AC21" i="75"/>
  <c r="Z21" i="75"/>
  <c r="AA21" i="75" s="1"/>
  <c r="Y21" i="75"/>
  <c r="V21" i="75"/>
  <c r="W21" i="75" s="1"/>
  <c r="U21" i="75"/>
  <c r="R21" i="75"/>
  <c r="S21" i="75" s="1"/>
  <c r="Q21" i="75"/>
  <c r="N21" i="75"/>
  <c r="O21" i="75" s="1"/>
  <c r="M21" i="75"/>
  <c r="F21" i="75"/>
  <c r="G21" i="75" s="1"/>
  <c r="E21" i="75"/>
  <c r="AD20" i="75"/>
  <c r="AE20" i="75" s="1"/>
  <c r="AC20" i="75"/>
  <c r="Z20" i="75"/>
  <c r="AA20" i="75" s="1"/>
  <c r="Y20" i="75"/>
  <c r="V20" i="75"/>
  <c r="W20" i="75" s="1"/>
  <c r="U20" i="75"/>
  <c r="R20" i="75"/>
  <c r="S20" i="75" s="1"/>
  <c r="Q20" i="75"/>
  <c r="N20" i="75"/>
  <c r="O20" i="75" s="1"/>
  <c r="M20" i="75"/>
  <c r="F20" i="75"/>
  <c r="G20" i="75" s="1"/>
  <c r="E20" i="75"/>
  <c r="AD19" i="75"/>
  <c r="AE19" i="75" s="1"/>
  <c r="AC19" i="75"/>
  <c r="Z19" i="75"/>
  <c r="AA19" i="75" s="1"/>
  <c r="Y19" i="75"/>
  <c r="V19" i="75"/>
  <c r="W19" i="75" s="1"/>
  <c r="U19" i="75"/>
  <c r="R19" i="75"/>
  <c r="S19" i="75" s="1"/>
  <c r="Q19" i="75"/>
  <c r="N19" i="75"/>
  <c r="O19" i="75" s="1"/>
  <c r="M19" i="75"/>
  <c r="F19" i="75"/>
  <c r="G19" i="75" s="1"/>
  <c r="E19" i="75"/>
  <c r="AD18" i="75"/>
  <c r="AE18" i="75" s="1"/>
  <c r="AC18" i="75"/>
  <c r="Z18" i="75"/>
  <c r="AA18" i="75" s="1"/>
  <c r="Y18" i="75"/>
  <c r="V18" i="75"/>
  <c r="W18" i="75" s="1"/>
  <c r="U18" i="75"/>
  <c r="R18" i="75"/>
  <c r="S18" i="75" s="1"/>
  <c r="Q18" i="75"/>
  <c r="N18" i="75"/>
  <c r="O18" i="75" s="1"/>
  <c r="M18" i="75"/>
  <c r="F18" i="75"/>
  <c r="G18" i="75" s="1"/>
  <c r="E18" i="75"/>
  <c r="AD17" i="75"/>
  <c r="AE17" i="75" s="1"/>
  <c r="AC17" i="75"/>
  <c r="Z17" i="75"/>
  <c r="AA17" i="75" s="1"/>
  <c r="Y17" i="75"/>
  <c r="V17" i="75"/>
  <c r="W17" i="75" s="1"/>
  <c r="U17" i="75"/>
  <c r="R17" i="75"/>
  <c r="S17" i="75" s="1"/>
  <c r="Q17" i="75"/>
  <c r="N17" i="75"/>
  <c r="O17" i="75" s="1"/>
  <c r="M17" i="75"/>
  <c r="F17" i="75"/>
  <c r="G17" i="75" s="1"/>
  <c r="E17" i="75"/>
  <c r="AD16" i="75"/>
  <c r="AE16" i="75" s="1"/>
  <c r="AC16" i="75"/>
  <c r="Z16" i="75"/>
  <c r="AA16" i="75" s="1"/>
  <c r="Y16" i="75"/>
  <c r="V16" i="75"/>
  <c r="W16" i="75" s="1"/>
  <c r="U16" i="75"/>
  <c r="R16" i="75"/>
  <c r="S16" i="75" s="1"/>
  <c r="Q16" i="75"/>
  <c r="N16" i="75"/>
  <c r="O16" i="75" s="1"/>
  <c r="M16" i="75"/>
  <c r="F16" i="75"/>
  <c r="G16" i="75" s="1"/>
  <c r="E16" i="75"/>
  <c r="AD15" i="75"/>
  <c r="AE15" i="75" s="1"/>
  <c r="AC15" i="75"/>
  <c r="Z15" i="75"/>
  <c r="AA15" i="75" s="1"/>
  <c r="Y15" i="75"/>
  <c r="V15" i="75"/>
  <c r="W15" i="75" s="1"/>
  <c r="U15" i="75"/>
  <c r="R15" i="75"/>
  <c r="S15" i="75" s="1"/>
  <c r="Q15" i="75"/>
  <c r="N15" i="75"/>
  <c r="O15" i="75" s="1"/>
  <c r="M15" i="75"/>
  <c r="F15" i="75"/>
  <c r="G15" i="75" s="1"/>
  <c r="E15" i="75"/>
  <c r="AD13" i="75"/>
  <c r="AE13" i="75" s="1"/>
  <c r="AC13" i="75"/>
  <c r="Z13" i="75"/>
  <c r="AA13" i="75" s="1"/>
  <c r="Y13" i="75"/>
  <c r="V13" i="75"/>
  <c r="W13" i="75" s="1"/>
  <c r="U13" i="75"/>
  <c r="R13" i="75"/>
  <c r="S13" i="75" s="1"/>
  <c r="Q13" i="75"/>
  <c r="N13" i="75"/>
  <c r="O13" i="75" s="1"/>
  <c r="M13" i="75"/>
  <c r="F13" i="75"/>
  <c r="G13" i="75" s="1"/>
  <c r="E13" i="75"/>
  <c r="AD14" i="75"/>
  <c r="AE14" i="75" s="1"/>
  <c r="AC14" i="75"/>
  <c r="Z14" i="75"/>
  <c r="AA14" i="75" s="1"/>
  <c r="Y14" i="75"/>
  <c r="V14" i="75"/>
  <c r="U14" i="75"/>
  <c r="R14" i="75"/>
  <c r="S14" i="75" s="1"/>
  <c r="Q14" i="75"/>
  <c r="N14" i="75"/>
  <c r="O14" i="75" s="1"/>
  <c r="M14" i="75"/>
  <c r="F14" i="75"/>
  <c r="G14" i="75" s="1"/>
  <c r="E14" i="75"/>
  <c r="AD5" i="75"/>
  <c r="AE5" i="75" s="1"/>
  <c r="AC5" i="75"/>
  <c r="Z5" i="75"/>
  <c r="Y5" i="75"/>
  <c r="V5" i="75"/>
  <c r="U5" i="75"/>
  <c r="R5" i="75"/>
  <c r="Q5" i="75"/>
  <c r="N5" i="75"/>
  <c r="M5" i="75"/>
  <c r="F5" i="75"/>
  <c r="E5" i="75"/>
  <c r="AD6" i="75"/>
  <c r="AC6" i="75"/>
  <c r="Z6" i="75"/>
  <c r="Y6" i="75"/>
  <c r="V6" i="75"/>
  <c r="W6" i="75" s="1"/>
  <c r="U6" i="75"/>
  <c r="R6" i="75"/>
  <c r="Q6" i="75"/>
  <c r="N6" i="75"/>
  <c r="M6" i="75"/>
  <c r="F6" i="75"/>
  <c r="E6" i="75"/>
  <c r="AD10" i="75"/>
  <c r="AC10" i="75"/>
  <c r="Z10" i="75"/>
  <c r="Y10" i="75"/>
  <c r="V10" i="75"/>
  <c r="U10" i="75"/>
  <c r="R10" i="75"/>
  <c r="Q10" i="75"/>
  <c r="N10" i="75"/>
  <c r="M10" i="75"/>
  <c r="F10" i="75"/>
  <c r="G10" i="75" s="1"/>
  <c r="E10" i="75"/>
  <c r="AD11" i="75"/>
  <c r="AC11" i="75"/>
  <c r="Z11" i="75"/>
  <c r="Y11" i="75"/>
  <c r="V11" i="75"/>
  <c r="U11" i="75"/>
  <c r="R11" i="75"/>
  <c r="S11" i="75" s="1"/>
  <c r="Q11" i="75"/>
  <c r="N11" i="75"/>
  <c r="O11" i="75" s="1"/>
  <c r="M11" i="75"/>
  <c r="F11" i="75"/>
  <c r="G11" i="75" s="1"/>
  <c r="E11" i="75"/>
  <c r="AD7" i="75"/>
  <c r="AC7" i="75"/>
  <c r="Z7" i="75"/>
  <c r="AA7" i="75" s="1"/>
  <c r="Y7" i="75"/>
  <c r="V7" i="75"/>
  <c r="U7" i="75"/>
  <c r="R7" i="75"/>
  <c r="Q7" i="75"/>
  <c r="N7" i="75"/>
  <c r="M7" i="75"/>
  <c r="F7" i="75"/>
  <c r="G7" i="75" s="1"/>
  <c r="E7" i="75"/>
  <c r="AD8" i="75"/>
  <c r="AC8" i="75"/>
  <c r="Z8" i="75"/>
  <c r="Y8" i="75"/>
  <c r="V8" i="75"/>
  <c r="U8" i="75"/>
  <c r="R8" i="75"/>
  <c r="Q8" i="75"/>
  <c r="N8" i="75"/>
  <c r="M8" i="75"/>
  <c r="F8" i="75"/>
  <c r="E8" i="75"/>
  <c r="AD9" i="75"/>
  <c r="AC9" i="75"/>
  <c r="Z9" i="75"/>
  <c r="AA9" i="75" s="1"/>
  <c r="Y9" i="75"/>
  <c r="V9" i="75"/>
  <c r="U9" i="75"/>
  <c r="R9" i="75"/>
  <c r="S9" i="75" s="1"/>
  <c r="Q9" i="75"/>
  <c r="N9" i="75"/>
  <c r="M9" i="75"/>
  <c r="J9" i="75"/>
  <c r="I9" i="75"/>
  <c r="F9" i="75"/>
  <c r="E9" i="75"/>
  <c r="AD12" i="75"/>
  <c r="AC12" i="75"/>
  <c r="Z12" i="75"/>
  <c r="Y12" i="75"/>
  <c r="V12" i="75"/>
  <c r="U12" i="75"/>
  <c r="R12" i="75"/>
  <c r="S12" i="75" s="1"/>
  <c r="Q12" i="75"/>
  <c r="N12" i="75"/>
  <c r="O12" i="75" s="1"/>
  <c r="M12" i="75"/>
  <c r="F12" i="75"/>
  <c r="G12" i="75" s="1"/>
  <c r="E12" i="75"/>
  <c r="AD24" i="74"/>
  <c r="AE24" i="74" s="1"/>
  <c r="AC24" i="74"/>
  <c r="Z24" i="74"/>
  <c r="AA24" i="74" s="1"/>
  <c r="Y24" i="74"/>
  <c r="V24" i="74"/>
  <c r="W24" i="74" s="1"/>
  <c r="U24" i="74"/>
  <c r="R24" i="74"/>
  <c r="S24" i="74" s="1"/>
  <c r="Q24" i="74"/>
  <c r="N24" i="74"/>
  <c r="O24" i="74" s="1"/>
  <c r="M24" i="74"/>
  <c r="F24" i="74"/>
  <c r="G24" i="74" s="1"/>
  <c r="E24" i="74"/>
  <c r="AD23" i="74"/>
  <c r="AE23" i="74" s="1"/>
  <c r="AC23" i="74"/>
  <c r="Z23" i="74"/>
  <c r="AA23" i="74" s="1"/>
  <c r="Y23" i="74"/>
  <c r="V23" i="74"/>
  <c r="W23" i="74" s="1"/>
  <c r="U23" i="74"/>
  <c r="R23" i="74"/>
  <c r="S23" i="74" s="1"/>
  <c r="Q23" i="74"/>
  <c r="N23" i="74"/>
  <c r="O23" i="74" s="1"/>
  <c r="M23" i="74"/>
  <c r="F23" i="74"/>
  <c r="G23" i="74" s="1"/>
  <c r="E23" i="74"/>
  <c r="AD22" i="74"/>
  <c r="AE22" i="74" s="1"/>
  <c r="AC22" i="74"/>
  <c r="Z22" i="74"/>
  <c r="AA22" i="74" s="1"/>
  <c r="Y22" i="74"/>
  <c r="V22" i="74"/>
  <c r="W22" i="74" s="1"/>
  <c r="U22" i="74"/>
  <c r="R22" i="74"/>
  <c r="S22" i="74" s="1"/>
  <c r="Q22" i="74"/>
  <c r="N22" i="74"/>
  <c r="O22" i="74" s="1"/>
  <c r="M22" i="74"/>
  <c r="F22" i="74"/>
  <c r="G22" i="74" s="1"/>
  <c r="E22" i="74"/>
  <c r="AD21" i="74"/>
  <c r="AE21" i="74" s="1"/>
  <c r="AC21" i="74"/>
  <c r="Z21" i="74"/>
  <c r="AA21" i="74" s="1"/>
  <c r="Y21" i="74"/>
  <c r="V21" i="74"/>
  <c r="W21" i="74" s="1"/>
  <c r="U21" i="74"/>
  <c r="R21" i="74"/>
  <c r="S21" i="74" s="1"/>
  <c r="Q21" i="74"/>
  <c r="N21" i="74"/>
  <c r="O21" i="74" s="1"/>
  <c r="M21" i="74"/>
  <c r="F21" i="74"/>
  <c r="G21" i="74" s="1"/>
  <c r="E21" i="74"/>
  <c r="AD20" i="74"/>
  <c r="AE20" i="74" s="1"/>
  <c r="AC20" i="74"/>
  <c r="Z20" i="74"/>
  <c r="AA20" i="74" s="1"/>
  <c r="Y20" i="74"/>
  <c r="V20" i="74"/>
  <c r="W20" i="74" s="1"/>
  <c r="U20" i="74"/>
  <c r="R20" i="74"/>
  <c r="S20" i="74" s="1"/>
  <c r="Q20" i="74"/>
  <c r="N20" i="74"/>
  <c r="O20" i="74" s="1"/>
  <c r="M20" i="74"/>
  <c r="F20" i="74"/>
  <c r="G20" i="74" s="1"/>
  <c r="E20" i="74"/>
  <c r="AD19" i="74"/>
  <c r="AE19" i="74" s="1"/>
  <c r="AC19" i="74"/>
  <c r="Z19" i="74"/>
  <c r="AA19" i="74" s="1"/>
  <c r="Y19" i="74"/>
  <c r="V19" i="74"/>
  <c r="W19" i="74" s="1"/>
  <c r="U19" i="74"/>
  <c r="R19" i="74"/>
  <c r="S19" i="74" s="1"/>
  <c r="Q19" i="74"/>
  <c r="N19" i="74"/>
  <c r="O19" i="74" s="1"/>
  <c r="M19" i="74"/>
  <c r="F19" i="74"/>
  <c r="G19" i="74" s="1"/>
  <c r="E19" i="74"/>
  <c r="AD18" i="74"/>
  <c r="AE18" i="74" s="1"/>
  <c r="AC18" i="74"/>
  <c r="Z18" i="74"/>
  <c r="AA18" i="74" s="1"/>
  <c r="Y18" i="74"/>
  <c r="V18" i="74"/>
  <c r="W18" i="74" s="1"/>
  <c r="U18" i="74"/>
  <c r="R18" i="74"/>
  <c r="S18" i="74" s="1"/>
  <c r="Q18" i="74"/>
  <c r="N18" i="74"/>
  <c r="O18" i="74" s="1"/>
  <c r="M18" i="74"/>
  <c r="F18" i="74"/>
  <c r="G18" i="74" s="1"/>
  <c r="E18" i="74"/>
  <c r="AD17" i="74"/>
  <c r="AE17" i="74" s="1"/>
  <c r="AC17" i="74"/>
  <c r="Z17" i="74"/>
  <c r="AA17" i="74" s="1"/>
  <c r="Y17" i="74"/>
  <c r="V17" i="74"/>
  <c r="W17" i="74" s="1"/>
  <c r="U17" i="74"/>
  <c r="R17" i="74"/>
  <c r="S17" i="74" s="1"/>
  <c r="Q17" i="74"/>
  <c r="N17" i="74"/>
  <c r="O17" i="74" s="1"/>
  <c r="M17" i="74"/>
  <c r="F17" i="74"/>
  <c r="G17" i="74" s="1"/>
  <c r="E17" i="74"/>
  <c r="AD16" i="74"/>
  <c r="AE16" i="74" s="1"/>
  <c r="AC16" i="74"/>
  <c r="Z16" i="74"/>
  <c r="AA16" i="74" s="1"/>
  <c r="Y16" i="74"/>
  <c r="V16" i="74"/>
  <c r="W16" i="74" s="1"/>
  <c r="U16" i="74"/>
  <c r="R16" i="74"/>
  <c r="S16" i="74" s="1"/>
  <c r="Q16" i="74"/>
  <c r="N16" i="74"/>
  <c r="O16" i="74" s="1"/>
  <c r="M16" i="74"/>
  <c r="F16" i="74"/>
  <c r="G16" i="74" s="1"/>
  <c r="E16" i="74"/>
  <c r="AD15" i="74"/>
  <c r="AE15" i="74" s="1"/>
  <c r="AC15" i="74"/>
  <c r="Z15" i="74"/>
  <c r="AA15" i="74" s="1"/>
  <c r="Y15" i="74"/>
  <c r="V15" i="74"/>
  <c r="W15" i="74" s="1"/>
  <c r="U15" i="74"/>
  <c r="R15" i="74"/>
  <c r="S15" i="74" s="1"/>
  <c r="Q15" i="74"/>
  <c r="N15" i="74"/>
  <c r="O15" i="74" s="1"/>
  <c r="M15" i="74"/>
  <c r="F15" i="74"/>
  <c r="G15" i="74" s="1"/>
  <c r="E15" i="74"/>
  <c r="AD11" i="74"/>
  <c r="AE11" i="74" s="1"/>
  <c r="AC11" i="74"/>
  <c r="Z11" i="74"/>
  <c r="AA11" i="74" s="1"/>
  <c r="Y11" i="74"/>
  <c r="V11" i="74"/>
  <c r="W11" i="74" s="1"/>
  <c r="U11" i="74"/>
  <c r="R11" i="74"/>
  <c r="S11" i="74" s="1"/>
  <c r="Q11" i="74"/>
  <c r="N11" i="74"/>
  <c r="O11" i="74" s="1"/>
  <c r="M11" i="74"/>
  <c r="F11" i="74"/>
  <c r="G11" i="74" s="1"/>
  <c r="E11" i="74"/>
  <c r="AD5" i="74"/>
  <c r="AC5" i="74"/>
  <c r="Z5" i="74"/>
  <c r="AA5" i="74" s="1"/>
  <c r="Y5" i="74"/>
  <c r="V5" i="74"/>
  <c r="W5" i="74" s="1"/>
  <c r="U5" i="74"/>
  <c r="R5" i="74"/>
  <c r="Q5" i="74"/>
  <c r="N5" i="74"/>
  <c r="O5" i="74" s="1"/>
  <c r="M5" i="74"/>
  <c r="F5" i="74"/>
  <c r="E5" i="74"/>
  <c r="AD9" i="74"/>
  <c r="AE9" i="74" s="1"/>
  <c r="AC9" i="74"/>
  <c r="Z9" i="74"/>
  <c r="Y9" i="74"/>
  <c r="V9" i="74"/>
  <c r="W9" i="74" s="1"/>
  <c r="U9" i="74"/>
  <c r="R9" i="74"/>
  <c r="S9" i="74" s="1"/>
  <c r="Q9" i="74"/>
  <c r="N9" i="74"/>
  <c r="O9" i="74" s="1"/>
  <c r="M9" i="74"/>
  <c r="F9" i="74"/>
  <c r="E9" i="74"/>
  <c r="AD10" i="74"/>
  <c r="AC10" i="74"/>
  <c r="Z10" i="74"/>
  <c r="Y10" i="74"/>
  <c r="V10" i="74"/>
  <c r="U10" i="74"/>
  <c r="R10" i="74"/>
  <c r="S10" i="74" s="1"/>
  <c r="Q10" i="74"/>
  <c r="N10" i="74"/>
  <c r="O10" i="74" s="1"/>
  <c r="M10" i="74"/>
  <c r="F10" i="74"/>
  <c r="G10" i="74" s="1"/>
  <c r="E10" i="74"/>
  <c r="AD14" i="74"/>
  <c r="AE14" i="74" s="1"/>
  <c r="AC14" i="74"/>
  <c r="Z14" i="74"/>
  <c r="Y14" i="74"/>
  <c r="V14" i="74"/>
  <c r="W14" i="74" s="1"/>
  <c r="U14" i="74"/>
  <c r="R14" i="74"/>
  <c r="S14" i="74" s="1"/>
  <c r="Q14" i="74"/>
  <c r="N14" i="74"/>
  <c r="O14" i="74" s="1"/>
  <c r="M14" i="74"/>
  <c r="F14" i="74"/>
  <c r="G14" i="74" s="1"/>
  <c r="E14" i="74"/>
  <c r="AD7" i="74"/>
  <c r="AC7" i="74"/>
  <c r="Z7" i="74"/>
  <c r="AA7" i="74" s="1"/>
  <c r="Y7" i="74"/>
  <c r="V7" i="74"/>
  <c r="U7" i="74"/>
  <c r="R7" i="74"/>
  <c r="S7" i="74" s="1"/>
  <c r="Q7" i="74"/>
  <c r="N7" i="74"/>
  <c r="O7" i="74" s="1"/>
  <c r="M7" i="74"/>
  <c r="F7" i="74"/>
  <c r="G7" i="74" s="1"/>
  <c r="E7" i="74"/>
  <c r="AD13" i="74"/>
  <c r="AE13" i="74" s="1"/>
  <c r="AC13" i="74"/>
  <c r="Z13" i="74"/>
  <c r="Y13" i="74"/>
  <c r="V13" i="74"/>
  <c r="W13" i="74" s="1"/>
  <c r="U13" i="74"/>
  <c r="R13" i="74"/>
  <c r="S13" i="74" s="1"/>
  <c r="Q13" i="74"/>
  <c r="N13" i="74"/>
  <c r="O13" i="74" s="1"/>
  <c r="M13" i="74"/>
  <c r="F13" i="74"/>
  <c r="G13" i="74" s="1"/>
  <c r="E13" i="74"/>
  <c r="AD8" i="74"/>
  <c r="AC8" i="74"/>
  <c r="Z8" i="74"/>
  <c r="AA8" i="74" s="1"/>
  <c r="Y8" i="74"/>
  <c r="V8" i="74"/>
  <c r="W8" i="74" s="1"/>
  <c r="U8" i="74"/>
  <c r="R8" i="74"/>
  <c r="S8" i="74" s="1"/>
  <c r="Q8" i="74"/>
  <c r="N8" i="74"/>
  <c r="O8" i="74" s="1"/>
  <c r="M8" i="74"/>
  <c r="F8" i="74"/>
  <c r="G8" i="74" s="1"/>
  <c r="E8" i="74"/>
  <c r="AD6" i="74"/>
  <c r="AC6" i="74"/>
  <c r="Z6" i="74"/>
  <c r="Y6" i="74"/>
  <c r="V6" i="74"/>
  <c r="W6" i="74" s="1"/>
  <c r="U6" i="74"/>
  <c r="R6" i="74"/>
  <c r="Q6" i="74"/>
  <c r="N6" i="74"/>
  <c r="M6" i="74"/>
  <c r="J6" i="74"/>
  <c r="I6" i="74"/>
  <c r="F6" i="74"/>
  <c r="G6" i="74" s="1"/>
  <c r="E6" i="74"/>
  <c r="AD12" i="74"/>
  <c r="AC12" i="74"/>
  <c r="Z12" i="74"/>
  <c r="Y12" i="74"/>
  <c r="V12" i="74"/>
  <c r="W12" i="74" s="1"/>
  <c r="U12" i="74"/>
  <c r="R12" i="74"/>
  <c r="S12" i="74" s="1"/>
  <c r="Q12" i="74"/>
  <c r="N12" i="74"/>
  <c r="O12" i="74" s="1"/>
  <c r="M12" i="74"/>
  <c r="F12" i="74"/>
  <c r="G12" i="74" s="1"/>
  <c r="E12" i="74"/>
  <c r="AD24" i="73"/>
  <c r="AE24" i="73" s="1"/>
  <c r="AC24" i="73"/>
  <c r="Z24" i="73"/>
  <c r="AA24" i="73" s="1"/>
  <c r="Y24" i="73"/>
  <c r="V24" i="73"/>
  <c r="W24" i="73" s="1"/>
  <c r="U24" i="73"/>
  <c r="R24" i="73"/>
  <c r="S24" i="73" s="1"/>
  <c r="Q24" i="73"/>
  <c r="N24" i="73"/>
  <c r="O24" i="73" s="1"/>
  <c r="M24" i="73"/>
  <c r="F24" i="73"/>
  <c r="G24" i="73" s="1"/>
  <c r="E24" i="73"/>
  <c r="AD23" i="73"/>
  <c r="AE23" i="73" s="1"/>
  <c r="AC23" i="73"/>
  <c r="Z23" i="73"/>
  <c r="AA23" i="73" s="1"/>
  <c r="Y23" i="73"/>
  <c r="V23" i="73"/>
  <c r="W23" i="73" s="1"/>
  <c r="U23" i="73"/>
  <c r="R23" i="73"/>
  <c r="S23" i="73" s="1"/>
  <c r="Q23" i="73"/>
  <c r="N23" i="73"/>
  <c r="O23" i="73" s="1"/>
  <c r="M23" i="73"/>
  <c r="F23" i="73"/>
  <c r="G23" i="73" s="1"/>
  <c r="E23" i="73"/>
  <c r="AD22" i="73"/>
  <c r="AE22" i="73" s="1"/>
  <c r="AC22" i="73"/>
  <c r="Z22" i="73"/>
  <c r="AA22" i="73" s="1"/>
  <c r="Y22" i="73"/>
  <c r="V22" i="73"/>
  <c r="W22" i="73" s="1"/>
  <c r="U22" i="73"/>
  <c r="R22" i="73"/>
  <c r="S22" i="73" s="1"/>
  <c r="Q22" i="73"/>
  <c r="N22" i="73"/>
  <c r="O22" i="73" s="1"/>
  <c r="M22" i="73"/>
  <c r="F22" i="73"/>
  <c r="G22" i="73" s="1"/>
  <c r="E22" i="73"/>
  <c r="AD21" i="73"/>
  <c r="AE21" i="73" s="1"/>
  <c r="AC21" i="73"/>
  <c r="Z21" i="73"/>
  <c r="AA21" i="73" s="1"/>
  <c r="Y21" i="73"/>
  <c r="V21" i="73"/>
  <c r="W21" i="73" s="1"/>
  <c r="U21" i="73"/>
  <c r="R21" i="73"/>
  <c r="S21" i="73" s="1"/>
  <c r="Q21" i="73"/>
  <c r="N21" i="73"/>
  <c r="O21" i="73" s="1"/>
  <c r="M21" i="73"/>
  <c r="F21" i="73"/>
  <c r="G21" i="73" s="1"/>
  <c r="E21" i="73"/>
  <c r="AD20" i="73"/>
  <c r="AE20" i="73" s="1"/>
  <c r="AC20" i="73"/>
  <c r="Z20" i="73"/>
  <c r="AA20" i="73" s="1"/>
  <c r="Y20" i="73"/>
  <c r="V20" i="73"/>
  <c r="W20" i="73" s="1"/>
  <c r="U20" i="73"/>
  <c r="R20" i="73"/>
  <c r="S20" i="73" s="1"/>
  <c r="Q20" i="73"/>
  <c r="N20" i="73"/>
  <c r="O20" i="73" s="1"/>
  <c r="M20" i="73"/>
  <c r="F20" i="73"/>
  <c r="G20" i="73" s="1"/>
  <c r="E20" i="73"/>
  <c r="AD19" i="73"/>
  <c r="AE19" i="73" s="1"/>
  <c r="AC19" i="73"/>
  <c r="Z19" i="73"/>
  <c r="AA19" i="73" s="1"/>
  <c r="Y19" i="73"/>
  <c r="V19" i="73"/>
  <c r="W19" i="73" s="1"/>
  <c r="U19" i="73"/>
  <c r="R19" i="73"/>
  <c r="S19" i="73" s="1"/>
  <c r="Q19" i="73"/>
  <c r="N19" i="73"/>
  <c r="O19" i="73" s="1"/>
  <c r="M19" i="73"/>
  <c r="F19" i="73"/>
  <c r="G19" i="73" s="1"/>
  <c r="E19" i="73"/>
  <c r="AD18" i="73"/>
  <c r="AE18" i="73" s="1"/>
  <c r="AC18" i="73"/>
  <c r="Z18" i="73"/>
  <c r="AA18" i="73" s="1"/>
  <c r="Y18" i="73"/>
  <c r="V18" i="73"/>
  <c r="W18" i="73" s="1"/>
  <c r="U18" i="73"/>
  <c r="R18" i="73"/>
  <c r="S18" i="73" s="1"/>
  <c r="Q18" i="73"/>
  <c r="N18" i="73"/>
  <c r="O18" i="73" s="1"/>
  <c r="M18" i="73"/>
  <c r="F18" i="73"/>
  <c r="G18" i="73" s="1"/>
  <c r="E18" i="73"/>
  <c r="AD17" i="73"/>
  <c r="AE17" i="73" s="1"/>
  <c r="AC17" i="73"/>
  <c r="Z17" i="73"/>
  <c r="AA17" i="73" s="1"/>
  <c r="Y17" i="73"/>
  <c r="V17" i="73"/>
  <c r="W17" i="73" s="1"/>
  <c r="U17" i="73"/>
  <c r="R17" i="73"/>
  <c r="S17" i="73" s="1"/>
  <c r="Q17" i="73"/>
  <c r="N17" i="73"/>
  <c r="O17" i="73" s="1"/>
  <c r="M17" i="73"/>
  <c r="F17" i="73"/>
  <c r="G17" i="73" s="1"/>
  <c r="E17" i="73"/>
  <c r="AD14" i="73"/>
  <c r="AE14" i="73" s="1"/>
  <c r="AC14" i="73"/>
  <c r="Z14" i="73"/>
  <c r="Y14" i="73"/>
  <c r="V14" i="73"/>
  <c r="W14" i="73" s="1"/>
  <c r="U14" i="73"/>
  <c r="R14" i="73"/>
  <c r="S14" i="73" s="1"/>
  <c r="Q14" i="73"/>
  <c r="N14" i="73"/>
  <c r="O14" i="73" s="1"/>
  <c r="M14" i="73"/>
  <c r="F14" i="73"/>
  <c r="G14" i="73" s="1"/>
  <c r="E14" i="73"/>
  <c r="AD16" i="73"/>
  <c r="AE16" i="73" s="1"/>
  <c r="AC16" i="73"/>
  <c r="Z16" i="73"/>
  <c r="AA16" i="73" s="1"/>
  <c r="Y16" i="73"/>
  <c r="V16" i="73"/>
  <c r="W16" i="73" s="1"/>
  <c r="U16" i="73"/>
  <c r="R16" i="73"/>
  <c r="S16" i="73" s="1"/>
  <c r="Q16" i="73"/>
  <c r="N16" i="73"/>
  <c r="O16" i="73" s="1"/>
  <c r="M16" i="73"/>
  <c r="F18" i="76"/>
  <c r="H18" i="76" s="1"/>
  <c r="F16" i="73"/>
  <c r="G16" i="73" s="1"/>
  <c r="E16" i="73"/>
  <c r="AD13" i="73"/>
  <c r="AE13" i="73" s="1"/>
  <c r="AC13" i="73"/>
  <c r="Z13" i="73"/>
  <c r="Y13" i="73"/>
  <c r="V13" i="73"/>
  <c r="U13" i="73"/>
  <c r="R13" i="73"/>
  <c r="S13" i="73" s="1"/>
  <c r="Q13" i="73"/>
  <c r="N13" i="73"/>
  <c r="O13" i="73" s="1"/>
  <c r="M13" i="73"/>
  <c r="F5" i="76"/>
  <c r="G5" i="76" s="1"/>
  <c r="F13" i="73"/>
  <c r="E13" i="73"/>
  <c r="AD7" i="73"/>
  <c r="AC7" i="73"/>
  <c r="Z7" i="73"/>
  <c r="Y7" i="73"/>
  <c r="V7" i="73"/>
  <c r="U7" i="73"/>
  <c r="R7" i="73"/>
  <c r="Q7" i="73"/>
  <c r="N7" i="73"/>
  <c r="M7" i="73"/>
  <c r="F7" i="73"/>
  <c r="G7" i="73" s="1"/>
  <c r="E7" i="73"/>
  <c r="AD11" i="73"/>
  <c r="AC11" i="73"/>
  <c r="Z11" i="73"/>
  <c r="AA11" i="73" s="1"/>
  <c r="Y11" i="73"/>
  <c r="V11" i="73"/>
  <c r="U11" i="73"/>
  <c r="R11" i="73"/>
  <c r="Q11" i="73"/>
  <c r="N11" i="73"/>
  <c r="M11" i="73"/>
  <c r="F11" i="73"/>
  <c r="E11" i="73"/>
  <c r="AD9" i="73"/>
  <c r="AC9" i="73"/>
  <c r="Z9" i="73"/>
  <c r="AA9" i="73" s="1"/>
  <c r="Y9" i="73"/>
  <c r="V9" i="73"/>
  <c r="U9" i="73"/>
  <c r="R9" i="73"/>
  <c r="Q9" i="73"/>
  <c r="N9" i="73"/>
  <c r="O9" i="73" s="1"/>
  <c r="M9" i="73"/>
  <c r="F9" i="73"/>
  <c r="G9" i="73" s="1"/>
  <c r="E9" i="73"/>
  <c r="AD5" i="73"/>
  <c r="AC5" i="73"/>
  <c r="Z5" i="73"/>
  <c r="AA5" i="73" s="1"/>
  <c r="Y5" i="73"/>
  <c r="V5" i="73"/>
  <c r="W5" i="73" s="1"/>
  <c r="U5" i="73"/>
  <c r="R5" i="73"/>
  <c r="S5" i="73" s="1"/>
  <c r="Q5" i="73"/>
  <c r="N5" i="73"/>
  <c r="O5" i="73" s="1"/>
  <c r="M5" i="73"/>
  <c r="F5" i="73"/>
  <c r="E5" i="73"/>
  <c r="AD15" i="73"/>
  <c r="AE15" i="73" s="1"/>
  <c r="AC15" i="73"/>
  <c r="Z15" i="73"/>
  <c r="AA15" i="73" s="1"/>
  <c r="Y15" i="73"/>
  <c r="V15" i="73"/>
  <c r="W15" i="73" s="1"/>
  <c r="U15" i="73"/>
  <c r="R15" i="73"/>
  <c r="S15" i="73" s="1"/>
  <c r="Q15" i="73"/>
  <c r="N15" i="73"/>
  <c r="O15" i="73" s="1"/>
  <c r="M15" i="73"/>
  <c r="F15" i="73"/>
  <c r="E15" i="73"/>
  <c r="AD6" i="73"/>
  <c r="AC6" i="73"/>
  <c r="Z6" i="73"/>
  <c r="Y6" i="73"/>
  <c r="V6" i="73"/>
  <c r="U6" i="73"/>
  <c r="R6" i="73"/>
  <c r="Q6" i="73"/>
  <c r="N6" i="73"/>
  <c r="M6" i="73"/>
  <c r="F6" i="73"/>
  <c r="E6" i="73"/>
  <c r="AD8" i="73"/>
  <c r="AC8" i="73"/>
  <c r="Z8" i="73"/>
  <c r="Y8" i="73"/>
  <c r="V8" i="73"/>
  <c r="U8" i="73"/>
  <c r="R8" i="73"/>
  <c r="Q8" i="73"/>
  <c r="N8" i="73"/>
  <c r="M8" i="73"/>
  <c r="F8" i="73"/>
  <c r="E8" i="73"/>
  <c r="AD10" i="73"/>
  <c r="AC10" i="73"/>
  <c r="Z10" i="73"/>
  <c r="Y10" i="73"/>
  <c r="V10" i="73"/>
  <c r="U10" i="73"/>
  <c r="R10" i="73"/>
  <c r="Q10" i="73"/>
  <c r="N10" i="73"/>
  <c r="O10" i="73" s="1"/>
  <c r="M10" i="73"/>
  <c r="F10" i="73"/>
  <c r="E10" i="73"/>
  <c r="AD12" i="73"/>
  <c r="AC12" i="73"/>
  <c r="Z12" i="73"/>
  <c r="Y12" i="73"/>
  <c r="V12" i="73"/>
  <c r="U12" i="73"/>
  <c r="R12" i="73"/>
  <c r="Q12" i="73"/>
  <c r="N12" i="73"/>
  <c r="O12" i="73" s="1"/>
  <c r="M12" i="73"/>
  <c r="J12" i="73"/>
  <c r="I12" i="73"/>
  <c r="F12" i="73"/>
  <c r="E12" i="73"/>
  <c r="AD24" i="72"/>
  <c r="AE24" i="72" s="1"/>
  <c r="AC24" i="72"/>
  <c r="Z24" i="72"/>
  <c r="AA24" i="72" s="1"/>
  <c r="Y24" i="72"/>
  <c r="V24" i="72"/>
  <c r="W24" i="72" s="1"/>
  <c r="U24" i="72"/>
  <c r="R24" i="72"/>
  <c r="S24" i="72" s="1"/>
  <c r="Q24" i="72"/>
  <c r="N24" i="72"/>
  <c r="O24" i="72" s="1"/>
  <c r="M24" i="72"/>
  <c r="F24" i="72"/>
  <c r="G24" i="72" s="1"/>
  <c r="E24" i="72"/>
  <c r="AD23" i="72"/>
  <c r="AE23" i="72" s="1"/>
  <c r="AC23" i="72"/>
  <c r="Z23" i="72"/>
  <c r="AA23" i="72" s="1"/>
  <c r="Y23" i="72"/>
  <c r="V23" i="72"/>
  <c r="W23" i="72" s="1"/>
  <c r="U23" i="72"/>
  <c r="R23" i="72"/>
  <c r="S23" i="72" s="1"/>
  <c r="Q23" i="72"/>
  <c r="N23" i="72"/>
  <c r="O23" i="72" s="1"/>
  <c r="M23" i="72"/>
  <c r="F23" i="72"/>
  <c r="G23" i="72" s="1"/>
  <c r="E23" i="72"/>
  <c r="AD22" i="72"/>
  <c r="AE22" i="72" s="1"/>
  <c r="AC22" i="72"/>
  <c r="Z22" i="72"/>
  <c r="AA22" i="72" s="1"/>
  <c r="Y22" i="72"/>
  <c r="V22" i="72"/>
  <c r="W22" i="72" s="1"/>
  <c r="U22" i="72"/>
  <c r="R22" i="72"/>
  <c r="S22" i="72" s="1"/>
  <c r="Q22" i="72"/>
  <c r="N22" i="72"/>
  <c r="O22" i="72" s="1"/>
  <c r="M22" i="72"/>
  <c r="F22" i="72"/>
  <c r="G22" i="72" s="1"/>
  <c r="E22" i="72"/>
  <c r="AD21" i="72"/>
  <c r="AE21" i="72" s="1"/>
  <c r="AC21" i="72"/>
  <c r="Z21" i="72"/>
  <c r="AA21" i="72" s="1"/>
  <c r="Y21" i="72"/>
  <c r="V21" i="72"/>
  <c r="W21" i="72" s="1"/>
  <c r="U21" i="72"/>
  <c r="R21" i="72"/>
  <c r="S21" i="72" s="1"/>
  <c r="Q21" i="72"/>
  <c r="N21" i="72"/>
  <c r="O21" i="72" s="1"/>
  <c r="M21" i="72"/>
  <c r="F21" i="72"/>
  <c r="G21" i="72" s="1"/>
  <c r="E21" i="72"/>
  <c r="AD20" i="72"/>
  <c r="AE20" i="72" s="1"/>
  <c r="AC20" i="72"/>
  <c r="Z20" i="72"/>
  <c r="AA20" i="72" s="1"/>
  <c r="Y20" i="72"/>
  <c r="V20" i="72"/>
  <c r="W20" i="72" s="1"/>
  <c r="U20" i="72"/>
  <c r="R20" i="72"/>
  <c r="S20" i="72" s="1"/>
  <c r="Q20" i="72"/>
  <c r="N20" i="72"/>
  <c r="O20" i="72" s="1"/>
  <c r="M20" i="72"/>
  <c r="F20" i="72"/>
  <c r="G20" i="72" s="1"/>
  <c r="E20" i="72"/>
  <c r="AD19" i="72"/>
  <c r="AE19" i="72" s="1"/>
  <c r="AC19" i="72"/>
  <c r="Z19" i="72"/>
  <c r="AA19" i="72" s="1"/>
  <c r="Y19" i="72"/>
  <c r="V19" i="72"/>
  <c r="W19" i="72" s="1"/>
  <c r="U19" i="72"/>
  <c r="R19" i="72"/>
  <c r="S19" i="72" s="1"/>
  <c r="Q19" i="72"/>
  <c r="N19" i="72"/>
  <c r="O19" i="72" s="1"/>
  <c r="M19" i="72"/>
  <c r="F19" i="72"/>
  <c r="G19" i="72" s="1"/>
  <c r="E19" i="72"/>
  <c r="AD18" i="72"/>
  <c r="AE18" i="72" s="1"/>
  <c r="AC18" i="72"/>
  <c r="Z18" i="72"/>
  <c r="AA18" i="72" s="1"/>
  <c r="Y18" i="72"/>
  <c r="V18" i="72"/>
  <c r="W18" i="72" s="1"/>
  <c r="U18" i="72"/>
  <c r="R18" i="72"/>
  <c r="S18" i="72" s="1"/>
  <c r="Q18" i="72"/>
  <c r="N18" i="72"/>
  <c r="O18" i="72" s="1"/>
  <c r="M18" i="72"/>
  <c r="F18" i="72"/>
  <c r="G18" i="72" s="1"/>
  <c r="E18" i="72"/>
  <c r="AD14" i="72"/>
  <c r="AE14" i="72" s="1"/>
  <c r="AC14" i="72"/>
  <c r="Z14" i="72"/>
  <c r="AA14" i="72" s="1"/>
  <c r="Y14" i="72"/>
  <c r="V14" i="72"/>
  <c r="W14" i="72" s="1"/>
  <c r="U14" i="72"/>
  <c r="R14" i="72"/>
  <c r="S14" i="72" s="1"/>
  <c r="Q14" i="72"/>
  <c r="N14" i="72"/>
  <c r="O14" i="72" s="1"/>
  <c r="M14" i="72"/>
  <c r="F14" i="72"/>
  <c r="G14" i="72" s="1"/>
  <c r="E14" i="72"/>
  <c r="AD17" i="72"/>
  <c r="AE17" i="72" s="1"/>
  <c r="AC17" i="72"/>
  <c r="Z17" i="72"/>
  <c r="AA17" i="72" s="1"/>
  <c r="Y17" i="72"/>
  <c r="V17" i="72"/>
  <c r="W17" i="72" s="1"/>
  <c r="U17" i="72"/>
  <c r="R17" i="72"/>
  <c r="S17" i="72" s="1"/>
  <c r="Q17" i="72"/>
  <c r="N17" i="72"/>
  <c r="O17" i="72" s="1"/>
  <c r="M17" i="72"/>
  <c r="F11" i="76"/>
  <c r="G11" i="76" s="1"/>
  <c r="F17" i="72"/>
  <c r="G17" i="72" s="1"/>
  <c r="E17" i="72"/>
  <c r="AD16" i="72"/>
  <c r="AC16" i="72"/>
  <c r="Z16" i="72"/>
  <c r="AA16" i="72" s="1"/>
  <c r="Y16" i="72"/>
  <c r="V16" i="72"/>
  <c r="U16" i="72"/>
  <c r="R16" i="72"/>
  <c r="Q16" i="72"/>
  <c r="N16" i="72"/>
  <c r="O16" i="72" s="1"/>
  <c r="M16" i="72"/>
  <c r="F17" i="76"/>
  <c r="F16" i="72"/>
  <c r="E16" i="72"/>
  <c r="AD11" i="72"/>
  <c r="AC11" i="72"/>
  <c r="Z11" i="72"/>
  <c r="Y11" i="72"/>
  <c r="V11" i="72"/>
  <c r="U11" i="72"/>
  <c r="R11" i="72"/>
  <c r="Q11" i="72"/>
  <c r="N11" i="72"/>
  <c r="M11" i="72"/>
  <c r="F11" i="72"/>
  <c r="E11" i="72"/>
  <c r="AD13" i="72"/>
  <c r="AC13" i="72"/>
  <c r="Z13" i="72"/>
  <c r="Y13" i="72"/>
  <c r="V13" i="72"/>
  <c r="W13" i="72" s="1"/>
  <c r="U13" i="72"/>
  <c r="R13" i="72"/>
  <c r="Q13" i="72"/>
  <c r="N13" i="72"/>
  <c r="O13" i="72" s="1"/>
  <c r="M13" i="72"/>
  <c r="F13" i="72"/>
  <c r="E13" i="72"/>
  <c r="AD8" i="72"/>
  <c r="AC8" i="72"/>
  <c r="Z8" i="72"/>
  <c r="Y8" i="72"/>
  <c r="V8" i="72"/>
  <c r="W8" i="72" s="1"/>
  <c r="U8" i="72"/>
  <c r="R8" i="72"/>
  <c r="Q8" i="72"/>
  <c r="N8" i="72"/>
  <c r="M8" i="72"/>
  <c r="F8" i="72"/>
  <c r="E8" i="72"/>
  <c r="AD6" i="72"/>
  <c r="AC6" i="72"/>
  <c r="Z6" i="72"/>
  <c r="Y6" i="72"/>
  <c r="V6" i="72"/>
  <c r="U6" i="72"/>
  <c r="R6" i="72"/>
  <c r="Q6" i="72"/>
  <c r="N6" i="72"/>
  <c r="M6" i="72"/>
  <c r="F6" i="72"/>
  <c r="E6" i="72"/>
  <c r="AD5" i="72"/>
  <c r="AC5" i="72"/>
  <c r="Z5" i="72"/>
  <c r="Y5" i="72"/>
  <c r="V5" i="72"/>
  <c r="U5" i="72"/>
  <c r="R5" i="72"/>
  <c r="Q5" i="72"/>
  <c r="N5" i="72"/>
  <c r="M5" i="72"/>
  <c r="F5" i="72"/>
  <c r="E5" i="72"/>
  <c r="AD12" i="72"/>
  <c r="AC12" i="72"/>
  <c r="Z12" i="72"/>
  <c r="AA12" i="72" s="1"/>
  <c r="Y12" i="72"/>
  <c r="V12" i="72"/>
  <c r="U12" i="72"/>
  <c r="R12" i="72"/>
  <c r="Q12" i="72"/>
  <c r="N12" i="72"/>
  <c r="O12" i="72" s="1"/>
  <c r="M12" i="72"/>
  <c r="F12" i="72"/>
  <c r="E12" i="72"/>
  <c r="AD10" i="72"/>
  <c r="AC10" i="72"/>
  <c r="Z10" i="72"/>
  <c r="Y10" i="72"/>
  <c r="V10" i="72"/>
  <c r="U10" i="72"/>
  <c r="R10" i="72"/>
  <c r="Q10" i="72"/>
  <c r="N10" i="72"/>
  <c r="M10" i="72"/>
  <c r="F10" i="72"/>
  <c r="E10" i="72"/>
  <c r="AD7" i="72"/>
  <c r="AC7" i="72"/>
  <c r="Z7" i="72"/>
  <c r="Y7" i="72"/>
  <c r="V7" i="72"/>
  <c r="U7" i="72"/>
  <c r="R7" i="72"/>
  <c r="Q7" i="72"/>
  <c r="N7" i="72"/>
  <c r="M7" i="72"/>
  <c r="F7" i="72"/>
  <c r="E7" i="72"/>
  <c r="AD15" i="72"/>
  <c r="AC15" i="72"/>
  <c r="Z15" i="72"/>
  <c r="Y15" i="72"/>
  <c r="V15" i="72"/>
  <c r="W15" i="72" s="1"/>
  <c r="U15" i="72"/>
  <c r="R15" i="72"/>
  <c r="Q15" i="72"/>
  <c r="N15" i="72"/>
  <c r="O15" i="72" s="1"/>
  <c r="M15" i="72"/>
  <c r="J15" i="72"/>
  <c r="I15" i="72"/>
  <c r="F15" i="72"/>
  <c r="E15" i="72"/>
  <c r="AD9" i="72"/>
  <c r="AC9" i="72"/>
  <c r="Z9" i="72"/>
  <c r="Y9" i="72"/>
  <c r="V9" i="72"/>
  <c r="U9" i="72"/>
  <c r="R9" i="72"/>
  <c r="S9" i="72" s="1"/>
  <c r="Q9" i="72"/>
  <c r="N9" i="72"/>
  <c r="M9" i="72"/>
  <c r="F9" i="72"/>
  <c r="E9" i="72"/>
  <c r="AI24" i="71"/>
  <c r="AD24" i="71"/>
  <c r="AE24" i="71" s="1"/>
  <c r="AC24" i="71"/>
  <c r="Z24" i="71"/>
  <c r="AA24" i="71" s="1"/>
  <c r="Y24" i="71"/>
  <c r="V24" i="71"/>
  <c r="W24" i="71" s="1"/>
  <c r="U24" i="71"/>
  <c r="R24" i="71"/>
  <c r="S24" i="71" s="1"/>
  <c r="Q24" i="71"/>
  <c r="N24" i="71"/>
  <c r="O24" i="71" s="1"/>
  <c r="M24" i="71"/>
  <c r="F24" i="71"/>
  <c r="G24" i="71" s="1"/>
  <c r="E24" i="71"/>
  <c r="AI23" i="71"/>
  <c r="AD23" i="71"/>
  <c r="AE23" i="71" s="1"/>
  <c r="AC23" i="71"/>
  <c r="Z23" i="71"/>
  <c r="AA23" i="71" s="1"/>
  <c r="Y23" i="71"/>
  <c r="V23" i="71"/>
  <c r="W23" i="71" s="1"/>
  <c r="U23" i="71"/>
  <c r="R23" i="71"/>
  <c r="S23" i="71" s="1"/>
  <c r="Q23" i="71"/>
  <c r="N23" i="71"/>
  <c r="O23" i="71" s="1"/>
  <c r="M23" i="71"/>
  <c r="F23" i="71"/>
  <c r="G23" i="71" s="1"/>
  <c r="E23" i="71"/>
  <c r="AI22" i="71"/>
  <c r="AD22" i="71"/>
  <c r="AE22" i="71" s="1"/>
  <c r="AC22" i="71"/>
  <c r="Z22" i="71"/>
  <c r="AA22" i="71" s="1"/>
  <c r="Y22" i="71"/>
  <c r="V22" i="71"/>
  <c r="W22" i="71" s="1"/>
  <c r="U22" i="71"/>
  <c r="R22" i="71"/>
  <c r="S22" i="71" s="1"/>
  <c r="Q22" i="71"/>
  <c r="N22" i="71"/>
  <c r="O22" i="71" s="1"/>
  <c r="M22" i="71"/>
  <c r="F22" i="71"/>
  <c r="G22" i="71" s="1"/>
  <c r="E22" i="71"/>
  <c r="AI21" i="71"/>
  <c r="AD21" i="71"/>
  <c r="AE21" i="71" s="1"/>
  <c r="AC21" i="71"/>
  <c r="Z21" i="71"/>
  <c r="AA21" i="71" s="1"/>
  <c r="Y21" i="71"/>
  <c r="V21" i="71"/>
  <c r="W21" i="71" s="1"/>
  <c r="U21" i="71"/>
  <c r="R21" i="71"/>
  <c r="S21" i="71" s="1"/>
  <c r="Q21" i="71"/>
  <c r="N21" i="71"/>
  <c r="O21" i="71" s="1"/>
  <c r="M21" i="71"/>
  <c r="F21" i="71"/>
  <c r="G21" i="71" s="1"/>
  <c r="E21" i="71"/>
  <c r="AI20" i="71"/>
  <c r="AD20" i="71"/>
  <c r="AE20" i="71" s="1"/>
  <c r="AC20" i="71"/>
  <c r="Z20" i="71"/>
  <c r="AA20" i="71" s="1"/>
  <c r="Y20" i="71"/>
  <c r="V20" i="71"/>
  <c r="W20" i="71" s="1"/>
  <c r="U20" i="71"/>
  <c r="R20" i="71"/>
  <c r="S20" i="71" s="1"/>
  <c r="Q20" i="71"/>
  <c r="N20" i="71"/>
  <c r="O20" i="71" s="1"/>
  <c r="M20" i="71"/>
  <c r="F20" i="71"/>
  <c r="G20" i="71" s="1"/>
  <c r="E20" i="71"/>
  <c r="AI14" i="71"/>
  <c r="AD14" i="71"/>
  <c r="AE14" i="71" s="1"/>
  <c r="AC14" i="71"/>
  <c r="Z14" i="71"/>
  <c r="AA14" i="71" s="1"/>
  <c r="Y14" i="71"/>
  <c r="V14" i="71"/>
  <c r="W14" i="71" s="1"/>
  <c r="U14" i="71"/>
  <c r="R14" i="71"/>
  <c r="S14" i="71" s="1"/>
  <c r="Q14" i="71"/>
  <c r="N14" i="71"/>
  <c r="M14" i="71"/>
  <c r="F14" i="71"/>
  <c r="E14" i="71"/>
  <c r="AI13" i="71"/>
  <c r="AD13" i="71"/>
  <c r="AE13" i="71" s="1"/>
  <c r="AC13" i="71"/>
  <c r="Z13" i="71"/>
  <c r="Y13" i="71"/>
  <c r="V13" i="71"/>
  <c r="W13" i="71" s="1"/>
  <c r="U13" i="71"/>
  <c r="R13" i="71"/>
  <c r="Q13" i="71"/>
  <c r="N13" i="71"/>
  <c r="O13" i="71" s="1"/>
  <c r="M13" i="71"/>
  <c r="F13" i="71"/>
  <c r="E13" i="71"/>
  <c r="AI17" i="71"/>
  <c r="X11" i="76" s="1"/>
  <c r="AD17" i="71"/>
  <c r="AE17" i="71" s="1"/>
  <c r="AC17" i="71"/>
  <c r="Z17" i="71"/>
  <c r="AA17" i="71" s="1"/>
  <c r="Y17" i="71"/>
  <c r="V17" i="71"/>
  <c r="W17" i="71" s="1"/>
  <c r="U17" i="71"/>
  <c r="R17" i="71"/>
  <c r="S17" i="71" s="1"/>
  <c r="Q17" i="71"/>
  <c r="N17" i="71"/>
  <c r="O17" i="71" s="1"/>
  <c r="M17" i="71"/>
  <c r="F17" i="71"/>
  <c r="E17" i="71"/>
  <c r="AI19" i="71"/>
  <c r="AD19" i="71"/>
  <c r="AE19" i="71" s="1"/>
  <c r="AC19" i="71"/>
  <c r="Z19" i="71"/>
  <c r="AA19" i="71" s="1"/>
  <c r="Y19" i="71"/>
  <c r="V19" i="71"/>
  <c r="W19" i="71" s="1"/>
  <c r="U19" i="71"/>
  <c r="R19" i="71"/>
  <c r="S19" i="71" s="1"/>
  <c r="Q19" i="71"/>
  <c r="N19" i="71"/>
  <c r="O19" i="71" s="1"/>
  <c r="M19" i="71"/>
  <c r="F19" i="71"/>
  <c r="G19" i="71" s="1"/>
  <c r="E19" i="71"/>
  <c r="AI7" i="71"/>
  <c r="AD7" i="71"/>
  <c r="AC7" i="71"/>
  <c r="Z7" i="71"/>
  <c r="Y7" i="71"/>
  <c r="V7" i="71"/>
  <c r="U7" i="71"/>
  <c r="R7" i="71"/>
  <c r="Q7" i="71"/>
  <c r="N7" i="71"/>
  <c r="M7" i="71"/>
  <c r="J7" i="71"/>
  <c r="I7" i="71"/>
  <c r="F7" i="71"/>
  <c r="E7" i="71"/>
  <c r="AI15" i="71"/>
  <c r="X16" i="76" s="1"/>
  <c r="AD15" i="71"/>
  <c r="AE15" i="71" s="1"/>
  <c r="AC15" i="71"/>
  <c r="Z15" i="71"/>
  <c r="AA15" i="71" s="1"/>
  <c r="Y15" i="71"/>
  <c r="V15" i="71"/>
  <c r="W15" i="71" s="1"/>
  <c r="U15" i="71"/>
  <c r="R15" i="71"/>
  <c r="S15" i="71" s="1"/>
  <c r="Q15" i="71"/>
  <c r="N15" i="71"/>
  <c r="O15" i="71" s="1"/>
  <c r="M15" i="71"/>
  <c r="F15" i="71"/>
  <c r="G15" i="71" s="1"/>
  <c r="E15" i="71"/>
  <c r="AI18" i="71"/>
  <c r="AD18" i="71"/>
  <c r="AE18" i="71" s="1"/>
  <c r="AC18" i="71"/>
  <c r="Z18" i="71"/>
  <c r="AA18" i="71" s="1"/>
  <c r="Y18" i="71"/>
  <c r="V18" i="71"/>
  <c r="W18" i="71" s="1"/>
  <c r="U18" i="71"/>
  <c r="R18" i="71"/>
  <c r="S18" i="71" s="1"/>
  <c r="Q18" i="71"/>
  <c r="N18" i="71"/>
  <c r="O18" i="71" s="1"/>
  <c r="M18" i="71"/>
  <c r="F18" i="71"/>
  <c r="E18" i="71"/>
  <c r="AI10" i="71"/>
  <c r="AD10" i="71"/>
  <c r="AC10" i="71"/>
  <c r="Z10" i="71"/>
  <c r="Y10" i="71"/>
  <c r="V10" i="71"/>
  <c r="U10" i="71"/>
  <c r="R10" i="71"/>
  <c r="Q10" i="71"/>
  <c r="N10" i="71"/>
  <c r="M10" i="71"/>
  <c r="F10" i="71"/>
  <c r="E10" i="71"/>
  <c r="AI16" i="71"/>
  <c r="AD16" i="71"/>
  <c r="AE16" i="71" s="1"/>
  <c r="AC16" i="71"/>
  <c r="Z16" i="71"/>
  <c r="AA16" i="71" s="1"/>
  <c r="Y16" i="71"/>
  <c r="V16" i="71"/>
  <c r="W16" i="71" s="1"/>
  <c r="U16" i="71"/>
  <c r="R16" i="71"/>
  <c r="S16" i="71" s="1"/>
  <c r="Q16" i="71"/>
  <c r="N16" i="71"/>
  <c r="M16" i="71"/>
  <c r="F16" i="71"/>
  <c r="G16" i="71" s="1"/>
  <c r="E16" i="71"/>
  <c r="AI9" i="71"/>
  <c r="AD9" i="71"/>
  <c r="AC9" i="71"/>
  <c r="Z9" i="71"/>
  <c r="Y9" i="71"/>
  <c r="V9" i="71"/>
  <c r="W9" i="71" s="1"/>
  <c r="U9" i="71"/>
  <c r="R9" i="71"/>
  <c r="Q9" i="71"/>
  <c r="N9" i="71"/>
  <c r="M9" i="71"/>
  <c r="F9" i="71"/>
  <c r="G9" i="71" s="1"/>
  <c r="E9" i="71"/>
  <c r="AI5" i="71"/>
  <c r="AD5" i="71"/>
  <c r="AE5" i="71" s="1"/>
  <c r="AC5" i="71"/>
  <c r="Z5" i="71"/>
  <c r="AA5" i="71" s="1"/>
  <c r="Y5" i="71"/>
  <c r="V5" i="71"/>
  <c r="U5" i="71"/>
  <c r="R5" i="71"/>
  <c r="S5" i="71" s="1"/>
  <c r="Q5" i="71"/>
  <c r="N5" i="71"/>
  <c r="M5" i="71"/>
  <c r="F5" i="71"/>
  <c r="E5" i="71"/>
  <c r="AI8" i="71"/>
  <c r="AD8" i="71"/>
  <c r="AE8" i="71" s="1"/>
  <c r="AC8" i="71"/>
  <c r="Z8" i="71"/>
  <c r="Y8" i="71"/>
  <c r="V8" i="71"/>
  <c r="U8" i="71"/>
  <c r="R8" i="71"/>
  <c r="Q8" i="71"/>
  <c r="N8" i="71"/>
  <c r="M8" i="71"/>
  <c r="F8" i="71"/>
  <c r="G8" i="71" s="1"/>
  <c r="E8" i="71"/>
  <c r="AI6" i="71"/>
  <c r="AD6" i="71"/>
  <c r="AE6" i="71" s="1"/>
  <c r="AC6" i="71"/>
  <c r="Z6" i="71"/>
  <c r="Y6" i="71"/>
  <c r="V6" i="71"/>
  <c r="U6" i="71"/>
  <c r="R6" i="71"/>
  <c r="Q6" i="71"/>
  <c r="N6" i="71"/>
  <c r="M6" i="71"/>
  <c r="F6" i="71"/>
  <c r="G6" i="71" s="1"/>
  <c r="E6" i="71"/>
  <c r="AI11" i="71"/>
  <c r="AD11" i="71"/>
  <c r="AC11" i="71"/>
  <c r="Z11" i="71"/>
  <c r="AA11" i="71" s="1"/>
  <c r="Y11" i="71"/>
  <c r="V11" i="71"/>
  <c r="W11" i="71" s="1"/>
  <c r="U11" i="71"/>
  <c r="R11" i="71"/>
  <c r="Q11" i="71"/>
  <c r="N11" i="71"/>
  <c r="M11" i="71"/>
  <c r="F11" i="71"/>
  <c r="G11" i="71" s="1"/>
  <c r="E11" i="71"/>
  <c r="AI12" i="71"/>
  <c r="AD12" i="71"/>
  <c r="AE12" i="71" s="1"/>
  <c r="AC12" i="71"/>
  <c r="Z12" i="71"/>
  <c r="AA12" i="71" s="1"/>
  <c r="Y12" i="71"/>
  <c r="V12" i="71"/>
  <c r="U12" i="71"/>
  <c r="R12" i="71"/>
  <c r="S12" i="71" s="1"/>
  <c r="Q12" i="71"/>
  <c r="N12" i="71"/>
  <c r="O12" i="71" s="1"/>
  <c r="M12" i="71"/>
  <c r="F12" i="71"/>
  <c r="E12" i="71"/>
  <c r="Y16" i="70"/>
  <c r="Y17" i="70"/>
  <c r="Z19" i="70"/>
  <c r="Y20" i="70"/>
  <c r="X21" i="70"/>
  <c r="Z21" i="70" s="1"/>
  <c r="X22" i="70"/>
  <c r="X23" i="70"/>
  <c r="Z23" i="70" s="1"/>
  <c r="X24" i="70"/>
  <c r="Z24" i="70" s="1"/>
  <c r="U16" i="70"/>
  <c r="V16" i="70" s="1"/>
  <c r="U17" i="70"/>
  <c r="W17" i="70" s="1"/>
  <c r="U18" i="70"/>
  <c r="W18" i="70" s="1"/>
  <c r="U19" i="70"/>
  <c r="U20" i="70"/>
  <c r="W20" i="70" s="1"/>
  <c r="U21" i="70"/>
  <c r="W21" i="70" s="1"/>
  <c r="U22" i="70"/>
  <c r="W22" i="70" s="1"/>
  <c r="U23" i="70"/>
  <c r="U24" i="70"/>
  <c r="W24" i="70" s="1"/>
  <c r="R16" i="70"/>
  <c r="R17" i="70"/>
  <c r="T17" i="70" s="1"/>
  <c r="R18" i="70"/>
  <c r="T18" i="70" s="1"/>
  <c r="R19" i="70"/>
  <c r="T19" i="70" s="1"/>
  <c r="R20" i="70"/>
  <c r="R21" i="70"/>
  <c r="S21" i="70" s="1"/>
  <c r="R22" i="70"/>
  <c r="S22" i="70" s="1"/>
  <c r="R23" i="70"/>
  <c r="S23" i="70" s="1"/>
  <c r="R24" i="70"/>
  <c r="O16" i="70"/>
  <c r="Q16" i="70" s="1"/>
  <c r="O17" i="70"/>
  <c r="O18" i="70"/>
  <c r="P18" i="70" s="1"/>
  <c r="O19" i="70"/>
  <c r="Q19" i="70" s="1"/>
  <c r="O20" i="70"/>
  <c r="Q20" i="70" s="1"/>
  <c r="O21" i="70"/>
  <c r="O22" i="70"/>
  <c r="Q22" i="70" s="1"/>
  <c r="O23" i="70"/>
  <c r="Q23" i="70" s="1"/>
  <c r="O24" i="70"/>
  <c r="Q24" i="70" s="1"/>
  <c r="L16" i="70"/>
  <c r="M16" i="70" s="1"/>
  <c r="L17" i="70"/>
  <c r="M17" i="70" s="1"/>
  <c r="L18" i="70"/>
  <c r="L19" i="70"/>
  <c r="N19" i="70" s="1"/>
  <c r="L20" i="70"/>
  <c r="M20" i="70" s="1"/>
  <c r="L21" i="70"/>
  <c r="N21" i="70" s="1"/>
  <c r="L22" i="70"/>
  <c r="L23" i="70"/>
  <c r="N23" i="70" s="1"/>
  <c r="L24" i="70"/>
  <c r="N24" i="70" s="1"/>
  <c r="I16" i="70"/>
  <c r="J16" i="70" s="1"/>
  <c r="I17" i="70"/>
  <c r="K17" i="70" s="1"/>
  <c r="I18" i="70"/>
  <c r="K18" i="70" s="1"/>
  <c r="I19" i="70"/>
  <c r="I20" i="70"/>
  <c r="K20" i="70" s="1"/>
  <c r="I21" i="70"/>
  <c r="K21" i="70" s="1"/>
  <c r="I22" i="70"/>
  <c r="K22" i="70" s="1"/>
  <c r="I23" i="70"/>
  <c r="I24" i="70"/>
  <c r="K24" i="70" s="1"/>
  <c r="F13" i="70"/>
  <c r="G13" i="70" s="1"/>
  <c r="F14" i="70"/>
  <c r="G14" i="70" s="1"/>
  <c r="F15" i="70"/>
  <c r="G15" i="70" s="1"/>
  <c r="F16" i="70"/>
  <c r="F17" i="70"/>
  <c r="G17" i="70" s="1"/>
  <c r="F18" i="70"/>
  <c r="G18" i="70" s="1"/>
  <c r="F19" i="70"/>
  <c r="G19" i="70" s="1"/>
  <c r="F20" i="70"/>
  <c r="F21" i="70"/>
  <c r="H21" i="70" s="1"/>
  <c r="F22" i="70"/>
  <c r="G22" i="70" s="1"/>
  <c r="F23" i="70"/>
  <c r="H23" i="70" s="1"/>
  <c r="F24" i="70"/>
  <c r="C16" i="70"/>
  <c r="D16" i="70" s="1"/>
  <c r="C17" i="70"/>
  <c r="C18" i="70"/>
  <c r="C19" i="70"/>
  <c r="C20" i="70"/>
  <c r="E20" i="70" s="1"/>
  <c r="C21" i="70"/>
  <c r="C22" i="70"/>
  <c r="D22" i="70" s="1"/>
  <c r="C23" i="70"/>
  <c r="E23" i="70" s="1"/>
  <c r="C24" i="70"/>
  <c r="D24" i="70" s="1"/>
  <c r="AE10" i="85" l="1"/>
  <c r="AE5" i="85"/>
  <c r="AE12" i="85"/>
  <c r="G7" i="84"/>
  <c r="AA8" i="84"/>
  <c r="W6" i="84"/>
  <c r="AE6" i="84"/>
  <c r="AE7" i="84"/>
  <c r="AE11" i="84"/>
  <c r="AE8" i="84"/>
  <c r="U10" i="87" s="1"/>
  <c r="V10" i="87" s="1"/>
  <c r="AE14" i="83"/>
  <c r="AE5" i="82"/>
  <c r="AA5" i="91"/>
  <c r="U20" i="92"/>
  <c r="AE7" i="90"/>
  <c r="AA10" i="90"/>
  <c r="AE9" i="90"/>
  <c r="AE5" i="90"/>
  <c r="AE8" i="90"/>
  <c r="F9" i="92"/>
  <c r="AE10" i="90"/>
  <c r="AE17" i="90"/>
  <c r="AE14" i="90"/>
  <c r="S6" i="89"/>
  <c r="O11" i="89"/>
  <c r="W5" i="89"/>
  <c r="W9" i="89"/>
  <c r="W12" i="89"/>
  <c r="O14" i="89"/>
  <c r="O8" i="89"/>
  <c r="AE10" i="89"/>
  <c r="AE5" i="89"/>
  <c r="AE14" i="89"/>
  <c r="AE20" i="89"/>
  <c r="AE12" i="88"/>
  <c r="AE10" i="88"/>
  <c r="AE11" i="88"/>
  <c r="AA9" i="100"/>
  <c r="R5" i="103" s="1"/>
  <c r="S9" i="97"/>
  <c r="AE10" i="97"/>
  <c r="W7" i="97"/>
  <c r="AA9" i="95"/>
  <c r="AE10" i="95"/>
  <c r="AE6" i="95"/>
  <c r="AE13" i="95"/>
  <c r="AE9" i="95"/>
  <c r="U6" i="102" s="1"/>
  <c r="AE7" i="95"/>
  <c r="U18" i="102"/>
  <c r="V18" i="102" s="1"/>
  <c r="AE5" i="95"/>
  <c r="AE11" i="95"/>
  <c r="AE11" i="94"/>
  <c r="AE9" i="94"/>
  <c r="AE5" i="94"/>
  <c r="AE13" i="94"/>
  <c r="AE17" i="94"/>
  <c r="U14" i="102" s="1"/>
  <c r="V14" i="102" s="1"/>
  <c r="AE6" i="94"/>
  <c r="AE8" i="94"/>
  <c r="O6" i="74"/>
  <c r="AE5" i="74"/>
  <c r="AE7" i="74"/>
  <c r="AE8" i="73"/>
  <c r="AE5" i="73"/>
  <c r="AE8" i="72"/>
  <c r="AE13" i="72"/>
  <c r="AE5" i="72"/>
  <c r="AE7" i="72"/>
  <c r="AE9" i="71"/>
  <c r="AE16" i="79"/>
  <c r="AE22" i="79"/>
  <c r="AE19" i="79"/>
  <c r="AE10" i="78"/>
  <c r="AE6" i="78"/>
  <c r="AE14" i="78"/>
  <c r="AE7" i="78"/>
  <c r="AE7" i="77"/>
  <c r="AE10" i="77"/>
  <c r="AE25" i="77"/>
  <c r="AA10" i="75"/>
  <c r="AA6" i="75"/>
  <c r="AA11" i="75"/>
  <c r="AA8" i="75"/>
  <c r="AA10" i="72"/>
  <c r="AA7" i="72"/>
  <c r="AA9" i="72"/>
  <c r="AA9" i="71"/>
  <c r="AA8" i="71"/>
  <c r="AA6" i="71"/>
  <c r="AA5" i="80"/>
  <c r="AA8" i="79"/>
  <c r="AA10" i="79"/>
  <c r="AA11" i="78"/>
  <c r="AA9" i="77"/>
  <c r="AA13" i="77"/>
  <c r="AA5" i="77"/>
  <c r="AA11" i="77"/>
  <c r="R9" i="81" s="1"/>
  <c r="S9" i="81" s="1"/>
  <c r="AA8" i="77"/>
  <c r="R12" i="81" s="1"/>
  <c r="AA10" i="85"/>
  <c r="AA6" i="85"/>
  <c r="U17" i="87"/>
  <c r="V17" i="87" s="1"/>
  <c r="AA10" i="84"/>
  <c r="AA5" i="84"/>
  <c r="AA6" i="84"/>
  <c r="I17" i="87"/>
  <c r="J17" i="87" s="1"/>
  <c r="O17" i="83"/>
  <c r="AA12" i="83"/>
  <c r="AA11" i="83"/>
  <c r="AA5" i="82"/>
  <c r="AA8" i="82"/>
  <c r="R11" i="87" s="1"/>
  <c r="S11" i="87" s="1"/>
  <c r="AA9" i="82"/>
  <c r="AA8" i="91"/>
  <c r="AA9" i="91"/>
  <c r="O10" i="90"/>
  <c r="AA6" i="90"/>
  <c r="AA16" i="90"/>
  <c r="R20" i="92" s="1"/>
  <c r="S20" i="92" s="1"/>
  <c r="AA17" i="90"/>
  <c r="F6" i="92"/>
  <c r="AA5" i="89"/>
  <c r="AA7" i="89"/>
  <c r="AA8" i="89"/>
  <c r="O6" i="88"/>
  <c r="W6" i="88"/>
  <c r="W5" i="88"/>
  <c r="AA11" i="88"/>
  <c r="AA22" i="88"/>
  <c r="G7" i="100"/>
  <c r="C6" i="103" s="1"/>
  <c r="G5" i="100"/>
  <c r="S5" i="100"/>
  <c r="AA10" i="100"/>
  <c r="W12" i="96"/>
  <c r="S8" i="96"/>
  <c r="G7" i="96"/>
  <c r="S9" i="96"/>
  <c r="F6" i="102"/>
  <c r="G6" i="102" s="1"/>
  <c r="AA9" i="96"/>
  <c r="AA8" i="96"/>
  <c r="R6" i="102" s="1"/>
  <c r="AA5" i="94"/>
  <c r="AA6" i="94"/>
  <c r="AA8" i="94"/>
  <c r="S6" i="75"/>
  <c r="W11" i="75"/>
  <c r="W12" i="75"/>
  <c r="K6" i="74"/>
  <c r="W10" i="74"/>
  <c r="W7" i="74"/>
  <c r="W8" i="73"/>
  <c r="W7" i="73"/>
  <c r="O5" i="72"/>
  <c r="W11" i="72"/>
  <c r="W6" i="72"/>
  <c r="W16" i="72"/>
  <c r="W5" i="72"/>
  <c r="W10" i="72"/>
  <c r="W7" i="72"/>
  <c r="O9" i="76" s="1"/>
  <c r="W12" i="72"/>
  <c r="W6" i="71"/>
  <c r="W10" i="79"/>
  <c r="O7" i="78"/>
  <c r="W16" i="78"/>
  <c r="O11" i="81" s="1"/>
  <c r="P11" i="81" s="1"/>
  <c r="W10" i="78"/>
  <c r="W6" i="78"/>
  <c r="W7" i="78"/>
  <c r="W14" i="78"/>
  <c r="O9" i="81" s="1"/>
  <c r="P9" i="81" s="1"/>
  <c r="W9" i="77"/>
  <c r="W8" i="77"/>
  <c r="W7" i="77"/>
  <c r="S13" i="85"/>
  <c r="S9" i="85"/>
  <c r="W8" i="85"/>
  <c r="W14" i="85"/>
  <c r="AJ14" i="85" s="1"/>
  <c r="AK14" i="85" s="1"/>
  <c r="W9" i="85"/>
  <c r="F10" i="87"/>
  <c r="G10" i="87" s="1"/>
  <c r="W8" i="84"/>
  <c r="W12" i="84"/>
  <c r="O17" i="87"/>
  <c r="P17" i="87" s="1"/>
  <c r="W7" i="84"/>
  <c r="W13" i="84"/>
  <c r="W11" i="84"/>
  <c r="C14" i="87"/>
  <c r="D14" i="87" s="1"/>
  <c r="L14" i="87"/>
  <c r="M14" i="87" s="1"/>
  <c r="R14" i="87"/>
  <c r="I14" i="87"/>
  <c r="K14" i="87" s="1"/>
  <c r="U14" i="87"/>
  <c r="V14" i="87" s="1"/>
  <c r="W7" i="83"/>
  <c r="W8" i="83"/>
  <c r="W5" i="83"/>
  <c r="W11" i="83"/>
  <c r="O10" i="87" s="1"/>
  <c r="P10" i="87" s="1"/>
  <c r="W10" i="83"/>
  <c r="W14" i="83"/>
  <c r="O14" i="87" s="1"/>
  <c r="P14" i="87" s="1"/>
  <c r="W7" i="82"/>
  <c r="W8" i="82"/>
  <c r="O11" i="87" s="1"/>
  <c r="P11" i="87" s="1"/>
  <c r="W5" i="82"/>
  <c r="O7" i="87" s="1"/>
  <c r="W12" i="82"/>
  <c r="S10" i="90"/>
  <c r="O7" i="90"/>
  <c r="O9" i="90"/>
  <c r="F17" i="92"/>
  <c r="G17" i="92" s="1"/>
  <c r="W7" i="90"/>
  <c r="W5" i="90"/>
  <c r="W16" i="90"/>
  <c r="O20" i="92" s="1"/>
  <c r="P20" i="92" s="1"/>
  <c r="W8" i="90"/>
  <c r="W6" i="90"/>
  <c r="W9" i="90"/>
  <c r="W10" i="89"/>
  <c r="W8" i="88"/>
  <c r="W11" i="88"/>
  <c r="W7" i="88"/>
  <c r="W17" i="88"/>
  <c r="O21" i="92" s="1"/>
  <c r="P21" i="92" s="1"/>
  <c r="W10" i="88"/>
  <c r="O11" i="97"/>
  <c r="C16" i="102"/>
  <c r="D16" i="102" s="1"/>
  <c r="R16" i="102"/>
  <c r="T16" i="102" s="1"/>
  <c r="W9" i="95"/>
  <c r="W6" i="95"/>
  <c r="O10" i="102" s="1"/>
  <c r="W8" i="95"/>
  <c r="W7" i="95"/>
  <c r="W10" i="95"/>
  <c r="W5" i="95"/>
  <c r="O18" i="102"/>
  <c r="Q18" i="102" s="1"/>
  <c r="W7" i="94"/>
  <c r="W9" i="94"/>
  <c r="W17" i="94"/>
  <c r="W15" i="94"/>
  <c r="W11" i="94"/>
  <c r="W18" i="94"/>
  <c r="F5" i="57"/>
  <c r="F9" i="57"/>
  <c r="G9" i="57" s="1"/>
  <c r="F15" i="57"/>
  <c r="G15" i="57" s="1"/>
  <c r="F10" i="57"/>
  <c r="G10" i="57" s="1"/>
  <c r="F17" i="57"/>
  <c r="G17" i="57" s="1"/>
  <c r="F14" i="57"/>
  <c r="S8" i="75"/>
  <c r="S7" i="75"/>
  <c r="S10" i="75"/>
  <c r="S5" i="75"/>
  <c r="S5" i="74"/>
  <c r="S8" i="73"/>
  <c r="O11" i="73"/>
  <c r="O8" i="73"/>
  <c r="O6" i="73"/>
  <c r="O7" i="73"/>
  <c r="S8" i="72"/>
  <c r="S12" i="72"/>
  <c r="S5" i="72"/>
  <c r="S13" i="72"/>
  <c r="S16" i="72"/>
  <c r="O7" i="72"/>
  <c r="O10" i="72"/>
  <c r="O6" i="72"/>
  <c r="O8" i="72"/>
  <c r="O11" i="72"/>
  <c r="O14" i="71"/>
  <c r="O5" i="71"/>
  <c r="O8" i="71"/>
  <c r="S10" i="79"/>
  <c r="S15" i="79"/>
  <c r="AJ15" i="79" s="1"/>
  <c r="AK15" i="79" s="1"/>
  <c r="S9" i="79"/>
  <c r="S7" i="79"/>
  <c r="S16" i="79"/>
  <c r="L19" i="81" s="1"/>
  <c r="M19" i="81" s="1"/>
  <c r="S6" i="79"/>
  <c r="S14" i="79"/>
  <c r="O8" i="79"/>
  <c r="O10" i="79"/>
  <c r="O12" i="79"/>
  <c r="C22" i="81"/>
  <c r="E22" i="81" s="1"/>
  <c r="L22" i="81"/>
  <c r="N22" i="81" s="1"/>
  <c r="S8" i="78"/>
  <c r="S16" i="78"/>
  <c r="S14" i="78"/>
  <c r="O10" i="78"/>
  <c r="O15" i="78"/>
  <c r="O16" i="78"/>
  <c r="R22" i="81"/>
  <c r="T22" i="81" s="1"/>
  <c r="S13" i="77"/>
  <c r="S8" i="77"/>
  <c r="S5" i="77"/>
  <c r="S22" i="77"/>
  <c r="S11" i="77"/>
  <c r="S7" i="77"/>
  <c r="S14" i="77"/>
  <c r="S9" i="77"/>
  <c r="O11" i="77"/>
  <c r="O15" i="77"/>
  <c r="I17" i="81" s="1"/>
  <c r="O7" i="77"/>
  <c r="O24" i="77"/>
  <c r="AJ24" i="77" s="1"/>
  <c r="AK24" i="77" s="1"/>
  <c r="O6" i="77"/>
  <c r="O9" i="77"/>
  <c r="O8" i="77"/>
  <c r="O22" i="77"/>
  <c r="O12" i="77"/>
  <c r="O10" i="77"/>
  <c r="O5" i="85"/>
  <c r="S5" i="85"/>
  <c r="S11" i="85"/>
  <c r="L12" i="87" s="1"/>
  <c r="M12" i="87" s="1"/>
  <c r="O8" i="85"/>
  <c r="C17" i="87"/>
  <c r="E17" i="87" s="1"/>
  <c r="O8" i="84"/>
  <c r="R17" i="87"/>
  <c r="T17" i="87" s="1"/>
  <c r="S5" i="84"/>
  <c r="S12" i="84"/>
  <c r="S8" i="84"/>
  <c r="S7" i="84"/>
  <c r="S11" i="84"/>
  <c r="S13" i="84"/>
  <c r="L15" i="87" s="1"/>
  <c r="M15" i="87" s="1"/>
  <c r="O6" i="84"/>
  <c r="O5" i="84"/>
  <c r="S13" i="83"/>
  <c r="S11" i="83"/>
  <c r="L10" i="87" s="1"/>
  <c r="M10" i="87" s="1"/>
  <c r="S15" i="83"/>
  <c r="S5" i="83"/>
  <c r="S17" i="83"/>
  <c r="I8" i="87"/>
  <c r="I9" i="87"/>
  <c r="J9" i="87" s="1"/>
  <c r="O10" i="83"/>
  <c r="I15" i="87" s="1"/>
  <c r="I13" i="87"/>
  <c r="J13" i="87" s="1"/>
  <c r="S7" i="82"/>
  <c r="S8" i="82"/>
  <c r="L11" i="87" s="1"/>
  <c r="M11" i="87" s="1"/>
  <c r="S9" i="82"/>
  <c r="O8" i="82"/>
  <c r="I11" i="87" s="1"/>
  <c r="J11" i="87" s="1"/>
  <c r="O9" i="82"/>
  <c r="S7" i="91"/>
  <c r="S5" i="91"/>
  <c r="L10" i="92" s="1"/>
  <c r="M10" i="92" s="1"/>
  <c r="S6" i="91"/>
  <c r="S16" i="90"/>
  <c r="L20" i="92" s="1"/>
  <c r="M20" i="92" s="1"/>
  <c r="S6" i="90"/>
  <c r="S14" i="90"/>
  <c r="S8" i="90"/>
  <c r="S15" i="90"/>
  <c r="AJ15" i="90" s="1"/>
  <c r="AK15" i="90" s="1"/>
  <c r="S12" i="90"/>
  <c r="S5" i="90"/>
  <c r="O16" i="90"/>
  <c r="I20" i="92" s="1"/>
  <c r="O11" i="90"/>
  <c r="O6" i="90"/>
  <c r="O5" i="90"/>
  <c r="I6" i="92" s="1"/>
  <c r="O8" i="90"/>
  <c r="O17" i="90"/>
  <c r="O20" i="90"/>
  <c r="S9" i="89"/>
  <c r="S8" i="89"/>
  <c r="S15" i="89"/>
  <c r="S12" i="89"/>
  <c r="S20" i="89"/>
  <c r="O6" i="89"/>
  <c r="O7" i="89"/>
  <c r="O8" i="88"/>
  <c r="X5" i="92"/>
  <c r="S5" i="88"/>
  <c r="S6" i="88"/>
  <c r="S11" i="88"/>
  <c r="S15" i="88"/>
  <c r="S12" i="88"/>
  <c r="S10" i="88"/>
  <c r="O11" i="88"/>
  <c r="O22" i="88"/>
  <c r="O10" i="88"/>
  <c r="I14" i="92" s="1"/>
  <c r="J14" i="92" s="1"/>
  <c r="O17" i="88"/>
  <c r="I21" i="92" s="1"/>
  <c r="O12" i="88"/>
  <c r="S7" i="100"/>
  <c r="L6" i="103" s="1"/>
  <c r="O10" i="100"/>
  <c r="O5" i="100"/>
  <c r="O16" i="102"/>
  <c r="Q16" i="102" s="1"/>
  <c r="U16" i="102"/>
  <c r="V16" i="102" s="1"/>
  <c r="F9" i="102"/>
  <c r="G9" i="102" s="1"/>
  <c r="S8" i="97"/>
  <c r="S7" i="97"/>
  <c r="S6" i="97"/>
  <c r="S5" i="96"/>
  <c r="S6" i="96"/>
  <c r="S11" i="96"/>
  <c r="O7" i="96"/>
  <c r="O9" i="96"/>
  <c r="O11" i="96"/>
  <c r="AJ11" i="96" s="1"/>
  <c r="AK11" i="96" s="1"/>
  <c r="O5" i="96"/>
  <c r="O7" i="95"/>
  <c r="O10" i="95"/>
  <c r="S11" i="95"/>
  <c r="L17" i="102"/>
  <c r="M17" i="102" s="1"/>
  <c r="S9" i="95"/>
  <c r="S8" i="95"/>
  <c r="O8" i="95"/>
  <c r="O5" i="95"/>
  <c r="O13" i="95"/>
  <c r="O11" i="95"/>
  <c r="O9" i="95"/>
  <c r="I18" i="102"/>
  <c r="K18" i="102" s="1"/>
  <c r="O11" i="94"/>
  <c r="F18" i="102"/>
  <c r="G18" i="102" s="1"/>
  <c r="F16" i="102"/>
  <c r="G16" i="102" s="1"/>
  <c r="S13" i="94"/>
  <c r="S5" i="94"/>
  <c r="S6" i="94"/>
  <c r="S15" i="94"/>
  <c r="S8" i="94"/>
  <c r="S12" i="94"/>
  <c r="L16" i="102" s="1"/>
  <c r="M16" i="102" s="1"/>
  <c r="O5" i="94"/>
  <c r="O8" i="94"/>
  <c r="O13" i="94"/>
  <c r="O17" i="94"/>
  <c r="O18" i="94"/>
  <c r="O12" i="94"/>
  <c r="I16" i="102" s="1"/>
  <c r="J16" i="102" s="1"/>
  <c r="O6" i="94"/>
  <c r="O15" i="94"/>
  <c r="I17" i="102"/>
  <c r="J17" i="102" s="1"/>
  <c r="O6" i="102"/>
  <c r="P6" i="102" s="1"/>
  <c r="K6" i="97"/>
  <c r="R17" i="102"/>
  <c r="S17" i="102" s="1"/>
  <c r="C17" i="102"/>
  <c r="D17" i="102" s="1"/>
  <c r="O17" i="102"/>
  <c r="Q17" i="102" s="1"/>
  <c r="U17" i="102"/>
  <c r="W17" i="102" s="1"/>
  <c r="K6" i="96"/>
  <c r="L18" i="102"/>
  <c r="M18" i="102" s="1"/>
  <c r="R18" i="102"/>
  <c r="T18" i="102" s="1"/>
  <c r="F17" i="102"/>
  <c r="G17" i="102" s="1"/>
  <c r="C6" i="102"/>
  <c r="D6" i="102" s="1"/>
  <c r="C18" i="102"/>
  <c r="D18" i="102" s="1"/>
  <c r="F11" i="102"/>
  <c r="G11" i="102" s="1"/>
  <c r="F14" i="102"/>
  <c r="G14" i="102" s="1"/>
  <c r="F8" i="102"/>
  <c r="G10" i="84"/>
  <c r="G12" i="83"/>
  <c r="G10" i="83"/>
  <c r="G7" i="82"/>
  <c r="P12" i="87"/>
  <c r="G7" i="90"/>
  <c r="K8" i="90"/>
  <c r="X12" i="92"/>
  <c r="Y12" i="92" s="1"/>
  <c r="X8" i="92"/>
  <c r="Y8" i="92" s="1"/>
  <c r="X23" i="92"/>
  <c r="AA23" i="92" s="1"/>
  <c r="AB23" i="92" s="1"/>
  <c r="AC23" i="92" s="1"/>
  <c r="F21" i="92"/>
  <c r="G21" i="92" s="1"/>
  <c r="X18" i="92"/>
  <c r="Z18" i="92" s="1"/>
  <c r="X13" i="92"/>
  <c r="F12" i="92"/>
  <c r="G12" i="92" s="1"/>
  <c r="K14" i="88"/>
  <c r="K9" i="75"/>
  <c r="I22" i="81"/>
  <c r="J22" i="81" s="1"/>
  <c r="O22" i="81"/>
  <c r="Q22" i="81" s="1"/>
  <c r="U22" i="81"/>
  <c r="V22" i="81" s="1"/>
  <c r="X8" i="81"/>
  <c r="Y8" i="81" s="1"/>
  <c r="F11" i="70"/>
  <c r="G11" i="70" s="1"/>
  <c r="I10" i="87"/>
  <c r="J10" i="87" s="1"/>
  <c r="X18" i="81"/>
  <c r="Y18" i="81" s="1"/>
  <c r="J12" i="87"/>
  <c r="Y18" i="87"/>
  <c r="F8" i="92"/>
  <c r="X15" i="92"/>
  <c r="Y15" i="92" s="1"/>
  <c r="S18" i="70"/>
  <c r="F5" i="70"/>
  <c r="G5" i="70" s="1"/>
  <c r="G5" i="75"/>
  <c r="G8" i="75"/>
  <c r="G6" i="75"/>
  <c r="G9" i="74"/>
  <c r="G5" i="74"/>
  <c r="AJ5" i="74" s="1"/>
  <c r="AK5" i="74" s="1"/>
  <c r="G8" i="73"/>
  <c r="G12" i="73"/>
  <c r="G12" i="72"/>
  <c r="G8" i="72"/>
  <c r="G7" i="72"/>
  <c r="C9" i="76" s="1"/>
  <c r="D9" i="76" s="1"/>
  <c r="G6" i="72"/>
  <c r="G9" i="72"/>
  <c r="G15" i="72"/>
  <c r="G16" i="72"/>
  <c r="G11" i="79"/>
  <c r="G6" i="79"/>
  <c r="C9" i="81" s="1"/>
  <c r="D9" i="81" s="1"/>
  <c r="G12" i="79"/>
  <c r="G9" i="79"/>
  <c r="U9" i="81"/>
  <c r="G25" i="78"/>
  <c r="C24" i="81" s="1"/>
  <c r="G8" i="77"/>
  <c r="G15" i="77"/>
  <c r="G10" i="77"/>
  <c r="G14" i="77"/>
  <c r="G13" i="77"/>
  <c r="T12" i="87"/>
  <c r="G11" i="85"/>
  <c r="AJ11" i="85" s="1"/>
  <c r="AK11" i="85" s="1"/>
  <c r="G7" i="85"/>
  <c r="G8" i="85"/>
  <c r="G13" i="84"/>
  <c r="G6" i="84"/>
  <c r="G7" i="83"/>
  <c r="X16" i="87"/>
  <c r="X10" i="87"/>
  <c r="X8" i="87"/>
  <c r="Y8" i="87" s="1"/>
  <c r="X7" i="87"/>
  <c r="Y7" i="87" s="1"/>
  <c r="G9" i="82"/>
  <c r="I10" i="92"/>
  <c r="J10" i="92" s="1"/>
  <c r="O10" i="92"/>
  <c r="P10" i="92" s="1"/>
  <c r="G7" i="91"/>
  <c r="G9" i="91"/>
  <c r="G8" i="90"/>
  <c r="F7" i="92"/>
  <c r="G7" i="92" s="1"/>
  <c r="G5" i="90"/>
  <c r="G13" i="90"/>
  <c r="G12" i="90"/>
  <c r="G17" i="90"/>
  <c r="G11" i="90"/>
  <c r="G6" i="90"/>
  <c r="C8" i="92" s="1"/>
  <c r="G9" i="90"/>
  <c r="R10" i="92"/>
  <c r="F5" i="92"/>
  <c r="G5" i="92" s="1"/>
  <c r="G8" i="89"/>
  <c r="G6" i="89"/>
  <c r="G11" i="89"/>
  <c r="G5" i="89"/>
  <c r="X21" i="92"/>
  <c r="Y21" i="92" s="1"/>
  <c r="X14" i="92"/>
  <c r="Y14" i="92" s="1"/>
  <c r="X6" i="92"/>
  <c r="I19" i="92"/>
  <c r="J19" i="92" s="1"/>
  <c r="U19" i="92"/>
  <c r="V19" i="92" s="1"/>
  <c r="X11" i="92"/>
  <c r="X16" i="92"/>
  <c r="Y16" i="92" s="1"/>
  <c r="C19" i="92"/>
  <c r="E19" i="92" s="1"/>
  <c r="R19" i="92"/>
  <c r="T19" i="92" s="1"/>
  <c r="G10" i="88"/>
  <c r="G6" i="88"/>
  <c r="G22" i="88"/>
  <c r="G14" i="88"/>
  <c r="G8" i="88"/>
  <c r="G7" i="88"/>
  <c r="G12" i="97"/>
  <c r="AJ12" i="97" s="1"/>
  <c r="AK12" i="97" s="1"/>
  <c r="G8" i="97"/>
  <c r="G12" i="95"/>
  <c r="G11" i="95"/>
  <c r="G15" i="95"/>
  <c r="G7" i="95"/>
  <c r="G6" i="95"/>
  <c r="F20" i="102"/>
  <c r="G20" i="102" s="1"/>
  <c r="G17" i="94"/>
  <c r="G20" i="94"/>
  <c r="G7" i="94"/>
  <c r="G10" i="94"/>
  <c r="C9" i="102" s="1"/>
  <c r="D9" i="102" s="1"/>
  <c r="R15" i="102"/>
  <c r="F15" i="102"/>
  <c r="O16" i="76"/>
  <c r="P16" i="76" s="1"/>
  <c r="I16" i="76"/>
  <c r="J16" i="76" s="1"/>
  <c r="I9" i="81"/>
  <c r="J9" i="81" s="1"/>
  <c r="X24" i="81"/>
  <c r="Y24" i="81" s="1"/>
  <c r="U12" i="87"/>
  <c r="V12" i="87" s="1"/>
  <c r="F9" i="87"/>
  <c r="G9" i="87" s="1"/>
  <c r="R15" i="87"/>
  <c r="S15" i="87" s="1"/>
  <c r="I18" i="87"/>
  <c r="J18" i="87" s="1"/>
  <c r="X9" i="87"/>
  <c r="Y9" i="87" s="1"/>
  <c r="X5" i="87"/>
  <c r="G15" i="91"/>
  <c r="AJ15" i="91" s="1"/>
  <c r="AK15" i="91" s="1"/>
  <c r="AL15" i="91" s="1"/>
  <c r="U10" i="92"/>
  <c r="V10" i="92" s="1"/>
  <c r="S9" i="103"/>
  <c r="F13" i="102"/>
  <c r="G7" i="79"/>
  <c r="G18" i="79"/>
  <c r="S18" i="79"/>
  <c r="AA18" i="79"/>
  <c r="G8" i="79"/>
  <c r="S8" i="79"/>
  <c r="G10" i="79"/>
  <c r="G5" i="79"/>
  <c r="C6" i="81" s="1"/>
  <c r="D6" i="81" s="1"/>
  <c r="S5" i="79"/>
  <c r="AA5" i="79"/>
  <c r="R6" i="81" s="1"/>
  <c r="G13" i="79"/>
  <c r="O13" i="79"/>
  <c r="W13" i="79"/>
  <c r="O11" i="79"/>
  <c r="W11" i="79"/>
  <c r="O8" i="81" s="1"/>
  <c r="P8" i="81" s="1"/>
  <c r="W14" i="79"/>
  <c r="W12" i="79"/>
  <c r="O22" i="79"/>
  <c r="AJ22" i="79" s="1"/>
  <c r="AK22" i="79" s="1"/>
  <c r="R10" i="87"/>
  <c r="S10" i="87" s="1"/>
  <c r="O13" i="87"/>
  <c r="P13" i="87" s="1"/>
  <c r="U13" i="87"/>
  <c r="W13" i="87" s="1"/>
  <c r="G10" i="89"/>
  <c r="S7" i="94"/>
  <c r="AA7" i="94"/>
  <c r="G5" i="94"/>
  <c r="G13" i="94"/>
  <c r="G9" i="94"/>
  <c r="S9" i="94"/>
  <c r="S17" i="94"/>
  <c r="S6" i="95"/>
  <c r="AA6" i="95"/>
  <c r="G17" i="95"/>
  <c r="AJ17" i="95" s="1"/>
  <c r="AK17" i="95" s="1"/>
  <c r="AA7" i="95"/>
  <c r="G10" i="95"/>
  <c r="S10" i="95"/>
  <c r="AA10" i="95"/>
  <c r="G5" i="95"/>
  <c r="S5" i="95"/>
  <c r="AA5" i="95"/>
  <c r="AJ6" i="99"/>
  <c r="AK6" i="99" s="1"/>
  <c r="AL6" i="99" s="1"/>
  <c r="G6" i="99"/>
  <c r="AJ8" i="99"/>
  <c r="AK8" i="99" s="1"/>
  <c r="AL8" i="99" s="1"/>
  <c r="G8" i="99"/>
  <c r="AJ10" i="99"/>
  <c r="AK10" i="99" s="1"/>
  <c r="AL10" i="99" s="1"/>
  <c r="G10" i="99"/>
  <c r="AJ12" i="99"/>
  <c r="AK12" i="99" s="1"/>
  <c r="AL12" i="99" s="1"/>
  <c r="G12" i="99"/>
  <c r="AJ14" i="99"/>
  <c r="AK14" i="99" s="1"/>
  <c r="AL14" i="99" s="1"/>
  <c r="G14" i="99"/>
  <c r="AJ16" i="99"/>
  <c r="AK16" i="99" s="1"/>
  <c r="AL16" i="99" s="1"/>
  <c r="G16" i="99"/>
  <c r="AJ18" i="99"/>
  <c r="AK18" i="99" s="1"/>
  <c r="AL18" i="99" s="1"/>
  <c r="G18" i="99"/>
  <c r="AJ20" i="99"/>
  <c r="AK20" i="99" s="1"/>
  <c r="AL20" i="99" s="1"/>
  <c r="G20" i="99"/>
  <c r="AJ22" i="99"/>
  <c r="AK22" i="99" s="1"/>
  <c r="AL22" i="99" s="1"/>
  <c r="G22" i="99"/>
  <c r="AJ24" i="99"/>
  <c r="AK24" i="99" s="1"/>
  <c r="AL24" i="99" s="1"/>
  <c r="G24" i="99"/>
  <c r="K7" i="100"/>
  <c r="F6" i="103" s="1"/>
  <c r="G6" i="100"/>
  <c r="AE5" i="100"/>
  <c r="S5" i="101"/>
  <c r="K5" i="86"/>
  <c r="AJ5" i="86" s="1"/>
  <c r="AK5" i="86" s="1"/>
  <c r="AL5" i="86" s="1"/>
  <c r="O15" i="92"/>
  <c r="I18" i="92"/>
  <c r="J18" i="92" s="1"/>
  <c r="AE6" i="91"/>
  <c r="W16" i="91"/>
  <c r="AE16" i="91"/>
  <c r="W18" i="91"/>
  <c r="O16" i="92" s="1"/>
  <c r="P16" i="92" s="1"/>
  <c r="O7" i="91"/>
  <c r="I7" i="92" s="1"/>
  <c r="W7" i="91"/>
  <c r="O8" i="91"/>
  <c r="W8" i="91"/>
  <c r="W9" i="91"/>
  <c r="O8" i="92" s="1"/>
  <c r="P8" i="92" s="1"/>
  <c r="AE10" i="91"/>
  <c r="W11" i="91"/>
  <c r="O19" i="92" s="1"/>
  <c r="Q19" i="92" s="1"/>
  <c r="K5" i="93"/>
  <c r="AJ5" i="93" s="1"/>
  <c r="AK5" i="93" s="1"/>
  <c r="AL5" i="93" s="1"/>
  <c r="G6" i="96"/>
  <c r="O6" i="96"/>
  <c r="W6" i="96"/>
  <c r="W5" i="96"/>
  <c r="O12" i="96"/>
  <c r="S7" i="96"/>
  <c r="C13" i="87"/>
  <c r="D13" i="87" s="1"/>
  <c r="L8" i="92"/>
  <c r="M8" i="92" s="1"/>
  <c r="I19" i="102"/>
  <c r="J19" i="102" s="1"/>
  <c r="O19" i="102"/>
  <c r="Q19" i="102" s="1"/>
  <c r="U19" i="102"/>
  <c r="V19" i="102" s="1"/>
  <c r="I10" i="102"/>
  <c r="K10" i="102" s="1"/>
  <c r="Z8" i="103"/>
  <c r="W10" i="73"/>
  <c r="W9" i="73"/>
  <c r="W11" i="73"/>
  <c r="W12" i="73"/>
  <c r="W6" i="73"/>
  <c r="S5" i="78"/>
  <c r="G6" i="97"/>
  <c r="O6" i="97"/>
  <c r="W6" i="97"/>
  <c r="AE6" i="97"/>
  <c r="W10" i="97"/>
  <c r="AJ10" i="97" s="1"/>
  <c r="AK10" i="97" s="1"/>
  <c r="O7" i="97"/>
  <c r="O8" i="97"/>
  <c r="AE8" i="97"/>
  <c r="O5" i="97"/>
  <c r="W5" i="97"/>
  <c r="AA8" i="97"/>
  <c r="G5" i="97"/>
  <c r="C15" i="102" s="1"/>
  <c r="E15" i="102" s="1"/>
  <c r="S5" i="97"/>
  <c r="AE5" i="97"/>
  <c r="U15" i="102" s="1"/>
  <c r="V15" i="102" s="1"/>
  <c r="C19" i="102"/>
  <c r="L19" i="102"/>
  <c r="N19" i="102" s="1"/>
  <c r="R19" i="102"/>
  <c r="T19" i="102" s="1"/>
  <c r="I13" i="102"/>
  <c r="J13" i="102" s="1"/>
  <c r="AE5" i="96"/>
  <c r="AE6" i="96"/>
  <c r="AA5" i="96"/>
  <c r="W13" i="95"/>
  <c r="S12" i="95"/>
  <c r="S18" i="95"/>
  <c r="G13" i="95"/>
  <c r="S13" i="95"/>
  <c r="R7" i="102"/>
  <c r="AA12" i="95"/>
  <c r="AA13" i="95"/>
  <c r="O20" i="94"/>
  <c r="W20" i="94"/>
  <c r="O10" i="94"/>
  <c r="W10" i="94"/>
  <c r="S20" i="94"/>
  <c r="AA20" i="94"/>
  <c r="R20" i="102" s="1"/>
  <c r="S10" i="94"/>
  <c r="AA10" i="94"/>
  <c r="R9" i="102" s="1"/>
  <c r="AE20" i="94"/>
  <c r="AE10" i="94"/>
  <c r="U9" i="102" s="1"/>
  <c r="AE7" i="94"/>
  <c r="AA9" i="94"/>
  <c r="R10" i="102" s="1"/>
  <c r="S10" i="102" s="1"/>
  <c r="AA18" i="94"/>
  <c r="AA13" i="94"/>
  <c r="AA17" i="94"/>
  <c r="G9" i="100"/>
  <c r="C5" i="103" s="1"/>
  <c r="S9" i="100"/>
  <c r="L5" i="103" s="1"/>
  <c r="W7" i="100"/>
  <c r="O6" i="103" s="1"/>
  <c r="O6" i="100"/>
  <c r="W6" i="100"/>
  <c r="O8" i="100"/>
  <c r="W8" i="100"/>
  <c r="AA5" i="100"/>
  <c r="O9" i="100"/>
  <c r="I5" i="103" s="1"/>
  <c r="W9" i="100"/>
  <c r="O5" i="103" s="1"/>
  <c r="S6" i="100"/>
  <c r="G8" i="100"/>
  <c r="S8" i="100"/>
  <c r="AE7" i="100"/>
  <c r="AE6" i="100"/>
  <c r="AE8" i="100"/>
  <c r="AE9" i="100"/>
  <c r="U5" i="103" s="1"/>
  <c r="AA6" i="100"/>
  <c r="AA8" i="100"/>
  <c r="S5" i="103" s="1"/>
  <c r="K19" i="91"/>
  <c r="F15" i="92" s="1"/>
  <c r="G15" i="92" s="1"/>
  <c r="G6" i="91"/>
  <c r="AA6" i="91"/>
  <c r="S16" i="91"/>
  <c r="L18" i="92" s="1"/>
  <c r="N18" i="92" s="1"/>
  <c r="AA16" i="91"/>
  <c r="AA7" i="91"/>
  <c r="S20" i="91"/>
  <c r="AJ20" i="91" s="1"/>
  <c r="AK20" i="91" s="1"/>
  <c r="S8" i="91"/>
  <c r="AA10" i="91"/>
  <c r="C18" i="92"/>
  <c r="D18" i="92" s="1"/>
  <c r="AE6" i="90"/>
  <c r="U8" i="92" s="1"/>
  <c r="V8" i="92" s="1"/>
  <c r="AE20" i="90"/>
  <c r="AA11" i="90"/>
  <c r="AA20" i="90"/>
  <c r="AA5" i="90"/>
  <c r="AA8" i="90"/>
  <c r="AA7" i="90"/>
  <c r="AA9" i="90"/>
  <c r="AA13" i="90"/>
  <c r="AA12" i="90"/>
  <c r="AA18" i="90"/>
  <c r="G7" i="89"/>
  <c r="S7" i="89"/>
  <c r="G22" i="89"/>
  <c r="G19" i="89"/>
  <c r="O19" i="89"/>
  <c r="AE19" i="89"/>
  <c r="O21" i="89"/>
  <c r="O13" i="89"/>
  <c r="W13" i="89"/>
  <c r="AE13" i="89"/>
  <c r="C10" i="92"/>
  <c r="U21" i="92"/>
  <c r="O10" i="89"/>
  <c r="W7" i="89"/>
  <c r="W6" i="89"/>
  <c r="K19" i="89"/>
  <c r="S19" i="89"/>
  <c r="AA19" i="89"/>
  <c r="S21" i="89"/>
  <c r="G13" i="89"/>
  <c r="S13" i="89"/>
  <c r="AA13" i="89"/>
  <c r="AA18" i="89"/>
  <c r="AJ18" i="89" s="1"/>
  <c r="AK18" i="89" s="1"/>
  <c r="AA11" i="89"/>
  <c r="S5" i="89"/>
  <c r="G15" i="89"/>
  <c r="U14" i="92"/>
  <c r="V14" i="92" s="1"/>
  <c r="I17" i="92"/>
  <c r="O17" i="92"/>
  <c r="U17" i="92"/>
  <c r="V17" i="92" s="1"/>
  <c r="I8" i="92"/>
  <c r="AE11" i="89"/>
  <c r="O5" i="89"/>
  <c r="AE6" i="89"/>
  <c r="AE7" i="89"/>
  <c r="U13" i="92" s="1"/>
  <c r="AE8" i="89"/>
  <c r="AA6" i="89"/>
  <c r="AA9" i="89"/>
  <c r="R8" i="92" s="1"/>
  <c r="S8" i="92" s="1"/>
  <c r="AA10" i="89"/>
  <c r="AA24" i="89"/>
  <c r="AJ24" i="89" s="1"/>
  <c r="AK24" i="89" s="1"/>
  <c r="S14" i="88"/>
  <c r="G9" i="88"/>
  <c r="S9" i="88"/>
  <c r="O20" i="88"/>
  <c r="W20" i="88"/>
  <c r="O22" i="92" s="1"/>
  <c r="P22" i="92" s="1"/>
  <c r="G5" i="88"/>
  <c r="W12" i="88"/>
  <c r="W13" i="88"/>
  <c r="S7" i="88"/>
  <c r="G17" i="88"/>
  <c r="W21" i="88"/>
  <c r="AE21" i="88"/>
  <c r="S8" i="88"/>
  <c r="L9" i="92" s="1"/>
  <c r="M9" i="92" s="1"/>
  <c r="S22" i="88"/>
  <c r="O14" i="88"/>
  <c r="O9" i="88"/>
  <c r="W9" i="88"/>
  <c r="G20" i="88"/>
  <c r="S20" i="88"/>
  <c r="O5" i="88"/>
  <c r="G12" i="88"/>
  <c r="C14" i="92" s="1"/>
  <c r="D14" i="92" s="1"/>
  <c r="AE20" i="88"/>
  <c r="AE14" i="88"/>
  <c r="AE13" i="88"/>
  <c r="AE6" i="88"/>
  <c r="AE9" i="88"/>
  <c r="AE18" i="88"/>
  <c r="AJ18" i="88" s="1"/>
  <c r="AK18" i="88" s="1"/>
  <c r="AE5" i="88"/>
  <c r="AA5" i="88"/>
  <c r="AA6" i="88"/>
  <c r="AA17" i="88"/>
  <c r="AA13" i="88"/>
  <c r="AA14" i="88"/>
  <c r="AA16" i="88"/>
  <c r="AJ16" i="88" s="1"/>
  <c r="AK16" i="88" s="1"/>
  <c r="AA21" i="88"/>
  <c r="AA8" i="88"/>
  <c r="AA7" i="88"/>
  <c r="AA20" i="88"/>
  <c r="G6" i="85"/>
  <c r="O6" i="85"/>
  <c r="W6" i="85"/>
  <c r="O17" i="85"/>
  <c r="K6" i="85"/>
  <c r="F7" i="87" s="1"/>
  <c r="G7" i="87" s="1"/>
  <c r="S6" i="85"/>
  <c r="S17" i="85"/>
  <c r="AA17" i="85"/>
  <c r="AE6" i="85"/>
  <c r="AE17" i="85"/>
  <c r="AE8" i="85"/>
  <c r="AE7" i="85"/>
  <c r="AA5" i="85"/>
  <c r="R13" i="87" s="1"/>
  <c r="S13" i="87" s="1"/>
  <c r="AA7" i="85"/>
  <c r="AA12" i="85"/>
  <c r="AJ12" i="85" s="1"/>
  <c r="AK12" i="85" s="1"/>
  <c r="G9" i="84"/>
  <c r="O9" i="84"/>
  <c r="W9" i="84"/>
  <c r="O10" i="84"/>
  <c r="W10" i="84"/>
  <c r="W5" i="84"/>
  <c r="O15" i="87" s="1"/>
  <c r="AA11" i="84"/>
  <c r="AA7" i="84"/>
  <c r="K9" i="84"/>
  <c r="S9" i="84"/>
  <c r="S10" i="84"/>
  <c r="G5" i="84"/>
  <c r="S6" i="84"/>
  <c r="L13" i="87" s="1"/>
  <c r="M13" i="87" s="1"/>
  <c r="AE9" i="84"/>
  <c r="AE5" i="84"/>
  <c r="U15" i="87" s="1"/>
  <c r="W15" i="87" s="1"/>
  <c r="AA9" i="84"/>
  <c r="W15" i="83"/>
  <c r="K7" i="83"/>
  <c r="S7" i="83"/>
  <c r="AA7" i="83"/>
  <c r="G8" i="83"/>
  <c r="C18" i="87" s="1"/>
  <c r="D18" i="87" s="1"/>
  <c r="S8" i="83"/>
  <c r="AA8" i="83"/>
  <c r="R18" i="87" s="1"/>
  <c r="G9" i="83"/>
  <c r="S9" i="83"/>
  <c r="AA9" i="83"/>
  <c r="G5" i="83"/>
  <c r="AA5" i="83"/>
  <c r="G6" i="83"/>
  <c r="S6" i="83"/>
  <c r="AA6" i="83"/>
  <c r="W12" i="83"/>
  <c r="O18" i="87" s="1"/>
  <c r="P18" i="87" s="1"/>
  <c r="W6" i="83"/>
  <c r="O8" i="87" s="1"/>
  <c r="S12" i="83"/>
  <c r="L18" i="87" s="1"/>
  <c r="M18" i="87" s="1"/>
  <c r="AE7" i="83"/>
  <c r="AE8" i="83"/>
  <c r="AE15" i="83"/>
  <c r="AE5" i="83"/>
  <c r="AE9" i="83"/>
  <c r="AE6" i="83"/>
  <c r="U8" i="87" s="1"/>
  <c r="V8" i="87" s="1"/>
  <c r="AE12" i="83"/>
  <c r="U18" i="87" s="1"/>
  <c r="V18" i="87" s="1"/>
  <c r="AA15" i="83"/>
  <c r="K10" i="82"/>
  <c r="F16" i="87" s="1"/>
  <c r="AE6" i="82"/>
  <c r="AA14" i="82"/>
  <c r="AE7" i="82"/>
  <c r="AE15" i="82"/>
  <c r="AE14" i="82"/>
  <c r="AA7" i="82"/>
  <c r="AA15" i="82"/>
  <c r="AA6" i="82"/>
  <c r="Z6" i="103"/>
  <c r="AA12" i="75"/>
  <c r="O9" i="75"/>
  <c r="W9" i="75"/>
  <c r="O8" i="75"/>
  <c r="W8" i="75"/>
  <c r="O7" i="75"/>
  <c r="W7" i="75"/>
  <c r="O10" i="75"/>
  <c r="W10" i="75"/>
  <c r="O11" i="76" s="1"/>
  <c r="P11" i="76" s="1"/>
  <c r="AE10" i="75"/>
  <c r="O6" i="75"/>
  <c r="AE6" i="75"/>
  <c r="O5" i="75"/>
  <c r="I5" i="76" s="1"/>
  <c r="J5" i="76" s="1"/>
  <c r="W5" i="75"/>
  <c r="W14" i="75"/>
  <c r="G9" i="75"/>
  <c r="AE8" i="75"/>
  <c r="AE7" i="75"/>
  <c r="AE11" i="75"/>
  <c r="AJ11" i="75" s="1"/>
  <c r="AK11" i="75" s="1"/>
  <c r="AE9" i="75"/>
  <c r="AE12" i="75"/>
  <c r="AA5" i="75"/>
  <c r="S6" i="74"/>
  <c r="AA6" i="74"/>
  <c r="AA13" i="74"/>
  <c r="AA14" i="74"/>
  <c r="AA10" i="74"/>
  <c r="AA9" i="74"/>
  <c r="AE12" i="74"/>
  <c r="AE6" i="74"/>
  <c r="AE8" i="74"/>
  <c r="AE10" i="74"/>
  <c r="AA12" i="74"/>
  <c r="W13" i="73"/>
  <c r="AA13" i="73"/>
  <c r="S12" i="73"/>
  <c r="G10" i="73"/>
  <c r="S10" i="73"/>
  <c r="AA10" i="73"/>
  <c r="G6" i="73"/>
  <c r="S6" i="73"/>
  <c r="G15" i="73"/>
  <c r="G5" i="73"/>
  <c r="S9" i="73"/>
  <c r="G11" i="73"/>
  <c r="S11" i="73"/>
  <c r="S7" i="73"/>
  <c r="L16" i="76" s="1"/>
  <c r="AA7" i="73"/>
  <c r="G13" i="73"/>
  <c r="K12" i="73"/>
  <c r="AE12" i="73"/>
  <c r="AE6" i="73"/>
  <c r="AE9" i="73"/>
  <c r="U9" i="76" s="1"/>
  <c r="V9" i="76" s="1"/>
  <c r="AE10" i="73"/>
  <c r="AE7" i="73"/>
  <c r="AE11" i="73"/>
  <c r="AA14" i="73"/>
  <c r="AJ14" i="73" s="1"/>
  <c r="AK14" i="73" s="1"/>
  <c r="AA12" i="73"/>
  <c r="AA8" i="73"/>
  <c r="AA6" i="73"/>
  <c r="O9" i="72"/>
  <c r="K15" i="72"/>
  <c r="AA15" i="72"/>
  <c r="S7" i="72"/>
  <c r="G10" i="72"/>
  <c r="S10" i="72"/>
  <c r="G5" i="72"/>
  <c r="S6" i="72"/>
  <c r="AA6" i="72"/>
  <c r="AA8" i="72"/>
  <c r="G13" i="72"/>
  <c r="C16" i="76" s="1"/>
  <c r="D16" i="76" s="1"/>
  <c r="G11" i="72"/>
  <c r="S11" i="72"/>
  <c r="W9" i="72"/>
  <c r="S15" i="72"/>
  <c r="AE16" i="72"/>
  <c r="AE15" i="72"/>
  <c r="AE10" i="72"/>
  <c r="AE6" i="72"/>
  <c r="AE12" i="72"/>
  <c r="AE11" i="72"/>
  <c r="AE9" i="72"/>
  <c r="AA13" i="72"/>
  <c r="R16" i="76" s="1"/>
  <c r="S16" i="76" s="1"/>
  <c r="AA11" i="72"/>
  <c r="AA5" i="72"/>
  <c r="L17" i="76"/>
  <c r="M17" i="76" s="1"/>
  <c r="O10" i="71"/>
  <c r="I15" i="76" s="1"/>
  <c r="J15" i="76" s="1"/>
  <c r="AE10" i="71"/>
  <c r="I11" i="76"/>
  <c r="L18" i="76"/>
  <c r="N18" i="76" s="1"/>
  <c r="X13" i="76"/>
  <c r="Y13" i="76" s="1"/>
  <c r="I18" i="76"/>
  <c r="J18" i="76" s="1"/>
  <c r="O18" i="76"/>
  <c r="Q18" i="76" s="1"/>
  <c r="X17" i="76"/>
  <c r="Y17" i="76" s="1"/>
  <c r="X7" i="76"/>
  <c r="Y7" i="76" s="1"/>
  <c r="X5" i="76"/>
  <c r="Y5" i="76" s="1"/>
  <c r="X18" i="76"/>
  <c r="Z18" i="76" s="1"/>
  <c r="AE11" i="71"/>
  <c r="AE7" i="71"/>
  <c r="U18" i="76"/>
  <c r="AA13" i="71"/>
  <c r="AA7" i="71"/>
  <c r="R11" i="76"/>
  <c r="S11" i="76" s="1"/>
  <c r="R17" i="76"/>
  <c r="S17" i="76" s="1"/>
  <c r="AA10" i="71"/>
  <c r="R18" i="76"/>
  <c r="S18" i="76" s="1"/>
  <c r="G6" i="80"/>
  <c r="O6" i="80"/>
  <c r="AE6" i="80"/>
  <c r="O9" i="80"/>
  <c r="K6" i="80"/>
  <c r="AA6" i="80"/>
  <c r="AA9" i="80"/>
  <c r="AA11" i="80"/>
  <c r="O7" i="79"/>
  <c r="W7" i="79"/>
  <c r="AE7" i="79"/>
  <c r="O18" i="79"/>
  <c r="AE18" i="79"/>
  <c r="AE8" i="79"/>
  <c r="U7" i="81" s="1"/>
  <c r="O5" i="79"/>
  <c r="W5" i="79"/>
  <c r="O7" i="81" s="1"/>
  <c r="P7" i="81" s="1"/>
  <c r="AE5" i="79"/>
  <c r="U6" i="81" s="1"/>
  <c r="K13" i="79"/>
  <c r="S13" i="79"/>
  <c r="AA13" i="79"/>
  <c r="S11" i="79"/>
  <c r="AA11" i="79"/>
  <c r="AA14" i="79"/>
  <c r="R15" i="81" s="1"/>
  <c r="T15" i="81" s="1"/>
  <c r="S12" i="79"/>
  <c r="AE13" i="79"/>
  <c r="AE14" i="79"/>
  <c r="AE12" i="79"/>
  <c r="AA7" i="79"/>
  <c r="O25" i="78"/>
  <c r="W25" i="78"/>
  <c r="W19" i="78"/>
  <c r="G7" i="78"/>
  <c r="S7" i="78"/>
  <c r="AA9" i="78"/>
  <c r="AE5" i="78"/>
  <c r="AE19" i="78"/>
  <c r="AE8" i="78"/>
  <c r="AE9" i="78"/>
  <c r="AE25" i="78"/>
  <c r="AA7" i="78"/>
  <c r="AA15" i="78"/>
  <c r="O23" i="77"/>
  <c r="W23" i="77"/>
  <c r="W6" i="77"/>
  <c r="K23" i="77"/>
  <c r="S25" i="77"/>
  <c r="G7" i="77"/>
  <c r="S10" i="77"/>
  <c r="L21" i="81" s="1"/>
  <c r="M21" i="81" s="1"/>
  <c r="G12" i="77"/>
  <c r="G23" i="77"/>
  <c r="O5" i="77"/>
  <c r="W5" i="77"/>
  <c r="O13" i="77"/>
  <c r="W13" i="77"/>
  <c r="O17" i="77"/>
  <c r="S23" i="77"/>
  <c r="G18" i="77"/>
  <c r="G6" i="77"/>
  <c r="S6" i="77"/>
  <c r="AA6" i="77"/>
  <c r="G5" i="77"/>
  <c r="AE13" i="77"/>
  <c r="AE14" i="77"/>
  <c r="AE23" i="77"/>
  <c r="U11" i="81" s="1"/>
  <c r="AE17" i="77"/>
  <c r="AE6" i="77"/>
  <c r="AE18" i="77"/>
  <c r="AA7" i="77"/>
  <c r="AA25" i="77"/>
  <c r="AA10" i="77"/>
  <c r="AA23" i="77"/>
  <c r="R11" i="81" s="1"/>
  <c r="AA14" i="77"/>
  <c r="V17" i="70"/>
  <c r="V18" i="70"/>
  <c r="T21" i="70"/>
  <c r="T23" i="70"/>
  <c r="S19" i="70"/>
  <c r="H18" i="70"/>
  <c r="H19" i="70"/>
  <c r="Z16" i="70"/>
  <c r="J18" i="70"/>
  <c r="AA18" i="70"/>
  <c r="AB18" i="70" s="1"/>
  <c r="J17" i="70"/>
  <c r="G23" i="70"/>
  <c r="V21" i="70"/>
  <c r="S17" i="70"/>
  <c r="V24" i="70"/>
  <c r="H15" i="70"/>
  <c r="K9" i="78"/>
  <c r="S9" i="78"/>
  <c r="O8" i="78"/>
  <c r="W8" i="78"/>
  <c r="S18" i="78"/>
  <c r="L15" i="81"/>
  <c r="M15" i="81" s="1"/>
  <c r="G9" i="78"/>
  <c r="O9" i="78"/>
  <c r="W9" i="78"/>
  <c r="G8" i="78"/>
  <c r="O18" i="78"/>
  <c r="W18" i="78"/>
  <c r="S13" i="78"/>
  <c r="R19" i="81"/>
  <c r="AA13" i="78"/>
  <c r="R14" i="81" s="1"/>
  <c r="X19" i="81"/>
  <c r="AI13" i="78"/>
  <c r="X14" i="81" s="1"/>
  <c r="Y14" i="81" s="1"/>
  <c r="G5" i="78"/>
  <c r="AA5" i="78"/>
  <c r="AI5" i="78"/>
  <c r="X5" i="81" s="1"/>
  <c r="G6" i="78"/>
  <c r="S6" i="78"/>
  <c r="AA6" i="78"/>
  <c r="G11" i="78"/>
  <c r="L17" i="81"/>
  <c r="N17" i="81" s="1"/>
  <c r="S11" i="78"/>
  <c r="X15" i="81"/>
  <c r="Y15" i="81" s="1"/>
  <c r="AA8" i="78"/>
  <c r="G19" i="78"/>
  <c r="AA19" i="78"/>
  <c r="R21" i="81" s="1"/>
  <c r="S21" i="81" s="1"/>
  <c r="AI19" i="78"/>
  <c r="X21" i="81" s="1"/>
  <c r="G12" i="78"/>
  <c r="C15" i="81" s="1"/>
  <c r="E15" i="81" s="1"/>
  <c r="O19" i="81"/>
  <c r="W13" i="78"/>
  <c r="O14" i="81" s="1"/>
  <c r="U19" i="81"/>
  <c r="V19" i="81" s="1"/>
  <c r="AE13" i="78"/>
  <c r="U14" i="81" s="1"/>
  <c r="AA18" i="78"/>
  <c r="W12" i="78"/>
  <c r="AE12" i="78"/>
  <c r="W5" i="78"/>
  <c r="G15" i="78"/>
  <c r="S15" i="78"/>
  <c r="C19" i="81"/>
  <c r="D19" i="81" s="1"/>
  <c r="G13" i="78"/>
  <c r="O17" i="81"/>
  <c r="Q17" i="81" s="1"/>
  <c r="W11" i="78"/>
  <c r="O12" i="81" s="1"/>
  <c r="P12" i="81" s="1"/>
  <c r="U17" i="81"/>
  <c r="W17" i="81" s="1"/>
  <c r="AE11" i="78"/>
  <c r="U12" i="81" s="1"/>
  <c r="O19" i="78"/>
  <c r="O12" i="78"/>
  <c r="I15" i="81" s="1"/>
  <c r="J15" i="81" s="1"/>
  <c r="I19" i="81"/>
  <c r="O13" i="78"/>
  <c r="O5" i="78"/>
  <c r="O6" i="78"/>
  <c r="O11" i="78"/>
  <c r="V22" i="102"/>
  <c r="AJ8" i="98"/>
  <c r="AK8" i="98" s="1"/>
  <c r="AL8" i="98" s="1"/>
  <c r="AJ14" i="98"/>
  <c r="AK14" i="98" s="1"/>
  <c r="AL14" i="98" s="1"/>
  <c r="AJ17" i="98"/>
  <c r="AK17" i="98" s="1"/>
  <c r="AL17" i="98" s="1"/>
  <c r="AJ18" i="98"/>
  <c r="AK18" i="98" s="1"/>
  <c r="AL18" i="98" s="1"/>
  <c r="AJ22" i="98"/>
  <c r="AK22" i="98" s="1"/>
  <c r="AL22" i="98" s="1"/>
  <c r="AJ5" i="98"/>
  <c r="AK5" i="98" s="1"/>
  <c r="AL5" i="98" s="1"/>
  <c r="AJ10" i="98"/>
  <c r="AK10" i="98" s="1"/>
  <c r="AL10" i="98" s="1"/>
  <c r="AJ13" i="98"/>
  <c r="AK13" i="98" s="1"/>
  <c r="AL13" i="98" s="1"/>
  <c r="AJ20" i="98"/>
  <c r="AK20" i="98" s="1"/>
  <c r="AL20" i="98" s="1"/>
  <c r="AJ24" i="98"/>
  <c r="AK24" i="98" s="1"/>
  <c r="AL24" i="98" s="1"/>
  <c r="AJ6" i="98"/>
  <c r="AK6" i="98" s="1"/>
  <c r="AL6" i="98" s="1"/>
  <c r="AJ9" i="98"/>
  <c r="AK9" i="98" s="1"/>
  <c r="AL9" i="98" s="1"/>
  <c r="H23" i="103"/>
  <c r="H17" i="70"/>
  <c r="J21" i="70"/>
  <c r="E16" i="70"/>
  <c r="S13" i="103"/>
  <c r="Z13" i="103"/>
  <c r="W17" i="103"/>
  <c r="Y8" i="103"/>
  <c r="S21" i="103"/>
  <c r="V13" i="103"/>
  <c r="T17" i="103"/>
  <c r="Y17" i="103"/>
  <c r="V21" i="103"/>
  <c r="K13" i="103"/>
  <c r="N8" i="103"/>
  <c r="S6" i="103"/>
  <c r="V18" i="103"/>
  <c r="G8" i="103"/>
  <c r="Q10" i="103"/>
  <c r="J17" i="103"/>
  <c r="E12" i="103"/>
  <c r="D16" i="103"/>
  <c r="J20" i="103"/>
  <c r="H9" i="103"/>
  <c r="G19" i="103"/>
  <c r="P15" i="103"/>
  <c r="K8" i="103"/>
  <c r="G13" i="103"/>
  <c r="N13" i="103"/>
  <c r="M17" i="103"/>
  <c r="K21" i="103"/>
  <c r="H17" i="103"/>
  <c r="Z5" i="103"/>
  <c r="E11" i="103"/>
  <c r="Z15" i="103"/>
  <c r="Z19" i="103"/>
  <c r="Z23" i="103"/>
  <c r="Z11" i="103"/>
  <c r="G11" i="103"/>
  <c r="M19" i="103"/>
  <c r="P19" i="103"/>
  <c r="T15" i="103"/>
  <c r="AJ16" i="100"/>
  <c r="AK16" i="100" s="1"/>
  <c r="AL16" i="100" s="1"/>
  <c r="AJ24" i="100"/>
  <c r="AK24" i="100" s="1"/>
  <c r="AL24" i="100" s="1"/>
  <c r="G15" i="103"/>
  <c r="S11" i="103"/>
  <c r="AJ12" i="100"/>
  <c r="AK12" i="100" s="1"/>
  <c r="AL12" i="100" s="1"/>
  <c r="Q11" i="103"/>
  <c r="AJ20" i="100"/>
  <c r="AK20" i="100" s="1"/>
  <c r="AL20" i="100" s="1"/>
  <c r="D8" i="103"/>
  <c r="Q12" i="103"/>
  <c r="AJ11" i="100"/>
  <c r="AK11" i="100" s="1"/>
  <c r="AL11" i="100" s="1"/>
  <c r="W20" i="103"/>
  <c r="AJ14" i="100"/>
  <c r="AK14" i="100" s="1"/>
  <c r="AL14" i="100" s="1"/>
  <c r="AJ18" i="100"/>
  <c r="AK18" i="100" s="1"/>
  <c r="AL18" i="100" s="1"/>
  <c r="AJ22" i="100"/>
  <c r="AK22" i="100" s="1"/>
  <c r="AL22" i="100" s="1"/>
  <c r="D15" i="103"/>
  <c r="Y20" i="103"/>
  <c r="D19" i="103"/>
  <c r="D23" i="103"/>
  <c r="AJ19" i="97"/>
  <c r="AK19" i="97" s="1"/>
  <c r="AL19" i="97" s="1"/>
  <c r="AJ20" i="97"/>
  <c r="AK20" i="97" s="1"/>
  <c r="AL20" i="97" s="1"/>
  <c r="AJ15" i="97"/>
  <c r="AK15" i="97" s="1"/>
  <c r="AL15" i="97" s="1"/>
  <c r="AJ16" i="97"/>
  <c r="AK16" i="97" s="1"/>
  <c r="AL16" i="97" s="1"/>
  <c r="AJ14" i="97"/>
  <c r="AK14" i="97" s="1"/>
  <c r="AL14" i="97" s="1"/>
  <c r="AJ9" i="97"/>
  <c r="AK9" i="97" s="1"/>
  <c r="Z19" i="102"/>
  <c r="Y20" i="102"/>
  <c r="Y16" i="102"/>
  <c r="AJ14" i="96"/>
  <c r="AK14" i="96" s="1"/>
  <c r="AJ10" i="96"/>
  <c r="AK10" i="96" s="1"/>
  <c r="AJ17" i="96"/>
  <c r="AK17" i="96" s="1"/>
  <c r="AL17" i="96" s="1"/>
  <c r="AJ21" i="96"/>
  <c r="AK21" i="96" s="1"/>
  <c r="AL21" i="96" s="1"/>
  <c r="AJ23" i="96"/>
  <c r="AK23" i="96" s="1"/>
  <c r="AL23" i="96" s="1"/>
  <c r="AJ8" i="96"/>
  <c r="AK8" i="96" s="1"/>
  <c r="Z11" i="102"/>
  <c r="Y12" i="102"/>
  <c r="M24" i="102"/>
  <c r="Z13" i="102"/>
  <c r="W24" i="102"/>
  <c r="J22" i="102"/>
  <c r="Z8" i="102"/>
  <c r="Y8" i="102"/>
  <c r="Z10" i="102"/>
  <c r="Y10" i="102"/>
  <c r="Y7" i="102"/>
  <c r="Z7" i="102"/>
  <c r="AJ23" i="95"/>
  <c r="AK23" i="95" s="1"/>
  <c r="AL23" i="95" s="1"/>
  <c r="AJ21" i="95"/>
  <c r="AK21" i="95" s="1"/>
  <c r="AL21" i="95" s="1"/>
  <c r="AJ22" i="95"/>
  <c r="AK22" i="95" s="1"/>
  <c r="AL22" i="95" s="1"/>
  <c r="AJ15" i="95"/>
  <c r="AK15" i="95" s="1"/>
  <c r="AJ24" i="95"/>
  <c r="AK24" i="95" s="1"/>
  <c r="AL24" i="95" s="1"/>
  <c r="Q22" i="102"/>
  <c r="G23" i="102"/>
  <c r="S22" i="102"/>
  <c r="AJ14" i="94"/>
  <c r="AK14" i="94" s="1"/>
  <c r="AJ24" i="94"/>
  <c r="AK24" i="94" s="1"/>
  <c r="AL24" i="94" s="1"/>
  <c r="Y9" i="102"/>
  <c r="K24" i="102"/>
  <c r="P24" i="102"/>
  <c r="Y24" i="102"/>
  <c r="AJ21" i="91"/>
  <c r="AK21" i="91" s="1"/>
  <c r="AL21" i="91" s="1"/>
  <c r="AJ17" i="91"/>
  <c r="AK17" i="91" s="1"/>
  <c r="AL17" i="91" s="1"/>
  <c r="P16" i="70"/>
  <c r="Y24" i="70"/>
  <c r="W16" i="70"/>
  <c r="K16" i="70"/>
  <c r="AA19" i="70"/>
  <c r="AB19" i="70" s="1"/>
  <c r="AC19" i="70" s="1"/>
  <c r="V10" i="103"/>
  <c r="J14" i="103"/>
  <c r="S14" i="103"/>
  <c r="G18" i="103"/>
  <c r="G22" i="103"/>
  <c r="Q18" i="103"/>
  <c r="P22" i="103"/>
  <c r="G22" i="102"/>
  <c r="Y7" i="103"/>
  <c r="J10" i="103"/>
  <c r="S22" i="103"/>
  <c r="G19" i="102"/>
  <c r="S23" i="102"/>
  <c r="S10" i="103"/>
  <c r="G14" i="103"/>
  <c r="Q14" i="103"/>
  <c r="V14" i="103"/>
  <c r="J18" i="103"/>
  <c r="S18" i="103"/>
  <c r="E24" i="102"/>
  <c r="D23" i="102"/>
  <c r="AA24" i="102"/>
  <c r="AB24" i="102" s="1"/>
  <c r="AC24" i="102" s="1"/>
  <c r="Z18" i="102"/>
  <c r="N23" i="102"/>
  <c r="Z15" i="102"/>
  <c r="H21" i="102"/>
  <c r="P23" i="102"/>
  <c r="Z23" i="102"/>
  <c r="Z22" i="92"/>
  <c r="Y17" i="92"/>
  <c r="Y7" i="92"/>
  <c r="G18" i="92"/>
  <c r="AJ24" i="90"/>
  <c r="AK24" i="90" s="1"/>
  <c r="AL24" i="90" s="1"/>
  <c r="AJ22" i="90"/>
  <c r="AK22" i="90" s="1"/>
  <c r="AL22" i="90" s="1"/>
  <c r="G13" i="92"/>
  <c r="F17" i="81"/>
  <c r="H17" i="81" s="1"/>
  <c r="F6" i="81"/>
  <c r="F8" i="81"/>
  <c r="G8" i="81" s="1"/>
  <c r="M24" i="87"/>
  <c r="E24" i="87"/>
  <c r="Q20" i="87"/>
  <c r="G13" i="87"/>
  <c r="G19" i="87"/>
  <c r="T19" i="87"/>
  <c r="AJ10" i="85"/>
  <c r="AK10" i="85" s="1"/>
  <c r="Z17" i="87"/>
  <c r="AJ9" i="85"/>
  <c r="AK9" i="85" s="1"/>
  <c r="AJ15" i="85"/>
  <c r="AK15" i="85" s="1"/>
  <c r="AJ20" i="85"/>
  <c r="AK20" i="85" s="1"/>
  <c r="AL20" i="85" s="1"/>
  <c r="AJ22" i="85"/>
  <c r="AK22" i="85" s="1"/>
  <c r="AL22" i="85" s="1"/>
  <c r="AJ24" i="85"/>
  <c r="AK24" i="85" s="1"/>
  <c r="AL24" i="85" s="1"/>
  <c r="W21" i="87"/>
  <c r="Y23" i="87"/>
  <c r="P24" i="87"/>
  <c r="Y6" i="87"/>
  <c r="G5" i="87"/>
  <c r="G12" i="87"/>
  <c r="G23" i="87"/>
  <c r="H17" i="87"/>
  <c r="M19" i="87"/>
  <c r="Q12" i="87"/>
  <c r="Q23" i="87"/>
  <c r="AJ15" i="84"/>
  <c r="AK15" i="84" s="1"/>
  <c r="AJ16" i="84"/>
  <c r="AK16" i="84" s="1"/>
  <c r="AJ17" i="84"/>
  <c r="AK17" i="84" s="1"/>
  <c r="AL17" i="84" s="1"/>
  <c r="AJ21" i="84"/>
  <c r="AK21" i="84" s="1"/>
  <c r="AL21" i="84" s="1"/>
  <c r="Z19" i="87"/>
  <c r="V20" i="87"/>
  <c r="S23" i="87"/>
  <c r="J21" i="87"/>
  <c r="J19" i="87"/>
  <c r="N23" i="87"/>
  <c r="AJ16" i="83"/>
  <c r="AK16" i="83" s="1"/>
  <c r="AL16" i="83" s="1"/>
  <c r="G18" i="87"/>
  <c r="AJ20" i="83"/>
  <c r="AK20" i="83" s="1"/>
  <c r="AL20" i="83" s="1"/>
  <c r="Y15" i="87"/>
  <c r="O7" i="82"/>
  <c r="W6" i="82"/>
  <c r="O15" i="82"/>
  <c r="W15" i="82"/>
  <c r="S5" i="82"/>
  <c r="W10" i="82"/>
  <c r="S15" i="82"/>
  <c r="G14" i="87"/>
  <c r="S14" i="82"/>
  <c r="S6" i="82"/>
  <c r="D21" i="87"/>
  <c r="G20" i="87"/>
  <c r="O10" i="82"/>
  <c r="O5" i="82"/>
  <c r="O6" i="82"/>
  <c r="V11" i="87"/>
  <c r="P22" i="87"/>
  <c r="AJ24" i="82"/>
  <c r="AK24" i="82" s="1"/>
  <c r="AL24" i="82" s="1"/>
  <c r="W22" i="87"/>
  <c r="AJ20" i="82"/>
  <c r="AK20" i="82" s="1"/>
  <c r="AL20" i="82" s="1"/>
  <c r="AJ22" i="82"/>
  <c r="AK22" i="82" s="1"/>
  <c r="AL22" i="82" s="1"/>
  <c r="Z13" i="87"/>
  <c r="G10" i="82"/>
  <c r="C16" i="87" s="1"/>
  <c r="D16" i="87" s="1"/>
  <c r="G14" i="82"/>
  <c r="H22" i="87"/>
  <c r="S22" i="87"/>
  <c r="Y11" i="87"/>
  <c r="D20" i="87"/>
  <c r="K22" i="87"/>
  <c r="G11" i="82"/>
  <c r="C10" i="87" s="1"/>
  <c r="G6" i="82"/>
  <c r="G5" i="82"/>
  <c r="AA22" i="87"/>
  <c r="AB22" i="87" s="1"/>
  <c r="AC22" i="87" s="1"/>
  <c r="AA23" i="87"/>
  <c r="AB23" i="87" s="1"/>
  <c r="AC23" i="87" s="1"/>
  <c r="D23" i="87"/>
  <c r="X20" i="81"/>
  <c r="U16" i="81"/>
  <c r="X7" i="81"/>
  <c r="F15" i="81"/>
  <c r="X11" i="81"/>
  <c r="R17" i="81"/>
  <c r="S17" i="81" s="1"/>
  <c r="X6" i="81"/>
  <c r="X10" i="81"/>
  <c r="X13" i="81"/>
  <c r="F14" i="81"/>
  <c r="F7" i="81"/>
  <c r="G7" i="81" s="1"/>
  <c r="O16" i="81"/>
  <c r="P16" i="81" s="1"/>
  <c r="L16" i="81"/>
  <c r="M16" i="81" s="1"/>
  <c r="O21" i="81"/>
  <c r="P21" i="81" s="1"/>
  <c r="F5" i="81"/>
  <c r="G5" i="81" s="1"/>
  <c r="F24" i="81"/>
  <c r="G24" i="81" s="1"/>
  <c r="F21" i="81"/>
  <c r="X9" i="76"/>
  <c r="U5" i="76"/>
  <c r="X8" i="76"/>
  <c r="Y8" i="76" s="1"/>
  <c r="T21" i="76"/>
  <c r="X14" i="76"/>
  <c r="X15" i="76"/>
  <c r="X6" i="76"/>
  <c r="X12" i="76"/>
  <c r="Y12" i="76" s="1"/>
  <c r="X10" i="76"/>
  <c r="F9" i="76"/>
  <c r="G9" i="76" s="1"/>
  <c r="O6" i="76"/>
  <c r="P6" i="76" s="1"/>
  <c r="I13" i="76"/>
  <c r="J13" i="76" s="1"/>
  <c r="F10" i="76"/>
  <c r="G10" i="76" s="1"/>
  <c r="F6" i="76"/>
  <c r="G6" i="76" s="1"/>
  <c r="F13" i="76"/>
  <c r="G13" i="76" s="1"/>
  <c r="J21" i="76"/>
  <c r="C13" i="76"/>
  <c r="D13" i="76" s="1"/>
  <c r="G18" i="76"/>
  <c r="H21" i="76"/>
  <c r="Z19" i="76"/>
  <c r="Y11" i="76"/>
  <c r="W8" i="71"/>
  <c r="O12" i="76" s="1"/>
  <c r="P12" i="76" s="1"/>
  <c r="O9" i="71"/>
  <c r="S7" i="71"/>
  <c r="G13" i="71"/>
  <c r="T23" i="76"/>
  <c r="O11" i="71"/>
  <c r="S6" i="71"/>
  <c r="O7" i="71"/>
  <c r="W7" i="71"/>
  <c r="S13" i="71"/>
  <c r="G14" i="71"/>
  <c r="M19" i="76"/>
  <c r="W10" i="71"/>
  <c r="W12" i="71"/>
  <c r="O17" i="76" s="1"/>
  <c r="Q17" i="76" s="1"/>
  <c r="S10" i="71"/>
  <c r="S8" i="71"/>
  <c r="P19" i="76"/>
  <c r="N23" i="76"/>
  <c r="S11" i="71"/>
  <c r="O6" i="71"/>
  <c r="O16" i="71"/>
  <c r="AJ16" i="71" s="1"/>
  <c r="AK16" i="71" s="1"/>
  <c r="K7" i="71"/>
  <c r="G10" i="71"/>
  <c r="G17" i="71"/>
  <c r="AJ17" i="71" s="1"/>
  <c r="AK17" i="71" s="1"/>
  <c r="C15" i="114" s="1"/>
  <c r="D15" i="114" s="1"/>
  <c r="E15" i="114" s="1"/>
  <c r="G7" i="71"/>
  <c r="G18" i="71"/>
  <c r="AJ18" i="71" s="1"/>
  <c r="AK18" i="71" s="1"/>
  <c r="G12" i="71"/>
  <c r="AA24" i="76"/>
  <c r="AB24" i="76" s="1"/>
  <c r="AC24" i="76" s="1"/>
  <c r="Z16" i="103"/>
  <c r="W12" i="103"/>
  <c r="T23" i="103"/>
  <c r="M20" i="103"/>
  <c r="Y12" i="103"/>
  <c r="Y24" i="103"/>
  <c r="W16" i="103"/>
  <c r="S19" i="103"/>
  <c r="P16" i="103"/>
  <c r="Q20" i="103"/>
  <c r="P23" i="103"/>
  <c r="Q24" i="103"/>
  <c r="N11" i="103"/>
  <c r="N12" i="103"/>
  <c r="N15" i="103"/>
  <c r="N16" i="103"/>
  <c r="M23" i="103"/>
  <c r="M24" i="103"/>
  <c r="K24" i="103"/>
  <c r="K12" i="103"/>
  <c r="K16" i="103"/>
  <c r="H21" i="103"/>
  <c r="AA20" i="103"/>
  <c r="AB20" i="103" s="1"/>
  <c r="AC20" i="103" s="1"/>
  <c r="D24" i="103"/>
  <c r="D20" i="103"/>
  <c r="Y17" i="102"/>
  <c r="Y21" i="102"/>
  <c r="V21" i="102"/>
  <c r="T21" i="102"/>
  <c r="M21" i="102"/>
  <c r="J21" i="102"/>
  <c r="Y6" i="103"/>
  <c r="G5" i="103"/>
  <c r="T9" i="103"/>
  <c r="Z9" i="103"/>
  <c r="AA8" i="103"/>
  <c r="AB8" i="103" s="1"/>
  <c r="H12" i="103"/>
  <c r="G12" i="103"/>
  <c r="T12" i="103"/>
  <c r="S12" i="103"/>
  <c r="K15" i="103"/>
  <c r="J15" i="103"/>
  <c r="W15" i="103"/>
  <c r="V15" i="103"/>
  <c r="AA16" i="103"/>
  <c r="AB16" i="103" s="1"/>
  <c r="AC16" i="103" s="1"/>
  <c r="E17" i="103"/>
  <c r="D17" i="103"/>
  <c r="Q17" i="103"/>
  <c r="P17" i="103"/>
  <c r="AA17" i="103"/>
  <c r="AB17" i="103" s="1"/>
  <c r="AC17" i="103" s="1"/>
  <c r="N18" i="103"/>
  <c r="M18" i="103"/>
  <c r="Z18" i="103"/>
  <c r="Y18" i="103"/>
  <c r="AA22" i="103"/>
  <c r="AB22" i="103" s="1"/>
  <c r="AC22" i="103" s="1"/>
  <c r="W23" i="103"/>
  <c r="V23" i="103"/>
  <c r="AA24" i="103"/>
  <c r="AB24" i="103" s="1"/>
  <c r="AC24" i="103" s="1"/>
  <c r="G7" i="103"/>
  <c r="H10" i="103"/>
  <c r="K11" i="103"/>
  <c r="J11" i="103"/>
  <c r="W11" i="103"/>
  <c r="V11" i="103"/>
  <c r="AA12" i="103"/>
  <c r="AB12" i="103" s="1"/>
  <c r="AC12" i="103" s="1"/>
  <c r="E13" i="103"/>
  <c r="D13" i="103"/>
  <c r="Q13" i="103"/>
  <c r="P13" i="103"/>
  <c r="AA13" i="103"/>
  <c r="AB13" i="103" s="1"/>
  <c r="AC13" i="103" s="1"/>
  <c r="N14" i="103"/>
  <c r="M14" i="103"/>
  <c r="Z14" i="103"/>
  <c r="Y14" i="103"/>
  <c r="AA18" i="103"/>
  <c r="AB18" i="103" s="1"/>
  <c r="AC18" i="103" s="1"/>
  <c r="Q21" i="103"/>
  <c r="P21" i="103"/>
  <c r="N22" i="103"/>
  <c r="M22" i="103"/>
  <c r="K23" i="103"/>
  <c r="J23" i="103"/>
  <c r="AA10" i="103"/>
  <c r="AB10" i="103" s="1"/>
  <c r="AC10" i="103" s="1"/>
  <c r="N10" i="103"/>
  <c r="Z10" i="103"/>
  <c r="Y10" i="103"/>
  <c r="AA14" i="103"/>
  <c r="AB14" i="103" s="1"/>
  <c r="AC14" i="103" s="1"/>
  <c r="H20" i="103"/>
  <c r="G20" i="103"/>
  <c r="T20" i="103"/>
  <c r="S20" i="103"/>
  <c r="H16" i="103"/>
  <c r="G16" i="103"/>
  <c r="T16" i="103"/>
  <c r="S16" i="103"/>
  <c r="K19" i="103"/>
  <c r="J19" i="103"/>
  <c r="W19" i="103"/>
  <c r="V19" i="103"/>
  <c r="E21" i="103"/>
  <c r="D21" i="103"/>
  <c r="AA21" i="103"/>
  <c r="AB21" i="103" s="1"/>
  <c r="AC21" i="103" s="1"/>
  <c r="Z22" i="103"/>
  <c r="Y22" i="103"/>
  <c r="H24" i="103"/>
  <c r="G24" i="103"/>
  <c r="T24" i="103"/>
  <c r="S24" i="103"/>
  <c r="E10" i="103"/>
  <c r="E14" i="103"/>
  <c r="E18" i="103"/>
  <c r="E22" i="103"/>
  <c r="AA11" i="103"/>
  <c r="AB11" i="103" s="1"/>
  <c r="AC11" i="103" s="1"/>
  <c r="AA15" i="103"/>
  <c r="AB15" i="103" s="1"/>
  <c r="AC15" i="103" s="1"/>
  <c r="AA19" i="103"/>
  <c r="AB19" i="103" s="1"/>
  <c r="AC19" i="103" s="1"/>
  <c r="M21" i="103"/>
  <c r="Y21" i="103"/>
  <c r="J22" i="103"/>
  <c r="V22" i="103"/>
  <c r="AA23" i="103"/>
  <c r="AB23" i="103" s="1"/>
  <c r="AC23" i="103" s="1"/>
  <c r="K23" i="102"/>
  <c r="J23" i="102"/>
  <c r="W23" i="102"/>
  <c r="V23" i="102"/>
  <c r="Z5" i="102"/>
  <c r="W18" i="102"/>
  <c r="E21" i="102"/>
  <c r="D21" i="102"/>
  <c r="Q21" i="102"/>
  <c r="P21" i="102"/>
  <c r="AA21" i="102"/>
  <c r="AB21" i="102" s="1"/>
  <c r="AC21" i="102" s="1"/>
  <c r="N22" i="102"/>
  <c r="M22" i="102"/>
  <c r="Z22" i="102"/>
  <c r="Y22" i="102"/>
  <c r="Z6" i="102"/>
  <c r="Y6" i="102"/>
  <c r="AA22" i="102"/>
  <c r="AB22" i="102" s="1"/>
  <c r="AC22" i="102" s="1"/>
  <c r="Z14" i="102"/>
  <c r="H24" i="102"/>
  <c r="G24" i="102"/>
  <c r="T24" i="102"/>
  <c r="S24" i="102"/>
  <c r="E22" i="102"/>
  <c r="AA23" i="102"/>
  <c r="AB23" i="102" s="1"/>
  <c r="AC23" i="102" s="1"/>
  <c r="AJ5" i="101"/>
  <c r="AK5" i="101" s="1"/>
  <c r="AJ9" i="101"/>
  <c r="AK9" i="101" s="1"/>
  <c r="AL9" i="101" s="1"/>
  <c r="AJ13" i="101"/>
  <c r="AK13" i="101" s="1"/>
  <c r="AL13" i="101" s="1"/>
  <c r="AJ17" i="101"/>
  <c r="AK17" i="101" s="1"/>
  <c r="AL17" i="101" s="1"/>
  <c r="AJ21" i="101"/>
  <c r="AK21" i="101" s="1"/>
  <c r="AL21" i="101" s="1"/>
  <c r="AJ6" i="101"/>
  <c r="AK6" i="101" s="1"/>
  <c r="AL6" i="101" s="1"/>
  <c r="AJ8" i="101"/>
  <c r="AK8" i="101" s="1"/>
  <c r="AL8" i="101" s="1"/>
  <c r="AJ10" i="101"/>
  <c r="AK10" i="101" s="1"/>
  <c r="AL10" i="101" s="1"/>
  <c r="AJ12" i="101"/>
  <c r="AK12" i="101" s="1"/>
  <c r="AL12" i="101" s="1"/>
  <c r="AJ14" i="101"/>
  <c r="AK14" i="101" s="1"/>
  <c r="AL14" i="101" s="1"/>
  <c r="AJ16" i="101"/>
  <c r="AK16" i="101" s="1"/>
  <c r="AL16" i="101" s="1"/>
  <c r="AJ18" i="101"/>
  <c r="AK18" i="101" s="1"/>
  <c r="AL18" i="101" s="1"/>
  <c r="AJ20" i="101"/>
  <c r="AK20" i="101" s="1"/>
  <c r="AL20" i="101" s="1"/>
  <c r="AJ22" i="101"/>
  <c r="AK22" i="101" s="1"/>
  <c r="AL22" i="101" s="1"/>
  <c r="AJ24" i="101"/>
  <c r="AK24" i="101" s="1"/>
  <c r="AL24" i="101" s="1"/>
  <c r="AJ7" i="101"/>
  <c r="AK7" i="101" s="1"/>
  <c r="AL7" i="101" s="1"/>
  <c r="AJ11" i="101"/>
  <c r="AK11" i="101" s="1"/>
  <c r="AL11" i="101" s="1"/>
  <c r="AJ15" i="101"/>
  <c r="AK15" i="101" s="1"/>
  <c r="AL15" i="101" s="1"/>
  <c r="AJ19" i="101"/>
  <c r="AK19" i="101" s="1"/>
  <c r="AL19" i="101" s="1"/>
  <c r="AJ23" i="101"/>
  <c r="AK23" i="101" s="1"/>
  <c r="AL23" i="101" s="1"/>
  <c r="AJ15" i="100"/>
  <c r="AK15" i="100" s="1"/>
  <c r="AL15" i="100" s="1"/>
  <c r="AJ19" i="100"/>
  <c r="AK19" i="100" s="1"/>
  <c r="AL19" i="100" s="1"/>
  <c r="AJ23" i="100"/>
  <c r="AK23" i="100" s="1"/>
  <c r="AL23" i="100" s="1"/>
  <c r="AJ13" i="100"/>
  <c r="AK13" i="100" s="1"/>
  <c r="AL13" i="100" s="1"/>
  <c r="AJ17" i="100"/>
  <c r="AK17" i="100" s="1"/>
  <c r="AL17" i="100" s="1"/>
  <c r="AJ21" i="100"/>
  <c r="AK21" i="100" s="1"/>
  <c r="AL21" i="100" s="1"/>
  <c r="AJ7" i="99"/>
  <c r="AK7" i="99" s="1"/>
  <c r="AL7" i="99" s="1"/>
  <c r="AJ11" i="99"/>
  <c r="AK11" i="99" s="1"/>
  <c r="AL11" i="99" s="1"/>
  <c r="AJ15" i="99"/>
  <c r="AK15" i="99" s="1"/>
  <c r="AL15" i="99" s="1"/>
  <c r="AJ19" i="99"/>
  <c r="AK19" i="99" s="1"/>
  <c r="AL19" i="99" s="1"/>
  <c r="AJ5" i="99"/>
  <c r="AK5" i="99" s="1"/>
  <c r="AL5" i="99" s="1"/>
  <c r="AJ9" i="99"/>
  <c r="AK9" i="99" s="1"/>
  <c r="AL9" i="99" s="1"/>
  <c r="AJ13" i="99"/>
  <c r="AK13" i="99" s="1"/>
  <c r="AL13" i="99" s="1"/>
  <c r="AJ17" i="99"/>
  <c r="AK17" i="99" s="1"/>
  <c r="AL17" i="99" s="1"/>
  <c r="AJ21" i="99"/>
  <c r="AK21" i="99" s="1"/>
  <c r="AL21" i="99" s="1"/>
  <c r="AJ23" i="99"/>
  <c r="AK23" i="99" s="1"/>
  <c r="AL23" i="99" s="1"/>
  <c r="AJ7" i="98"/>
  <c r="AK7" i="98" s="1"/>
  <c r="AL7" i="98" s="1"/>
  <c r="AJ11" i="98"/>
  <c r="AK11" i="98" s="1"/>
  <c r="AL11" i="98" s="1"/>
  <c r="AJ15" i="98"/>
  <c r="AK15" i="98" s="1"/>
  <c r="AL15" i="98" s="1"/>
  <c r="AJ21" i="98"/>
  <c r="AK21" i="98" s="1"/>
  <c r="AL21" i="98" s="1"/>
  <c r="AJ19" i="98"/>
  <c r="AK19" i="98" s="1"/>
  <c r="AL19" i="98" s="1"/>
  <c r="AJ23" i="98"/>
  <c r="AK23" i="98" s="1"/>
  <c r="AL23" i="98" s="1"/>
  <c r="AJ13" i="97"/>
  <c r="AK13" i="97" s="1"/>
  <c r="AL13" i="97" s="1"/>
  <c r="AJ23" i="97"/>
  <c r="AK23" i="97" s="1"/>
  <c r="AL23" i="97" s="1"/>
  <c r="AJ11" i="97"/>
  <c r="AK11" i="97" s="1"/>
  <c r="AJ17" i="97"/>
  <c r="AK17" i="97" s="1"/>
  <c r="AL17" i="97" s="1"/>
  <c r="AJ18" i="97"/>
  <c r="AK18" i="97" s="1"/>
  <c r="AL18" i="97" s="1"/>
  <c r="AJ21" i="97"/>
  <c r="AK21" i="97" s="1"/>
  <c r="AL21" i="97" s="1"/>
  <c r="AJ22" i="97"/>
  <c r="AK22" i="97" s="1"/>
  <c r="AL22" i="97" s="1"/>
  <c r="AJ24" i="97"/>
  <c r="AK24" i="97" s="1"/>
  <c r="AL24" i="97" s="1"/>
  <c r="AJ15" i="96"/>
  <c r="AK15" i="96" s="1"/>
  <c r="AL15" i="96" s="1"/>
  <c r="AJ19" i="96"/>
  <c r="AK19" i="96" s="1"/>
  <c r="AL19" i="96" s="1"/>
  <c r="AJ13" i="96"/>
  <c r="AK13" i="96" s="1"/>
  <c r="AJ16" i="96"/>
  <c r="AK16" i="96" s="1"/>
  <c r="AL16" i="96" s="1"/>
  <c r="AJ18" i="96"/>
  <c r="AK18" i="96" s="1"/>
  <c r="AL18" i="96" s="1"/>
  <c r="AJ20" i="96"/>
  <c r="AK20" i="96" s="1"/>
  <c r="AL20" i="96" s="1"/>
  <c r="AJ22" i="96"/>
  <c r="AK22" i="96" s="1"/>
  <c r="AL22" i="96" s="1"/>
  <c r="AJ24" i="96"/>
  <c r="AK24" i="96" s="1"/>
  <c r="AL24" i="96" s="1"/>
  <c r="AJ20" i="95"/>
  <c r="AK20" i="95" s="1"/>
  <c r="AL20" i="95" s="1"/>
  <c r="AJ14" i="95"/>
  <c r="AK14" i="95" s="1"/>
  <c r="AJ19" i="95"/>
  <c r="AK19" i="95" s="1"/>
  <c r="AL19" i="95" s="1"/>
  <c r="AJ16" i="95"/>
  <c r="AK16" i="95" s="1"/>
  <c r="AL16" i="95" s="1"/>
  <c r="AJ19" i="94"/>
  <c r="AK19" i="94" s="1"/>
  <c r="AJ11" i="94"/>
  <c r="AK11" i="94" s="1"/>
  <c r="AJ21" i="94"/>
  <c r="AK21" i="94" s="1"/>
  <c r="AL21" i="94" s="1"/>
  <c r="AJ22" i="94"/>
  <c r="AK22" i="94" s="1"/>
  <c r="AL22" i="94" s="1"/>
  <c r="AJ16" i="94"/>
  <c r="AK16" i="94" s="1"/>
  <c r="AJ23" i="94"/>
  <c r="AK23" i="94" s="1"/>
  <c r="AL23" i="94" s="1"/>
  <c r="Y20" i="87"/>
  <c r="Y24" i="87"/>
  <c r="W24" i="87"/>
  <c r="S20" i="87"/>
  <c r="M20" i="87"/>
  <c r="K20" i="87"/>
  <c r="K24" i="87"/>
  <c r="AA20" i="87"/>
  <c r="AB20" i="87" s="1"/>
  <c r="AC20" i="87" s="1"/>
  <c r="Y21" i="87"/>
  <c r="T21" i="87"/>
  <c r="M21" i="87"/>
  <c r="H21" i="87"/>
  <c r="D19" i="87"/>
  <c r="AJ6" i="93"/>
  <c r="AK6" i="93" s="1"/>
  <c r="AL6" i="93" s="1"/>
  <c r="AJ8" i="93"/>
  <c r="AK8" i="93" s="1"/>
  <c r="AL8" i="93" s="1"/>
  <c r="AJ10" i="93"/>
  <c r="AK10" i="93" s="1"/>
  <c r="AL10" i="93" s="1"/>
  <c r="AJ12" i="93"/>
  <c r="AK12" i="93" s="1"/>
  <c r="AL12" i="93" s="1"/>
  <c r="AJ14" i="93"/>
  <c r="AK14" i="93" s="1"/>
  <c r="AL14" i="93" s="1"/>
  <c r="AJ16" i="93"/>
  <c r="AK16" i="93" s="1"/>
  <c r="AL16" i="93" s="1"/>
  <c r="AJ18" i="93"/>
  <c r="AK18" i="93" s="1"/>
  <c r="AL18" i="93" s="1"/>
  <c r="AJ20" i="93"/>
  <c r="AK20" i="93" s="1"/>
  <c r="AL20" i="93" s="1"/>
  <c r="AJ22" i="93"/>
  <c r="AK22" i="93" s="1"/>
  <c r="AL22" i="93" s="1"/>
  <c r="AJ24" i="93"/>
  <c r="AK24" i="93" s="1"/>
  <c r="AL24" i="93" s="1"/>
  <c r="AJ7" i="93"/>
  <c r="AK7" i="93" s="1"/>
  <c r="AL7" i="93" s="1"/>
  <c r="AJ11" i="93"/>
  <c r="AK11" i="93" s="1"/>
  <c r="AL11" i="93" s="1"/>
  <c r="AJ15" i="93"/>
  <c r="AK15" i="93" s="1"/>
  <c r="AL15" i="93" s="1"/>
  <c r="AJ19" i="93"/>
  <c r="AK19" i="93" s="1"/>
  <c r="AL19" i="93" s="1"/>
  <c r="AJ23" i="93"/>
  <c r="AK23" i="93" s="1"/>
  <c r="AL23" i="93" s="1"/>
  <c r="AJ22" i="77"/>
  <c r="AK22" i="77" s="1"/>
  <c r="Y20" i="92"/>
  <c r="AJ20" i="77"/>
  <c r="AK20" i="77" s="1"/>
  <c r="D23" i="92"/>
  <c r="N24" i="92"/>
  <c r="V24" i="92"/>
  <c r="N23" i="81"/>
  <c r="T23" i="92"/>
  <c r="E20" i="92"/>
  <c r="J24" i="92"/>
  <c r="Z17" i="92"/>
  <c r="G19" i="92"/>
  <c r="H23" i="92"/>
  <c r="P23" i="92"/>
  <c r="Z24" i="92"/>
  <c r="V20" i="92"/>
  <c r="N23" i="92"/>
  <c r="M23" i="92"/>
  <c r="T24" i="92"/>
  <c r="S24" i="92"/>
  <c r="Y9" i="92"/>
  <c r="H24" i="92"/>
  <c r="G24" i="92"/>
  <c r="AA24" i="92"/>
  <c r="AB24" i="92" s="1"/>
  <c r="AC24" i="92" s="1"/>
  <c r="G14" i="92"/>
  <c r="Y19" i="92"/>
  <c r="J23" i="92"/>
  <c r="V23" i="92"/>
  <c r="G20" i="92"/>
  <c r="D24" i="92"/>
  <c r="P24" i="92"/>
  <c r="AJ14" i="91"/>
  <c r="AK14" i="91" s="1"/>
  <c r="AL14" i="91" s="1"/>
  <c r="AJ12" i="91"/>
  <c r="AK12" i="91" s="1"/>
  <c r="AJ22" i="91"/>
  <c r="AK22" i="91" s="1"/>
  <c r="AL22" i="91" s="1"/>
  <c r="AJ24" i="91"/>
  <c r="AK24" i="91" s="1"/>
  <c r="AL24" i="91" s="1"/>
  <c r="AJ13" i="91"/>
  <c r="AK13" i="91" s="1"/>
  <c r="AJ23" i="91"/>
  <c r="AK23" i="91" s="1"/>
  <c r="AL23" i="91" s="1"/>
  <c r="AJ5" i="91"/>
  <c r="AK5" i="91" s="1"/>
  <c r="AJ19" i="90"/>
  <c r="AK19" i="90" s="1"/>
  <c r="AJ23" i="90"/>
  <c r="AK23" i="90" s="1"/>
  <c r="AL23" i="90" s="1"/>
  <c r="AJ18" i="90"/>
  <c r="AK18" i="90" s="1"/>
  <c r="AJ21" i="90"/>
  <c r="AK21" i="90" s="1"/>
  <c r="AL21" i="90" s="1"/>
  <c r="AJ23" i="89"/>
  <c r="AK23" i="89" s="1"/>
  <c r="AL23" i="89" s="1"/>
  <c r="AJ14" i="89"/>
  <c r="AK14" i="89" s="1"/>
  <c r="AJ16" i="89"/>
  <c r="AK16" i="89" s="1"/>
  <c r="AL16" i="89" s="1"/>
  <c r="AJ17" i="89"/>
  <c r="AK17" i="89" s="1"/>
  <c r="AJ19" i="88"/>
  <c r="AK19" i="88" s="1"/>
  <c r="AL19" i="88" s="1"/>
  <c r="AJ23" i="88"/>
  <c r="AK23" i="88" s="1"/>
  <c r="AL23" i="88" s="1"/>
  <c r="AJ24" i="88"/>
  <c r="AK24" i="88" s="1"/>
  <c r="Q19" i="87"/>
  <c r="W19" i="87"/>
  <c r="AA19" i="87"/>
  <c r="AB19" i="87" s="1"/>
  <c r="AC19" i="87" s="1"/>
  <c r="K23" i="87"/>
  <c r="J23" i="87"/>
  <c r="W23" i="87"/>
  <c r="V23" i="87"/>
  <c r="AA24" i="87"/>
  <c r="AB24" i="87" s="1"/>
  <c r="AC24" i="87" s="1"/>
  <c r="Q21" i="87"/>
  <c r="P21" i="87"/>
  <c r="AA21" i="87"/>
  <c r="AB21" i="87" s="1"/>
  <c r="AC21" i="87" s="1"/>
  <c r="N22" i="87"/>
  <c r="M22" i="87"/>
  <c r="Z22" i="87"/>
  <c r="Y22" i="87"/>
  <c r="H24" i="87"/>
  <c r="G24" i="87"/>
  <c r="T24" i="87"/>
  <c r="S24" i="87"/>
  <c r="E11" i="87"/>
  <c r="E22" i="87"/>
  <c r="AJ6" i="86"/>
  <c r="AK6" i="86" s="1"/>
  <c r="AL6" i="86" s="1"/>
  <c r="AJ8" i="86"/>
  <c r="AK8" i="86" s="1"/>
  <c r="AL8" i="86" s="1"/>
  <c r="AJ10" i="86"/>
  <c r="AK10" i="86" s="1"/>
  <c r="AL10" i="86" s="1"/>
  <c r="AJ12" i="86"/>
  <c r="AK12" i="86" s="1"/>
  <c r="AL12" i="86" s="1"/>
  <c r="AJ14" i="86"/>
  <c r="AK14" i="86" s="1"/>
  <c r="AL14" i="86" s="1"/>
  <c r="AJ16" i="86"/>
  <c r="AK16" i="86" s="1"/>
  <c r="AL16" i="86" s="1"/>
  <c r="AJ18" i="86"/>
  <c r="AK18" i="86" s="1"/>
  <c r="AL18" i="86" s="1"/>
  <c r="AJ20" i="86"/>
  <c r="AK20" i="86" s="1"/>
  <c r="AL20" i="86" s="1"/>
  <c r="AJ22" i="86"/>
  <c r="AK22" i="86" s="1"/>
  <c r="AL22" i="86" s="1"/>
  <c r="AJ24" i="86"/>
  <c r="AK24" i="86" s="1"/>
  <c r="AL24" i="86" s="1"/>
  <c r="AJ7" i="86"/>
  <c r="AK7" i="86" s="1"/>
  <c r="AL7" i="86" s="1"/>
  <c r="AJ11" i="86"/>
  <c r="AK11" i="86" s="1"/>
  <c r="AL11" i="86" s="1"/>
  <c r="AJ15" i="86"/>
  <c r="AK15" i="86" s="1"/>
  <c r="AL15" i="86" s="1"/>
  <c r="AJ19" i="86"/>
  <c r="AK19" i="86" s="1"/>
  <c r="AL19" i="86" s="1"/>
  <c r="AJ23" i="86"/>
  <c r="AK23" i="86" s="1"/>
  <c r="AL23" i="86" s="1"/>
  <c r="AJ13" i="85"/>
  <c r="AK13" i="85" s="1"/>
  <c r="AJ16" i="85"/>
  <c r="AK16" i="85" s="1"/>
  <c r="AJ21" i="85"/>
  <c r="AK21" i="85" s="1"/>
  <c r="AL21" i="85" s="1"/>
  <c r="AJ18" i="85"/>
  <c r="AK18" i="85" s="1"/>
  <c r="AL18" i="85" s="1"/>
  <c r="AJ19" i="85"/>
  <c r="AK19" i="85" s="1"/>
  <c r="AL19" i="85" s="1"/>
  <c r="AJ23" i="85"/>
  <c r="AK23" i="85" s="1"/>
  <c r="AL23" i="85" s="1"/>
  <c r="AJ12" i="84"/>
  <c r="AK12" i="84" s="1"/>
  <c r="AJ18" i="84"/>
  <c r="AK18" i="84" s="1"/>
  <c r="AL18" i="84" s="1"/>
  <c r="AJ20" i="84"/>
  <c r="AK20" i="84" s="1"/>
  <c r="AL20" i="84" s="1"/>
  <c r="AJ22" i="84"/>
  <c r="AK22" i="84" s="1"/>
  <c r="AL22" i="84" s="1"/>
  <c r="AJ24" i="84"/>
  <c r="AK24" i="84" s="1"/>
  <c r="AL24" i="84" s="1"/>
  <c r="AJ14" i="84"/>
  <c r="AK14" i="84" s="1"/>
  <c r="AL14" i="84" s="1"/>
  <c r="AJ19" i="84"/>
  <c r="AK19" i="84" s="1"/>
  <c r="AL19" i="84" s="1"/>
  <c r="AJ23" i="84"/>
  <c r="AK23" i="84" s="1"/>
  <c r="AL23" i="84" s="1"/>
  <c r="AJ14" i="83"/>
  <c r="AK14" i="83" s="1"/>
  <c r="AJ18" i="83"/>
  <c r="AK18" i="83" s="1"/>
  <c r="AL18" i="83" s="1"/>
  <c r="AJ21" i="83"/>
  <c r="AK21" i="83" s="1"/>
  <c r="AL21" i="83" s="1"/>
  <c r="AJ22" i="83"/>
  <c r="AK22" i="83" s="1"/>
  <c r="AL22" i="83" s="1"/>
  <c r="AJ19" i="83"/>
  <c r="AK19" i="83" s="1"/>
  <c r="AL19" i="83" s="1"/>
  <c r="AJ23" i="83"/>
  <c r="AK23" i="83" s="1"/>
  <c r="AL23" i="83" s="1"/>
  <c r="AJ24" i="83"/>
  <c r="AK24" i="83" s="1"/>
  <c r="AL24" i="83" s="1"/>
  <c r="AJ19" i="82"/>
  <c r="AK19" i="82" s="1"/>
  <c r="AL19" i="82" s="1"/>
  <c r="AJ23" i="82"/>
  <c r="AK23" i="82" s="1"/>
  <c r="AL23" i="82" s="1"/>
  <c r="AJ13" i="82"/>
  <c r="AK13" i="82" s="1"/>
  <c r="AJ12" i="82"/>
  <c r="AK12" i="82" s="1"/>
  <c r="AJ16" i="82"/>
  <c r="AK16" i="82" s="1"/>
  <c r="AJ17" i="82"/>
  <c r="AK17" i="82" s="1"/>
  <c r="AL17" i="82" s="1"/>
  <c r="AJ18" i="82"/>
  <c r="AK18" i="82" s="1"/>
  <c r="AL18" i="82" s="1"/>
  <c r="AJ21" i="82"/>
  <c r="AK21" i="82" s="1"/>
  <c r="AL21" i="82" s="1"/>
  <c r="Y22" i="81"/>
  <c r="T23" i="81"/>
  <c r="H23" i="81"/>
  <c r="Q23" i="81"/>
  <c r="E23" i="81"/>
  <c r="Y23" i="81"/>
  <c r="AJ14" i="80"/>
  <c r="AK14" i="80" s="1"/>
  <c r="AJ16" i="80"/>
  <c r="AK16" i="80" s="1"/>
  <c r="AL16" i="80" s="1"/>
  <c r="AJ18" i="80"/>
  <c r="AK18" i="80" s="1"/>
  <c r="AL18" i="80" s="1"/>
  <c r="AJ20" i="80"/>
  <c r="AK20" i="80" s="1"/>
  <c r="AL20" i="80" s="1"/>
  <c r="AJ21" i="80"/>
  <c r="AK21" i="80" s="1"/>
  <c r="AL21" i="80" s="1"/>
  <c r="AJ10" i="80"/>
  <c r="AK10" i="80" s="1"/>
  <c r="AJ8" i="80"/>
  <c r="AK8" i="80" s="1"/>
  <c r="AJ20" i="79"/>
  <c r="AK20" i="79" s="1"/>
  <c r="AL20" i="79" s="1"/>
  <c r="AJ19" i="79"/>
  <c r="AK19" i="79" s="1"/>
  <c r="AJ22" i="78"/>
  <c r="AK22" i="78" s="1"/>
  <c r="AL22" i="78" s="1"/>
  <c r="AJ10" i="78"/>
  <c r="AK10" i="78" s="1"/>
  <c r="AJ20" i="78"/>
  <c r="AK20" i="78" s="1"/>
  <c r="AJ23" i="78"/>
  <c r="AK23" i="78" s="1"/>
  <c r="AL23" i="78" s="1"/>
  <c r="AJ21" i="78"/>
  <c r="AK21" i="78" s="1"/>
  <c r="AL21" i="78" s="1"/>
  <c r="Y12" i="81"/>
  <c r="W23" i="81"/>
  <c r="V23" i="81"/>
  <c r="K23" i="81"/>
  <c r="J23" i="81"/>
  <c r="Y9" i="81"/>
  <c r="H22" i="81"/>
  <c r="G22" i="81"/>
  <c r="Y17" i="81"/>
  <c r="AA23" i="81"/>
  <c r="AB23" i="81" s="1"/>
  <c r="AC23" i="81" s="1"/>
  <c r="AJ5" i="80"/>
  <c r="AK5" i="80" s="1"/>
  <c r="AJ15" i="80"/>
  <c r="AK15" i="80" s="1"/>
  <c r="AL15" i="80" s="1"/>
  <c r="AJ19" i="80"/>
  <c r="AK19" i="80" s="1"/>
  <c r="AL19" i="80" s="1"/>
  <c r="AJ7" i="80"/>
  <c r="AK7" i="80" s="1"/>
  <c r="AJ12" i="80"/>
  <c r="AK12" i="80" s="1"/>
  <c r="AJ23" i="80"/>
  <c r="AK23" i="80" s="1"/>
  <c r="AL23" i="80" s="1"/>
  <c r="AJ13" i="80"/>
  <c r="AK13" i="80" s="1"/>
  <c r="AJ17" i="80"/>
  <c r="AK17" i="80" s="1"/>
  <c r="AL17" i="80" s="1"/>
  <c r="AJ22" i="80"/>
  <c r="AK22" i="80" s="1"/>
  <c r="AL22" i="80" s="1"/>
  <c r="AJ24" i="80"/>
  <c r="AK24" i="80" s="1"/>
  <c r="AL24" i="80" s="1"/>
  <c r="AJ9" i="79"/>
  <c r="AK9" i="79" s="1"/>
  <c r="AJ21" i="79"/>
  <c r="AK21" i="79" s="1"/>
  <c r="AJ23" i="79"/>
  <c r="AK23" i="79" s="1"/>
  <c r="AJ17" i="79"/>
  <c r="AK17" i="79" s="1"/>
  <c r="AL17" i="79" s="1"/>
  <c r="AJ24" i="79"/>
  <c r="AK24" i="79" s="1"/>
  <c r="AL24" i="79" s="1"/>
  <c r="AJ17" i="78"/>
  <c r="AK17" i="78" s="1"/>
  <c r="AL17" i="78" s="1"/>
  <c r="AJ21" i="77"/>
  <c r="AK21" i="77" s="1"/>
  <c r="AJ19" i="77"/>
  <c r="AK19" i="77" s="1"/>
  <c r="V24" i="76"/>
  <c r="J24" i="76"/>
  <c r="Y24" i="76"/>
  <c r="V21" i="76"/>
  <c r="P20" i="76"/>
  <c r="P24" i="76"/>
  <c r="M24" i="76"/>
  <c r="D24" i="76"/>
  <c r="E20" i="76"/>
  <c r="H19" i="76"/>
  <c r="N20" i="76"/>
  <c r="Z20" i="76"/>
  <c r="H22" i="76"/>
  <c r="P22" i="76"/>
  <c r="H23" i="76"/>
  <c r="AA22" i="76"/>
  <c r="AB22" i="76" s="1"/>
  <c r="AC22" i="76" s="1"/>
  <c r="Q23" i="76"/>
  <c r="E19" i="76"/>
  <c r="J20" i="76"/>
  <c r="V20" i="76"/>
  <c r="D22" i="76"/>
  <c r="T22" i="76"/>
  <c r="E23" i="76"/>
  <c r="Y23" i="76"/>
  <c r="W23" i="76"/>
  <c r="V23" i="76"/>
  <c r="W19" i="76"/>
  <c r="V19" i="76"/>
  <c r="Q21" i="76"/>
  <c r="P21" i="76"/>
  <c r="N22" i="76"/>
  <c r="M22" i="76"/>
  <c r="K23" i="76"/>
  <c r="J23" i="76"/>
  <c r="Y16" i="76"/>
  <c r="K19" i="76"/>
  <c r="J19" i="76"/>
  <c r="H20" i="76"/>
  <c r="G20" i="76"/>
  <c r="T20" i="76"/>
  <c r="S20" i="76"/>
  <c r="H17" i="76"/>
  <c r="G17" i="76"/>
  <c r="E21" i="76"/>
  <c r="D21" i="76"/>
  <c r="AA21" i="76"/>
  <c r="AB21" i="76" s="1"/>
  <c r="AC21" i="76" s="1"/>
  <c r="Z22" i="76"/>
  <c r="Y22" i="76"/>
  <c r="H24" i="76"/>
  <c r="G24" i="76"/>
  <c r="T24" i="76"/>
  <c r="S24" i="76"/>
  <c r="AA20" i="76"/>
  <c r="AB20" i="76" s="1"/>
  <c r="AC20" i="76" s="1"/>
  <c r="E22" i="76"/>
  <c r="S19" i="76"/>
  <c r="AA19" i="76"/>
  <c r="AB19" i="76" s="1"/>
  <c r="AC19" i="76" s="1"/>
  <c r="M21" i="76"/>
  <c r="Y21" i="76"/>
  <c r="J22" i="76"/>
  <c r="V22" i="76"/>
  <c r="AA23" i="76"/>
  <c r="AB23" i="76" s="1"/>
  <c r="AC23" i="76" s="1"/>
  <c r="AJ15" i="75"/>
  <c r="AK15" i="75" s="1"/>
  <c r="AL15" i="75" s="1"/>
  <c r="AJ19" i="75"/>
  <c r="AK19" i="75" s="1"/>
  <c r="AL19" i="75" s="1"/>
  <c r="AJ24" i="75"/>
  <c r="AK24" i="75" s="1"/>
  <c r="AL24" i="75" s="1"/>
  <c r="AJ17" i="74"/>
  <c r="AK17" i="74" s="1"/>
  <c r="AL17" i="74" s="1"/>
  <c r="AJ21" i="74"/>
  <c r="AK21" i="74" s="1"/>
  <c r="AL21" i="74" s="1"/>
  <c r="AJ21" i="73"/>
  <c r="AK21" i="73" s="1"/>
  <c r="AL21" i="73" s="1"/>
  <c r="AJ17" i="73"/>
  <c r="AK17" i="73" s="1"/>
  <c r="AL17" i="73" s="1"/>
  <c r="AJ20" i="73"/>
  <c r="AK20" i="73" s="1"/>
  <c r="AL20" i="73" s="1"/>
  <c r="AJ14" i="72"/>
  <c r="AK14" i="72" s="1"/>
  <c r="AL14" i="72" s="1"/>
  <c r="W5" i="71"/>
  <c r="S9" i="71"/>
  <c r="AJ21" i="71"/>
  <c r="AK21" i="71" s="1"/>
  <c r="AL21" i="71" s="1"/>
  <c r="G5" i="71"/>
  <c r="AJ14" i="75"/>
  <c r="AK14" i="75" s="1"/>
  <c r="AJ17" i="75"/>
  <c r="AK17" i="75" s="1"/>
  <c r="AL17" i="75" s="1"/>
  <c r="AJ21" i="75"/>
  <c r="AK21" i="75" s="1"/>
  <c r="AL21" i="75" s="1"/>
  <c r="AJ13" i="75"/>
  <c r="AK13" i="75" s="1"/>
  <c r="AL13" i="75" s="1"/>
  <c r="AJ16" i="75"/>
  <c r="AK16" i="75" s="1"/>
  <c r="AL16" i="75" s="1"/>
  <c r="AJ18" i="75"/>
  <c r="AK18" i="75" s="1"/>
  <c r="AL18" i="75" s="1"/>
  <c r="AJ20" i="75"/>
  <c r="AK20" i="75" s="1"/>
  <c r="AL20" i="75" s="1"/>
  <c r="AJ22" i="75"/>
  <c r="AK22" i="75" s="1"/>
  <c r="AL22" i="75" s="1"/>
  <c r="AJ23" i="75"/>
  <c r="AK23" i="75" s="1"/>
  <c r="AL23" i="75" s="1"/>
  <c r="AJ7" i="74"/>
  <c r="AK7" i="74" s="1"/>
  <c r="AJ11" i="74"/>
  <c r="AK11" i="74" s="1"/>
  <c r="AL11" i="74" s="1"/>
  <c r="AJ16" i="74"/>
  <c r="AK16" i="74" s="1"/>
  <c r="AL16" i="74" s="1"/>
  <c r="AJ18" i="74"/>
  <c r="AK18" i="74" s="1"/>
  <c r="AL18" i="74" s="1"/>
  <c r="AJ20" i="74"/>
  <c r="AK20" i="74" s="1"/>
  <c r="AL20" i="74" s="1"/>
  <c r="AJ22" i="74"/>
  <c r="AK22" i="74" s="1"/>
  <c r="AL22" i="74" s="1"/>
  <c r="AJ24" i="74"/>
  <c r="AK24" i="74" s="1"/>
  <c r="AL24" i="74" s="1"/>
  <c r="AJ15" i="74"/>
  <c r="AK15" i="74" s="1"/>
  <c r="AL15" i="74" s="1"/>
  <c r="AJ19" i="74"/>
  <c r="AK19" i="74" s="1"/>
  <c r="AL19" i="74" s="1"/>
  <c r="AJ23" i="74"/>
  <c r="AK23" i="74" s="1"/>
  <c r="AL23" i="74" s="1"/>
  <c r="AJ19" i="73"/>
  <c r="AK19" i="73" s="1"/>
  <c r="AL19" i="73" s="1"/>
  <c r="AJ22" i="73"/>
  <c r="AK22" i="73" s="1"/>
  <c r="AL22" i="73" s="1"/>
  <c r="AJ23" i="73"/>
  <c r="AK23" i="73" s="1"/>
  <c r="AL23" i="73" s="1"/>
  <c r="AJ16" i="73"/>
  <c r="AK16" i="73" s="1"/>
  <c r="AJ18" i="73"/>
  <c r="AK18" i="73" s="1"/>
  <c r="AL18" i="73" s="1"/>
  <c r="AJ24" i="73"/>
  <c r="AK24" i="73" s="1"/>
  <c r="AL24" i="73" s="1"/>
  <c r="AJ21" i="72"/>
  <c r="AK21" i="72" s="1"/>
  <c r="AL21" i="72" s="1"/>
  <c r="AJ17" i="72"/>
  <c r="AK17" i="72" s="1"/>
  <c r="AJ19" i="72"/>
  <c r="AK19" i="72" s="1"/>
  <c r="AL19" i="72" s="1"/>
  <c r="AJ23" i="72"/>
  <c r="AK23" i="72" s="1"/>
  <c r="AL23" i="72" s="1"/>
  <c r="AJ18" i="72"/>
  <c r="AK18" i="72" s="1"/>
  <c r="AL18" i="72" s="1"/>
  <c r="AJ20" i="72"/>
  <c r="AK20" i="72" s="1"/>
  <c r="AL20" i="72" s="1"/>
  <c r="AJ22" i="72"/>
  <c r="AK22" i="72" s="1"/>
  <c r="AL22" i="72" s="1"/>
  <c r="AJ24" i="72"/>
  <c r="AK24" i="72" s="1"/>
  <c r="AL24" i="72" s="1"/>
  <c r="AJ19" i="71"/>
  <c r="AK19" i="71" s="1"/>
  <c r="AL19" i="71" s="1"/>
  <c r="AJ20" i="71"/>
  <c r="AK20" i="71" s="1"/>
  <c r="AL20" i="71" s="1"/>
  <c r="AJ22" i="71"/>
  <c r="AK22" i="71" s="1"/>
  <c r="AL22" i="71" s="1"/>
  <c r="AJ24" i="71"/>
  <c r="AK24" i="71" s="1"/>
  <c r="AL24" i="71" s="1"/>
  <c r="AJ15" i="71"/>
  <c r="AK15" i="71" s="1"/>
  <c r="AJ23" i="71"/>
  <c r="AK23" i="71" s="1"/>
  <c r="AL23" i="71" s="1"/>
  <c r="P24" i="70"/>
  <c r="M24" i="70"/>
  <c r="J24" i="70"/>
  <c r="E24" i="70"/>
  <c r="D18" i="70"/>
  <c r="D19" i="70"/>
  <c r="P19" i="70"/>
  <c r="D20" i="70"/>
  <c r="J20" i="70"/>
  <c r="P20" i="70"/>
  <c r="V20" i="70"/>
  <c r="T22" i="70"/>
  <c r="D23" i="70"/>
  <c r="P23" i="70"/>
  <c r="E19" i="70"/>
  <c r="G21" i="70"/>
  <c r="N17" i="70"/>
  <c r="Z17" i="70"/>
  <c r="M19" i="70"/>
  <c r="Y19" i="70"/>
  <c r="N20" i="70"/>
  <c r="Z20" i="70"/>
  <c r="H22" i="70"/>
  <c r="P22" i="70"/>
  <c r="M23" i="70"/>
  <c r="Y23" i="70"/>
  <c r="AA16" i="70"/>
  <c r="AB16" i="70" s="1"/>
  <c r="N16" i="70"/>
  <c r="T16" i="70"/>
  <c r="S16" i="70"/>
  <c r="H20" i="70"/>
  <c r="G20" i="70"/>
  <c r="T20" i="70"/>
  <c r="S20" i="70"/>
  <c r="K23" i="70"/>
  <c r="J23" i="70"/>
  <c r="W23" i="70"/>
  <c r="V23" i="70"/>
  <c r="AA24" i="70"/>
  <c r="AB24" i="70" s="1"/>
  <c r="AC24" i="70" s="1"/>
  <c r="K19" i="70"/>
  <c r="J19" i="70"/>
  <c r="W19" i="70"/>
  <c r="V19" i="70"/>
  <c r="AA20" i="70"/>
  <c r="AB20" i="70" s="1"/>
  <c r="AC20" i="70" s="1"/>
  <c r="E21" i="70"/>
  <c r="D21" i="70"/>
  <c r="AA21" i="70"/>
  <c r="AB21" i="70" s="1"/>
  <c r="AC21" i="70" s="1"/>
  <c r="Z22" i="70"/>
  <c r="Y22" i="70"/>
  <c r="H14" i="70"/>
  <c r="E17" i="70"/>
  <c r="D17" i="70"/>
  <c r="Q17" i="70"/>
  <c r="P17" i="70"/>
  <c r="AA17" i="70"/>
  <c r="AB17" i="70" s="1"/>
  <c r="N18" i="70"/>
  <c r="M18" i="70"/>
  <c r="Z18" i="70"/>
  <c r="Y18" i="70"/>
  <c r="AA22" i="70"/>
  <c r="AB22" i="70" s="1"/>
  <c r="AC22" i="70" s="1"/>
  <c r="G7" i="70"/>
  <c r="H13" i="70"/>
  <c r="H16" i="70"/>
  <c r="G16" i="70"/>
  <c r="Q18" i="70"/>
  <c r="Q21" i="70"/>
  <c r="P21" i="70"/>
  <c r="N22" i="70"/>
  <c r="M22" i="70"/>
  <c r="AA23" i="70"/>
  <c r="AB23" i="70" s="1"/>
  <c r="AC23" i="70" s="1"/>
  <c r="H24" i="70"/>
  <c r="G24" i="70"/>
  <c r="T24" i="70"/>
  <c r="S24" i="70"/>
  <c r="E18" i="70"/>
  <c r="E22" i="70"/>
  <c r="M21" i="70"/>
  <c r="Y21" i="70"/>
  <c r="J22" i="70"/>
  <c r="V22" i="70"/>
  <c r="G13" i="57"/>
  <c r="G18" i="57"/>
  <c r="AI15" i="56"/>
  <c r="AD15" i="56"/>
  <c r="AC15" i="56"/>
  <c r="Z15" i="56"/>
  <c r="Y15" i="56"/>
  <c r="V15" i="56"/>
  <c r="U15" i="56"/>
  <c r="R15" i="56"/>
  <c r="S15" i="56" s="1"/>
  <c r="Q15" i="56"/>
  <c r="N15" i="56"/>
  <c r="M15" i="56"/>
  <c r="F15" i="56"/>
  <c r="G15" i="56" s="1"/>
  <c r="E15" i="56"/>
  <c r="AI26" i="56"/>
  <c r="AD26" i="56"/>
  <c r="AE26" i="56" s="1"/>
  <c r="AC26" i="56"/>
  <c r="Z26" i="56"/>
  <c r="AA26" i="56" s="1"/>
  <c r="Y26" i="56"/>
  <c r="V26" i="56"/>
  <c r="W26" i="56" s="1"/>
  <c r="U26" i="56"/>
  <c r="R26" i="56"/>
  <c r="S26" i="56" s="1"/>
  <c r="Q26" i="56"/>
  <c r="N26" i="56"/>
  <c r="O26" i="56" s="1"/>
  <c r="M26" i="56"/>
  <c r="F26" i="56"/>
  <c r="G26" i="56" s="1"/>
  <c r="E26" i="56"/>
  <c r="AD21" i="56"/>
  <c r="AC21" i="56"/>
  <c r="Z21" i="56"/>
  <c r="Y21" i="56"/>
  <c r="V21" i="56"/>
  <c r="W21" i="56" s="1"/>
  <c r="U21" i="56"/>
  <c r="R21" i="56"/>
  <c r="S21" i="56" s="1"/>
  <c r="Q21" i="56"/>
  <c r="N21" i="56"/>
  <c r="O21" i="56" s="1"/>
  <c r="M21" i="56"/>
  <c r="F21" i="56"/>
  <c r="G21" i="56" s="1"/>
  <c r="E21" i="56"/>
  <c r="AD16" i="56"/>
  <c r="AC16" i="56"/>
  <c r="Z16" i="56"/>
  <c r="Y16" i="56"/>
  <c r="V16" i="56"/>
  <c r="W16" i="56" s="1"/>
  <c r="U16" i="56"/>
  <c r="R16" i="56"/>
  <c r="S16" i="56" s="1"/>
  <c r="Q16" i="56"/>
  <c r="N16" i="56"/>
  <c r="O16" i="56" s="1"/>
  <c r="M16" i="56"/>
  <c r="F16" i="56"/>
  <c r="G16" i="56" s="1"/>
  <c r="E16" i="56"/>
  <c r="AD25" i="56"/>
  <c r="AC25" i="56"/>
  <c r="Z25" i="56"/>
  <c r="Y25" i="56"/>
  <c r="V25" i="56"/>
  <c r="W25" i="56" s="1"/>
  <c r="U25" i="56"/>
  <c r="R25" i="56"/>
  <c r="Q25" i="56"/>
  <c r="N25" i="56"/>
  <c r="O25" i="56" s="1"/>
  <c r="M25" i="56"/>
  <c r="F25" i="56"/>
  <c r="E25" i="56"/>
  <c r="AI14" i="56"/>
  <c r="X13" i="57" s="1"/>
  <c r="AD14" i="56"/>
  <c r="AE14" i="56" s="1"/>
  <c r="AC14" i="56"/>
  <c r="Z14" i="56"/>
  <c r="Y14" i="56"/>
  <c r="V14" i="56"/>
  <c r="U14" i="56"/>
  <c r="R14" i="56"/>
  <c r="S14" i="56" s="1"/>
  <c r="Q14" i="56"/>
  <c r="N14" i="56"/>
  <c r="O14" i="56" s="1"/>
  <c r="M14" i="56"/>
  <c r="F14" i="56"/>
  <c r="E14" i="56"/>
  <c r="AD24" i="56"/>
  <c r="AE24" i="56" s="1"/>
  <c r="AC24" i="56"/>
  <c r="Z24" i="56"/>
  <c r="Y24" i="56"/>
  <c r="V24" i="56"/>
  <c r="U24" i="56"/>
  <c r="R24" i="56"/>
  <c r="Q24" i="56"/>
  <c r="N24" i="56"/>
  <c r="O24" i="56" s="1"/>
  <c r="M24" i="56"/>
  <c r="F24" i="56"/>
  <c r="E24" i="56"/>
  <c r="AI19" i="56"/>
  <c r="AD19" i="56"/>
  <c r="AC19" i="56"/>
  <c r="Z19" i="56"/>
  <c r="AA19" i="56" s="1"/>
  <c r="Y19" i="56"/>
  <c r="V19" i="56"/>
  <c r="W19" i="56" s="1"/>
  <c r="U19" i="56"/>
  <c r="R19" i="56"/>
  <c r="S19" i="56" s="1"/>
  <c r="Q19" i="56"/>
  <c r="N19" i="56"/>
  <c r="O19" i="56" s="1"/>
  <c r="M19" i="56"/>
  <c r="F19" i="56"/>
  <c r="G19" i="56" s="1"/>
  <c r="E19" i="56"/>
  <c r="AI7" i="56"/>
  <c r="AD7" i="56"/>
  <c r="AC7" i="56"/>
  <c r="Z7" i="56"/>
  <c r="Y7" i="56"/>
  <c r="V7" i="56"/>
  <c r="U7" i="56"/>
  <c r="R7" i="56"/>
  <c r="S7" i="56" s="1"/>
  <c r="Q7" i="56"/>
  <c r="N7" i="56"/>
  <c r="M7" i="56"/>
  <c r="F7" i="56"/>
  <c r="E7" i="56"/>
  <c r="AI11" i="56"/>
  <c r="AD11" i="56"/>
  <c r="AC11" i="56"/>
  <c r="Z11" i="56"/>
  <c r="Y11" i="56"/>
  <c r="V11" i="56"/>
  <c r="W11" i="56" s="1"/>
  <c r="U11" i="56"/>
  <c r="R11" i="56"/>
  <c r="Q11" i="56"/>
  <c r="N11" i="56"/>
  <c r="M11" i="56"/>
  <c r="F11" i="56"/>
  <c r="G11" i="56" s="1"/>
  <c r="E11" i="56"/>
  <c r="AI12" i="56"/>
  <c r="AD12" i="56"/>
  <c r="AE12" i="56" s="1"/>
  <c r="AC12" i="56"/>
  <c r="Z12" i="56"/>
  <c r="AA12" i="56" s="1"/>
  <c r="Y12" i="56"/>
  <c r="V12" i="56"/>
  <c r="U12" i="56"/>
  <c r="R12" i="56"/>
  <c r="S12" i="56" s="1"/>
  <c r="Q12" i="56"/>
  <c r="N12" i="56"/>
  <c r="O12" i="56" s="1"/>
  <c r="M12" i="56"/>
  <c r="F12" i="56"/>
  <c r="E12" i="56"/>
  <c r="AD9" i="56"/>
  <c r="AC9" i="56"/>
  <c r="Z9" i="56"/>
  <c r="Y9" i="56"/>
  <c r="V9" i="56"/>
  <c r="U9" i="56"/>
  <c r="R9" i="56"/>
  <c r="Q9" i="56"/>
  <c r="N9" i="56"/>
  <c r="M9" i="56"/>
  <c r="F9" i="56"/>
  <c r="E9" i="56"/>
  <c r="AI8" i="56"/>
  <c r="AD8" i="56"/>
  <c r="AE8" i="56" s="1"/>
  <c r="AC8" i="56"/>
  <c r="Z8" i="56"/>
  <c r="Y8" i="56"/>
  <c r="V8" i="56"/>
  <c r="U8" i="56"/>
  <c r="R8" i="56"/>
  <c r="Q8" i="56"/>
  <c r="N8" i="56"/>
  <c r="M8" i="56"/>
  <c r="F8" i="56"/>
  <c r="E8" i="56"/>
  <c r="AD22" i="56"/>
  <c r="AC22" i="56"/>
  <c r="Z22" i="56"/>
  <c r="AA22" i="56" s="1"/>
  <c r="Y22" i="56"/>
  <c r="V22" i="56"/>
  <c r="U22" i="56"/>
  <c r="R22" i="56"/>
  <c r="Q22" i="56"/>
  <c r="N22" i="56"/>
  <c r="M22" i="56"/>
  <c r="F22" i="56"/>
  <c r="E22" i="56"/>
  <c r="AD17" i="56"/>
  <c r="AC17" i="56"/>
  <c r="Z17" i="56"/>
  <c r="Y17" i="56"/>
  <c r="V17" i="56"/>
  <c r="W17" i="56" s="1"/>
  <c r="U17" i="56"/>
  <c r="R17" i="56"/>
  <c r="Q17" i="56"/>
  <c r="N17" i="56"/>
  <c r="O17" i="56" s="1"/>
  <c r="M17" i="56"/>
  <c r="F17" i="56"/>
  <c r="G17" i="56" s="1"/>
  <c r="E17" i="56"/>
  <c r="AI18" i="56"/>
  <c r="AD18" i="56"/>
  <c r="AC18" i="56"/>
  <c r="Z18" i="56"/>
  <c r="Y18" i="56"/>
  <c r="V18" i="56"/>
  <c r="U18" i="56"/>
  <c r="R18" i="56"/>
  <c r="S18" i="56" s="1"/>
  <c r="Q18" i="56"/>
  <c r="N18" i="56"/>
  <c r="O18" i="56" s="1"/>
  <c r="M18" i="56"/>
  <c r="F18" i="56"/>
  <c r="E18" i="56"/>
  <c r="AD5" i="56"/>
  <c r="AC5" i="56"/>
  <c r="Z5" i="56"/>
  <c r="Y5" i="56"/>
  <c r="V5" i="56"/>
  <c r="U5" i="56"/>
  <c r="R5" i="56"/>
  <c r="Q5" i="56"/>
  <c r="N5" i="56"/>
  <c r="M5" i="56"/>
  <c r="J5" i="56"/>
  <c r="I5" i="56"/>
  <c r="F5" i="56"/>
  <c r="E5" i="56"/>
  <c r="AI6" i="56"/>
  <c r="AD6" i="56"/>
  <c r="AC6" i="56"/>
  <c r="Z6" i="56"/>
  <c r="Y6" i="56"/>
  <c r="V6" i="56"/>
  <c r="U6" i="56"/>
  <c r="R6" i="56"/>
  <c r="Q6" i="56"/>
  <c r="N6" i="56"/>
  <c r="M6" i="56"/>
  <c r="F6" i="56"/>
  <c r="G6" i="56" s="1"/>
  <c r="E6" i="56"/>
  <c r="AI15" i="55"/>
  <c r="AD15" i="55"/>
  <c r="AE15" i="55" s="1"/>
  <c r="AC15" i="55"/>
  <c r="Z15" i="55"/>
  <c r="AA15" i="55" s="1"/>
  <c r="Y15" i="55"/>
  <c r="V15" i="55"/>
  <c r="W15" i="55" s="1"/>
  <c r="U15" i="55"/>
  <c r="R15" i="55"/>
  <c r="S15" i="55" s="1"/>
  <c r="Q15" i="55"/>
  <c r="N15" i="55"/>
  <c r="O15" i="55" s="1"/>
  <c r="M15" i="55"/>
  <c r="F15" i="55"/>
  <c r="G15" i="55" s="1"/>
  <c r="E15" i="55"/>
  <c r="AI24" i="55"/>
  <c r="AD24" i="55"/>
  <c r="AC24" i="55"/>
  <c r="Z24" i="55"/>
  <c r="Y24" i="55"/>
  <c r="V24" i="55"/>
  <c r="W24" i="55" s="1"/>
  <c r="U24" i="55"/>
  <c r="R24" i="55"/>
  <c r="Q24" i="55"/>
  <c r="N24" i="55"/>
  <c r="O24" i="55" s="1"/>
  <c r="M24" i="55"/>
  <c r="F24" i="55"/>
  <c r="G24" i="55" s="1"/>
  <c r="E24" i="55"/>
  <c r="AD22" i="55"/>
  <c r="AC22" i="55"/>
  <c r="Z22" i="55"/>
  <c r="AA22" i="55" s="1"/>
  <c r="Y22" i="55"/>
  <c r="V22" i="55"/>
  <c r="W22" i="55" s="1"/>
  <c r="U22" i="55"/>
  <c r="R22" i="55"/>
  <c r="S22" i="55" s="1"/>
  <c r="Q22" i="55"/>
  <c r="N22" i="55"/>
  <c r="O22" i="55" s="1"/>
  <c r="M22" i="55"/>
  <c r="F22" i="55"/>
  <c r="G22" i="55" s="1"/>
  <c r="E22" i="55"/>
  <c r="AD23" i="55"/>
  <c r="AC23" i="55"/>
  <c r="Z23" i="55"/>
  <c r="Y23" i="55"/>
  <c r="V23" i="55"/>
  <c r="W23" i="55" s="1"/>
  <c r="U23" i="55"/>
  <c r="R23" i="55"/>
  <c r="Q23" i="55"/>
  <c r="N23" i="55"/>
  <c r="O23" i="55" s="1"/>
  <c r="M23" i="55"/>
  <c r="F23" i="55"/>
  <c r="E23" i="55"/>
  <c r="AD11" i="55"/>
  <c r="AC11" i="55"/>
  <c r="Z11" i="55"/>
  <c r="AA11" i="55" s="1"/>
  <c r="Y11" i="55"/>
  <c r="V11" i="55"/>
  <c r="W11" i="55" s="1"/>
  <c r="U11" i="55"/>
  <c r="R11" i="55"/>
  <c r="Q11" i="55"/>
  <c r="N11" i="55"/>
  <c r="M11" i="55"/>
  <c r="F11" i="55"/>
  <c r="E11" i="55"/>
  <c r="AI8" i="55"/>
  <c r="AD8" i="55"/>
  <c r="AE8" i="55" s="1"/>
  <c r="AC8" i="55"/>
  <c r="Z8" i="55"/>
  <c r="AA8" i="55" s="1"/>
  <c r="Y8" i="55"/>
  <c r="V8" i="55"/>
  <c r="U8" i="55"/>
  <c r="R8" i="55"/>
  <c r="Q8" i="55"/>
  <c r="N8" i="55"/>
  <c r="M8" i="55"/>
  <c r="F8" i="55"/>
  <c r="E8" i="55"/>
  <c r="AI14" i="55"/>
  <c r="X23" i="57" s="1"/>
  <c r="AD14" i="55"/>
  <c r="AE14" i="55" s="1"/>
  <c r="AC14" i="55"/>
  <c r="Z14" i="55"/>
  <c r="AA14" i="55" s="1"/>
  <c r="Y14" i="55"/>
  <c r="V14" i="55"/>
  <c r="W14" i="55" s="1"/>
  <c r="U14" i="55"/>
  <c r="R14" i="55"/>
  <c r="S14" i="55" s="1"/>
  <c r="Q14" i="55"/>
  <c r="N14" i="55"/>
  <c r="O14" i="55" s="1"/>
  <c r="M14" i="55"/>
  <c r="F14" i="55"/>
  <c r="G14" i="55" s="1"/>
  <c r="E14" i="55"/>
  <c r="AI19" i="55"/>
  <c r="AD19" i="55"/>
  <c r="AE19" i="55" s="1"/>
  <c r="AC19" i="55"/>
  <c r="Z19" i="55"/>
  <c r="AA19" i="55" s="1"/>
  <c r="Y19" i="55"/>
  <c r="V19" i="55"/>
  <c r="W19" i="55" s="1"/>
  <c r="U19" i="55"/>
  <c r="R19" i="55"/>
  <c r="S19" i="55" s="1"/>
  <c r="Q19" i="55"/>
  <c r="N19" i="55"/>
  <c r="O19" i="55" s="1"/>
  <c r="M19" i="55"/>
  <c r="F19" i="55"/>
  <c r="G19" i="55" s="1"/>
  <c r="E19" i="55"/>
  <c r="AI5" i="55"/>
  <c r="AD5" i="55"/>
  <c r="AC5" i="55"/>
  <c r="Z5" i="55"/>
  <c r="Y5" i="55"/>
  <c r="V5" i="55"/>
  <c r="U5" i="55"/>
  <c r="R5" i="55"/>
  <c r="Q5" i="55"/>
  <c r="N5" i="55"/>
  <c r="M5" i="55"/>
  <c r="F5" i="55"/>
  <c r="E5" i="55"/>
  <c r="AI17" i="55"/>
  <c r="AD17" i="55"/>
  <c r="AC17" i="55"/>
  <c r="Z17" i="55"/>
  <c r="AA17" i="55" s="1"/>
  <c r="Y17" i="55"/>
  <c r="V17" i="55"/>
  <c r="W17" i="55" s="1"/>
  <c r="U17" i="55"/>
  <c r="R17" i="55"/>
  <c r="S17" i="55" s="1"/>
  <c r="Q17" i="55"/>
  <c r="N17" i="55"/>
  <c r="O17" i="55" s="1"/>
  <c r="M17" i="55"/>
  <c r="F17" i="55"/>
  <c r="G17" i="55" s="1"/>
  <c r="E17" i="55"/>
  <c r="AI12" i="55"/>
  <c r="AD12" i="55"/>
  <c r="AE12" i="55" s="1"/>
  <c r="AC12" i="55"/>
  <c r="Z12" i="55"/>
  <c r="Y12" i="55"/>
  <c r="V12" i="55"/>
  <c r="U12" i="55"/>
  <c r="R12" i="55"/>
  <c r="S12" i="55" s="1"/>
  <c r="Q12" i="55"/>
  <c r="N12" i="55"/>
  <c r="M12" i="55"/>
  <c r="F12" i="55"/>
  <c r="G12" i="55" s="1"/>
  <c r="E12" i="55"/>
  <c r="AI26" i="55"/>
  <c r="AD26" i="55"/>
  <c r="AC26" i="55"/>
  <c r="Z26" i="55"/>
  <c r="Y26" i="55"/>
  <c r="V26" i="55"/>
  <c r="W26" i="55" s="1"/>
  <c r="U26" i="55"/>
  <c r="R26" i="55"/>
  <c r="Q26" i="55"/>
  <c r="N26" i="55"/>
  <c r="M26" i="55"/>
  <c r="F26" i="55"/>
  <c r="G26" i="55" s="1"/>
  <c r="E26" i="55"/>
  <c r="AI16" i="55"/>
  <c r="AD16" i="55"/>
  <c r="AE16" i="55" s="1"/>
  <c r="AC16" i="55"/>
  <c r="Z16" i="55"/>
  <c r="Y16" i="55"/>
  <c r="V16" i="55"/>
  <c r="W16" i="55" s="1"/>
  <c r="U16" i="55"/>
  <c r="R16" i="55"/>
  <c r="Q16" i="55"/>
  <c r="N16" i="55"/>
  <c r="O16" i="55" s="1"/>
  <c r="M16" i="55"/>
  <c r="F16" i="55"/>
  <c r="E16" i="55"/>
  <c r="AI25" i="55"/>
  <c r="AD25" i="55"/>
  <c r="AC25" i="55"/>
  <c r="Z25" i="55"/>
  <c r="AA25" i="55" s="1"/>
  <c r="Y25" i="55"/>
  <c r="V25" i="55"/>
  <c r="U25" i="55"/>
  <c r="R25" i="55"/>
  <c r="Q25" i="55"/>
  <c r="N25" i="55"/>
  <c r="M25" i="55"/>
  <c r="F25" i="55"/>
  <c r="G25" i="55" s="1"/>
  <c r="E25" i="55"/>
  <c r="AD13" i="55"/>
  <c r="AC13" i="55"/>
  <c r="Z13" i="55"/>
  <c r="Y13" i="55"/>
  <c r="V13" i="55"/>
  <c r="U13" i="55"/>
  <c r="R13" i="55"/>
  <c r="Q13" i="55"/>
  <c r="N13" i="55"/>
  <c r="M13" i="55"/>
  <c r="F13" i="55"/>
  <c r="E13" i="55"/>
  <c r="AI9" i="55"/>
  <c r="AD9" i="55"/>
  <c r="AC9" i="55"/>
  <c r="Z9" i="55"/>
  <c r="Y9" i="55"/>
  <c r="V9" i="55"/>
  <c r="U9" i="55"/>
  <c r="R9" i="55"/>
  <c r="Q9" i="55"/>
  <c r="N9" i="55"/>
  <c r="M9" i="55"/>
  <c r="F9" i="55"/>
  <c r="E9" i="55"/>
  <c r="AD18" i="55"/>
  <c r="AC18" i="55"/>
  <c r="Z18" i="55"/>
  <c r="AA18" i="55" s="1"/>
  <c r="Y18" i="55"/>
  <c r="V18" i="55"/>
  <c r="U18" i="55"/>
  <c r="R18" i="55"/>
  <c r="S18" i="55" s="1"/>
  <c r="Q18" i="55"/>
  <c r="N18" i="55"/>
  <c r="M18" i="55"/>
  <c r="F18" i="55"/>
  <c r="E18" i="55"/>
  <c r="AI6" i="55"/>
  <c r="AD6" i="55"/>
  <c r="AC6" i="55"/>
  <c r="Z6" i="55"/>
  <c r="Y6" i="55"/>
  <c r="V6" i="55"/>
  <c r="U6" i="55"/>
  <c r="R6" i="55"/>
  <c r="Q6" i="55"/>
  <c r="N6" i="55"/>
  <c r="M6" i="55"/>
  <c r="J6" i="55"/>
  <c r="I6" i="55"/>
  <c r="F6" i="55"/>
  <c r="E6" i="55"/>
  <c r="AI10" i="55"/>
  <c r="AD10" i="55"/>
  <c r="AC10" i="55"/>
  <c r="Z10" i="55"/>
  <c r="Y10" i="55"/>
  <c r="V10" i="55"/>
  <c r="U10" i="55"/>
  <c r="R10" i="55"/>
  <c r="Q10" i="55"/>
  <c r="N10" i="55"/>
  <c r="M10" i="55"/>
  <c r="F10" i="55"/>
  <c r="E10" i="55"/>
  <c r="AD28" i="54"/>
  <c r="AE28" i="54" s="1"/>
  <c r="AC28" i="54"/>
  <c r="Z28" i="54"/>
  <c r="AA28" i="54" s="1"/>
  <c r="Y28" i="54"/>
  <c r="V28" i="54"/>
  <c r="W28" i="54" s="1"/>
  <c r="U28" i="54"/>
  <c r="R28" i="54"/>
  <c r="Q28" i="54"/>
  <c r="N28" i="54"/>
  <c r="O28" i="54" s="1"/>
  <c r="M28" i="54"/>
  <c r="F28" i="54"/>
  <c r="G28" i="54" s="1"/>
  <c r="E28" i="54"/>
  <c r="AD16" i="54"/>
  <c r="AE16" i="54" s="1"/>
  <c r="AC16" i="54"/>
  <c r="Z16" i="54"/>
  <c r="AA16" i="54" s="1"/>
  <c r="Y16" i="54"/>
  <c r="V16" i="54"/>
  <c r="W16" i="54" s="1"/>
  <c r="U16" i="54"/>
  <c r="R16" i="54"/>
  <c r="Q16" i="54"/>
  <c r="N16" i="54"/>
  <c r="M16" i="54"/>
  <c r="F16" i="54"/>
  <c r="G16" i="54" s="1"/>
  <c r="E16" i="54"/>
  <c r="AD25" i="54"/>
  <c r="AE25" i="54" s="1"/>
  <c r="AC25" i="54"/>
  <c r="Z25" i="54"/>
  <c r="AA25" i="54" s="1"/>
  <c r="Y25" i="54"/>
  <c r="V25" i="54"/>
  <c r="U25" i="54"/>
  <c r="R25" i="54"/>
  <c r="S25" i="54" s="1"/>
  <c r="Q25" i="54"/>
  <c r="N25" i="54"/>
  <c r="M25" i="54"/>
  <c r="F25" i="54"/>
  <c r="G25" i="54" s="1"/>
  <c r="C26" i="57" s="1"/>
  <c r="E25" i="54"/>
  <c r="AD23" i="54"/>
  <c r="AE23" i="54" s="1"/>
  <c r="AC23" i="54"/>
  <c r="Z23" i="54"/>
  <c r="AA23" i="54" s="1"/>
  <c r="Y23" i="54"/>
  <c r="V23" i="54"/>
  <c r="W23" i="54" s="1"/>
  <c r="U23" i="54"/>
  <c r="R23" i="54"/>
  <c r="S23" i="54" s="1"/>
  <c r="Q23" i="54"/>
  <c r="N23" i="54"/>
  <c r="O23" i="54" s="1"/>
  <c r="M23" i="54"/>
  <c r="F23" i="54"/>
  <c r="E23" i="54"/>
  <c r="AD24" i="54"/>
  <c r="AE24" i="54" s="1"/>
  <c r="AC24" i="54"/>
  <c r="Z24" i="54"/>
  <c r="AA24" i="54" s="1"/>
  <c r="Y24" i="54"/>
  <c r="V24" i="54"/>
  <c r="W24" i="54" s="1"/>
  <c r="U24" i="54"/>
  <c r="R24" i="54"/>
  <c r="S24" i="54" s="1"/>
  <c r="Q24" i="54"/>
  <c r="N24" i="54"/>
  <c r="M24" i="54"/>
  <c r="F24" i="54"/>
  <c r="G24" i="54" s="1"/>
  <c r="E24" i="54"/>
  <c r="AD11" i="54"/>
  <c r="AE11" i="54" s="1"/>
  <c r="AC11" i="54"/>
  <c r="Z11" i="54"/>
  <c r="AA11" i="54" s="1"/>
  <c r="Y11" i="54"/>
  <c r="V11" i="54"/>
  <c r="U11" i="54"/>
  <c r="R11" i="54"/>
  <c r="Q11" i="54"/>
  <c r="N11" i="54"/>
  <c r="M11" i="54"/>
  <c r="F11" i="54"/>
  <c r="E11" i="54"/>
  <c r="AD20" i="54"/>
  <c r="AE20" i="54" s="1"/>
  <c r="AC20" i="54"/>
  <c r="Z20" i="54"/>
  <c r="Y20" i="54"/>
  <c r="V20" i="54"/>
  <c r="W20" i="54" s="1"/>
  <c r="U20" i="54"/>
  <c r="R20" i="54"/>
  <c r="Q20" i="54"/>
  <c r="N20" i="54"/>
  <c r="M20" i="54"/>
  <c r="F20" i="54"/>
  <c r="E20" i="54"/>
  <c r="AD18" i="54"/>
  <c r="AE18" i="54" s="1"/>
  <c r="AC18" i="54"/>
  <c r="Z18" i="54"/>
  <c r="AA18" i="54" s="1"/>
  <c r="Y18" i="54"/>
  <c r="V18" i="54"/>
  <c r="W18" i="54" s="1"/>
  <c r="U18" i="54"/>
  <c r="R18" i="54"/>
  <c r="Q18" i="54"/>
  <c r="N18" i="54"/>
  <c r="M18" i="54"/>
  <c r="F18" i="54"/>
  <c r="E18" i="54"/>
  <c r="AD27" i="54"/>
  <c r="AC27" i="54"/>
  <c r="Z27" i="54"/>
  <c r="AA27" i="54" s="1"/>
  <c r="Y27" i="54"/>
  <c r="V27" i="54"/>
  <c r="W27" i="54" s="1"/>
  <c r="U27" i="54"/>
  <c r="R27" i="54"/>
  <c r="S27" i="54" s="1"/>
  <c r="Q27" i="54"/>
  <c r="N27" i="54"/>
  <c r="O27" i="54" s="1"/>
  <c r="M27" i="54"/>
  <c r="F27" i="54"/>
  <c r="G27" i="54" s="1"/>
  <c r="E27" i="54"/>
  <c r="AD5" i="54"/>
  <c r="AE5" i="54" s="1"/>
  <c r="AC5" i="54"/>
  <c r="Z5" i="54"/>
  <c r="Y5" i="54"/>
  <c r="V5" i="54"/>
  <c r="U5" i="54"/>
  <c r="R5" i="54"/>
  <c r="Q5" i="54"/>
  <c r="N5" i="54"/>
  <c r="M5" i="54"/>
  <c r="F5" i="54"/>
  <c r="E5" i="54"/>
  <c r="AD13" i="54"/>
  <c r="AC13" i="54"/>
  <c r="Z13" i="54"/>
  <c r="Y13" i="54"/>
  <c r="V13" i="54"/>
  <c r="U13" i="54"/>
  <c r="R13" i="54"/>
  <c r="Q13" i="54"/>
  <c r="N13" i="54"/>
  <c r="M13" i="54"/>
  <c r="F13" i="54"/>
  <c r="E13" i="54"/>
  <c r="AD15" i="54"/>
  <c r="AE15" i="54" s="1"/>
  <c r="U23" i="57" s="1"/>
  <c r="AC15" i="54"/>
  <c r="Z15" i="54"/>
  <c r="AA15" i="54" s="1"/>
  <c r="R23" i="57" s="1"/>
  <c r="Y15" i="54"/>
  <c r="V15" i="54"/>
  <c r="W15" i="54" s="1"/>
  <c r="O23" i="57" s="1"/>
  <c r="U15" i="54"/>
  <c r="R15" i="54"/>
  <c r="S15" i="54" s="1"/>
  <c r="L23" i="57" s="1"/>
  <c r="Q15" i="54"/>
  <c r="N15" i="54"/>
  <c r="O15" i="54" s="1"/>
  <c r="I23" i="57" s="1"/>
  <c r="M15" i="54"/>
  <c r="F15" i="54"/>
  <c r="G15" i="54" s="1"/>
  <c r="C23" i="57" s="1"/>
  <c r="E15" i="54"/>
  <c r="AD21" i="54"/>
  <c r="AE21" i="54" s="1"/>
  <c r="AC21" i="54"/>
  <c r="Z21" i="54"/>
  <c r="AA21" i="54" s="1"/>
  <c r="Y21" i="54"/>
  <c r="V21" i="54"/>
  <c r="W21" i="54" s="1"/>
  <c r="U21" i="54"/>
  <c r="R21" i="54"/>
  <c r="S21" i="54" s="1"/>
  <c r="Q21" i="54"/>
  <c r="N21" i="54"/>
  <c r="O21" i="54" s="1"/>
  <c r="M21" i="54"/>
  <c r="F21" i="54"/>
  <c r="G21" i="54" s="1"/>
  <c r="E21" i="54"/>
  <c r="AD19" i="54"/>
  <c r="AE19" i="54" s="1"/>
  <c r="AC19" i="54"/>
  <c r="Z19" i="54"/>
  <c r="AA19" i="54" s="1"/>
  <c r="Y19" i="54"/>
  <c r="V19" i="54"/>
  <c r="W19" i="54" s="1"/>
  <c r="U19" i="54"/>
  <c r="R19" i="54"/>
  <c r="S19" i="54" s="1"/>
  <c r="Q19" i="54"/>
  <c r="N19" i="54"/>
  <c r="O19" i="54" s="1"/>
  <c r="M19" i="54"/>
  <c r="F19" i="54"/>
  <c r="G19" i="54" s="1"/>
  <c r="E19" i="54"/>
  <c r="AD10" i="54"/>
  <c r="AC10" i="54"/>
  <c r="Z10" i="54"/>
  <c r="Y10" i="54"/>
  <c r="V10" i="54"/>
  <c r="U10" i="54"/>
  <c r="R10" i="54"/>
  <c r="Q10" i="54"/>
  <c r="N10" i="54"/>
  <c r="M10" i="54"/>
  <c r="F10" i="54"/>
  <c r="E10" i="54"/>
  <c r="AD9" i="54"/>
  <c r="AC9" i="54"/>
  <c r="Z9" i="54"/>
  <c r="Y9" i="54"/>
  <c r="V9" i="54"/>
  <c r="U9" i="54"/>
  <c r="R9" i="54"/>
  <c r="Q9" i="54"/>
  <c r="N9" i="54"/>
  <c r="M9" i="54"/>
  <c r="F9" i="54"/>
  <c r="E9" i="54"/>
  <c r="AD7" i="54"/>
  <c r="AC7" i="54"/>
  <c r="Z7" i="54"/>
  <c r="AA7" i="54" s="1"/>
  <c r="Y7" i="54"/>
  <c r="V7" i="54"/>
  <c r="U7" i="54"/>
  <c r="R7" i="54"/>
  <c r="Q7" i="54"/>
  <c r="N7" i="54"/>
  <c r="M7" i="54"/>
  <c r="F7" i="54"/>
  <c r="E7" i="54"/>
  <c r="AD26" i="54"/>
  <c r="AC26" i="54"/>
  <c r="Z26" i="54"/>
  <c r="Y26" i="54"/>
  <c r="V26" i="54"/>
  <c r="U26" i="54"/>
  <c r="R26" i="54"/>
  <c r="Q26" i="54"/>
  <c r="N26" i="54"/>
  <c r="M26" i="54"/>
  <c r="F26" i="54"/>
  <c r="G26" i="54" s="1"/>
  <c r="E26" i="54"/>
  <c r="AD14" i="54"/>
  <c r="AC14" i="54"/>
  <c r="Z14" i="54"/>
  <c r="Y14" i="54"/>
  <c r="V14" i="54"/>
  <c r="U14" i="54"/>
  <c r="R14" i="54"/>
  <c r="Q14" i="54"/>
  <c r="N14" i="54"/>
  <c r="M14" i="54"/>
  <c r="J14" i="54"/>
  <c r="I14" i="54"/>
  <c r="F14" i="54"/>
  <c r="E14" i="54"/>
  <c r="AD8" i="54"/>
  <c r="AC8" i="54"/>
  <c r="Z8" i="54"/>
  <c r="Y8" i="54"/>
  <c r="V8" i="54"/>
  <c r="U8" i="54"/>
  <c r="R8" i="54"/>
  <c r="Q8" i="54"/>
  <c r="N8" i="54"/>
  <c r="O8" i="54" s="1"/>
  <c r="M8" i="54"/>
  <c r="F8" i="54"/>
  <c r="E8" i="54"/>
  <c r="AI24" i="49"/>
  <c r="AI23" i="49"/>
  <c r="AI22" i="49"/>
  <c r="AI21" i="49"/>
  <c r="AI20" i="49"/>
  <c r="AI19" i="49"/>
  <c r="AI18" i="49"/>
  <c r="AI17" i="49"/>
  <c r="AI16" i="49"/>
  <c r="AI15" i="49"/>
  <c r="X13" i="70" s="1"/>
  <c r="Y13" i="70" s="1"/>
  <c r="AI14" i="49"/>
  <c r="AI13" i="49"/>
  <c r="AI7" i="49"/>
  <c r="AI12" i="49"/>
  <c r="X14" i="70" s="1"/>
  <c r="Z14" i="70" s="1"/>
  <c r="AI5" i="49"/>
  <c r="X5" i="70" s="1"/>
  <c r="Y5" i="70" s="1"/>
  <c r="AI10" i="49"/>
  <c r="AI9" i="49"/>
  <c r="AI6" i="49"/>
  <c r="X9" i="70" s="1"/>
  <c r="AI11" i="49"/>
  <c r="AI8" i="49"/>
  <c r="X8" i="70" s="1"/>
  <c r="Y8" i="70" s="1"/>
  <c r="AD24" i="49"/>
  <c r="AE24" i="49" s="1"/>
  <c r="AC24" i="49"/>
  <c r="AD23" i="49"/>
  <c r="AE23" i="49" s="1"/>
  <c r="AC23" i="49"/>
  <c r="AD22" i="49"/>
  <c r="AE22" i="49" s="1"/>
  <c r="AC22" i="49"/>
  <c r="AD21" i="49"/>
  <c r="AE21" i="49" s="1"/>
  <c r="AC21" i="49"/>
  <c r="AD20" i="49"/>
  <c r="AE20" i="49" s="1"/>
  <c r="AC20" i="49"/>
  <c r="AD19" i="49"/>
  <c r="AE19" i="49" s="1"/>
  <c r="AC19" i="49"/>
  <c r="AD18" i="49"/>
  <c r="AE18" i="49" s="1"/>
  <c r="AC18" i="49"/>
  <c r="AD17" i="49"/>
  <c r="AE17" i="49" s="1"/>
  <c r="AC17" i="49"/>
  <c r="AD16" i="49"/>
  <c r="AE16" i="49" s="1"/>
  <c r="AC16" i="49"/>
  <c r="AD15" i="49"/>
  <c r="AE15" i="49" s="1"/>
  <c r="AC15" i="49"/>
  <c r="AD14" i="49"/>
  <c r="AE14" i="49" s="1"/>
  <c r="AC14" i="49"/>
  <c r="AD13" i="49"/>
  <c r="AE13" i="49" s="1"/>
  <c r="AC13" i="49"/>
  <c r="AD7" i="49"/>
  <c r="AC7" i="49"/>
  <c r="AD12" i="49"/>
  <c r="AC12" i="49"/>
  <c r="AD5" i="49"/>
  <c r="AC5" i="49"/>
  <c r="AD10" i="49"/>
  <c r="AC10" i="49"/>
  <c r="AD9" i="49"/>
  <c r="AC9" i="49"/>
  <c r="AD6" i="49"/>
  <c r="AC6" i="49"/>
  <c r="AD11" i="49"/>
  <c r="AC11" i="49"/>
  <c r="AD8" i="49"/>
  <c r="AC8" i="49"/>
  <c r="Z24" i="49"/>
  <c r="AA24" i="49" s="1"/>
  <c r="Y24" i="49"/>
  <c r="Z23" i="49"/>
  <c r="AA23" i="49" s="1"/>
  <c r="Y23" i="49"/>
  <c r="Z22" i="49"/>
  <c r="AA22" i="49" s="1"/>
  <c r="Y22" i="49"/>
  <c r="Z21" i="49"/>
  <c r="AA21" i="49" s="1"/>
  <c r="Y21" i="49"/>
  <c r="Z20" i="49"/>
  <c r="AA20" i="49" s="1"/>
  <c r="Y20" i="49"/>
  <c r="Z19" i="49"/>
  <c r="AA19" i="49" s="1"/>
  <c r="Y19" i="49"/>
  <c r="Z18" i="49"/>
  <c r="AA18" i="49" s="1"/>
  <c r="Y18" i="49"/>
  <c r="Z17" i="49"/>
  <c r="AA17" i="49" s="1"/>
  <c r="Y17" i="49"/>
  <c r="Z16" i="49"/>
  <c r="AA16" i="49" s="1"/>
  <c r="Y16" i="49"/>
  <c r="Z15" i="49"/>
  <c r="AA15" i="49" s="1"/>
  <c r="Y15" i="49"/>
  <c r="Z14" i="49"/>
  <c r="Y14" i="49"/>
  <c r="Z13" i="49"/>
  <c r="AA13" i="49" s="1"/>
  <c r="Y13" i="49"/>
  <c r="Z7" i="49"/>
  <c r="Y7" i="49"/>
  <c r="Z12" i="49"/>
  <c r="Y12" i="49"/>
  <c r="Z5" i="49"/>
  <c r="Y5" i="49"/>
  <c r="Z10" i="49"/>
  <c r="Y10" i="49"/>
  <c r="Z9" i="49"/>
  <c r="Y9" i="49"/>
  <c r="Z6" i="49"/>
  <c r="Y6" i="49"/>
  <c r="Z11" i="49"/>
  <c r="AA11" i="49" s="1"/>
  <c r="Y11" i="49"/>
  <c r="Z8" i="49"/>
  <c r="Y8" i="49"/>
  <c r="V24" i="49"/>
  <c r="W24" i="49" s="1"/>
  <c r="U24" i="49"/>
  <c r="V23" i="49"/>
  <c r="W23" i="49" s="1"/>
  <c r="U23" i="49"/>
  <c r="V22" i="49"/>
  <c r="W22" i="49" s="1"/>
  <c r="U22" i="49"/>
  <c r="V21" i="49"/>
  <c r="W21" i="49" s="1"/>
  <c r="U21" i="49"/>
  <c r="V20" i="49"/>
  <c r="W20" i="49" s="1"/>
  <c r="U20" i="49"/>
  <c r="V19" i="49"/>
  <c r="W19" i="49" s="1"/>
  <c r="U19" i="49"/>
  <c r="V18" i="49"/>
  <c r="W18" i="49" s="1"/>
  <c r="U18" i="49"/>
  <c r="V17" i="49"/>
  <c r="W17" i="49" s="1"/>
  <c r="U17" i="49"/>
  <c r="V16" i="49"/>
  <c r="W16" i="49" s="1"/>
  <c r="U16" i="49"/>
  <c r="V15" i="49"/>
  <c r="W15" i="49" s="1"/>
  <c r="U15" i="49"/>
  <c r="V14" i="49"/>
  <c r="W14" i="49" s="1"/>
  <c r="U14" i="49"/>
  <c r="V13" i="49"/>
  <c r="W13" i="49" s="1"/>
  <c r="U13" i="49"/>
  <c r="V7" i="49"/>
  <c r="U7" i="49"/>
  <c r="V12" i="49"/>
  <c r="U12" i="49"/>
  <c r="V5" i="49"/>
  <c r="U5" i="49"/>
  <c r="V10" i="49"/>
  <c r="U10" i="49"/>
  <c r="V9" i="49"/>
  <c r="U9" i="49"/>
  <c r="V6" i="49"/>
  <c r="U6" i="49"/>
  <c r="V11" i="49"/>
  <c r="U11" i="49"/>
  <c r="V8" i="49"/>
  <c r="U8" i="49"/>
  <c r="R24" i="49"/>
  <c r="S24" i="49" s="1"/>
  <c r="Q24" i="49"/>
  <c r="R23" i="49"/>
  <c r="S23" i="49" s="1"/>
  <c r="Q23" i="49"/>
  <c r="R22" i="49"/>
  <c r="S22" i="49" s="1"/>
  <c r="Q22" i="49"/>
  <c r="R21" i="49"/>
  <c r="S21" i="49" s="1"/>
  <c r="Q21" i="49"/>
  <c r="R20" i="49"/>
  <c r="S20" i="49" s="1"/>
  <c r="Q20" i="49"/>
  <c r="R19" i="49"/>
  <c r="S19" i="49" s="1"/>
  <c r="Q19" i="49"/>
  <c r="R18" i="49"/>
  <c r="S18" i="49" s="1"/>
  <c r="Q18" i="49"/>
  <c r="R17" i="49"/>
  <c r="S17" i="49" s="1"/>
  <c r="Q17" i="49"/>
  <c r="R16" i="49"/>
  <c r="S16" i="49" s="1"/>
  <c r="Q16" i="49"/>
  <c r="R15" i="49"/>
  <c r="S15" i="49" s="1"/>
  <c r="Q15" i="49"/>
  <c r="R14" i="49"/>
  <c r="S14" i="49" s="1"/>
  <c r="Q14" i="49"/>
  <c r="R13" i="49"/>
  <c r="S13" i="49" s="1"/>
  <c r="Q13" i="49"/>
  <c r="R7" i="49"/>
  <c r="Q7" i="49"/>
  <c r="R12" i="49"/>
  <c r="S12" i="49" s="1"/>
  <c r="Q12" i="49"/>
  <c r="R5" i="49"/>
  <c r="Q5" i="49"/>
  <c r="R10" i="49"/>
  <c r="Q10" i="49"/>
  <c r="R9" i="49"/>
  <c r="Q9" i="49"/>
  <c r="R6" i="49"/>
  <c r="Q6" i="49"/>
  <c r="R11" i="49"/>
  <c r="Q11" i="49"/>
  <c r="R8" i="49"/>
  <c r="Q8" i="49"/>
  <c r="N24" i="49"/>
  <c r="O24" i="49" s="1"/>
  <c r="M24" i="49"/>
  <c r="N23" i="49"/>
  <c r="O23" i="49" s="1"/>
  <c r="M23" i="49"/>
  <c r="N22" i="49"/>
  <c r="O22" i="49" s="1"/>
  <c r="M22" i="49"/>
  <c r="N21" i="49"/>
  <c r="O21" i="49" s="1"/>
  <c r="M21" i="49"/>
  <c r="N20" i="49"/>
  <c r="O20" i="49" s="1"/>
  <c r="M20" i="49"/>
  <c r="N19" i="49"/>
  <c r="O19" i="49" s="1"/>
  <c r="M19" i="49"/>
  <c r="N18" i="49"/>
  <c r="O18" i="49" s="1"/>
  <c r="M18" i="49"/>
  <c r="N17" i="49"/>
  <c r="O17" i="49" s="1"/>
  <c r="M17" i="49"/>
  <c r="N16" i="49"/>
  <c r="O16" i="49" s="1"/>
  <c r="M16" i="49"/>
  <c r="N15" i="49"/>
  <c r="O15" i="49" s="1"/>
  <c r="M15" i="49"/>
  <c r="N14" i="49"/>
  <c r="O14" i="49" s="1"/>
  <c r="M14" i="49"/>
  <c r="N13" i="49"/>
  <c r="O13" i="49" s="1"/>
  <c r="M13" i="49"/>
  <c r="N7" i="49"/>
  <c r="M7" i="49"/>
  <c r="N12" i="49"/>
  <c r="M12" i="49"/>
  <c r="N5" i="49"/>
  <c r="M5" i="49"/>
  <c r="N10" i="49"/>
  <c r="M10" i="49"/>
  <c r="N9" i="49"/>
  <c r="M9" i="49"/>
  <c r="N6" i="49"/>
  <c r="M6" i="49"/>
  <c r="N11" i="49"/>
  <c r="M11" i="49"/>
  <c r="N8" i="49"/>
  <c r="M8" i="49"/>
  <c r="J8" i="49"/>
  <c r="I8" i="49"/>
  <c r="F24" i="49"/>
  <c r="G24" i="49" s="1"/>
  <c r="E24" i="49"/>
  <c r="F23" i="49"/>
  <c r="G23" i="49" s="1"/>
  <c r="E23" i="49"/>
  <c r="F22" i="49"/>
  <c r="G22" i="49" s="1"/>
  <c r="E22" i="49"/>
  <c r="F21" i="49"/>
  <c r="G21" i="49" s="1"/>
  <c r="E21" i="49"/>
  <c r="F20" i="49"/>
  <c r="G20" i="49" s="1"/>
  <c r="E20" i="49"/>
  <c r="F19" i="49"/>
  <c r="G19" i="49" s="1"/>
  <c r="E19" i="49"/>
  <c r="F18" i="49"/>
  <c r="G18" i="49" s="1"/>
  <c r="E18" i="49"/>
  <c r="F17" i="49"/>
  <c r="G17" i="49" s="1"/>
  <c r="E17" i="49"/>
  <c r="F16" i="49"/>
  <c r="G16" i="49" s="1"/>
  <c r="E16" i="49"/>
  <c r="F15" i="49"/>
  <c r="G15" i="49" s="1"/>
  <c r="E15" i="49"/>
  <c r="F14" i="49"/>
  <c r="G14" i="49" s="1"/>
  <c r="E14" i="49"/>
  <c r="F13" i="49"/>
  <c r="G13" i="49" s="1"/>
  <c r="E13" i="49"/>
  <c r="F7" i="49"/>
  <c r="E7" i="49"/>
  <c r="F12" i="49"/>
  <c r="E12" i="49"/>
  <c r="F5" i="49"/>
  <c r="E5" i="49"/>
  <c r="F10" i="49"/>
  <c r="E10" i="49"/>
  <c r="F9" i="49"/>
  <c r="E9" i="49"/>
  <c r="F6" i="49"/>
  <c r="E6" i="49"/>
  <c r="F11" i="49"/>
  <c r="E11" i="49"/>
  <c r="F8" i="49"/>
  <c r="E8" i="49"/>
  <c r="Z24" i="53"/>
  <c r="AA24" i="53" s="1"/>
  <c r="Y24" i="53"/>
  <c r="Z16" i="53"/>
  <c r="Y16" i="53"/>
  <c r="Z21" i="53"/>
  <c r="Y21" i="53"/>
  <c r="Z17" i="53"/>
  <c r="AA17" i="53" s="1"/>
  <c r="R15" i="57" s="1"/>
  <c r="Y17" i="53"/>
  <c r="Z22" i="53"/>
  <c r="AA22" i="53" s="1"/>
  <c r="R25" i="57" s="1"/>
  <c r="Y22" i="53"/>
  <c r="Z19" i="53"/>
  <c r="Y19" i="53"/>
  <c r="Z23" i="53"/>
  <c r="AA23" i="53" s="1"/>
  <c r="Y23" i="53"/>
  <c r="Z13" i="53"/>
  <c r="Y13" i="53"/>
  <c r="Z11" i="53"/>
  <c r="Y11" i="53"/>
  <c r="Z15" i="53"/>
  <c r="Y15" i="53"/>
  <c r="Z10" i="53"/>
  <c r="Y10" i="53"/>
  <c r="Z7" i="53"/>
  <c r="Y7" i="53"/>
  <c r="Z14" i="53"/>
  <c r="Y14" i="53"/>
  <c r="Z12" i="53"/>
  <c r="Y12" i="53"/>
  <c r="Z6" i="53"/>
  <c r="Y6" i="53"/>
  <c r="Z20" i="53"/>
  <c r="Y20" i="53"/>
  <c r="Z9" i="53"/>
  <c r="AA9" i="53" s="1"/>
  <c r="Y9" i="53"/>
  <c r="Z5" i="53"/>
  <c r="Y5" i="53"/>
  <c r="Z18" i="53"/>
  <c r="AA18" i="53" s="1"/>
  <c r="Y18" i="53"/>
  <c r="Z8" i="53"/>
  <c r="Y8" i="53"/>
  <c r="V24" i="53"/>
  <c r="W24" i="53" s="1"/>
  <c r="U24" i="53"/>
  <c r="V16" i="53"/>
  <c r="U16" i="53"/>
  <c r="V21" i="53"/>
  <c r="W21" i="53" s="1"/>
  <c r="U21" i="53"/>
  <c r="V17" i="53"/>
  <c r="W17" i="53" s="1"/>
  <c r="O15" i="57" s="1"/>
  <c r="U17" i="53"/>
  <c r="V22" i="53"/>
  <c r="W22" i="53" s="1"/>
  <c r="O25" i="57" s="1"/>
  <c r="U22" i="53"/>
  <c r="V19" i="53"/>
  <c r="W19" i="53" s="1"/>
  <c r="U19" i="53"/>
  <c r="V23" i="53"/>
  <c r="W23" i="53" s="1"/>
  <c r="U23" i="53"/>
  <c r="V13" i="53"/>
  <c r="U13" i="53"/>
  <c r="V11" i="53"/>
  <c r="U11" i="53"/>
  <c r="V15" i="53"/>
  <c r="W15" i="53" s="1"/>
  <c r="U15" i="53"/>
  <c r="V10" i="53"/>
  <c r="U10" i="53"/>
  <c r="V7" i="53"/>
  <c r="U7" i="53"/>
  <c r="V14" i="53"/>
  <c r="U14" i="53"/>
  <c r="V12" i="53"/>
  <c r="U12" i="53"/>
  <c r="V6" i="53"/>
  <c r="U6" i="53"/>
  <c r="V20" i="53"/>
  <c r="W20" i="53" s="1"/>
  <c r="U20" i="53"/>
  <c r="V9" i="53"/>
  <c r="W9" i="53" s="1"/>
  <c r="U9" i="53"/>
  <c r="V5" i="53"/>
  <c r="U5" i="53"/>
  <c r="V18" i="53"/>
  <c r="W18" i="53" s="1"/>
  <c r="U18" i="53"/>
  <c r="V8" i="53"/>
  <c r="W8" i="53" s="1"/>
  <c r="U8" i="53"/>
  <c r="R24" i="53"/>
  <c r="S24" i="53" s="1"/>
  <c r="Q24" i="53"/>
  <c r="R16" i="53"/>
  <c r="Q16" i="53"/>
  <c r="R21" i="53"/>
  <c r="S21" i="53" s="1"/>
  <c r="L7" i="57" s="1"/>
  <c r="Q21" i="53"/>
  <c r="R17" i="53"/>
  <c r="S17" i="53" s="1"/>
  <c r="L15" i="57" s="1"/>
  <c r="Q17" i="53"/>
  <c r="R22" i="53"/>
  <c r="S22" i="53" s="1"/>
  <c r="L25" i="57" s="1"/>
  <c r="Q22" i="53"/>
  <c r="R19" i="53"/>
  <c r="S19" i="53" s="1"/>
  <c r="Q19" i="53"/>
  <c r="R23" i="53"/>
  <c r="S23" i="53" s="1"/>
  <c r="Q23" i="53"/>
  <c r="R13" i="53"/>
  <c r="S13" i="53" s="1"/>
  <c r="Q13" i="53"/>
  <c r="R11" i="53"/>
  <c r="Q11" i="53"/>
  <c r="R15" i="53"/>
  <c r="Q15" i="53"/>
  <c r="R10" i="53"/>
  <c r="Q10" i="53"/>
  <c r="R7" i="53"/>
  <c r="S7" i="53" s="1"/>
  <c r="Q7" i="53"/>
  <c r="R14" i="53"/>
  <c r="S14" i="53" s="1"/>
  <c r="Q14" i="53"/>
  <c r="R12" i="53"/>
  <c r="S12" i="53" s="1"/>
  <c r="Q12" i="53"/>
  <c r="R6" i="53"/>
  <c r="Q6" i="53"/>
  <c r="R20" i="53"/>
  <c r="S20" i="53" s="1"/>
  <c r="Q20" i="53"/>
  <c r="R9" i="53"/>
  <c r="S9" i="53" s="1"/>
  <c r="Q9" i="53"/>
  <c r="R5" i="53"/>
  <c r="S5" i="53" s="1"/>
  <c r="Q5" i="53"/>
  <c r="R18" i="53"/>
  <c r="S18" i="53" s="1"/>
  <c r="Q18" i="53"/>
  <c r="R8" i="53"/>
  <c r="Q8" i="53"/>
  <c r="J11" i="53"/>
  <c r="I11" i="53"/>
  <c r="F24" i="53"/>
  <c r="G24" i="53" s="1"/>
  <c r="E24" i="53"/>
  <c r="F16" i="53"/>
  <c r="G16" i="53" s="1"/>
  <c r="E16" i="53"/>
  <c r="F21" i="53"/>
  <c r="G21" i="53" s="1"/>
  <c r="C7" i="57" s="1"/>
  <c r="D7" i="57" s="1"/>
  <c r="E21" i="53"/>
  <c r="F17" i="53"/>
  <c r="G17" i="53" s="1"/>
  <c r="C15" i="57" s="1"/>
  <c r="E17" i="53"/>
  <c r="F22" i="53"/>
  <c r="G22" i="53" s="1"/>
  <c r="C25" i="57" s="1"/>
  <c r="E22" i="53"/>
  <c r="F19" i="53"/>
  <c r="G19" i="53" s="1"/>
  <c r="E19" i="53"/>
  <c r="F23" i="53"/>
  <c r="G23" i="53" s="1"/>
  <c r="E23" i="53"/>
  <c r="F13" i="53"/>
  <c r="E13" i="53"/>
  <c r="F11" i="53"/>
  <c r="E11" i="53"/>
  <c r="F15" i="53"/>
  <c r="G15" i="53" s="1"/>
  <c r="E15" i="53"/>
  <c r="F10" i="53"/>
  <c r="E10" i="53"/>
  <c r="F7" i="53"/>
  <c r="E7" i="53"/>
  <c r="F14" i="53"/>
  <c r="G14" i="53" s="1"/>
  <c r="E14" i="53"/>
  <c r="F12" i="53"/>
  <c r="G12" i="53" s="1"/>
  <c r="E12" i="53"/>
  <c r="F6" i="53"/>
  <c r="E6" i="53"/>
  <c r="F20" i="53"/>
  <c r="E20" i="53"/>
  <c r="F9" i="53"/>
  <c r="G9" i="53" s="1"/>
  <c r="E9" i="53"/>
  <c r="F5" i="53"/>
  <c r="G5" i="53" s="1"/>
  <c r="E5" i="53"/>
  <c r="F18" i="53"/>
  <c r="G18" i="53" s="1"/>
  <c r="E18" i="53"/>
  <c r="F8" i="53"/>
  <c r="G8" i="53" s="1"/>
  <c r="E8" i="53"/>
  <c r="N8" i="53"/>
  <c r="N18" i="53"/>
  <c r="N5" i="53"/>
  <c r="N9" i="53"/>
  <c r="N20" i="53"/>
  <c r="N6" i="53"/>
  <c r="N12" i="53"/>
  <c r="N14" i="53"/>
  <c r="N7" i="53"/>
  <c r="N10" i="53"/>
  <c r="N15" i="53"/>
  <c r="N11" i="53"/>
  <c r="N13" i="53"/>
  <c r="N23" i="53"/>
  <c r="O23" i="53" s="1"/>
  <c r="N19" i="53"/>
  <c r="O19" i="53" s="1"/>
  <c r="N22" i="53"/>
  <c r="O22" i="53" s="1"/>
  <c r="I25" i="57" s="1"/>
  <c r="N17" i="53"/>
  <c r="O17" i="53" s="1"/>
  <c r="I15" i="57" s="1"/>
  <c r="N21" i="53"/>
  <c r="O21" i="53" s="1"/>
  <c r="N16" i="53"/>
  <c r="N24" i="53"/>
  <c r="O24" i="53" s="1"/>
  <c r="M8" i="53"/>
  <c r="M18" i="53"/>
  <c r="M5" i="53"/>
  <c r="M9" i="53"/>
  <c r="M20" i="53"/>
  <c r="M6" i="53"/>
  <c r="M12" i="53"/>
  <c r="M14" i="53"/>
  <c r="M7" i="53"/>
  <c r="M10" i="53"/>
  <c r="M15" i="53"/>
  <c r="M11" i="53"/>
  <c r="M13" i="53"/>
  <c r="M23" i="53"/>
  <c r="M19" i="53"/>
  <c r="M22" i="53"/>
  <c r="M17" i="53"/>
  <c r="M21" i="53"/>
  <c r="M16" i="53"/>
  <c r="M24" i="53"/>
  <c r="AI24" i="53"/>
  <c r="AD24" i="53"/>
  <c r="AE24" i="53" s="1"/>
  <c r="AC24" i="53"/>
  <c r="AI16" i="53"/>
  <c r="X21" i="57" s="1"/>
  <c r="AD16" i="53"/>
  <c r="AC16" i="53"/>
  <c r="AI21" i="53"/>
  <c r="X7" i="57" s="1"/>
  <c r="AD21" i="53"/>
  <c r="AE21" i="53" s="1"/>
  <c r="AC21" i="53"/>
  <c r="AI17" i="53"/>
  <c r="X15" i="57" s="1"/>
  <c r="AD17" i="53"/>
  <c r="AE17" i="53" s="1"/>
  <c r="U15" i="57" s="1"/>
  <c r="AC17" i="53"/>
  <c r="AD22" i="53"/>
  <c r="AE22" i="53" s="1"/>
  <c r="U25" i="57" s="1"/>
  <c r="AC22" i="53"/>
  <c r="AI19" i="53"/>
  <c r="AD19" i="53"/>
  <c r="AE19" i="53" s="1"/>
  <c r="AC19" i="53"/>
  <c r="AI23" i="53"/>
  <c r="AD23" i="53"/>
  <c r="AE23" i="53" s="1"/>
  <c r="AC23" i="53"/>
  <c r="AI13" i="53"/>
  <c r="AD13" i="53"/>
  <c r="AE13" i="53" s="1"/>
  <c r="AC13" i="53"/>
  <c r="AI11" i="53"/>
  <c r="AD11" i="53"/>
  <c r="AE11" i="53" s="1"/>
  <c r="AC11" i="53"/>
  <c r="AI15" i="53"/>
  <c r="AD15" i="53"/>
  <c r="AC15" i="53"/>
  <c r="AI10" i="53"/>
  <c r="AD10" i="53"/>
  <c r="AC10" i="53"/>
  <c r="AI7" i="53"/>
  <c r="AD7" i="53"/>
  <c r="AC7" i="53"/>
  <c r="AI14" i="53"/>
  <c r="AD14" i="53"/>
  <c r="AC14" i="53"/>
  <c r="AI12" i="53"/>
  <c r="AD12" i="53"/>
  <c r="AC12" i="53"/>
  <c r="AI6" i="53"/>
  <c r="AD6" i="53"/>
  <c r="AC6" i="53"/>
  <c r="AI20" i="53"/>
  <c r="AD20" i="53"/>
  <c r="AC20" i="53"/>
  <c r="AI9" i="53"/>
  <c r="AD9" i="53"/>
  <c r="AC9" i="53"/>
  <c r="AI5" i="53"/>
  <c r="AD5" i="53"/>
  <c r="AC5" i="53"/>
  <c r="AI18" i="53"/>
  <c r="AD18" i="53"/>
  <c r="AC18" i="53"/>
  <c r="AI8" i="53"/>
  <c r="AD8" i="53"/>
  <c r="AE8" i="53" s="1"/>
  <c r="AC8" i="53"/>
  <c r="AD24" i="52"/>
  <c r="AE24" i="52" s="1"/>
  <c r="AC24" i="52"/>
  <c r="Z24" i="52"/>
  <c r="AA24" i="52" s="1"/>
  <c r="Y24" i="52"/>
  <c r="V24" i="52"/>
  <c r="W24" i="52" s="1"/>
  <c r="U24" i="52"/>
  <c r="R24" i="52"/>
  <c r="S24" i="52" s="1"/>
  <c r="Q24" i="52"/>
  <c r="N24" i="52"/>
  <c r="O24" i="52" s="1"/>
  <c r="M24" i="52"/>
  <c r="F24" i="52"/>
  <c r="G24" i="52" s="1"/>
  <c r="E24" i="52"/>
  <c r="AD23" i="52"/>
  <c r="AE23" i="52" s="1"/>
  <c r="AC23" i="52"/>
  <c r="Z23" i="52"/>
  <c r="AA23" i="52" s="1"/>
  <c r="Y23" i="52"/>
  <c r="V23" i="52"/>
  <c r="W23" i="52" s="1"/>
  <c r="U23" i="52"/>
  <c r="R23" i="52"/>
  <c r="S23" i="52" s="1"/>
  <c r="Q23" i="52"/>
  <c r="N23" i="52"/>
  <c r="O23" i="52" s="1"/>
  <c r="M23" i="52"/>
  <c r="F23" i="52"/>
  <c r="G23" i="52" s="1"/>
  <c r="E23" i="52"/>
  <c r="AD22" i="52"/>
  <c r="AE22" i="52" s="1"/>
  <c r="AC22" i="52"/>
  <c r="Z22" i="52"/>
  <c r="AA22" i="52" s="1"/>
  <c r="Y22" i="52"/>
  <c r="V22" i="52"/>
  <c r="W22" i="52" s="1"/>
  <c r="U22" i="52"/>
  <c r="R22" i="52"/>
  <c r="S22" i="52" s="1"/>
  <c r="Q22" i="52"/>
  <c r="N22" i="52"/>
  <c r="O22" i="52" s="1"/>
  <c r="M22" i="52"/>
  <c r="F22" i="52"/>
  <c r="G22" i="52" s="1"/>
  <c r="E22" i="52"/>
  <c r="AD21" i="52"/>
  <c r="AE21" i="52" s="1"/>
  <c r="AC21" i="52"/>
  <c r="Z21" i="52"/>
  <c r="AA21" i="52" s="1"/>
  <c r="Y21" i="52"/>
  <c r="V21" i="52"/>
  <c r="W21" i="52" s="1"/>
  <c r="U21" i="52"/>
  <c r="R21" i="52"/>
  <c r="S21" i="52" s="1"/>
  <c r="Q21" i="52"/>
  <c r="N21" i="52"/>
  <c r="O21" i="52" s="1"/>
  <c r="M21" i="52"/>
  <c r="F21" i="52"/>
  <c r="G21" i="52" s="1"/>
  <c r="E21" i="52"/>
  <c r="AD20" i="52"/>
  <c r="AE20" i="52" s="1"/>
  <c r="AC20" i="52"/>
  <c r="Z20" i="52"/>
  <c r="AA20" i="52" s="1"/>
  <c r="Y20" i="52"/>
  <c r="V20" i="52"/>
  <c r="W20" i="52" s="1"/>
  <c r="U20" i="52"/>
  <c r="R20" i="52"/>
  <c r="S20" i="52" s="1"/>
  <c r="Q20" i="52"/>
  <c r="N20" i="52"/>
  <c r="O20" i="52" s="1"/>
  <c r="M20" i="52"/>
  <c r="F20" i="52"/>
  <c r="G20" i="52" s="1"/>
  <c r="E20" i="52"/>
  <c r="AD19" i="52"/>
  <c r="AE19" i="52" s="1"/>
  <c r="AC19" i="52"/>
  <c r="Z19" i="52"/>
  <c r="AA19" i="52" s="1"/>
  <c r="Y19" i="52"/>
  <c r="V19" i="52"/>
  <c r="W19" i="52" s="1"/>
  <c r="U19" i="52"/>
  <c r="R19" i="52"/>
  <c r="S19" i="52" s="1"/>
  <c r="Q19" i="52"/>
  <c r="N19" i="52"/>
  <c r="O19" i="52" s="1"/>
  <c r="M19" i="52"/>
  <c r="F19" i="52"/>
  <c r="G19" i="52" s="1"/>
  <c r="E19" i="52"/>
  <c r="AD18" i="52"/>
  <c r="AE18" i="52" s="1"/>
  <c r="AC18" i="52"/>
  <c r="Z18" i="52"/>
  <c r="AA18" i="52" s="1"/>
  <c r="Y18" i="52"/>
  <c r="V18" i="52"/>
  <c r="W18" i="52" s="1"/>
  <c r="U18" i="52"/>
  <c r="R18" i="52"/>
  <c r="S18" i="52" s="1"/>
  <c r="Q18" i="52"/>
  <c r="N18" i="52"/>
  <c r="O18" i="52" s="1"/>
  <c r="M18" i="52"/>
  <c r="F18" i="52"/>
  <c r="G18" i="52" s="1"/>
  <c r="E18" i="52"/>
  <c r="AD17" i="52"/>
  <c r="AE17" i="52" s="1"/>
  <c r="AC17" i="52"/>
  <c r="Z17" i="52"/>
  <c r="AA17" i="52" s="1"/>
  <c r="Y17" i="52"/>
  <c r="V17" i="52"/>
  <c r="W17" i="52" s="1"/>
  <c r="U17" i="52"/>
  <c r="R17" i="52"/>
  <c r="S17" i="52" s="1"/>
  <c r="Q17" i="52"/>
  <c r="N17" i="52"/>
  <c r="O17" i="52" s="1"/>
  <c r="M17" i="52"/>
  <c r="F17" i="52"/>
  <c r="G17" i="52" s="1"/>
  <c r="E17" i="52"/>
  <c r="AD16" i="52"/>
  <c r="AE16" i="52" s="1"/>
  <c r="AC16" i="52"/>
  <c r="Z16" i="52"/>
  <c r="AA16" i="52" s="1"/>
  <c r="Y16" i="52"/>
  <c r="V16" i="52"/>
  <c r="W16" i="52" s="1"/>
  <c r="U16" i="52"/>
  <c r="R16" i="52"/>
  <c r="S16" i="52" s="1"/>
  <c r="Q16" i="52"/>
  <c r="N16" i="52"/>
  <c r="O16" i="52" s="1"/>
  <c r="M16" i="52"/>
  <c r="F16" i="52"/>
  <c r="G16" i="52" s="1"/>
  <c r="E16" i="52"/>
  <c r="AD15" i="52"/>
  <c r="AE15" i="52" s="1"/>
  <c r="AC15" i="52"/>
  <c r="Z15" i="52"/>
  <c r="AA15" i="52" s="1"/>
  <c r="Y15" i="52"/>
  <c r="V15" i="52"/>
  <c r="W15" i="52" s="1"/>
  <c r="U15" i="52"/>
  <c r="R15" i="52"/>
  <c r="S15" i="52" s="1"/>
  <c r="Q15" i="52"/>
  <c r="N15" i="52"/>
  <c r="O15" i="52" s="1"/>
  <c r="M15" i="52"/>
  <c r="F15" i="52"/>
  <c r="G15" i="52" s="1"/>
  <c r="E15" i="52"/>
  <c r="AD14" i="52"/>
  <c r="AE14" i="52" s="1"/>
  <c r="AC14" i="52"/>
  <c r="Z14" i="52"/>
  <c r="AA14" i="52" s="1"/>
  <c r="Y14" i="52"/>
  <c r="V14" i="52"/>
  <c r="W14" i="52" s="1"/>
  <c r="U14" i="52"/>
  <c r="R14" i="52"/>
  <c r="S14" i="52" s="1"/>
  <c r="Q14" i="52"/>
  <c r="N14" i="52"/>
  <c r="O14" i="52" s="1"/>
  <c r="M14" i="52"/>
  <c r="F14" i="52"/>
  <c r="G14" i="52" s="1"/>
  <c r="E14" i="52"/>
  <c r="AD13" i="52"/>
  <c r="AE13" i="52" s="1"/>
  <c r="AC13" i="52"/>
  <c r="Z13" i="52"/>
  <c r="AA13" i="52" s="1"/>
  <c r="Y13" i="52"/>
  <c r="V13" i="52"/>
  <c r="W13" i="52" s="1"/>
  <c r="U13" i="52"/>
  <c r="R13" i="52"/>
  <c r="S13" i="52" s="1"/>
  <c r="Q13" i="52"/>
  <c r="N13" i="52"/>
  <c r="O13" i="52" s="1"/>
  <c r="M13" i="52"/>
  <c r="F13" i="52"/>
  <c r="G13" i="52" s="1"/>
  <c r="E13" i="52"/>
  <c r="AD12" i="52"/>
  <c r="AE12" i="52" s="1"/>
  <c r="AC12" i="52"/>
  <c r="Z12" i="52"/>
  <c r="AA12" i="52" s="1"/>
  <c r="Y12" i="52"/>
  <c r="V12" i="52"/>
  <c r="W12" i="52" s="1"/>
  <c r="U12" i="52"/>
  <c r="R12" i="52"/>
  <c r="S12" i="52" s="1"/>
  <c r="Q12" i="52"/>
  <c r="N12" i="52"/>
  <c r="O12" i="52" s="1"/>
  <c r="M12" i="52"/>
  <c r="F12" i="52"/>
  <c r="G12" i="52" s="1"/>
  <c r="E12" i="52"/>
  <c r="AD9" i="52"/>
  <c r="AE9" i="52" s="1"/>
  <c r="AC9" i="52"/>
  <c r="Z9" i="52"/>
  <c r="AA9" i="52" s="1"/>
  <c r="Y9" i="52"/>
  <c r="V9" i="52"/>
  <c r="U9" i="52"/>
  <c r="R9" i="52"/>
  <c r="Q9" i="52"/>
  <c r="N9" i="52"/>
  <c r="M9" i="52"/>
  <c r="F9" i="52"/>
  <c r="G9" i="52" s="1"/>
  <c r="E9" i="52"/>
  <c r="AD6" i="52"/>
  <c r="AE6" i="52" s="1"/>
  <c r="AC6" i="52"/>
  <c r="Z6" i="52"/>
  <c r="AA6" i="52" s="1"/>
  <c r="Y6" i="52"/>
  <c r="V6" i="52"/>
  <c r="W6" i="52" s="1"/>
  <c r="U6" i="52"/>
  <c r="R6" i="52"/>
  <c r="S6" i="52" s="1"/>
  <c r="Q6" i="52"/>
  <c r="N6" i="52"/>
  <c r="O6" i="52" s="1"/>
  <c r="M6" i="52"/>
  <c r="F6" i="52"/>
  <c r="E6" i="52"/>
  <c r="AD11" i="52"/>
  <c r="AC11" i="52"/>
  <c r="Z11" i="52"/>
  <c r="Y11" i="52"/>
  <c r="V11" i="52"/>
  <c r="U11" i="52"/>
  <c r="R11" i="52"/>
  <c r="Q11" i="52"/>
  <c r="N11" i="52"/>
  <c r="M11" i="52"/>
  <c r="F11" i="52"/>
  <c r="E11" i="52"/>
  <c r="AD5" i="52"/>
  <c r="AE5" i="52" s="1"/>
  <c r="AC5" i="52"/>
  <c r="Z5" i="52"/>
  <c r="Y5" i="52"/>
  <c r="V5" i="52"/>
  <c r="W5" i="52" s="1"/>
  <c r="U5" i="52"/>
  <c r="R5" i="52"/>
  <c r="S5" i="52" s="1"/>
  <c r="Q5" i="52"/>
  <c r="N5" i="52"/>
  <c r="M5" i="52"/>
  <c r="F5" i="52"/>
  <c r="E5" i="52"/>
  <c r="AD7" i="52"/>
  <c r="AC7" i="52"/>
  <c r="Z7" i="52"/>
  <c r="AA7" i="52" s="1"/>
  <c r="Y7" i="52"/>
  <c r="V7" i="52"/>
  <c r="U7" i="52"/>
  <c r="R7" i="52"/>
  <c r="Q7" i="52"/>
  <c r="N7" i="52"/>
  <c r="M7" i="52"/>
  <c r="F7" i="52"/>
  <c r="E7" i="52"/>
  <c r="AD10" i="52"/>
  <c r="AC10" i="52"/>
  <c r="Z10" i="52"/>
  <c r="Y10" i="52"/>
  <c r="V10" i="52"/>
  <c r="U10" i="52"/>
  <c r="R10" i="52"/>
  <c r="Q10" i="52"/>
  <c r="N10" i="52"/>
  <c r="O10" i="52" s="1"/>
  <c r="M10" i="52"/>
  <c r="F10" i="52"/>
  <c r="E10" i="52"/>
  <c r="AD8" i="52"/>
  <c r="AC8" i="52"/>
  <c r="Z8" i="52"/>
  <c r="Y8" i="52"/>
  <c r="V8" i="52"/>
  <c r="U8" i="52"/>
  <c r="R8" i="52"/>
  <c r="Q8" i="52"/>
  <c r="N8" i="52"/>
  <c r="M8" i="52"/>
  <c r="J8" i="52"/>
  <c r="I8" i="52"/>
  <c r="F8" i="52"/>
  <c r="E8" i="52"/>
  <c r="AD24" i="51"/>
  <c r="AE24" i="51" s="1"/>
  <c r="AC24" i="51"/>
  <c r="Z24" i="51"/>
  <c r="AA24" i="51" s="1"/>
  <c r="Y24" i="51"/>
  <c r="V24" i="51"/>
  <c r="W24" i="51" s="1"/>
  <c r="U24" i="51"/>
  <c r="R24" i="51"/>
  <c r="S24" i="51" s="1"/>
  <c r="Q24" i="51"/>
  <c r="N24" i="51"/>
  <c r="O24" i="51" s="1"/>
  <c r="M24" i="51"/>
  <c r="F24" i="51"/>
  <c r="G24" i="51" s="1"/>
  <c r="E24" i="51"/>
  <c r="AD23" i="51"/>
  <c r="AE23" i="51" s="1"/>
  <c r="AC23" i="51"/>
  <c r="Z23" i="51"/>
  <c r="AA23" i="51" s="1"/>
  <c r="Y23" i="51"/>
  <c r="V23" i="51"/>
  <c r="W23" i="51" s="1"/>
  <c r="U23" i="51"/>
  <c r="R23" i="51"/>
  <c r="S23" i="51" s="1"/>
  <c r="Q23" i="51"/>
  <c r="N23" i="51"/>
  <c r="O23" i="51" s="1"/>
  <c r="M23" i="51"/>
  <c r="F23" i="51"/>
  <c r="G23" i="51" s="1"/>
  <c r="E23" i="51"/>
  <c r="AD22" i="51"/>
  <c r="AE22" i="51" s="1"/>
  <c r="AC22" i="51"/>
  <c r="Z22" i="51"/>
  <c r="AA22" i="51" s="1"/>
  <c r="Y22" i="51"/>
  <c r="V22" i="51"/>
  <c r="W22" i="51" s="1"/>
  <c r="U22" i="51"/>
  <c r="R22" i="51"/>
  <c r="S22" i="51" s="1"/>
  <c r="Q22" i="51"/>
  <c r="N22" i="51"/>
  <c r="O22" i="51" s="1"/>
  <c r="M22" i="51"/>
  <c r="F22" i="51"/>
  <c r="G22" i="51" s="1"/>
  <c r="E22" i="51"/>
  <c r="AD21" i="51"/>
  <c r="AE21" i="51" s="1"/>
  <c r="AC21" i="51"/>
  <c r="Z21" i="51"/>
  <c r="AA21" i="51" s="1"/>
  <c r="Y21" i="51"/>
  <c r="V21" i="51"/>
  <c r="W21" i="51" s="1"/>
  <c r="U21" i="51"/>
  <c r="R21" i="51"/>
  <c r="S21" i="51" s="1"/>
  <c r="Q21" i="51"/>
  <c r="N21" i="51"/>
  <c r="O21" i="51" s="1"/>
  <c r="M21" i="51"/>
  <c r="F21" i="51"/>
  <c r="G21" i="51" s="1"/>
  <c r="E21" i="51"/>
  <c r="AD20" i="51"/>
  <c r="AE20" i="51" s="1"/>
  <c r="AC20" i="51"/>
  <c r="Z20" i="51"/>
  <c r="AA20" i="51" s="1"/>
  <c r="Y20" i="51"/>
  <c r="V20" i="51"/>
  <c r="W20" i="51" s="1"/>
  <c r="U20" i="51"/>
  <c r="R20" i="51"/>
  <c r="S20" i="51" s="1"/>
  <c r="Q20" i="51"/>
  <c r="N20" i="51"/>
  <c r="O20" i="51" s="1"/>
  <c r="M20" i="51"/>
  <c r="F20" i="51"/>
  <c r="G20" i="51" s="1"/>
  <c r="E20" i="51"/>
  <c r="AD19" i="51"/>
  <c r="AE19" i="51" s="1"/>
  <c r="AC19" i="51"/>
  <c r="Z19" i="51"/>
  <c r="AA19" i="51" s="1"/>
  <c r="Y19" i="51"/>
  <c r="V19" i="51"/>
  <c r="W19" i="51" s="1"/>
  <c r="U19" i="51"/>
  <c r="R19" i="51"/>
  <c r="S19" i="51" s="1"/>
  <c r="Q19" i="51"/>
  <c r="N19" i="51"/>
  <c r="O19" i="51" s="1"/>
  <c r="M19" i="51"/>
  <c r="F19" i="51"/>
  <c r="G19" i="51" s="1"/>
  <c r="E19" i="51"/>
  <c r="AD18" i="51"/>
  <c r="AE18" i="51" s="1"/>
  <c r="AC18" i="51"/>
  <c r="Z18" i="51"/>
  <c r="AA18" i="51" s="1"/>
  <c r="Y18" i="51"/>
  <c r="V18" i="51"/>
  <c r="W18" i="51" s="1"/>
  <c r="U18" i="51"/>
  <c r="R18" i="51"/>
  <c r="S18" i="51" s="1"/>
  <c r="Q18" i="51"/>
  <c r="N18" i="51"/>
  <c r="O18" i="51" s="1"/>
  <c r="M18" i="51"/>
  <c r="F18" i="51"/>
  <c r="G18" i="51" s="1"/>
  <c r="E18" i="51"/>
  <c r="AD17" i="51"/>
  <c r="AE17" i="51" s="1"/>
  <c r="AC17" i="51"/>
  <c r="Z17" i="51"/>
  <c r="AA17" i="51" s="1"/>
  <c r="Y17" i="51"/>
  <c r="V17" i="51"/>
  <c r="W17" i="51" s="1"/>
  <c r="U17" i="51"/>
  <c r="R17" i="51"/>
  <c r="S17" i="51" s="1"/>
  <c r="Q17" i="51"/>
  <c r="N17" i="51"/>
  <c r="O17" i="51" s="1"/>
  <c r="M17" i="51"/>
  <c r="F17" i="51"/>
  <c r="G17" i="51" s="1"/>
  <c r="E17" i="51"/>
  <c r="AD16" i="51"/>
  <c r="AE16" i="51" s="1"/>
  <c r="AC16" i="51"/>
  <c r="Z16" i="51"/>
  <c r="AA16" i="51" s="1"/>
  <c r="Y16" i="51"/>
  <c r="V16" i="51"/>
  <c r="W16" i="51" s="1"/>
  <c r="U16" i="51"/>
  <c r="R16" i="51"/>
  <c r="S16" i="51" s="1"/>
  <c r="Q16" i="51"/>
  <c r="N16" i="51"/>
  <c r="O16" i="51" s="1"/>
  <c r="M16" i="51"/>
  <c r="F16" i="51"/>
  <c r="G16" i="51" s="1"/>
  <c r="E16" i="51"/>
  <c r="AD15" i="51"/>
  <c r="AE15" i="51" s="1"/>
  <c r="AC15" i="51"/>
  <c r="Z15" i="51"/>
  <c r="AA15" i="51" s="1"/>
  <c r="Y15" i="51"/>
  <c r="V15" i="51"/>
  <c r="W15" i="51" s="1"/>
  <c r="U15" i="51"/>
  <c r="R15" i="51"/>
  <c r="S15" i="51" s="1"/>
  <c r="Q15" i="51"/>
  <c r="N15" i="51"/>
  <c r="O15" i="51" s="1"/>
  <c r="M15" i="51"/>
  <c r="F15" i="51"/>
  <c r="G15" i="51" s="1"/>
  <c r="E15" i="51"/>
  <c r="AD14" i="51"/>
  <c r="AE14" i="51" s="1"/>
  <c r="AC14" i="51"/>
  <c r="Z14" i="51"/>
  <c r="AA14" i="51" s="1"/>
  <c r="Y14" i="51"/>
  <c r="V14" i="51"/>
  <c r="W14" i="51" s="1"/>
  <c r="U14" i="51"/>
  <c r="R14" i="51"/>
  <c r="S14" i="51" s="1"/>
  <c r="Q14" i="51"/>
  <c r="N14" i="51"/>
  <c r="O14" i="51" s="1"/>
  <c r="M14" i="51"/>
  <c r="F14" i="51"/>
  <c r="G14" i="51" s="1"/>
  <c r="E14" i="51"/>
  <c r="AD13" i="51"/>
  <c r="AE13" i="51" s="1"/>
  <c r="AC13" i="51"/>
  <c r="Z13" i="51"/>
  <c r="AA13" i="51" s="1"/>
  <c r="Y13" i="51"/>
  <c r="V13" i="51"/>
  <c r="W13" i="51" s="1"/>
  <c r="U13" i="51"/>
  <c r="R13" i="51"/>
  <c r="S13" i="51" s="1"/>
  <c r="Q13" i="51"/>
  <c r="N13" i="51"/>
  <c r="O13" i="51" s="1"/>
  <c r="M13" i="51"/>
  <c r="F13" i="51"/>
  <c r="G13" i="51" s="1"/>
  <c r="E13" i="51"/>
  <c r="AD5" i="51"/>
  <c r="AC5" i="51"/>
  <c r="Z5" i="51"/>
  <c r="Y5" i="51"/>
  <c r="V5" i="51"/>
  <c r="W5" i="51" s="1"/>
  <c r="U5" i="51"/>
  <c r="R5" i="51"/>
  <c r="S5" i="51" s="1"/>
  <c r="Q5" i="51"/>
  <c r="N5" i="51"/>
  <c r="M5" i="51"/>
  <c r="F5" i="51"/>
  <c r="G5" i="51" s="1"/>
  <c r="E5" i="51"/>
  <c r="AD12" i="51"/>
  <c r="AE12" i="51" s="1"/>
  <c r="AC12" i="51"/>
  <c r="Z12" i="51"/>
  <c r="AA12" i="51" s="1"/>
  <c r="Y12" i="51"/>
  <c r="V12" i="51"/>
  <c r="W12" i="51" s="1"/>
  <c r="U12" i="51"/>
  <c r="R12" i="51"/>
  <c r="S12" i="51" s="1"/>
  <c r="Q12" i="51"/>
  <c r="N12" i="51"/>
  <c r="O12" i="51" s="1"/>
  <c r="M12" i="51"/>
  <c r="F12" i="51"/>
  <c r="G12" i="51" s="1"/>
  <c r="E12" i="51"/>
  <c r="AD10" i="51"/>
  <c r="AC10" i="51"/>
  <c r="Z10" i="51"/>
  <c r="Y10" i="51"/>
  <c r="V10" i="51"/>
  <c r="W10" i="51" s="1"/>
  <c r="U10" i="51"/>
  <c r="R10" i="51"/>
  <c r="Q10" i="51"/>
  <c r="N10" i="51"/>
  <c r="O10" i="51" s="1"/>
  <c r="M10" i="51"/>
  <c r="F10" i="51"/>
  <c r="G10" i="51" s="1"/>
  <c r="E10" i="51"/>
  <c r="AD6" i="51"/>
  <c r="AC6" i="51"/>
  <c r="Z6" i="51"/>
  <c r="Y6" i="51"/>
  <c r="V6" i="51"/>
  <c r="U6" i="51"/>
  <c r="R6" i="51"/>
  <c r="Q6" i="51"/>
  <c r="N6" i="51"/>
  <c r="M6" i="51"/>
  <c r="F6" i="51"/>
  <c r="E6" i="51"/>
  <c r="AD8" i="51"/>
  <c r="AC8" i="51"/>
  <c r="Z8" i="51"/>
  <c r="Y8" i="51"/>
  <c r="V8" i="51"/>
  <c r="W8" i="51" s="1"/>
  <c r="U8" i="51"/>
  <c r="R8" i="51"/>
  <c r="S8" i="51" s="1"/>
  <c r="Q8" i="51"/>
  <c r="N8" i="51"/>
  <c r="O8" i="51" s="1"/>
  <c r="M8" i="51"/>
  <c r="F8" i="51"/>
  <c r="G8" i="51" s="1"/>
  <c r="E8" i="51"/>
  <c r="AD11" i="51"/>
  <c r="AC11" i="51"/>
  <c r="Z11" i="51"/>
  <c r="Y11" i="51"/>
  <c r="V11" i="51"/>
  <c r="U11" i="51"/>
  <c r="R11" i="51"/>
  <c r="S11" i="51" s="1"/>
  <c r="Q11" i="51"/>
  <c r="N11" i="51"/>
  <c r="M11" i="51"/>
  <c r="F11" i="51"/>
  <c r="G11" i="51" s="1"/>
  <c r="E11" i="51"/>
  <c r="AD9" i="51"/>
  <c r="AC9" i="51"/>
  <c r="Z9" i="51"/>
  <c r="AA9" i="51" s="1"/>
  <c r="Y9" i="51"/>
  <c r="V9" i="51"/>
  <c r="U9" i="51"/>
  <c r="R9" i="51"/>
  <c r="S9" i="51" s="1"/>
  <c r="Q9" i="51"/>
  <c r="N9" i="51"/>
  <c r="M9" i="51"/>
  <c r="J9" i="51"/>
  <c r="I9" i="51"/>
  <c r="F9" i="51"/>
  <c r="G9" i="51" s="1"/>
  <c r="E9" i="51"/>
  <c r="AD7" i="51"/>
  <c r="AE7" i="51" s="1"/>
  <c r="AC7" i="51"/>
  <c r="Z7" i="51"/>
  <c r="AA7" i="51" s="1"/>
  <c r="Y7" i="51"/>
  <c r="V7" i="51"/>
  <c r="W7" i="51" s="1"/>
  <c r="U7" i="51"/>
  <c r="R7" i="51"/>
  <c r="Q7" i="51"/>
  <c r="N7" i="51"/>
  <c r="O7" i="51" s="1"/>
  <c r="M7" i="51"/>
  <c r="F7" i="51"/>
  <c r="E7" i="51"/>
  <c r="AD9" i="50"/>
  <c r="AC9" i="50"/>
  <c r="Z9" i="50"/>
  <c r="Y9" i="50"/>
  <c r="V9" i="50"/>
  <c r="U9" i="50"/>
  <c r="R9" i="50"/>
  <c r="Q9" i="50"/>
  <c r="N9" i="50"/>
  <c r="M9" i="50"/>
  <c r="F9" i="50"/>
  <c r="E9" i="50"/>
  <c r="AC5" i="50"/>
  <c r="AC11" i="50"/>
  <c r="AC8" i="50"/>
  <c r="AC13" i="50"/>
  <c r="AC7" i="50"/>
  <c r="AC12" i="50"/>
  <c r="AC14" i="50"/>
  <c r="AC10" i="50"/>
  <c r="AC6" i="50"/>
  <c r="AC15" i="50"/>
  <c r="AC16" i="50"/>
  <c r="AC17" i="50"/>
  <c r="AC18" i="50"/>
  <c r="AC19" i="50"/>
  <c r="AC20" i="50"/>
  <c r="AC21" i="50"/>
  <c r="AC22" i="50"/>
  <c r="AC23" i="50"/>
  <c r="AC24" i="50"/>
  <c r="AD5" i="50"/>
  <c r="AD11" i="50"/>
  <c r="AD8" i="50"/>
  <c r="AD13" i="50"/>
  <c r="AE13" i="50" s="1"/>
  <c r="AD7" i="50"/>
  <c r="AD12" i="50"/>
  <c r="AE12" i="50" s="1"/>
  <c r="AD14" i="50"/>
  <c r="AE14" i="50" s="1"/>
  <c r="AD10" i="50"/>
  <c r="AD6" i="50"/>
  <c r="AD15" i="50"/>
  <c r="AE15" i="50" s="1"/>
  <c r="AD16" i="50"/>
  <c r="AE16" i="50" s="1"/>
  <c r="AD17" i="50"/>
  <c r="AE17" i="50" s="1"/>
  <c r="AD18" i="50"/>
  <c r="AE18" i="50" s="1"/>
  <c r="AD19" i="50"/>
  <c r="AE19" i="50" s="1"/>
  <c r="AD20" i="50"/>
  <c r="AE20" i="50" s="1"/>
  <c r="AD21" i="50"/>
  <c r="AE21" i="50" s="1"/>
  <c r="AD22" i="50"/>
  <c r="AE22" i="50" s="1"/>
  <c r="AD23" i="50"/>
  <c r="AE23" i="50" s="1"/>
  <c r="AD24" i="50"/>
  <c r="AE24" i="50" s="1"/>
  <c r="Y5" i="50"/>
  <c r="Y11" i="50"/>
  <c r="Y8" i="50"/>
  <c r="Y13" i="50"/>
  <c r="Y7" i="50"/>
  <c r="Y12" i="50"/>
  <c r="Y14" i="50"/>
  <c r="Y10" i="50"/>
  <c r="Y6" i="50"/>
  <c r="Y15" i="50"/>
  <c r="Y16" i="50"/>
  <c r="Y17" i="50"/>
  <c r="Y18" i="50"/>
  <c r="Y19" i="50"/>
  <c r="Y20" i="50"/>
  <c r="Y21" i="50"/>
  <c r="Y22" i="50"/>
  <c r="Y23" i="50"/>
  <c r="Y24" i="50"/>
  <c r="Z5" i="50"/>
  <c r="Z11" i="50"/>
  <c r="Z8" i="50"/>
  <c r="Z13" i="50"/>
  <c r="AA13" i="50" s="1"/>
  <c r="Z7" i="50"/>
  <c r="Z12" i="50"/>
  <c r="AA12" i="50" s="1"/>
  <c r="Z14" i="50"/>
  <c r="AA14" i="50" s="1"/>
  <c r="Z10" i="50"/>
  <c r="Z6" i="50"/>
  <c r="AA6" i="50" s="1"/>
  <c r="Z15" i="50"/>
  <c r="AA15" i="50" s="1"/>
  <c r="Z16" i="50"/>
  <c r="AA16" i="50" s="1"/>
  <c r="Z17" i="50"/>
  <c r="AA17" i="50" s="1"/>
  <c r="Z18" i="50"/>
  <c r="AA18" i="50" s="1"/>
  <c r="Z19" i="50"/>
  <c r="AA19" i="50" s="1"/>
  <c r="Z20" i="50"/>
  <c r="AA20" i="50" s="1"/>
  <c r="Z21" i="50"/>
  <c r="AA21" i="50" s="1"/>
  <c r="Z22" i="50"/>
  <c r="AA22" i="50" s="1"/>
  <c r="Z23" i="50"/>
  <c r="AA23" i="50" s="1"/>
  <c r="Z24" i="50"/>
  <c r="AA24" i="50" s="1"/>
  <c r="U5" i="50"/>
  <c r="U11" i="50"/>
  <c r="U8" i="50"/>
  <c r="U13" i="50"/>
  <c r="U7" i="50"/>
  <c r="U12" i="50"/>
  <c r="U14" i="50"/>
  <c r="U10" i="50"/>
  <c r="U6" i="50"/>
  <c r="U15" i="50"/>
  <c r="U16" i="50"/>
  <c r="U17" i="50"/>
  <c r="U18" i="50"/>
  <c r="U19" i="50"/>
  <c r="U20" i="50"/>
  <c r="U21" i="50"/>
  <c r="U22" i="50"/>
  <c r="U23" i="50"/>
  <c r="U24" i="50"/>
  <c r="V5" i="50"/>
  <c r="V11" i="50"/>
  <c r="V8" i="50"/>
  <c r="V13" i="50"/>
  <c r="W13" i="50" s="1"/>
  <c r="V7" i="50"/>
  <c r="V12" i="50"/>
  <c r="W12" i="50" s="1"/>
  <c r="V14" i="50"/>
  <c r="V10" i="50"/>
  <c r="V6" i="50"/>
  <c r="V15" i="50"/>
  <c r="W15" i="50" s="1"/>
  <c r="V16" i="50"/>
  <c r="W16" i="50" s="1"/>
  <c r="V17" i="50"/>
  <c r="W17" i="50" s="1"/>
  <c r="V18" i="50"/>
  <c r="W18" i="50" s="1"/>
  <c r="V19" i="50"/>
  <c r="W19" i="50" s="1"/>
  <c r="V20" i="50"/>
  <c r="W20" i="50" s="1"/>
  <c r="V21" i="50"/>
  <c r="W21" i="50" s="1"/>
  <c r="V22" i="50"/>
  <c r="W22" i="50" s="1"/>
  <c r="V23" i="50"/>
  <c r="W23" i="50" s="1"/>
  <c r="V24" i="50"/>
  <c r="W24" i="50" s="1"/>
  <c r="Q5" i="50"/>
  <c r="Q11" i="50"/>
  <c r="Q8" i="50"/>
  <c r="Q13" i="50"/>
  <c r="Q7" i="50"/>
  <c r="Q12" i="50"/>
  <c r="Q14" i="50"/>
  <c r="Q10" i="50"/>
  <c r="Q6" i="50"/>
  <c r="Q15" i="50"/>
  <c r="Q16" i="50"/>
  <c r="Q17" i="50"/>
  <c r="Q18" i="50"/>
  <c r="Q19" i="50"/>
  <c r="Q20" i="50"/>
  <c r="Q21" i="50"/>
  <c r="Q22" i="50"/>
  <c r="Q23" i="50"/>
  <c r="Q24" i="50"/>
  <c r="R5" i="50"/>
  <c r="R11" i="50"/>
  <c r="R8" i="50"/>
  <c r="R13" i="50"/>
  <c r="S13" i="50" s="1"/>
  <c r="R7" i="50"/>
  <c r="R12" i="50"/>
  <c r="S12" i="50" s="1"/>
  <c r="R14" i="50"/>
  <c r="S14" i="50" s="1"/>
  <c r="R10" i="50"/>
  <c r="R6" i="50"/>
  <c r="R15" i="50"/>
  <c r="S15" i="50" s="1"/>
  <c r="R16" i="50"/>
  <c r="S16" i="50" s="1"/>
  <c r="R17" i="50"/>
  <c r="S17" i="50" s="1"/>
  <c r="R18" i="50"/>
  <c r="S18" i="50" s="1"/>
  <c r="R19" i="50"/>
  <c r="S19" i="50" s="1"/>
  <c r="R20" i="50"/>
  <c r="S20" i="50" s="1"/>
  <c r="R21" i="50"/>
  <c r="S21" i="50" s="1"/>
  <c r="R22" i="50"/>
  <c r="S22" i="50" s="1"/>
  <c r="R23" i="50"/>
  <c r="S23" i="50" s="1"/>
  <c r="R24" i="50"/>
  <c r="S24" i="50" s="1"/>
  <c r="M5" i="50"/>
  <c r="M11" i="50"/>
  <c r="M8" i="50"/>
  <c r="M13" i="50"/>
  <c r="M7" i="50"/>
  <c r="M12" i="50"/>
  <c r="M14" i="50"/>
  <c r="M10" i="50"/>
  <c r="M6" i="50"/>
  <c r="M15" i="50"/>
  <c r="M16" i="50"/>
  <c r="M17" i="50"/>
  <c r="M18" i="50"/>
  <c r="M19" i="50"/>
  <c r="M20" i="50"/>
  <c r="M21" i="50"/>
  <c r="M22" i="50"/>
  <c r="M23" i="50"/>
  <c r="M24" i="50"/>
  <c r="N5" i="50"/>
  <c r="N11" i="50"/>
  <c r="N8" i="50"/>
  <c r="N13" i="50"/>
  <c r="O13" i="50" s="1"/>
  <c r="N7" i="50"/>
  <c r="N12" i="50"/>
  <c r="O12" i="50" s="1"/>
  <c r="N14" i="50"/>
  <c r="O14" i="50" s="1"/>
  <c r="N10" i="50"/>
  <c r="N6" i="50"/>
  <c r="N15" i="50"/>
  <c r="O15" i="50" s="1"/>
  <c r="N16" i="50"/>
  <c r="O16" i="50" s="1"/>
  <c r="N17" i="50"/>
  <c r="O17" i="50" s="1"/>
  <c r="N18" i="50"/>
  <c r="O18" i="50" s="1"/>
  <c r="N19" i="50"/>
  <c r="O19" i="50" s="1"/>
  <c r="N20" i="50"/>
  <c r="O20" i="50" s="1"/>
  <c r="N21" i="50"/>
  <c r="O21" i="50" s="1"/>
  <c r="N22" i="50"/>
  <c r="O22" i="50" s="1"/>
  <c r="N23" i="50"/>
  <c r="O23" i="50" s="1"/>
  <c r="N24" i="50"/>
  <c r="O24" i="50" s="1"/>
  <c r="E5" i="50"/>
  <c r="E11" i="50"/>
  <c r="E8" i="50"/>
  <c r="E13" i="50"/>
  <c r="E7" i="50"/>
  <c r="E12" i="50"/>
  <c r="E14" i="50"/>
  <c r="E10" i="50"/>
  <c r="E6" i="50"/>
  <c r="E15" i="50"/>
  <c r="E16" i="50"/>
  <c r="E17" i="50"/>
  <c r="E18" i="50"/>
  <c r="E19" i="50"/>
  <c r="E20" i="50"/>
  <c r="E21" i="50"/>
  <c r="E22" i="50"/>
  <c r="E23" i="50"/>
  <c r="E24" i="50"/>
  <c r="F5" i="50"/>
  <c r="F11" i="50"/>
  <c r="F8" i="50"/>
  <c r="F13" i="50"/>
  <c r="F7" i="50"/>
  <c r="F12" i="50"/>
  <c r="G12" i="50" s="1"/>
  <c r="F14" i="50"/>
  <c r="G14" i="50" s="1"/>
  <c r="F10" i="50"/>
  <c r="F6" i="50"/>
  <c r="F15" i="50"/>
  <c r="G15" i="50" s="1"/>
  <c r="F16" i="50"/>
  <c r="G16" i="50" s="1"/>
  <c r="F17" i="50"/>
  <c r="G17" i="50" s="1"/>
  <c r="F18" i="50"/>
  <c r="G18" i="50" s="1"/>
  <c r="F19" i="50"/>
  <c r="G19" i="50" s="1"/>
  <c r="F20" i="50"/>
  <c r="G20" i="50" s="1"/>
  <c r="F21" i="50"/>
  <c r="G21" i="50" s="1"/>
  <c r="F22" i="50"/>
  <c r="G22" i="50" s="1"/>
  <c r="F23" i="50"/>
  <c r="G23" i="50" s="1"/>
  <c r="F24" i="50"/>
  <c r="G24" i="50" s="1"/>
  <c r="J8" i="50"/>
  <c r="I8" i="50"/>
  <c r="Z14" i="87" l="1"/>
  <c r="L17" i="87"/>
  <c r="M17" i="87" s="1"/>
  <c r="AJ8" i="84"/>
  <c r="AK8" i="84" s="1"/>
  <c r="Z10" i="87"/>
  <c r="AJ8" i="82"/>
  <c r="AK8" i="82" s="1"/>
  <c r="C8" i="114" s="1"/>
  <c r="D8" i="114" s="1"/>
  <c r="Z12" i="87"/>
  <c r="Z10" i="92"/>
  <c r="AJ13" i="90"/>
  <c r="AK13" i="90" s="1"/>
  <c r="AJ14" i="90"/>
  <c r="AK14" i="90" s="1"/>
  <c r="Z20" i="92"/>
  <c r="L21" i="92"/>
  <c r="M21" i="92" s="1"/>
  <c r="O9" i="92"/>
  <c r="P9" i="92" s="1"/>
  <c r="AJ20" i="89"/>
  <c r="AK20" i="89" s="1"/>
  <c r="Z9" i="92"/>
  <c r="Z13" i="92"/>
  <c r="O5" i="92"/>
  <c r="P5" i="92" s="1"/>
  <c r="AJ11" i="88"/>
  <c r="AK11" i="88" s="1"/>
  <c r="Z5" i="92"/>
  <c r="Z11" i="92"/>
  <c r="Z6" i="92"/>
  <c r="AJ10" i="100"/>
  <c r="AK10" i="100" s="1"/>
  <c r="F7" i="102"/>
  <c r="G7" i="102" s="1"/>
  <c r="AJ9" i="96"/>
  <c r="AK9" i="96" s="1"/>
  <c r="AJ7" i="96"/>
  <c r="AK7" i="96" s="1"/>
  <c r="AJ6" i="95"/>
  <c r="AK6" i="95" s="1"/>
  <c r="U12" i="102"/>
  <c r="V12" i="102" s="1"/>
  <c r="AA14" i="56"/>
  <c r="AE11" i="56"/>
  <c r="AE7" i="56"/>
  <c r="AE15" i="56"/>
  <c r="U22" i="57" s="1"/>
  <c r="V22" i="57" s="1"/>
  <c r="AE21" i="56"/>
  <c r="AE16" i="56"/>
  <c r="O5" i="55"/>
  <c r="W5" i="55"/>
  <c r="AE5" i="55"/>
  <c r="AE11" i="55"/>
  <c r="AE24" i="55"/>
  <c r="AE23" i="55"/>
  <c r="AE22" i="55"/>
  <c r="U21" i="57" s="1"/>
  <c r="AE26" i="55"/>
  <c r="G9" i="54"/>
  <c r="AA9" i="54"/>
  <c r="S10" i="54"/>
  <c r="AA10" i="54"/>
  <c r="R12" i="57" s="1"/>
  <c r="S12" i="57" s="1"/>
  <c r="AE9" i="54"/>
  <c r="AE10" i="54"/>
  <c r="S8" i="53"/>
  <c r="S15" i="53"/>
  <c r="S16" i="53"/>
  <c r="W5" i="53"/>
  <c r="AA8" i="53"/>
  <c r="AA12" i="53"/>
  <c r="AA16" i="53"/>
  <c r="AE5" i="53"/>
  <c r="AE16" i="53"/>
  <c r="AE14" i="53"/>
  <c r="U9" i="57"/>
  <c r="V9" i="57" s="1"/>
  <c r="R13" i="76"/>
  <c r="L11" i="76"/>
  <c r="M11" i="76" s="1"/>
  <c r="U6" i="76"/>
  <c r="V6" i="76" s="1"/>
  <c r="L5" i="76"/>
  <c r="M5" i="76" s="1"/>
  <c r="R12" i="76"/>
  <c r="S12" i="76" s="1"/>
  <c r="AJ10" i="79"/>
  <c r="AK10" i="79" s="1"/>
  <c r="Z19" i="81"/>
  <c r="U15" i="81"/>
  <c r="V15" i="81" s="1"/>
  <c r="U8" i="81"/>
  <c r="Z9" i="81"/>
  <c r="U24" i="81"/>
  <c r="Z12" i="81"/>
  <c r="AE10" i="51"/>
  <c r="AE5" i="51"/>
  <c r="AE8" i="51"/>
  <c r="AE6" i="51"/>
  <c r="AE6" i="50"/>
  <c r="AA9" i="49"/>
  <c r="AE7" i="49"/>
  <c r="AE12" i="49"/>
  <c r="AE11" i="49"/>
  <c r="AA7" i="56"/>
  <c r="AA15" i="56"/>
  <c r="R22" i="57" s="1"/>
  <c r="AA21" i="56"/>
  <c r="AA16" i="56"/>
  <c r="AA12" i="55"/>
  <c r="AA24" i="55"/>
  <c r="R26" i="57" s="1"/>
  <c r="AA6" i="55"/>
  <c r="AA23" i="55"/>
  <c r="R18" i="57" s="1"/>
  <c r="AA21" i="53"/>
  <c r="AJ21" i="53" s="1"/>
  <c r="AK21" i="53" s="1"/>
  <c r="AA10" i="53"/>
  <c r="R5" i="76"/>
  <c r="S5" i="76" s="1"/>
  <c r="Z9" i="76"/>
  <c r="AA10" i="51"/>
  <c r="AA11" i="51"/>
  <c r="AA5" i="51"/>
  <c r="AA6" i="51"/>
  <c r="AA8" i="51"/>
  <c r="G10" i="50"/>
  <c r="AA12" i="49"/>
  <c r="AA5" i="49"/>
  <c r="AJ16" i="78"/>
  <c r="AK16" i="78" s="1"/>
  <c r="AJ8" i="77"/>
  <c r="AK8" i="77" s="1"/>
  <c r="D22" i="81"/>
  <c r="K17" i="87"/>
  <c r="W17" i="87"/>
  <c r="C5" i="87"/>
  <c r="D5" i="87" s="1"/>
  <c r="O9" i="87"/>
  <c r="P9" i="87" s="1"/>
  <c r="N14" i="87"/>
  <c r="AJ9" i="82"/>
  <c r="AK9" i="82" s="1"/>
  <c r="Z11" i="87"/>
  <c r="AJ19" i="91"/>
  <c r="AK19" i="91" s="1"/>
  <c r="C17" i="92"/>
  <c r="D17" i="92" s="1"/>
  <c r="AJ16" i="90"/>
  <c r="AK16" i="90" s="1"/>
  <c r="AJ15" i="89"/>
  <c r="AK15" i="89" s="1"/>
  <c r="R22" i="92"/>
  <c r="S22" i="92" s="1"/>
  <c r="O6" i="92"/>
  <c r="P6" i="92" s="1"/>
  <c r="S16" i="102"/>
  <c r="C7" i="102"/>
  <c r="D7" i="102" s="1"/>
  <c r="L6" i="102"/>
  <c r="M6" i="102" s="1"/>
  <c r="O7" i="102"/>
  <c r="P7" i="102" s="1"/>
  <c r="I14" i="102"/>
  <c r="J14" i="102" s="1"/>
  <c r="O15" i="102"/>
  <c r="P15" i="102" s="1"/>
  <c r="AJ8" i="95"/>
  <c r="AK8" i="95" s="1"/>
  <c r="O9" i="102"/>
  <c r="P9" i="102" s="1"/>
  <c r="AJ8" i="94"/>
  <c r="AK8" i="94" s="1"/>
  <c r="E16" i="102"/>
  <c r="W14" i="50"/>
  <c r="W6" i="50"/>
  <c r="W12" i="49"/>
  <c r="W7" i="49"/>
  <c r="W14" i="56"/>
  <c r="W22" i="56"/>
  <c r="W7" i="56"/>
  <c r="W15" i="56"/>
  <c r="O22" i="57" s="1"/>
  <c r="P22" i="57" s="1"/>
  <c r="W6" i="56"/>
  <c r="W12" i="56"/>
  <c r="O12" i="57" s="1"/>
  <c r="X26" i="57"/>
  <c r="W13" i="55"/>
  <c r="W12" i="55"/>
  <c r="W10" i="54"/>
  <c r="W5" i="54"/>
  <c r="W25" i="54"/>
  <c r="O26" i="57" s="1"/>
  <c r="W11" i="54"/>
  <c r="O13" i="57" s="1"/>
  <c r="W12" i="53"/>
  <c r="W7" i="53"/>
  <c r="W13" i="53"/>
  <c r="W16" i="53"/>
  <c r="AJ5" i="75"/>
  <c r="AK5" i="75" s="1"/>
  <c r="U11" i="76"/>
  <c r="V11" i="76" s="1"/>
  <c r="C5" i="76"/>
  <c r="D5" i="76" s="1"/>
  <c r="O15" i="81"/>
  <c r="AJ14" i="78"/>
  <c r="AK14" i="78" s="1"/>
  <c r="L12" i="81"/>
  <c r="M12" i="81" s="1"/>
  <c r="L9" i="81"/>
  <c r="M9" i="81" s="1"/>
  <c r="S14" i="87"/>
  <c r="J14" i="87"/>
  <c r="AJ11" i="84"/>
  <c r="AK11" i="84" s="1"/>
  <c r="AA14" i="87"/>
  <c r="AB14" i="87" s="1"/>
  <c r="AJ5" i="84"/>
  <c r="AK5" i="84" s="1"/>
  <c r="O5" i="87"/>
  <c r="P5" i="87" s="1"/>
  <c r="S17" i="87"/>
  <c r="L7" i="92"/>
  <c r="M7" i="92" s="1"/>
  <c r="I13" i="92"/>
  <c r="J13" i="92" s="1"/>
  <c r="AJ7" i="97"/>
  <c r="AK7" i="97" s="1"/>
  <c r="L9" i="102"/>
  <c r="M9" i="102" s="1"/>
  <c r="I15" i="102"/>
  <c r="J15" i="102" s="1"/>
  <c r="C12" i="102"/>
  <c r="D12" i="102" s="1"/>
  <c r="O5" i="102"/>
  <c r="P5" i="102" s="1"/>
  <c r="O14" i="102"/>
  <c r="P14" i="102" s="1"/>
  <c r="P18" i="102"/>
  <c r="P16" i="102"/>
  <c r="AJ5" i="94"/>
  <c r="AK5" i="94" s="1"/>
  <c r="AJ6" i="94"/>
  <c r="AK6" i="94" s="1"/>
  <c r="L5" i="102"/>
  <c r="W16" i="102"/>
  <c r="S6" i="51"/>
  <c r="S10" i="51"/>
  <c r="S10" i="50"/>
  <c r="O10" i="50"/>
  <c r="S7" i="49"/>
  <c r="S6" i="56"/>
  <c r="S11" i="56"/>
  <c r="S25" i="56"/>
  <c r="O7" i="56"/>
  <c r="O22" i="56"/>
  <c r="O15" i="56"/>
  <c r="U26" i="57"/>
  <c r="V26" i="57" s="1"/>
  <c r="O8" i="55"/>
  <c r="S11" i="55"/>
  <c r="S8" i="55"/>
  <c r="S5" i="55"/>
  <c r="S24" i="55"/>
  <c r="L26" i="57" s="1"/>
  <c r="S25" i="55"/>
  <c r="S23" i="55"/>
  <c r="L18" i="57" s="1"/>
  <c r="S26" i="55"/>
  <c r="O11" i="55"/>
  <c r="O26" i="55"/>
  <c r="O12" i="55"/>
  <c r="R13" i="57"/>
  <c r="S13" i="57" s="1"/>
  <c r="X22" i="57"/>
  <c r="Y22" i="57" s="1"/>
  <c r="U13" i="57"/>
  <c r="C22" i="57"/>
  <c r="E22" i="57" s="1"/>
  <c r="R16" i="57"/>
  <c r="S5" i="54"/>
  <c r="S11" i="54"/>
  <c r="S9" i="54"/>
  <c r="S8" i="54"/>
  <c r="S16" i="54"/>
  <c r="L22" i="57" s="1"/>
  <c r="M22" i="57" s="1"/>
  <c r="L13" i="57"/>
  <c r="M13" i="57" s="1"/>
  <c r="L16" i="57"/>
  <c r="Y21" i="57"/>
  <c r="O9" i="54"/>
  <c r="O5" i="54"/>
  <c r="O11" i="54"/>
  <c r="I13" i="57" s="1"/>
  <c r="J13" i="57" s="1"/>
  <c r="O25" i="54"/>
  <c r="I26" i="57" s="1"/>
  <c r="J26" i="57" s="1"/>
  <c r="O24" i="54"/>
  <c r="AJ24" i="54" s="1"/>
  <c r="AK24" i="54" s="1"/>
  <c r="O10" i="54"/>
  <c r="O16" i="54"/>
  <c r="C16" i="57"/>
  <c r="O21" i="57"/>
  <c r="P21" i="57" s="1"/>
  <c r="U7" i="57"/>
  <c r="O14" i="57"/>
  <c r="O7" i="57"/>
  <c r="O24" i="57"/>
  <c r="P24" i="57" s="1"/>
  <c r="O16" i="57"/>
  <c r="R21" i="57"/>
  <c r="O19" i="57"/>
  <c r="P19" i="57" s="1"/>
  <c r="O18" i="57"/>
  <c r="X18" i="57"/>
  <c r="Y18" i="57" s="1"/>
  <c r="U12" i="57"/>
  <c r="R14" i="57"/>
  <c r="S14" i="57" s="1"/>
  <c r="S10" i="53"/>
  <c r="L12" i="57"/>
  <c r="L19" i="57"/>
  <c r="M19" i="57" s="1"/>
  <c r="L21" i="57"/>
  <c r="M21" i="57" s="1"/>
  <c r="L14" i="57"/>
  <c r="O10" i="53"/>
  <c r="O8" i="53"/>
  <c r="O12" i="53"/>
  <c r="O15" i="53"/>
  <c r="J23" i="57" s="1"/>
  <c r="O16" i="53"/>
  <c r="I21" i="57" s="1"/>
  <c r="O9" i="53"/>
  <c r="I16" i="57" s="1"/>
  <c r="O18" i="53"/>
  <c r="O5" i="53"/>
  <c r="I7" i="57"/>
  <c r="AJ7" i="75"/>
  <c r="AK7" i="75" s="1"/>
  <c r="AJ7" i="73"/>
  <c r="AK7" i="73" s="1"/>
  <c r="AJ8" i="72"/>
  <c r="AK8" i="72" s="1"/>
  <c r="L10" i="76"/>
  <c r="M10" i="76" s="1"/>
  <c r="I12" i="76"/>
  <c r="J12" i="76" s="1"/>
  <c r="U7" i="76"/>
  <c r="V7" i="76" s="1"/>
  <c r="C17" i="76"/>
  <c r="D17" i="76" s="1"/>
  <c r="Q16" i="76"/>
  <c r="AJ9" i="80"/>
  <c r="AK9" i="80" s="1"/>
  <c r="AJ16" i="79"/>
  <c r="AK16" i="79" s="1"/>
  <c r="C21" i="115" s="1"/>
  <c r="D21" i="115" s="1"/>
  <c r="AJ6" i="79"/>
  <c r="AK6" i="79" s="1"/>
  <c r="M22" i="81"/>
  <c r="S22" i="81"/>
  <c r="I24" i="81"/>
  <c r="J24" i="81" s="1"/>
  <c r="L20" i="81"/>
  <c r="M20" i="81" s="1"/>
  <c r="AJ11" i="77"/>
  <c r="AK11" i="77" s="1"/>
  <c r="L6" i="81"/>
  <c r="M6" i="81" s="1"/>
  <c r="L14" i="81"/>
  <c r="M14" i="81" s="1"/>
  <c r="AJ9" i="77"/>
  <c r="AK9" i="77" s="1"/>
  <c r="C12" i="81"/>
  <c r="D12" i="81" s="1"/>
  <c r="AJ12" i="77"/>
  <c r="AK12" i="77" s="1"/>
  <c r="I14" i="81"/>
  <c r="J14" i="81" s="1"/>
  <c r="AL20" i="77"/>
  <c r="C28" i="115"/>
  <c r="D28" i="115" s="1"/>
  <c r="E28" i="115" s="1"/>
  <c r="K22" i="81"/>
  <c r="AJ17" i="77"/>
  <c r="AK17" i="77" s="1"/>
  <c r="AL19" i="77"/>
  <c r="C27" i="115"/>
  <c r="D27" i="115" s="1"/>
  <c r="E27" i="115" s="1"/>
  <c r="AJ8" i="85"/>
  <c r="AK8" i="85" s="1"/>
  <c r="D17" i="87"/>
  <c r="L5" i="87"/>
  <c r="M5" i="87" s="1"/>
  <c r="C15" i="87"/>
  <c r="AA15" i="87" s="1"/>
  <c r="AB15" i="87" s="1"/>
  <c r="AJ7" i="84"/>
  <c r="AK7" i="84" s="1"/>
  <c r="AJ13" i="84"/>
  <c r="AK13" i="84" s="1"/>
  <c r="AJ11" i="83"/>
  <c r="AK11" i="83" s="1"/>
  <c r="AJ17" i="83"/>
  <c r="AK17" i="83" s="1"/>
  <c r="L9" i="87"/>
  <c r="M9" i="87" s="1"/>
  <c r="L6" i="87"/>
  <c r="AJ10" i="83"/>
  <c r="AK10" i="83" s="1"/>
  <c r="AJ13" i="83"/>
  <c r="AK13" i="83" s="1"/>
  <c r="AA11" i="87"/>
  <c r="AB11" i="87" s="1"/>
  <c r="C12" i="114"/>
  <c r="D12" i="114" s="1"/>
  <c r="AL13" i="82"/>
  <c r="C13" i="114"/>
  <c r="D13" i="114" s="1"/>
  <c r="E13" i="114" s="1"/>
  <c r="AJ9" i="91"/>
  <c r="AK9" i="91" s="1"/>
  <c r="L17" i="92"/>
  <c r="M17" i="92" s="1"/>
  <c r="AA20" i="92"/>
  <c r="AB20" i="92" s="1"/>
  <c r="AJ5" i="90"/>
  <c r="AK5" i="90" s="1"/>
  <c r="J20" i="92"/>
  <c r="L19" i="92"/>
  <c r="AA19" i="92" s="1"/>
  <c r="AB19" i="92" s="1"/>
  <c r="I15" i="92"/>
  <c r="J15" i="92" s="1"/>
  <c r="L12" i="92"/>
  <c r="M12" i="92" s="1"/>
  <c r="L6" i="92"/>
  <c r="M6" i="92" s="1"/>
  <c r="L14" i="92"/>
  <c r="M14" i="92" s="1"/>
  <c r="L22" i="92"/>
  <c r="Y5" i="92"/>
  <c r="AJ15" i="88"/>
  <c r="AK15" i="88" s="1"/>
  <c r="AJ10" i="88"/>
  <c r="AK10" i="88" s="1"/>
  <c r="M6" i="103"/>
  <c r="U7" i="102"/>
  <c r="V7" i="102" s="1"/>
  <c r="I5" i="102"/>
  <c r="J5" i="102" s="1"/>
  <c r="H16" i="102"/>
  <c r="N17" i="102"/>
  <c r="AJ11" i="95"/>
  <c r="AK11" i="95" s="1"/>
  <c r="L15" i="102"/>
  <c r="M15" i="102" s="1"/>
  <c r="AJ9" i="95"/>
  <c r="AK9" i="95" s="1"/>
  <c r="J18" i="102"/>
  <c r="I6" i="102"/>
  <c r="J6" i="102" s="1"/>
  <c r="L12" i="102"/>
  <c r="M12" i="102" s="1"/>
  <c r="I12" i="102"/>
  <c r="J12" i="102" s="1"/>
  <c r="AJ15" i="94"/>
  <c r="AK15" i="94" s="1"/>
  <c r="L7" i="102"/>
  <c r="M7" i="102" s="1"/>
  <c r="AJ12" i="94"/>
  <c r="AK12" i="94" s="1"/>
  <c r="AA16" i="102"/>
  <c r="AB16" i="102" s="1"/>
  <c r="I9" i="102"/>
  <c r="J9" i="102" s="1"/>
  <c r="K17" i="102"/>
  <c r="P17" i="102"/>
  <c r="T17" i="102"/>
  <c r="S18" i="102"/>
  <c r="H7" i="103"/>
  <c r="H8" i="103"/>
  <c r="AJ5" i="100"/>
  <c r="AK5" i="100" s="1"/>
  <c r="V6" i="102"/>
  <c r="U5" i="102"/>
  <c r="E17" i="102"/>
  <c r="V17" i="102"/>
  <c r="E18" i="102"/>
  <c r="AA18" i="102"/>
  <c r="AB18" i="102" s="1"/>
  <c r="N18" i="102"/>
  <c r="S6" i="102"/>
  <c r="AA17" i="102"/>
  <c r="AB17" i="102" s="1"/>
  <c r="E6" i="102"/>
  <c r="R11" i="102"/>
  <c r="S11" i="102" s="1"/>
  <c r="AJ17" i="94"/>
  <c r="AK17" i="94" s="1"/>
  <c r="H18" i="102"/>
  <c r="H6" i="102"/>
  <c r="G13" i="102"/>
  <c r="H17" i="102"/>
  <c r="H15" i="102"/>
  <c r="I5" i="87"/>
  <c r="J5" i="87" s="1"/>
  <c r="U9" i="92"/>
  <c r="V9" i="92" s="1"/>
  <c r="Z15" i="92"/>
  <c r="F11" i="92"/>
  <c r="G11" i="92" s="1"/>
  <c r="Y23" i="92"/>
  <c r="Z23" i="92"/>
  <c r="AJ8" i="89"/>
  <c r="AK8" i="89" s="1"/>
  <c r="AJ6" i="88"/>
  <c r="AK6" i="88" s="1"/>
  <c r="I6" i="76"/>
  <c r="J6" i="76" s="1"/>
  <c r="U14" i="76"/>
  <c r="V14" i="76" s="1"/>
  <c r="L13" i="76"/>
  <c r="M13" i="76" s="1"/>
  <c r="AJ9" i="71"/>
  <c r="AK9" i="71" s="1"/>
  <c r="R10" i="76"/>
  <c r="S10" i="76" s="1"/>
  <c r="AA22" i="81"/>
  <c r="AB22" i="81" s="1"/>
  <c r="AC22" i="81" s="1"/>
  <c r="P22" i="81"/>
  <c r="W22" i="81"/>
  <c r="U21" i="81"/>
  <c r="V21" i="81" s="1"/>
  <c r="C8" i="81"/>
  <c r="D8" i="81" s="1"/>
  <c r="AJ25" i="77"/>
  <c r="AK25" i="77" s="1"/>
  <c r="G6" i="51"/>
  <c r="G6" i="50"/>
  <c r="V15" i="57"/>
  <c r="W15" i="57"/>
  <c r="P25" i="57"/>
  <c r="Q25" i="57"/>
  <c r="Y15" i="57"/>
  <c r="Z15" i="57"/>
  <c r="D15" i="57"/>
  <c r="E15" i="57"/>
  <c r="AA15" i="57"/>
  <c r="AB15" i="57" s="1"/>
  <c r="V25" i="57"/>
  <c r="W25" i="57"/>
  <c r="J15" i="57"/>
  <c r="D25" i="57"/>
  <c r="E25" i="57"/>
  <c r="M15" i="57"/>
  <c r="P15" i="57"/>
  <c r="S15" i="57"/>
  <c r="T15" i="57"/>
  <c r="M25" i="57"/>
  <c r="AA25" i="57"/>
  <c r="AB25" i="57" s="1"/>
  <c r="T25" i="57"/>
  <c r="S25" i="57"/>
  <c r="J25" i="57"/>
  <c r="G7" i="57"/>
  <c r="U15" i="92"/>
  <c r="V15" i="92" s="1"/>
  <c r="U22" i="92"/>
  <c r="V22" i="92" s="1"/>
  <c r="C15" i="92"/>
  <c r="AJ13" i="74"/>
  <c r="AK13" i="74" s="1"/>
  <c r="AJ13" i="73"/>
  <c r="AK13" i="73" s="1"/>
  <c r="AJ5" i="72"/>
  <c r="AK5" i="72" s="1"/>
  <c r="U15" i="76"/>
  <c r="V15" i="76" s="1"/>
  <c r="AJ11" i="71"/>
  <c r="AK11" i="71" s="1"/>
  <c r="AJ14" i="71"/>
  <c r="AK14" i="71" s="1"/>
  <c r="O13" i="81"/>
  <c r="P13" i="81" s="1"/>
  <c r="I6" i="81"/>
  <c r="J6" i="81" s="1"/>
  <c r="AJ11" i="79"/>
  <c r="AK11" i="79" s="1"/>
  <c r="C5" i="81"/>
  <c r="D5" i="81" s="1"/>
  <c r="O24" i="81"/>
  <c r="P24" i="81" s="1"/>
  <c r="L7" i="81"/>
  <c r="M7" i="81" s="1"/>
  <c r="L24" i="81"/>
  <c r="M24" i="81" s="1"/>
  <c r="C17" i="81"/>
  <c r="AA17" i="81" s="1"/>
  <c r="AB17" i="81" s="1"/>
  <c r="L8" i="81"/>
  <c r="M8" i="81" s="1"/>
  <c r="U10" i="81"/>
  <c r="V10" i="81" s="1"/>
  <c r="AJ15" i="77"/>
  <c r="AK15" i="77" s="1"/>
  <c r="C14" i="115" s="1"/>
  <c r="D14" i="115" s="1"/>
  <c r="C6" i="87"/>
  <c r="D6" i="87" s="1"/>
  <c r="AJ5" i="85"/>
  <c r="AK5" i="85" s="1"/>
  <c r="C12" i="87"/>
  <c r="D12" i="87" s="1"/>
  <c r="AJ17" i="85"/>
  <c r="AK17" i="85" s="1"/>
  <c r="U9" i="87"/>
  <c r="V9" i="87" s="1"/>
  <c r="AJ7" i="91"/>
  <c r="AK7" i="91" s="1"/>
  <c r="O14" i="92"/>
  <c r="P14" i="92" s="1"/>
  <c r="AJ18" i="91"/>
  <c r="AK18" i="91" s="1"/>
  <c r="I11" i="92"/>
  <c r="J11" i="92" s="1"/>
  <c r="C5" i="92"/>
  <c r="D5" i="92" s="1"/>
  <c r="U16" i="92"/>
  <c r="V16" i="92" s="1"/>
  <c r="I16" i="92"/>
  <c r="J16" i="92" s="1"/>
  <c r="U11" i="92"/>
  <c r="V11" i="92" s="1"/>
  <c r="I7" i="102"/>
  <c r="J7" i="102" s="1"/>
  <c r="AJ12" i="95"/>
  <c r="AK12" i="95" s="1"/>
  <c r="C20" i="102"/>
  <c r="D20" i="102" s="1"/>
  <c r="G6" i="52"/>
  <c r="G11" i="52"/>
  <c r="G10" i="52"/>
  <c r="G7" i="49"/>
  <c r="X11" i="70"/>
  <c r="S12" i="87"/>
  <c r="G12" i="49"/>
  <c r="X12" i="70"/>
  <c r="X7" i="70"/>
  <c r="X10" i="70"/>
  <c r="Y10" i="70" s="1"/>
  <c r="G9" i="56"/>
  <c r="G12" i="56"/>
  <c r="G7" i="56"/>
  <c r="G14" i="56"/>
  <c r="G5" i="55"/>
  <c r="G8" i="55"/>
  <c r="C9" i="57" s="1"/>
  <c r="G11" i="55"/>
  <c r="G23" i="55"/>
  <c r="C18" i="57" s="1"/>
  <c r="G5" i="54"/>
  <c r="G23" i="54"/>
  <c r="C21" i="57" s="1"/>
  <c r="D26" i="57"/>
  <c r="G11" i="54"/>
  <c r="G10" i="54"/>
  <c r="E23" i="57"/>
  <c r="G10" i="53"/>
  <c r="G6" i="53"/>
  <c r="G11" i="53"/>
  <c r="R9" i="76"/>
  <c r="S9" i="76" s="1"/>
  <c r="R7" i="76"/>
  <c r="S7" i="76" s="1"/>
  <c r="AJ12" i="74"/>
  <c r="AK12" i="74" s="1"/>
  <c r="L15" i="76"/>
  <c r="M15" i="76" s="1"/>
  <c r="R15" i="76"/>
  <c r="S15" i="76" s="1"/>
  <c r="C8" i="76"/>
  <c r="D8" i="76" s="1"/>
  <c r="AJ16" i="72"/>
  <c r="AK16" i="72" s="1"/>
  <c r="I9" i="76"/>
  <c r="J9" i="76" s="1"/>
  <c r="AJ8" i="79"/>
  <c r="AK8" i="79" s="1"/>
  <c r="O6" i="81"/>
  <c r="P6" i="81" s="1"/>
  <c r="I12" i="81"/>
  <c r="I20" i="81"/>
  <c r="J20" i="81" s="1"/>
  <c r="C14" i="81"/>
  <c r="V9" i="81"/>
  <c r="C20" i="81"/>
  <c r="D20" i="81" s="1"/>
  <c r="U5" i="81"/>
  <c r="V5" i="81" s="1"/>
  <c r="L18" i="81"/>
  <c r="M18" i="81" s="1"/>
  <c r="R13" i="81"/>
  <c r="S13" i="81" s="1"/>
  <c r="R7" i="81"/>
  <c r="S7" i="81" s="1"/>
  <c r="I7" i="81"/>
  <c r="J7" i="81" s="1"/>
  <c r="AJ25" i="78"/>
  <c r="AK25" i="78" s="1"/>
  <c r="C7" i="81"/>
  <c r="D7" i="81" s="1"/>
  <c r="U20" i="81"/>
  <c r="V20" i="81" s="1"/>
  <c r="AJ5" i="77"/>
  <c r="AK5" i="77" s="1"/>
  <c r="R18" i="81"/>
  <c r="S18" i="81" s="1"/>
  <c r="O5" i="81"/>
  <c r="P5" i="81" s="1"/>
  <c r="C16" i="81"/>
  <c r="D16" i="81" s="1"/>
  <c r="P19" i="81"/>
  <c r="AJ7" i="77"/>
  <c r="AK7" i="77" s="1"/>
  <c r="AJ7" i="85"/>
  <c r="AK7" i="85" s="1"/>
  <c r="O6" i="87"/>
  <c r="F6" i="87"/>
  <c r="R7" i="87"/>
  <c r="S7" i="87" s="1"/>
  <c r="C9" i="87"/>
  <c r="I16" i="87"/>
  <c r="J16" i="87" s="1"/>
  <c r="AJ7" i="82"/>
  <c r="AK7" i="82" s="1"/>
  <c r="R16" i="87"/>
  <c r="S16" i="87" s="1"/>
  <c r="U5" i="87"/>
  <c r="I7" i="87"/>
  <c r="J7" i="87" s="1"/>
  <c r="C8" i="87"/>
  <c r="D8" i="87" s="1"/>
  <c r="AJ11" i="91"/>
  <c r="AK11" i="91" s="1"/>
  <c r="U18" i="92"/>
  <c r="V18" i="92" s="1"/>
  <c r="L5" i="92"/>
  <c r="M5" i="92" s="1"/>
  <c r="AJ10" i="91"/>
  <c r="AK10" i="91" s="1"/>
  <c r="C7" i="92"/>
  <c r="D7" i="92" s="1"/>
  <c r="F16" i="92"/>
  <c r="G16" i="92" s="1"/>
  <c r="AJ6" i="91"/>
  <c r="AK6" i="91" s="1"/>
  <c r="C16" i="92"/>
  <c r="D16" i="92" s="1"/>
  <c r="AJ6" i="90"/>
  <c r="AK6" i="90" s="1"/>
  <c r="AJ21" i="89"/>
  <c r="AK21" i="89" s="1"/>
  <c r="U7" i="92"/>
  <c r="V7" i="92" s="1"/>
  <c r="O11" i="92"/>
  <c r="P11" i="92" s="1"/>
  <c r="L16" i="92"/>
  <c r="M16" i="92" s="1"/>
  <c r="I9" i="92"/>
  <c r="J9" i="92" s="1"/>
  <c r="O7" i="92"/>
  <c r="P7" i="92" s="1"/>
  <c r="F22" i="92"/>
  <c r="G22" i="92" s="1"/>
  <c r="I22" i="92"/>
  <c r="J22" i="92" s="1"/>
  <c r="D19" i="92"/>
  <c r="C11" i="92"/>
  <c r="P19" i="92"/>
  <c r="W19" i="92"/>
  <c r="S19" i="92"/>
  <c r="K19" i="92"/>
  <c r="Z16" i="92"/>
  <c r="C9" i="92"/>
  <c r="D9" i="92" s="1"/>
  <c r="R5" i="92"/>
  <c r="S5" i="92" s="1"/>
  <c r="O12" i="92"/>
  <c r="P12" i="92" s="1"/>
  <c r="I5" i="92"/>
  <c r="J5" i="92" s="1"/>
  <c r="I12" i="92"/>
  <c r="J12" i="92" s="1"/>
  <c r="U5" i="92"/>
  <c r="AJ14" i="88"/>
  <c r="AK14" i="88" s="1"/>
  <c r="O13" i="92"/>
  <c r="P13" i="92" s="1"/>
  <c r="R11" i="92"/>
  <c r="S11" i="92" s="1"/>
  <c r="R21" i="92"/>
  <c r="S21" i="92" s="1"/>
  <c r="O18" i="92"/>
  <c r="R6" i="92"/>
  <c r="S6" i="92" s="1"/>
  <c r="U12" i="92"/>
  <c r="R18" i="92"/>
  <c r="S18" i="92" s="1"/>
  <c r="C21" i="92"/>
  <c r="D21" i="92" s="1"/>
  <c r="C12" i="92"/>
  <c r="D12" i="92" s="1"/>
  <c r="AJ12" i="88"/>
  <c r="AK12" i="88" s="1"/>
  <c r="C13" i="92"/>
  <c r="V5" i="103"/>
  <c r="P5" i="103"/>
  <c r="P6" i="103"/>
  <c r="U6" i="103"/>
  <c r="R7" i="103"/>
  <c r="O12" i="102"/>
  <c r="P12" i="102" s="1"/>
  <c r="I8" i="102"/>
  <c r="J8" i="102" s="1"/>
  <c r="U8" i="102"/>
  <c r="V8" i="102" s="1"/>
  <c r="R5" i="102"/>
  <c r="O8" i="102"/>
  <c r="P8" i="102" s="1"/>
  <c r="L10" i="102"/>
  <c r="AJ7" i="95"/>
  <c r="AK7" i="95" s="1"/>
  <c r="H20" i="102"/>
  <c r="C8" i="102"/>
  <c r="D8" i="102" s="1"/>
  <c r="AJ7" i="94"/>
  <c r="AK7" i="94" s="1"/>
  <c r="T20" i="102"/>
  <c r="S20" i="102"/>
  <c r="L14" i="102"/>
  <c r="L20" i="102"/>
  <c r="O11" i="102"/>
  <c r="P11" i="102" s="1"/>
  <c r="U20" i="102"/>
  <c r="C14" i="102"/>
  <c r="D14" i="102" s="1"/>
  <c r="L11" i="102"/>
  <c r="M11" i="102" s="1"/>
  <c r="I11" i="102"/>
  <c r="I20" i="102"/>
  <c r="AJ20" i="94"/>
  <c r="AK20" i="94" s="1"/>
  <c r="C23" i="115" s="1"/>
  <c r="D23" i="115" s="1"/>
  <c r="AJ18" i="94"/>
  <c r="AK18" i="94" s="1"/>
  <c r="R13" i="102"/>
  <c r="S13" i="102" s="1"/>
  <c r="U13" i="102"/>
  <c r="V13" i="102" s="1"/>
  <c r="O20" i="102"/>
  <c r="C10" i="102"/>
  <c r="D10" i="102" s="1"/>
  <c r="C11" i="102"/>
  <c r="S15" i="102"/>
  <c r="C5" i="102"/>
  <c r="D5" i="102" s="1"/>
  <c r="AJ13" i="94"/>
  <c r="AK13" i="94" s="1"/>
  <c r="G15" i="102"/>
  <c r="X6" i="70"/>
  <c r="X15" i="70"/>
  <c r="Z15" i="70" s="1"/>
  <c r="AJ12" i="75"/>
  <c r="AK12" i="75" s="1"/>
  <c r="U13" i="76"/>
  <c r="V13" i="76" s="1"/>
  <c r="AJ10" i="74"/>
  <c r="AK10" i="74" s="1"/>
  <c r="AJ9" i="73"/>
  <c r="AK9" i="73" s="1"/>
  <c r="O7" i="76"/>
  <c r="P7" i="76" s="1"/>
  <c r="AJ6" i="73"/>
  <c r="AK6" i="73" s="1"/>
  <c r="S13" i="76"/>
  <c r="C12" i="76"/>
  <c r="D12" i="76" s="1"/>
  <c r="U16" i="76"/>
  <c r="V16" i="76" s="1"/>
  <c r="U8" i="76"/>
  <c r="V8" i="76" s="1"/>
  <c r="AJ11" i="72"/>
  <c r="AK11" i="72" s="1"/>
  <c r="L6" i="76"/>
  <c r="M6" i="76" s="1"/>
  <c r="L8" i="76"/>
  <c r="M8" i="76" s="1"/>
  <c r="R14" i="76"/>
  <c r="S14" i="76" s="1"/>
  <c r="AJ6" i="71"/>
  <c r="AK6" i="71" s="1"/>
  <c r="I17" i="76"/>
  <c r="J17" i="76" s="1"/>
  <c r="AJ7" i="71"/>
  <c r="AK7" i="71" s="1"/>
  <c r="I14" i="76"/>
  <c r="J14" i="76" s="1"/>
  <c r="Z17" i="76"/>
  <c r="AJ12" i="79"/>
  <c r="AK12" i="79" s="1"/>
  <c r="R5" i="81"/>
  <c r="S5" i="81" s="1"/>
  <c r="R8" i="81"/>
  <c r="S8" i="81" s="1"/>
  <c r="I10" i="81"/>
  <c r="J10" i="81" s="1"/>
  <c r="I18" i="81"/>
  <c r="J18" i="81" s="1"/>
  <c r="Z18" i="81"/>
  <c r="C18" i="81"/>
  <c r="D18" i="81" s="1"/>
  <c r="U18" i="81"/>
  <c r="V18" i="81" s="1"/>
  <c r="O18" i="81"/>
  <c r="P18" i="81" s="1"/>
  <c r="Z6" i="81"/>
  <c r="AJ7" i="78"/>
  <c r="AK7" i="78" s="1"/>
  <c r="S12" i="81"/>
  <c r="AJ5" i="78"/>
  <c r="AK5" i="78" s="1"/>
  <c r="L5" i="81"/>
  <c r="M5" i="81" s="1"/>
  <c r="I8" i="81"/>
  <c r="I21" i="81"/>
  <c r="J21" i="81" s="1"/>
  <c r="C21" i="81"/>
  <c r="D21" i="81" s="1"/>
  <c r="AJ10" i="77"/>
  <c r="AK10" i="77" s="1"/>
  <c r="S15" i="81"/>
  <c r="R8" i="87"/>
  <c r="S8" i="87" s="1"/>
  <c r="L16" i="87"/>
  <c r="M16" i="87" s="1"/>
  <c r="R9" i="87"/>
  <c r="S9" i="87" s="1"/>
  <c r="O16" i="87"/>
  <c r="P16" i="87" s="1"/>
  <c r="AJ6" i="84"/>
  <c r="AK6" i="84" s="1"/>
  <c r="L8" i="87"/>
  <c r="M8" i="87" s="1"/>
  <c r="Z5" i="87"/>
  <c r="Z15" i="87"/>
  <c r="Z16" i="87"/>
  <c r="Z18" i="87"/>
  <c r="Z9" i="87"/>
  <c r="Z8" i="87"/>
  <c r="F8" i="87"/>
  <c r="C7" i="87"/>
  <c r="D7" i="87" s="1"/>
  <c r="R5" i="87"/>
  <c r="S5" i="87" s="1"/>
  <c r="I6" i="87"/>
  <c r="U6" i="92"/>
  <c r="R9" i="92"/>
  <c r="S9" i="92" s="1"/>
  <c r="AJ8" i="91"/>
  <c r="AK8" i="91" s="1"/>
  <c r="C6" i="92"/>
  <c r="D6" i="92" s="1"/>
  <c r="R14" i="92"/>
  <c r="K17" i="92"/>
  <c r="Q17" i="92"/>
  <c r="AJ13" i="89"/>
  <c r="AK13" i="89" s="1"/>
  <c r="R13" i="92"/>
  <c r="S13" i="92" s="1"/>
  <c r="L13" i="92"/>
  <c r="M13" i="92" s="1"/>
  <c r="L11" i="92"/>
  <c r="M11" i="92" s="1"/>
  <c r="AJ20" i="88"/>
  <c r="AK20" i="88" s="1"/>
  <c r="AJ22" i="88"/>
  <c r="AK22" i="88" s="1"/>
  <c r="J7" i="92"/>
  <c r="AJ17" i="88"/>
  <c r="AK17" i="88" s="1"/>
  <c r="R14" i="102"/>
  <c r="S14" i="102" s="1"/>
  <c r="W9" i="103"/>
  <c r="U7" i="103"/>
  <c r="V7" i="103" s="1"/>
  <c r="P9" i="103"/>
  <c r="O7" i="103"/>
  <c r="Q5" i="103" s="1"/>
  <c r="M9" i="103"/>
  <c r="L7" i="103"/>
  <c r="N7" i="103" s="1"/>
  <c r="J9" i="103"/>
  <c r="I7" i="103"/>
  <c r="J7" i="103" s="1"/>
  <c r="E9" i="103"/>
  <c r="C7" i="103"/>
  <c r="D7" i="103" s="1"/>
  <c r="M5" i="103"/>
  <c r="N9" i="103"/>
  <c r="D9" i="103"/>
  <c r="K9" i="103"/>
  <c r="Q9" i="103"/>
  <c r="O13" i="102"/>
  <c r="P13" i="102" s="1"/>
  <c r="AJ13" i="95"/>
  <c r="AK13" i="95" s="1"/>
  <c r="L13" i="102"/>
  <c r="M13" i="102" s="1"/>
  <c r="C13" i="102"/>
  <c r="D13" i="102" s="1"/>
  <c r="AJ10" i="94"/>
  <c r="AK10" i="94" s="1"/>
  <c r="D15" i="102"/>
  <c r="G8" i="50"/>
  <c r="O5" i="50"/>
  <c r="AE5" i="50"/>
  <c r="G20" i="53"/>
  <c r="G7" i="53"/>
  <c r="S6" i="53"/>
  <c r="S11" i="53"/>
  <c r="W6" i="53"/>
  <c r="W14" i="53"/>
  <c r="W10" i="53"/>
  <c r="W11" i="53"/>
  <c r="AA10" i="49"/>
  <c r="AE8" i="49"/>
  <c r="AE6" i="49"/>
  <c r="AE10" i="49"/>
  <c r="O10" i="55"/>
  <c r="W10" i="55"/>
  <c r="O18" i="55"/>
  <c r="W18" i="55"/>
  <c r="AE18" i="55"/>
  <c r="O9" i="55"/>
  <c r="W9" i="55"/>
  <c r="K5" i="56"/>
  <c r="S5" i="56"/>
  <c r="O9" i="56"/>
  <c r="W9" i="56"/>
  <c r="AJ14" i="77"/>
  <c r="AK14" i="77" s="1"/>
  <c r="U6" i="87"/>
  <c r="V6" i="87" s="1"/>
  <c r="R12" i="102"/>
  <c r="S12" i="102" s="1"/>
  <c r="U11" i="102"/>
  <c r="V11" i="102" s="1"/>
  <c r="O7" i="50"/>
  <c r="G13" i="53"/>
  <c r="K11" i="53"/>
  <c r="G24" i="57" s="1"/>
  <c r="G7" i="51"/>
  <c r="S7" i="51"/>
  <c r="O9" i="51"/>
  <c r="W9" i="51"/>
  <c r="AE9" i="51"/>
  <c r="O11" i="51"/>
  <c r="W11" i="51"/>
  <c r="O6" i="51"/>
  <c r="W6" i="51"/>
  <c r="O5" i="51"/>
  <c r="K8" i="52"/>
  <c r="S8" i="52"/>
  <c r="AA8" i="52"/>
  <c r="S10" i="52"/>
  <c r="G7" i="52"/>
  <c r="S7" i="52"/>
  <c r="G5" i="52"/>
  <c r="S11" i="52"/>
  <c r="S9" i="52"/>
  <c r="AE20" i="53"/>
  <c r="AE7" i="53"/>
  <c r="S17" i="56"/>
  <c r="G8" i="56"/>
  <c r="S8" i="56"/>
  <c r="O11" i="56"/>
  <c r="R6" i="76"/>
  <c r="S6" i="76" s="1"/>
  <c r="R8" i="76"/>
  <c r="S8" i="76" s="1"/>
  <c r="U12" i="76"/>
  <c r="V12" i="76" s="1"/>
  <c r="R7" i="92"/>
  <c r="O6" i="50"/>
  <c r="S8" i="50"/>
  <c r="AA8" i="50"/>
  <c r="AE7" i="50"/>
  <c r="AE10" i="53"/>
  <c r="M23" i="57"/>
  <c r="W18" i="56"/>
  <c r="G24" i="56"/>
  <c r="C20" i="57" s="1"/>
  <c r="U7" i="87"/>
  <c r="V7" i="87" s="1"/>
  <c r="L7" i="87"/>
  <c r="M7" i="87" s="1"/>
  <c r="L15" i="92"/>
  <c r="R8" i="102"/>
  <c r="S8" i="102" s="1"/>
  <c r="L8" i="102"/>
  <c r="M8" i="102" s="1"/>
  <c r="AJ5" i="97"/>
  <c r="AK5" i="97" s="1"/>
  <c r="Z8" i="81"/>
  <c r="AJ8" i="97"/>
  <c r="AK8" i="97" s="1"/>
  <c r="AJ5" i="96"/>
  <c r="AK5" i="96" s="1"/>
  <c r="U10" i="102"/>
  <c r="T9" i="102"/>
  <c r="D5" i="103"/>
  <c r="AA9" i="103"/>
  <c r="AB9" i="103" s="1"/>
  <c r="AC9" i="103" s="1"/>
  <c r="AJ9" i="100"/>
  <c r="AK9" i="100" s="1"/>
  <c r="K6" i="103"/>
  <c r="AJ8" i="100"/>
  <c r="AK8" i="100" s="1"/>
  <c r="V9" i="103"/>
  <c r="AA5" i="103"/>
  <c r="AB5" i="103" s="1"/>
  <c r="J21" i="92"/>
  <c r="R17" i="92"/>
  <c r="S17" i="92" s="1"/>
  <c r="AJ20" i="90"/>
  <c r="AK20" i="90" s="1"/>
  <c r="R12" i="92"/>
  <c r="S12" i="92" s="1"/>
  <c r="J8" i="92"/>
  <c r="AJ11" i="89"/>
  <c r="AK11" i="89" s="1"/>
  <c r="R15" i="92"/>
  <c r="S15" i="92" s="1"/>
  <c r="V21" i="92"/>
  <c r="C22" i="92"/>
  <c r="D22" i="92" s="1"/>
  <c r="R16" i="92"/>
  <c r="S16" i="92" s="1"/>
  <c r="AJ9" i="88"/>
  <c r="AK9" i="88" s="1"/>
  <c r="AJ8" i="88"/>
  <c r="AK8" i="88" s="1"/>
  <c r="AJ5" i="88"/>
  <c r="AK5" i="88" s="1"/>
  <c r="AJ21" i="88"/>
  <c r="AK21" i="88" s="1"/>
  <c r="AL24" i="88" s="1"/>
  <c r="AJ13" i="88"/>
  <c r="AK13" i="88" s="1"/>
  <c r="P8" i="87"/>
  <c r="P15" i="87"/>
  <c r="V15" i="87"/>
  <c r="R6" i="87"/>
  <c r="U16" i="87"/>
  <c r="AJ10" i="82"/>
  <c r="AK10" i="82" s="1"/>
  <c r="AJ15" i="82"/>
  <c r="AK15" i="82" s="1"/>
  <c r="U10" i="76"/>
  <c r="V10" i="76" s="1"/>
  <c r="AJ9" i="74"/>
  <c r="AK9" i="74" s="1"/>
  <c r="AJ8" i="75"/>
  <c r="AK8" i="75" s="1"/>
  <c r="AJ6" i="75"/>
  <c r="AK6" i="75" s="1"/>
  <c r="M18" i="76"/>
  <c r="C15" i="76"/>
  <c r="D15" i="76" s="1"/>
  <c r="I7" i="76"/>
  <c r="J7" i="76" s="1"/>
  <c r="AJ14" i="74"/>
  <c r="AK14" i="74" s="1"/>
  <c r="Y9" i="76"/>
  <c r="AJ10" i="73"/>
  <c r="AK10" i="73" s="1"/>
  <c r="M16" i="76"/>
  <c r="C6" i="76"/>
  <c r="D6" i="76" s="1"/>
  <c r="L12" i="76"/>
  <c r="M12" i="76" s="1"/>
  <c r="L7" i="76"/>
  <c r="M7" i="76" s="1"/>
  <c r="Z11" i="76"/>
  <c r="Z16" i="76"/>
  <c r="U17" i="76"/>
  <c r="V17" i="76" s="1"/>
  <c r="Z10" i="76"/>
  <c r="V18" i="76"/>
  <c r="Z6" i="76"/>
  <c r="Z13" i="76"/>
  <c r="K18" i="76"/>
  <c r="Z5" i="76"/>
  <c r="Z8" i="76"/>
  <c r="J11" i="76"/>
  <c r="Z7" i="76"/>
  <c r="P18" i="76"/>
  <c r="AJ12" i="71"/>
  <c r="AK12" i="71" s="1"/>
  <c r="AJ10" i="71"/>
  <c r="AK10" i="71" s="1"/>
  <c r="AJ13" i="71"/>
  <c r="AK13" i="71" s="1"/>
  <c r="C14" i="76"/>
  <c r="D14" i="76" s="1"/>
  <c r="C18" i="76"/>
  <c r="AA18" i="76" s="1"/>
  <c r="AB18" i="76" s="1"/>
  <c r="Y18" i="76"/>
  <c r="P17" i="76"/>
  <c r="C11" i="76"/>
  <c r="Z15" i="76"/>
  <c r="Z14" i="76"/>
  <c r="T17" i="76"/>
  <c r="T18" i="76"/>
  <c r="AJ11" i="80"/>
  <c r="AK11" i="80" s="1"/>
  <c r="AJ18" i="79"/>
  <c r="AK18" i="79" s="1"/>
  <c r="E19" i="81"/>
  <c r="AJ5" i="79"/>
  <c r="AK5" i="79" s="1"/>
  <c r="V17" i="81"/>
  <c r="J17" i="81"/>
  <c r="L11" i="81"/>
  <c r="Z7" i="81"/>
  <c r="Y19" i="81"/>
  <c r="J19" i="81"/>
  <c r="AJ9" i="78"/>
  <c r="AK9" i="78" s="1"/>
  <c r="AJ8" i="78"/>
  <c r="AK8" i="78" s="1"/>
  <c r="AJ12" i="78"/>
  <c r="AK12" i="78" s="1"/>
  <c r="AJ6" i="78"/>
  <c r="AK6" i="78" s="1"/>
  <c r="C10" i="81"/>
  <c r="D10" i="81" s="1"/>
  <c r="V12" i="81"/>
  <c r="Z16" i="81"/>
  <c r="AJ18" i="78"/>
  <c r="AK18" i="78" s="1"/>
  <c r="R10" i="81"/>
  <c r="R20" i="81"/>
  <c r="S20" i="81" s="1"/>
  <c r="AJ13" i="77"/>
  <c r="AK13" i="77" s="1"/>
  <c r="Z24" i="81"/>
  <c r="U13" i="81"/>
  <c r="V13" i="81" s="1"/>
  <c r="AJ6" i="77"/>
  <c r="AK6" i="77" s="1"/>
  <c r="V14" i="81"/>
  <c r="AJ18" i="77"/>
  <c r="AK18" i="77" s="1"/>
  <c r="I16" i="81"/>
  <c r="J16" i="81" s="1"/>
  <c r="Z13" i="81"/>
  <c r="Z10" i="81"/>
  <c r="V8" i="81"/>
  <c r="Z11" i="81"/>
  <c r="Z20" i="81"/>
  <c r="R24" i="81"/>
  <c r="S24" i="81" s="1"/>
  <c r="P17" i="81"/>
  <c r="M17" i="81"/>
  <c r="AA19" i="81"/>
  <c r="AB19" i="81" s="1"/>
  <c r="S19" i="81"/>
  <c r="O8" i="52"/>
  <c r="AE8" i="52"/>
  <c r="AE10" i="52"/>
  <c r="W7" i="52"/>
  <c r="O5" i="52"/>
  <c r="O11" i="52"/>
  <c r="AE11" i="52"/>
  <c r="O9" i="52"/>
  <c r="W9" i="52"/>
  <c r="G8" i="52"/>
  <c r="W8" i="52"/>
  <c r="W10" i="52"/>
  <c r="O7" i="52"/>
  <c r="AE7" i="52"/>
  <c r="W11" i="52"/>
  <c r="AA5" i="52"/>
  <c r="AA11" i="52"/>
  <c r="AA10" i="52"/>
  <c r="O13" i="70"/>
  <c r="Q13" i="70" s="1"/>
  <c r="O14" i="70"/>
  <c r="P14" i="70" s="1"/>
  <c r="AE11" i="51"/>
  <c r="G11" i="50"/>
  <c r="S11" i="50"/>
  <c r="W10" i="50"/>
  <c r="G9" i="50"/>
  <c r="S9" i="50"/>
  <c r="I13" i="70"/>
  <c r="J13" i="70" s="1"/>
  <c r="O8" i="50"/>
  <c r="S7" i="50"/>
  <c r="W8" i="50"/>
  <c r="AE8" i="50"/>
  <c r="C14" i="70"/>
  <c r="D14" i="70" s="1"/>
  <c r="C15" i="70"/>
  <c r="D15" i="70" s="1"/>
  <c r="G7" i="50"/>
  <c r="G5" i="50"/>
  <c r="S6" i="50"/>
  <c r="L14" i="70" s="1"/>
  <c r="M14" i="70" s="1"/>
  <c r="S5" i="50"/>
  <c r="K8" i="50"/>
  <c r="F12" i="70" s="1"/>
  <c r="G12" i="70" s="1"/>
  <c r="G13" i="50"/>
  <c r="C13" i="70" s="1"/>
  <c r="D13" i="70" s="1"/>
  <c r="O11" i="50"/>
  <c r="W11" i="50"/>
  <c r="O9" i="50"/>
  <c r="W9" i="50"/>
  <c r="L15" i="70"/>
  <c r="M15" i="70" s="1"/>
  <c r="L13" i="70"/>
  <c r="M13" i="70" s="1"/>
  <c r="AE10" i="50"/>
  <c r="AE11" i="50"/>
  <c r="AE9" i="50"/>
  <c r="U14" i="70"/>
  <c r="V14" i="70" s="1"/>
  <c r="U15" i="70"/>
  <c r="V15" i="70" s="1"/>
  <c r="U13" i="70"/>
  <c r="W13" i="70" s="1"/>
  <c r="AA5" i="50"/>
  <c r="R15" i="70"/>
  <c r="S15" i="70" s="1"/>
  <c r="AA7" i="50"/>
  <c r="AA9" i="50"/>
  <c r="AA11" i="50"/>
  <c r="AA10" i="50"/>
  <c r="R12" i="70"/>
  <c r="S12" i="70" s="1"/>
  <c r="R14" i="70"/>
  <c r="T14" i="70" s="1"/>
  <c r="R13" i="70"/>
  <c r="S13" i="70" s="1"/>
  <c r="O15" i="70"/>
  <c r="P15" i="70" s="1"/>
  <c r="AE9" i="49"/>
  <c r="AE5" i="49"/>
  <c r="U5" i="70" s="1"/>
  <c r="AA6" i="49"/>
  <c r="AA8" i="49"/>
  <c r="AA7" i="49"/>
  <c r="AA14" i="49"/>
  <c r="Y14" i="70"/>
  <c r="Y9" i="70"/>
  <c r="Z13" i="70"/>
  <c r="O6" i="56"/>
  <c r="AE6" i="56"/>
  <c r="U5" i="57" s="1"/>
  <c r="G5" i="56"/>
  <c r="O5" i="56"/>
  <c r="W5" i="56"/>
  <c r="AE5" i="56"/>
  <c r="G18" i="56"/>
  <c r="AE17" i="56"/>
  <c r="U24" i="57" s="1"/>
  <c r="G22" i="56"/>
  <c r="S22" i="56"/>
  <c r="O8" i="56"/>
  <c r="W8" i="56"/>
  <c r="S9" i="56"/>
  <c r="AA9" i="56"/>
  <c r="W24" i="56"/>
  <c r="AE25" i="56"/>
  <c r="S24" i="56"/>
  <c r="G25" i="56"/>
  <c r="C19" i="57" s="1"/>
  <c r="AI22" i="56"/>
  <c r="AI9" i="56"/>
  <c r="AI5" i="56"/>
  <c r="AI17" i="56"/>
  <c r="AI24" i="56"/>
  <c r="AI25" i="56"/>
  <c r="AE18" i="56"/>
  <c r="AE19" i="56"/>
  <c r="AE22" i="56"/>
  <c r="AE9" i="56"/>
  <c r="AA8" i="56"/>
  <c r="AA5" i="56"/>
  <c r="AA24" i="56"/>
  <c r="AA11" i="56"/>
  <c r="AA18" i="56"/>
  <c r="AA25" i="56"/>
  <c r="AA17" i="56"/>
  <c r="AA6" i="56"/>
  <c r="K6" i="55"/>
  <c r="F6" i="57" s="1"/>
  <c r="S6" i="55"/>
  <c r="O13" i="55"/>
  <c r="AE13" i="55"/>
  <c r="G16" i="55"/>
  <c r="S16" i="55"/>
  <c r="G6" i="55"/>
  <c r="O6" i="55"/>
  <c r="W6" i="55"/>
  <c r="G13" i="55"/>
  <c r="S13" i="55"/>
  <c r="G10" i="55"/>
  <c r="S10" i="55"/>
  <c r="AA10" i="55"/>
  <c r="G18" i="55"/>
  <c r="G9" i="55"/>
  <c r="S9" i="55"/>
  <c r="AA9" i="55"/>
  <c r="O25" i="55"/>
  <c r="W25" i="55"/>
  <c r="AA26" i="55"/>
  <c r="W8" i="55"/>
  <c r="AI18" i="55"/>
  <c r="AI13" i="55"/>
  <c r="AE10" i="55"/>
  <c r="AE25" i="55"/>
  <c r="AE6" i="55"/>
  <c r="AE9" i="55"/>
  <c r="AE17" i="55"/>
  <c r="V23" i="57" s="1"/>
  <c r="AA13" i="55"/>
  <c r="AA16" i="55"/>
  <c r="AA5" i="55"/>
  <c r="K14" i="54"/>
  <c r="S14" i="54"/>
  <c r="AA14" i="54"/>
  <c r="S26" i="54"/>
  <c r="AA26" i="54"/>
  <c r="W9" i="54"/>
  <c r="O13" i="54"/>
  <c r="W13" i="54"/>
  <c r="AE13" i="54"/>
  <c r="G18" i="54"/>
  <c r="S18" i="54"/>
  <c r="G8" i="54"/>
  <c r="S7" i="54"/>
  <c r="S20" i="54"/>
  <c r="G14" i="54"/>
  <c r="O14" i="54"/>
  <c r="W14" i="54"/>
  <c r="O26" i="54"/>
  <c r="W26" i="54"/>
  <c r="AE26" i="54"/>
  <c r="G13" i="54"/>
  <c r="S13" i="54"/>
  <c r="AA13" i="54"/>
  <c r="AE27" i="54"/>
  <c r="O18" i="54"/>
  <c r="I24" i="57" s="1"/>
  <c r="AA8" i="54"/>
  <c r="G7" i="54"/>
  <c r="G20" i="54"/>
  <c r="AA20" i="54"/>
  <c r="Q23" i="57"/>
  <c r="W8" i="54"/>
  <c r="AE8" i="54"/>
  <c r="O7" i="54"/>
  <c r="W7" i="54"/>
  <c r="AA5" i="54"/>
  <c r="O20" i="54"/>
  <c r="X12" i="57"/>
  <c r="AE14" i="54"/>
  <c r="AE7" i="54"/>
  <c r="AA6" i="53"/>
  <c r="AA14" i="53"/>
  <c r="O7" i="53"/>
  <c r="O20" i="53"/>
  <c r="O11" i="53"/>
  <c r="O14" i="53"/>
  <c r="AA11" i="53"/>
  <c r="O13" i="53"/>
  <c r="I19" i="57" s="1"/>
  <c r="O6" i="53"/>
  <c r="AA5" i="53"/>
  <c r="AA20" i="53"/>
  <c r="AA7" i="53"/>
  <c r="AA19" i="53"/>
  <c r="AJ19" i="53" s="1"/>
  <c r="AK19" i="53" s="1"/>
  <c r="AA15" i="53"/>
  <c r="AA13" i="53"/>
  <c r="W7" i="50"/>
  <c r="W5" i="50"/>
  <c r="K9" i="51"/>
  <c r="F10" i="70" s="1"/>
  <c r="G10" i="70" s="1"/>
  <c r="P14" i="81"/>
  <c r="Z21" i="81"/>
  <c r="Y21" i="81"/>
  <c r="Y5" i="81"/>
  <c r="Z5" i="81"/>
  <c r="AJ11" i="78"/>
  <c r="AK11" i="78" s="1"/>
  <c r="R16" i="81"/>
  <c r="AJ13" i="78"/>
  <c r="AK13" i="78" s="1"/>
  <c r="Z15" i="81"/>
  <c r="J6" i="103"/>
  <c r="S7" i="102"/>
  <c r="J5" i="103"/>
  <c r="K5" i="103"/>
  <c r="H6" i="103"/>
  <c r="G6" i="103"/>
  <c r="AJ6" i="100"/>
  <c r="AK6" i="100" s="1"/>
  <c r="AJ7" i="100"/>
  <c r="AK7" i="100" s="1"/>
  <c r="D6" i="103"/>
  <c r="S19" i="102"/>
  <c r="AL5" i="101"/>
  <c r="W19" i="102"/>
  <c r="AJ6" i="97"/>
  <c r="AK6" i="97" s="1"/>
  <c r="Y19" i="102"/>
  <c r="AJ6" i="96"/>
  <c r="AK6" i="96" s="1"/>
  <c r="AJ12" i="96"/>
  <c r="AK12" i="96" s="1"/>
  <c r="P19" i="102"/>
  <c r="H9" i="102"/>
  <c r="H13" i="102"/>
  <c r="Y11" i="102"/>
  <c r="H7" i="102"/>
  <c r="Z12" i="102"/>
  <c r="J10" i="102"/>
  <c r="AJ5" i="95"/>
  <c r="AK5" i="95" s="1"/>
  <c r="H8" i="102"/>
  <c r="H5" i="102"/>
  <c r="H11" i="102"/>
  <c r="Y13" i="102"/>
  <c r="H19" i="102"/>
  <c r="G8" i="102"/>
  <c r="K19" i="102"/>
  <c r="H10" i="102"/>
  <c r="H14" i="102"/>
  <c r="H12" i="102"/>
  <c r="S9" i="102"/>
  <c r="AJ18" i="95"/>
  <c r="AK18" i="95" s="1"/>
  <c r="AJ10" i="95"/>
  <c r="AK10" i="95" s="1"/>
  <c r="V9" i="102"/>
  <c r="M19" i="102"/>
  <c r="AJ9" i="94"/>
  <c r="AK9" i="94" s="1"/>
  <c r="G8" i="92"/>
  <c r="Z14" i="92"/>
  <c r="AJ16" i="91"/>
  <c r="AK16" i="91" s="1"/>
  <c r="Y10" i="92"/>
  <c r="Z12" i="92"/>
  <c r="Z21" i="92"/>
  <c r="J6" i="92"/>
  <c r="Z7" i="92"/>
  <c r="Y11" i="92"/>
  <c r="Y13" i="92"/>
  <c r="T17" i="81"/>
  <c r="V6" i="81"/>
  <c r="Y20" i="81"/>
  <c r="G17" i="81"/>
  <c r="V7" i="81"/>
  <c r="S6" i="81"/>
  <c r="Z14" i="81"/>
  <c r="J15" i="87"/>
  <c r="S18" i="87"/>
  <c r="Y22" i="92"/>
  <c r="Q16" i="92"/>
  <c r="V13" i="92"/>
  <c r="Y18" i="92"/>
  <c r="P17" i="92"/>
  <c r="AJ9" i="90"/>
  <c r="AK9" i="90" s="1"/>
  <c r="S10" i="92"/>
  <c r="AJ12" i="90"/>
  <c r="AK12" i="90" s="1"/>
  <c r="M18" i="92"/>
  <c r="AJ7" i="90"/>
  <c r="AK7" i="90" s="1"/>
  <c r="Z8" i="92"/>
  <c r="W17" i="92"/>
  <c r="AJ8" i="90"/>
  <c r="AK8" i="90" s="1"/>
  <c r="AJ10" i="90"/>
  <c r="AK10" i="90" s="1"/>
  <c r="Y6" i="92"/>
  <c r="AA10" i="92"/>
  <c r="AB10" i="92" s="1"/>
  <c r="G9" i="92"/>
  <c r="AJ17" i="90"/>
  <c r="AK17" i="90" s="1"/>
  <c r="P15" i="92"/>
  <c r="Q15" i="92"/>
  <c r="G6" i="92"/>
  <c r="G10" i="92"/>
  <c r="D8" i="92"/>
  <c r="AA8" i="92"/>
  <c r="AB8" i="92" s="1"/>
  <c r="AJ11" i="90"/>
  <c r="AK11" i="90" s="1"/>
  <c r="J17" i="92"/>
  <c r="AL19" i="90"/>
  <c r="AJ22" i="89"/>
  <c r="AK22" i="89" s="1"/>
  <c r="AJ10" i="89"/>
  <c r="AK10" i="89" s="1"/>
  <c r="AJ12" i="89"/>
  <c r="AK12" i="89" s="1"/>
  <c r="AJ5" i="89"/>
  <c r="AK5" i="89" s="1"/>
  <c r="AJ7" i="89"/>
  <c r="AK7" i="89" s="1"/>
  <c r="AJ9" i="89"/>
  <c r="AK9" i="89" s="1"/>
  <c r="AJ19" i="89"/>
  <c r="AK19" i="89" s="1"/>
  <c r="AL17" i="89" s="1"/>
  <c r="AJ6" i="89"/>
  <c r="AK6" i="89" s="1"/>
  <c r="AJ7" i="88"/>
  <c r="AK7" i="88" s="1"/>
  <c r="G21" i="81"/>
  <c r="D15" i="81"/>
  <c r="F16" i="81"/>
  <c r="G6" i="81"/>
  <c r="F20" i="81"/>
  <c r="G20" i="81" s="1"/>
  <c r="S11" i="81"/>
  <c r="AJ6" i="85"/>
  <c r="AK6" i="85" s="1"/>
  <c r="Q13" i="87"/>
  <c r="P7" i="87"/>
  <c r="Y10" i="87"/>
  <c r="AA10" i="87"/>
  <c r="AB10" i="87" s="1"/>
  <c r="V13" i="87"/>
  <c r="Y16" i="87"/>
  <c r="AA13" i="87"/>
  <c r="AB13" i="87" s="1"/>
  <c r="Z7" i="87"/>
  <c r="Y5" i="87"/>
  <c r="Z6" i="87"/>
  <c r="AJ10" i="84"/>
  <c r="AK10" i="84" s="1"/>
  <c r="AJ9" i="84"/>
  <c r="AK9" i="84" s="1"/>
  <c r="G16" i="87"/>
  <c r="AJ12" i="83"/>
  <c r="AK12" i="83" s="1"/>
  <c r="AJ5" i="83"/>
  <c r="AK5" i="83" s="1"/>
  <c r="AA18" i="87"/>
  <c r="AB18" i="87" s="1"/>
  <c r="K18" i="87"/>
  <c r="AJ8" i="83"/>
  <c r="AK8" i="83" s="1"/>
  <c r="AJ6" i="83"/>
  <c r="AK6" i="83" s="1"/>
  <c r="J8" i="87"/>
  <c r="AJ7" i="83"/>
  <c r="AK7" i="83" s="1"/>
  <c r="AJ15" i="83"/>
  <c r="AK15" i="83" s="1"/>
  <c r="AJ9" i="83"/>
  <c r="AK9" i="83" s="1"/>
  <c r="D10" i="87"/>
  <c r="AJ11" i="82"/>
  <c r="AK11" i="82" s="1"/>
  <c r="AJ5" i="82"/>
  <c r="AK5" i="82" s="1"/>
  <c r="AJ14" i="82"/>
  <c r="AK14" i="82" s="1"/>
  <c r="AJ6" i="82"/>
  <c r="AK6" i="82" s="1"/>
  <c r="AL16" i="82" s="1"/>
  <c r="AJ6" i="80"/>
  <c r="AK6" i="80" s="1"/>
  <c r="F11" i="81"/>
  <c r="H21" i="81" s="1"/>
  <c r="I11" i="81"/>
  <c r="Y11" i="81"/>
  <c r="G14" i="81"/>
  <c r="V11" i="81"/>
  <c r="Y7" i="81"/>
  <c r="V16" i="81"/>
  <c r="V24" i="81"/>
  <c r="Y13" i="81"/>
  <c r="Y10" i="81"/>
  <c r="Y6" i="81"/>
  <c r="AJ7" i="79"/>
  <c r="AK7" i="79" s="1"/>
  <c r="AJ13" i="79"/>
  <c r="AK13" i="79" s="1"/>
  <c r="AJ14" i="79"/>
  <c r="AK14" i="79" s="1"/>
  <c r="S14" i="81"/>
  <c r="L13" i="81"/>
  <c r="M13" i="81" s="1"/>
  <c r="G15" i="81"/>
  <c r="C13" i="81"/>
  <c r="D13" i="81" s="1"/>
  <c r="O20" i="81"/>
  <c r="I13" i="81"/>
  <c r="J13" i="81" s="1"/>
  <c r="F10" i="81"/>
  <c r="O10" i="81"/>
  <c r="L10" i="81"/>
  <c r="I5" i="81"/>
  <c r="K19" i="81" s="1"/>
  <c r="F13" i="81"/>
  <c r="G13" i="81" s="1"/>
  <c r="AJ19" i="78"/>
  <c r="AK19" i="78" s="1"/>
  <c r="D24" i="81"/>
  <c r="AJ15" i="78"/>
  <c r="AK15" i="78" s="1"/>
  <c r="C11" i="81"/>
  <c r="AJ23" i="77"/>
  <c r="AK23" i="77" s="1"/>
  <c r="AJ9" i="75"/>
  <c r="AK9" i="75" s="1"/>
  <c r="AJ10" i="75"/>
  <c r="AK10" i="75" s="1"/>
  <c r="O14" i="76"/>
  <c r="P14" i="76" s="1"/>
  <c r="F15" i="76"/>
  <c r="V5" i="76"/>
  <c r="P9" i="76"/>
  <c r="AJ6" i="74"/>
  <c r="AK6" i="74" s="1"/>
  <c r="AJ8" i="74"/>
  <c r="AK8" i="74" s="1"/>
  <c r="Y14" i="76"/>
  <c r="Y6" i="76"/>
  <c r="I8" i="76"/>
  <c r="J8" i="76" s="1"/>
  <c r="O10" i="76"/>
  <c r="P10" i="76" s="1"/>
  <c r="O5" i="76"/>
  <c r="P5" i="76" s="1"/>
  <c r="F7" i="76"/>
  <c r="G7" i="76" s="1"/>
  <c r="Y10" i="76"/>
  <c r="F12" i="76"/>
  <c r="Y15" i="76"/>
  <c r="Z12" i="76"/>
  <c r="AJ8" i="73"/>
  <c r="AK8" i="73" s="1"/>
  <c r="AJ11" i="73"/>
  <c r="AK11" i="73" s="1"/>
  <c r="F14" i="76"/>
  <c r="G14" i="76" s="1"/>
  <c r="L14" i="76"/>
  <c r="M14" i="76" s="1"/>
  <c r="O8" i="76"/>
  <c r="P8" i="76" s="1"/>
  <c r="O15" i="76"/>
  <c r="AJ5" i="73"/>
  <c r="AK5" i="73" s="1"/>
  <c r="L9" i="76"/>
  <c r="AJ12" i="73"/>
  <c r="AK12" i="73" s="1"/>
  <c r="AL16" i="73" s="1"/>
  <c r="I10" i="76"/>
  <c r="AJ15" i="73"/>
  <c r="AK15" i="73" s="1"/>
  <c r="C10" i="76"/>
  <c r="D10" i="76" s="1"/>
  <c r="AJ13" i="72"/>
  <c r="AK13" i="72" s="1"/>
  <c r="AJ15" i="72"/>
  <c r="AK15" i="72" s="1"/>
  <c r="AJ6" i="72"/>
  <c r="AK6" i="72" s="1"/>
  <c r="AJ12" i="72"/>
  <c r="AK12" i="72" s="1"/>
  <c r="O13" i="76"/>
  <c r="AJ7" i="72"/>
  <c r="AK7" i="72" s="1"/>
  <c r="AJ10" i="72"/>
  <c r="AK10" i="72" s="1"/>
  <c r="F8" i="76"/>
  <c r="AJ9" i="72"/>
  <c r="AK9" i="72" s="1"/>
  <c r="C7" i="76"/>
  <c r="AJ5" i="71"/>
  <c r="AK5" i="71" s="1"/>
  <c r="AJ8" i="71"/>
  <c r="AK8" i="71" s="1"/>
  <c r="AL18" i="71"/>
  <c r="AL12" i="80"/>
  <c r="AL14" i="80"/>
  <c r="AL13" i="80"/>
  <c r="AL10" i="80"/>
  <c r="AC17" i="70"/>
  <c r="AC16" i="70"/>
  <c r="AC18" i="70"/>
  <c r="G12" i="57"/>
  <c r="K23" i="57"/>
  <c r="S11" i="49"/>
  <c r="S9" i="49"/>
  <c r="S5" i="49"/>
  <c r="L5" i="70" s="1"/>
  <c r="W11" i="49"/>
  <c r="W9" i="49"/>
  <c r="W5" i="49"/>
  <c r="G8" i="49"/>
  <c r="G6" i="49"/>
  <c r="G10" i="49"/>
  <c r="K8" i="49"/>
  <c r="F6" i="70" s="1"/>
  <c r="G6" i="70" s="1"/>
  <c r="O8" i="49"/>
  <c r="O6" i="49"/>
  <c r="S8" i="49"/>
  <c r="S6" i="49"/>
  <c r="S10" i="49"/>
  <c r="W8" i="49"/>
  <c r="O6" i="70" s="1"/>
  <c r="P6" i="70" s="1"/>
  <c r="W6" i="49"/>
  <c r="W10" i="49"/>
  <c r="H26" i="57"/>
  <c r="G26" i="57"/>
  <c r="G14" i="57"/>
  <c r="O10" i="49"/>
  <c r="G11" i="49"/>
  <c r="G9" i="49"/>
  <c r="G5" i="49"/>
  <c r="O11" i="49"/>
  <c r="O9" i="49"/>
  <c r="O5" i="49"/>
  <c r="O7" i="49"/>
  <c r="O12" i="49"/>
  <c r="I14" i="70" s="1"/>
  <c r="G5" i="57"/>
  <c r="G23" i="57"/>
  <c r="G16" i="57"/>
  <c r="M7" i="57"/>
  <c r="G19" i="57"/>
  <c r="H21" i="57"/>
  <c r="G21" i="57"/>
  <c r="Y7" i="57"/>
  <c r="G22" i="57"/>
  <c r="E7" i="57"/>
  <c r="AJ26" i="56"/>
  <c r="AK26" i="56" s="1"/>
  <c r="AL26" i="56" s="1"/>
  <c r="AJ12" i="55"/>
  <c r="AK12" i="55" s="1"/>
  <c r="AJ19" i="55"/>
  <c r="AK19" i="55" s="1"/>
  <c r="AJ14" i="55"/>
  <c r="AK14" i="55" s="1"/>
  <c r="AJ15" i="55"/>
  <c r="AK15" i="55" s="1"/>
  <c r="AJ28" i="54"/>
  <c r="AK28" i="54" s="1"/>
  <c r="AL28" i="54" s="1"/>
  <c r="AJ22" i="53"/>
  <c r="AK22" i="53" s="1"/>
  <c r="C30" i="115" s="1"/>
  <c r="D30" i="115" s="1"/>
  <c r="AJ23" i="53"/>
  <c r="AK23" i="53" s="1"/>
  <c r="AL23" i="53" s="1"/>
  <c r="AJ8" i="53"/>
  <c r="AK8" i="53" s="1"/>
  <c r="AJ17" i="53"/>
  <c r="AK17" i="53" s="1"/>
  <c r="C10" i="115" s="1"/>
  <c r="D10" i="115" s="1"/>
  <c r="AJ24" i="53"/>
  <c r="AK24" i="53" s="1"/>
  <c r="AL24" i="53" s="1"/>
  <c r="AJ6" i="52"/>
  <c r="AK6" i="52" s="1"/>
  <c r="AJ14" i="52"/>
  <c r="AK14" i="52" s="1"/>
  <c r="AL14" i="52" s="1"/>
  <c r="AJ13" i="52"/>
  <c r="AK13" i="52" s="1"/>
  <c r="AL13" i="52" s="1"/>
  <c r="AJ18" i="52"/>
  <c r="AK18" i="52" s="1"/>
  <c r="AL18" i="52" s="1"/>
  <c r="AJ23" i="52"/>
  <c r="AK23" i="52" s="1"/>
  <c r="AL23" i="52" s="1"/>
  <c r="AJ12" i="52"/>
  <c r="AK12" i="52" s="1"/>
  <c r="AL12" i="52" s="1"/>
  <c r="AJ15" i="52"/>
  <c r="AK15" i="52" s="1"/>
  <c r="AL15" i="52" s="1"/>
  <c r="AJ16" i="52"/>
  <c r="AK16" i="52" s="1"/>
  <c r="AL16" i="52" s="1"/>
  <c r="AJ19" i="52"/>
  <c r="AK19" i="52" s="1"/>
  <c r="AL19" i="52" s="1"/>
  <c r="AJ21" i="52"/>
  <c r="AK21" i="52" s="1"/>
  <c r="AL21" i="52" s="1"/>
  <c r="AJ22" i="52"/>
  <c r="AK22" i="52" s="1"/>
  <c r="AL22" i="52" s="1"/>
  <c r="AJ20" i="52"/>
  <c r="AK20" i="52" s="1"/>
  <c r="AL20" i="52" s="1"/>
  <c r="AJ24" i="52"/>
  <c r="AK24" i="52" s="1"/>
  <c r="AL24" i="52" s="1"/>
  <c r="AJ17" i="52"/>
  <c r="AK17" i="52" s="1"/>
  <c r="AL17" i="52" s="1"/>
  <c r="AJ5" i="51"/>
  <c r="AK5" i="51" s="1"/>
  <c r="AJ14" i="51"/>
  <c r="AK14" i="51" s="1"/>
  <c r="AL14" i="51" s="1"/>
  <c r="AJ15" i="51"/>
  <c r="AK15" i="51" s="1"/>
  <c r="AL15" i="51" s="1"/>
  <c r="AJ19" i="51"/>
  <c r="AK19" i="51" s="1"/>
  <c r="AL19" i="51" s="1"/>
  <c r="AJ24" i="51"/>
  <c r="AK24" i="51" s="1"/>
  <c r="AL24" i="51" s="1"/>
  <c r="AJ12" i="51"/>
  <c r="AK12" i="51" s="1"/>
  <c r="AJ17" i="51"/>
  <c r="AK17" i="51" s="1"/>
  <c r="AL17" i="51" s="1"/>
  <c r="AJ21" i="51"/>
  <c r="AK21" i="51" s="1"/>
  <c r="AL21" i="51" s="1"/>
  <c r="AJ13" i="51"/>
  <c r="AK13" i="51" s="1"/>
  <c r="AL13" i="51" s="1"/>
  <c r="AJ16" i="51"/>
  <c r="AK16" i="51" s="1"/>
  <c r="AL16" i="51" s="1"/>
  <c r="AJ18" i="51"/>
  <c r="AK18" i="51" s="1"/>
  <c r="AL18" i="51" s="1"/>
  <c r="AJ20" i="51"/>
  <c r="AK20" i="51" s="1"/>
  <c r="AL20" i="51" s="1"/>
  <c r="AJ22" i="51"/>
  <c r="AK22" i="51" s="1"/>
  <c r="AL22" i="51" s="1"/>
  <c r="AJ23" i="51"/>
  <c r="AK23" i="51" s="1"/>
  <c r="AL23" i="51" s="1"/>
  <c r="AJ13" i="50"/>
  <c r="AK13" i="50" s="1"/>
  <c r="C14" i="114" s="1"/>
  <c r="D14" i="114" s="1"/>
  <c r="E14" i="114" s="1"/>
  <c r="AJ12" i="50"/>
  <c r="AK12" i="50" s="1"/>
  <c r="AJ15" i="50"/>
  <c r="AK15" i="50" s="1"/>
  <c r="AJ19" i="50"/>
  <c r="AK19" i="50" s="1"/>
  <c r="AJ23" i="50"/>
  <c r="AK23" i="50" s="1"/>
  <c r="AJ17" i="50"/>
  <c r="AK17" i="50" s="1"/>
  <c r="AJ18" i="50"/>
  <c r="AK18" i="50" s="1"/>
  <c r="AJ21" i="50"/>
  <c r="AK21" i="50" s="1"/>
  <c r="AJ22" i="50"/>
  <c r="AK22" i="50" s="1"/>
  <c r="AJ16" i="50"/>
  <c r="AK16" i="50" s="1"/>
  <c r="AJ20" i="50"/>
  <c r="AK20" i="50" s="1"/>
  <c r="AJ24" i="50"/>
  <c r="AK24" i="50" s="1"/>
  <c r="AA17" i="87" l="1"/>
  <c r="AB17" i="87" s="1"/>
  <c r="W10" i="87"/>
  <c r="W14" i="87"/>
  <c r="V5" i="87"/>
  <c r="W11" i="87"/>
  <c r="W12" i="87"/>
  <c r="W10" i="92"/>
  <c r="V6" i="92"/>
  <c r="W20" i="92"/>
  <c r="W21" i="92"/>
  <c r="W13" i="92"/>
  <c r="W5" i="92"/>
  <c r="W14" i="92"/>
  <c r="W8" i="92"/>
  <c r="W12" i="92"/>
  <c r="C22" i="115"/>
  <c r="D22" i="115" s="1"/>
  <c r="V6" i="103"/>
  <c r="W8" i="103"/>
  <c r="W5" i="103"/>
  <c r="W6" i="102"/>
  <c r="W5" i="102"/>
  <c r="AJ21" i="56"/>
  <c r="AK21" i="56" s="1"/>
  <c r="U18" i="57"/>
  <c r="AJ16" i="56"/>
  <c r="AK16" i="56" s="1"/>
  <c r="AJ11" i="55"/>
  <c r="AK11" i="55" s="1"/>
  <c r="AJ22" i="55"/>
  <c r="AK22" i="55" s="1"/>
  <c r="AJ17" i="55"/>
  <c r="AK17" i="55" s="1"/>
  <c r="C12" i="57"/>
  <c r="D12" i="57" s="1"/>
  <c r="AJ25" i="54"/>
  <c r="AK25" i="54" s="1"/>
  <c r="O5" i="57"/>
  <c r="P5" i="57" s="1"/>
  <c r="AJ9" i="53"/>
  <c r="AK9" i="53" s="1"/>
  <c r="U16" i="57"/>
  <c r="V16" i="57" s="1"/>
  <c r="F8" i="57"/>
  <c r="G8" i="57" s="1"/>
  <c r="AJ12" i="53"/>
  <c r="AK12" i="53" s="1"/>
  <c r="AA15" i="81"/>
  <c r="AB15" i="81" s="1"/>
  <c r="W19" i="81"/>
  <c r="W15" i="81"/>
  <c r="W14" i="81"/>
  <c r="W9" i="81"/>
  <c r="W12" i="81"/>
  <c r="Z9" i="70"/>
  <c r="C5" i="70"/>
  <c r="Z12" i="70"/>
  <c r="R7" i="57"/>
  <c r="S7" i="57" s="1"/>
  <c r="R19" i="57"/>
  <c r="S19" i="57" s="1"/>
  <c r="Z8" i="70"/>
  <c r="Z11" i="70"/>
  <c r="Z6" i="70"/>
  <c r="Z7" i="70"/>
  <c r="Z5" i="70"/>
  <c r="AL7" i="80"/>
  <c r="AL19" i="79"/>
  <c r="P15" i="81"/>
  <c r="AA9" i="81"/>
  <c r="AB9" i="81" s="1"/>
  <c r="T19" i="81"/>
  <c r="T12" i="81"/>
  <c r="T14" i="87"/>
  <c r="T10" i="87"/>
  <c r="T11" i="87"/>
  <c r="T20" i="92"/>
  <c r="T10" i="92"/>
  <c r="T8" i="92"/>
  <c r="T5" i="103"/>
  <c r="T8" i="103"/>
  <c r="S7" i="103"/>
  <c r="T6" i="103"/>
  <c r="T15" i="102"/>
  <c r="T6" i="102"/>
  <c r="T7" i="102"/>
  <c r="T5" i="102"/>
  <c r="L9" i="57"/>
  <c r="M9" i="57" s="1"/>
  <c r="AJ15" i="56"/>
  <c r="AK15" i="56" s="1"/>
  <c r="U17" i="57"/>
  <c r="V17" i="57" s="1"/>
  <c r="U14" i="57"/>
  <c r="V14" i="57" s="1"/>
  <c r="C24" i="57"/>
  <c r="D24" i="57" s="1"/>
  <c r="O9" i="57"/>
  <c r="P9" i="57" s="1"/>
  <c r="O8" i="57"/>
  <c r="P8" i="57" s="1"/>
  <c r="R9" i="57"/>
  <c r="S9" i="57" s="1"/>
  <c r="I12" i="57"/>
  <c r="J12" i="57" s="1"/>
  <c r="Q15" i="81"/>
  <c r="AL23" i="79"/>
  <c r="AL24" i="78"/>
  <c r="Q12" i="81"/>
  <c r="Q19" i="81"/>
  <c r="Q8" i="81"/>
  <c r="Q17" i="87"/>
  <c r="Q8" i="87"/>
  <c r="Q15" i="87"/>
  <c r="Q10" i="87"/>
  <c r="Q14" i="87"/>
  <c r="AL14" i="83"/>
  <c r="AL12" i="82"/>
  <c r="D15" i="87"/>
  <c r="P6" i="87"/>
  <c r="Q11" i="87"/>
  <c r="Q10" i="92"/>
  <c r="Q20" i="92"/>
  <c r="P7" i="103"/>
  <c r="Q8" i="103"/>
  <c r="AL9" i="97"/>
  <c r="Q6" i="102"/>
  <c r="Q5" i="102"/>
  <c r="Q7" i="102"/>
  <c r="Q15" i="102"/>
  <c r="Q14" i="102"/>
  <c r="W7" i="102"/>
  <c r="L9" i="70"/>
  <c r="M9" i="70" s="1"/>
  <c r="U11" i="70"/>
  <c r="V11" i="70" s="1"/>
  <c r="I14" i="57"/>
  <c r="J14" i="57" s="1"/>
  <c r="I22" i="57"/>
  <c r="J22" i="57" s="1"/>
  <c r="O11" i="57"/>
  <c r="P11" i="57" s="1"/>
  <c r="R10" i="57"/>
  <c r="S10" i="57" s="1"/>
  <c r="U20" i="57"/>
  <c r="V20" i="57" s="1"/>
  <c r="C5" i="57"/>
  <c r="D5" i="57" s="1"/>
  <c r="AJ24" i="55"/>
  <c r="AK24" i="55" s="1"/>
  <c r="C31" i="115" s="1"/>
  <c r="D31" i="115" s="1"/>
  <c r="L5" i="57"/>
  <c r="AJ23" i="55"/>
  <c r="AK23" i="55" s="1"/>
  <c r="C13" i="115" s="1"/>
  <c r="D13" i="115" s="1"/>
  <c r="AJ26" i="55"/>
  <c r="AK26" i="55" s="1"/>
  <c r="D22" i="57"/>
  <c r="I17" i="57"/>
  <c r="J17" i="57" s="1"/>
  <c r="R17" i="57"/>
  <c r="U10" i="57"/>
  <c r="V10" i="57" s="1"/>
  <c r="R5" i="57"/>
  <c r="X19" i="57"/>
  <c r="U19" i="57"/>
  <c r="V19" i="57" s="1"/>
  <c r="O10" i="57"/>
  <c r="P10" i="57" s="1"/>
  <c r="C10" i="57"/>
  <c r="D10" i="57" s="1"/>
  <c r="C6" i="57"/>
  <c r="D6" i="57" s="1"/>
  <c r="F11" i="57"/>
  <c r="G11" i="57" s="1"/>
  <c r="O20" i="57"/>
  <c r="C8" i="57"/>
  <c r="C17" i="57"/>
  <c r="D17" i="57" s="1"/>
  <c r="R11" i="57"/>
  <c r="S11" i="57" s="1"/>
  <c r="R8" i="57"/>
  <c r="S8" i="57" s="1"/>
  <c r="U8" i="57"/>
  <c r="V8" i="57" s="1"/>
  <c r="O6" i="57"/>
  <c r="L6" i="57"/>
  <c r="M16" i="57"/>
  <c r="L10" i="57"/>
  <c r="M10" i="57" s="1"/>
  <c r="L24" i="57"/>
  <c r="M24" i="57" s="1"/>
  <c r="L17" i="57"/>
  <c r="M17" i="57" s="1"/>
  <c r="I11" i="57"/>
  <c r="P7" i="57"/>
  <c r="I18" i="57"/>
  <c r="AA18" i="57" s="1"/>
  <c r="AB18" i="57" s="1"/>
  <c r="I20" i="57"/>
  <c r="J20" i="57" s="1"/>
  <c r="AJ16" i="54"/>
  <c r="AK16" i="54" s="1"/>
  <c r="D9" i="57"/>
  <c r="P14" i="57"/>
  <c r="P12" i="57"/>
  <c r="V7" i="57"/>
  <c r="R24" i="57"/>
  <c r="S24" i="57" s="1"/>
  <c r="R20" i="57"/>
  <c r="S20" i="57" s="1"/>
  <c r="U11" i="57"/>
  <c r="V11" i="57" s="1"/>
  <c r="R6" i="57"/>
  <c r="S6" i="57" s="1"/>
  <c r="O17" i="57"/>
  <c r="P17" i="57" s="1"/>
  <c r="D16" i="57"/>
  <c r="C11" i="57"/>
  <c r="D11" i="57" s="1"/>
  <c r="V12" i="57"/>
  <c r="L11" i="57"/>
  <c r="M11" i="57" s="1"/>
  <c r="L8" i="57"/>
  <c r="I9" i="57"/>
  <c r="J9" i="57" s="1"/>
  <c r="AJ16" i="53"/>
  <c r="AK16" i="53" s="1"/>
  <c r="AJ18" i="53"/>
  <c r="AK18" i="53" s="1"/>
  <c r="J7" i="57"/>
  <c r="AJ5" i="53"/>
  <c r="AK5" i="53" s="1"/>
  <c r="I10" i="57"/>
  <c r="J10" i="57" s="1"/>
  <c r="I6" i="57"/>
  <c r="J6" i="57" s="1"/>
  <c r="I8" i="57"/>
  <c r="J8" i="57" s="1"/>
  <c r="AL11" i="75"/>
  <c r="C10" i="114"/>
  <c r="D10" i="114" s="1"/>
  <c r="AL21" i="79"/>
  <c r="N15" i="81"/>
  <c r="AL20" i="78"/>
  <c r="AL16" i="78"/>
  <c r="C32" i="115"/>
  <c r="D32" i="115" s="1"/>
  <c r="C24" i="115"/>
  <c r="D24" i="115" s="1"/>
  <c r="N12" i="81"/>
  <c r="AL17" i="77"/>
  <c r="N14" i="81"/>
  <c r="N19" i="81"/>
  <c r="AA14" i="81"/>
  <c r="AB14" i="81" s="1"/>
  <c r="K17" i="81"/>
  <c r="K12" i="81"/>
  <c r="K14" i="81"/>
  <c r="K8" i="81"/>
  <c r="AL9" i="85"/>
  <c r="N12" i="87"/>
  <c r="AL12" i="84"/>
  <c r="K10" i="87"/>
  <c r="N15" i="87"/>
  <c r="N13" i="87"/>
  <c r="M6" i="87"/>
  <c r="N10" i="87"/>
  <c r="AL17" i="83"/>
  <c r="N17" i="87"/>
  <c r="K15" i="87"/>
  <c r="K11" i="87"/>
  <c r="N11" i="87"/>
  <c r="K8" i="87"/>
  <c r="K12" i="87"/>
  <c r="N10" i="92"/>
  <c r="AL5" i="91"/>
  <c r="C20" i="115"/>
  <c r="D20" i="115" s="1"/>
  <c r="M19" i="92"/>
  <c r="AL16" i="90"/>
  <c r="N20" i="92"/>
  <c r="K20" i="92"/>
  <c r="K6" i="92"/>
  <c r="C9" i="115"/>
  <c r="D9" i="115" s="1"/>
  <c r="C26" i="115"/>
  <c r="D26" i="115" s="1"/>
  <c r="K10" i="92"/>
  <c r="C12" i="115"/>
  <c r="D12" i="115" s="1"/>
  <c r="C16" i="115"/>
  <c r="D16" i="115" s="1"/>
  <c r="C6" i="115"/>
  <c r="C29" i="115"/>
  <c r="D29" i="115" s="1"/>
  <c r="AL15" i="88"/>
  <c r="N19" i="92"/>
  <c r="N14" i="92"/>
  <c r="K7" i="92"/>
  <c r="AL11" i="88"/>
  <c r="K8" i="92"/>
  <c r="K14" i="92"/>
  <c r="K21" i="92"/>
  <c r="W9" i="92"/>
  <c r="N5" i="103"/>
  <c r="AL10" i="100"/>
  <c r="W6" i="103"/>
  <c r="AL11" i="97"/>
  <c r="AL9" i="96"/>
  <c r="AL11" i="96"/>
  <c r="N14" i="102"/>
  <c r="AA15" i="102"/>
  <c r="AB15" i="102" s="1"/>
  <c r="AA6" i="102"/>
  <c r="AB6" i="102" s="1"/>
  <c r="C8" i="115"/>
  <c r="D8" i="115" s="1"/>
  <c r="N15" i="102"/>
  <c r="AA9" i="102"/>
  <c r="AB9" i="102" s="1"/>
  <c r="N6" i="102"/>
  <c r="N16" i="102"/>
  <c r="V5" i="102"/>
  <c r="K16" i="102"/>
  <c r="K6" i="102"/>
  <c r="I5" i="57"/>
  <c r="AJ12" i="56"/>
  <c r="AK12" i="56" s="1"/>
  <c r="V24" i="57"/>
  <c r="U6" i="57"/>
  <c r="V6" i="57" s="1"/>
  <c r="AJ14" i="56"/>
  <c r="AK14" i="56" s="1"/>
  <c r="C13" i="57"/>
  <c r="D13" i="57" s="1"/>
  <c r="L20" i="57"/>
  <c r="AJ7" i="56"/>
  <c r="AK7" i="56" s="1"/>
  <c r="C14" i="57"/>
  <c r="D14" i="57" s="1"/>
  <c r="T7" i="103"/>
  <c r="AL8" i="95"/>
  <c r="AL16" i="94"/>
  <c r="AL12" i="94"/>
  <c r="K7" i="102"/>
  <c r="AL6" i="94"/>
  <c r="AL8" i="94"/>
  <c r="AL14" i="94"/>
  <c r="AL13" i="85"/>
  <c r="H16" i="87"/>
  <c r="AL8" i="84"/>
  <c r="H10" i="87"/>
  <c r="AL16" i="84"/>
  <c r="H13" i="87"/>
  <c r="H9" i="87"/>
  <c r="G6" i="87"/>
  <c r="H11" i="87"/>
  <c r="AL8" i="82"/>
  <c r="H12" i="87"/>
  <c r="AA12" i="87"/>
  <c r="AB12" i="87" s="1"/>
  <c r="H7" i="87"/>
  <c r="AL11" i="91"/>
  <c r="AL14" i="90"/>
  <c r="W22" i="92"/>
  <c r="H10" i="92"/>
  <c r="H14" i="92"/>
  <c r="W15" i="92"/>
  <c r="H8" i="92"/>
  <c r="H6" i="92"/>
  <c r="W16" i="92"/>
  <c r="W11" i="92"/>
  <c r="D17" i="81"/>
  <c r="AL15" i="79"/>
  <c r="AL12" i="78"/>
  <c r="AL14" i="78"/>
  <c r="H14" i="81"/>
  <c r="AL22" i="77"/>
  <c r="AL9" i="77"/>
  <c r="H15" i="81"/>
  <c r="AL24" i="77"/>
  <c r="H19" i="81"/>
  <c r="AL11" i="77"/>
  <c r="G10" i="81"/>
  <c r="H9" i="81"/>
  <c r="J12" i="81"/>
  <c r="AJ6" i="51"/>
  <c r="AK6" i="51" s="1"/>
  <c r="AJ10" i="50"/>
  <c r="AK10" i="50" s="1"/>
  <c r="O9" i="70"/>
  <c r="P9" i="70" s="1"/>
  <c r="S22" i="57"/>
  <c r="AJ5" i="55"/>
  <c r="AK5" i="55" s="1"/>
  <c r="S21" i="57"/>
  <c r="AJ10" i="53"/>
  <c r="AK10" i="53" s="1"/>
  <c r="S18" i="57"/>
  <c r="P18" i="57"/>
  <c r="S26" i="57"/>
  <c r="AA14" i="92"/>
  <c r="AB14" i="92" s="1"/>
  <c r="I7" i="70"/>
  <c r="J7" i="70" s="1"/>
  <c r="R9" i="70"/>
  <c r="S9" i="70" s="1"/>
  <c r="AJ11" i="56"/>
  <c r="AK11" i="56" s="1"/>
  <c r="AJ23" i="54"/>
  <c r="AK23" i="54" s="1"/>
  <c r="V21" i="57"/>
  <c r="AL5" i="80"/>
  <c r="Q6" i="81"/>
  <c r="AA12" i="81"/>
  <c r="AB12" i="81" s="1"/>
  <c r="AA6" i="81"/>
  <c r="AB6" i="81" s="1"/>
  <c r="AL8" i="85"/>
  <c r="H16" i="92"/>
  <c r="AA7" i="102"/>
  <c r="AB7" i="102" s="1"/>
  <c r="Y12" i="70"/>
  <c r="Y11" i="70"/>
  <c r="I5" i="70"/>
  <c r="J5" i="70" s="1"/>
  <c r="C7" i="70"/>
  <c r="D7" i="70" s="1"/>
  <c r="U9" i="70"/>
  <c r="V9" i="70" s="1"/>
  <c r="C8" i="70"/>
  <c r="D8" i="70" s="1"/>
  <c r="Z10" i="70"/>
  <c r="C9" i="70"/>
  <c r="D9" i="70" s="1"/>
  <c r="I10" i="70"/>
  <c r="J10" i="70" s="1"/>
  <c r="Y7" i="70"/>
  <c r="L10" i="70"/>
  <c r="M10" i="70" s="1"/>
  <c r="L12" i="70"/>
  <c r="M12" i="70" s="1"/>
  <c r="U8" i="70"/>
  <c r="V8" i="70" s="1"/>
  <c r="C11" i="70"/>
  <c r="D11" i="70" s="1"/>
  <c r="L11" i="70"/>
  <c r="M11" i="70" s="1"/>
  <c r="R7" i="70"/>
  <c r="S7" i="70" s="1"/>
  <c r="Y15" i="70"/>
  <c r="C12" i="70"/>
  <c r="D12" i="70" s="1"/>
  <c r="Y6" i="70"/>
  <c r="V5" i="57"/>
  <c r="M26" i="57"/>
  <c r="E26" i="57"/>
  <c r="D20" i="57"/>
  <c r="V18" i="57"/>
  <c r="Y26" i="57"/>
  <c r="P26" i="57"/>
  <c r="D21" i="57"/>
  <c r="D23" i="57"/>
  <c r="AA26" i="57"/>
  <c r="AB26" i="57" s="1"/>
  <c r="J19" i="57"/>
  <c r="M18" i="57"/>
  <c r="AL14" i="74"/>
  <c r="D14" i="81"/>
  <c r="AL8" i="80"/>
  <c r="E9" i="81"/>
  <c r="AL6" i="79"/>
  <c r="E14" i="81"/>
  <c r="AL9" i="79"/>
  <c r="AA7" i="81"/>
  <c r="AB7" i="81" s="1"/>
  <c r="AL13" i="78"/>
  <c r="AL11" i="78"/>
  <c r="E12" i="81"/>
  <c r="E17" i="81"/>
  <c r="AL15" i="77"/>
  <c r="AL8" i="77"/>
  <c r="E16" i="81"/>
  <c r="AL11" i="85"/>
  <c r="AL5" i="84"/>
  <c r="AL15" i="84"/>
  <c r="AL13" i="84"/>
  <c r="E16" i="87"/>
  <c r="AL6" i="84"/>
  <c r="AL11" i="83"/>
  <c r="AL13" i="83"/>
  <c r="AL10" i="83"/>
  <c r="E10" i="87"/>
  <c r="E15" i="87"/>
  <c r="E18" i="87"/>
  <c r="AL9" i="82"/>
  <c r="E13" i="87"/>
  <c r="E12" i="87"/>
  <c r="W18" i="92"/>
  <c r="E14" i="87"/>
  <c r="AA7" i="92"/>
  <c r="AB7" i="92" s="1"/>
  <c r="W7" i="92"/>
  <c r="E8" i="92"/>
  <c r="T21" i="92"/>
  <c r="V5" i="92"/>
  <c r="AA18" i="92"/>
  <c r="AB18" i="92" s="1"/>
  <c r="P18" i="92"/>
  <c r="V12" i="92"/>
  <c r="AL10" i="88"/>
  <c r="AA21" i="92"/>
  <c r="AB21" i="92" s="1"/>
  <c r="Q6" i="103"/>
  <c r="AA6" i="103"/>
  <c r="AB6" i="103" s="1"/>
  <c r="AL9" i="100"/>
  <c r="W7" i="103"/>
  <c r="E5" i="103"/>
  <c r="AL12" i="97"/>
  <c r="S5" i="102"/>
  <c r="E9" i="102"/>
  <c r="AL17" i="94"/>
  <c r="M14" i="102"/>
  <c r="M20" i="102"/>
  <c r="N20" i="102"/>
  <c r="Q20" i="102"/>
  <c r="P20" i="102"/>
  <c r="AA20" i="102"/>
  <c r="AB20" i="102" s="1"/>
  <c r="K20" i="102"/>
  <c r="J20" i="102"/>
  <c r="V20" i="102"/>
  <c r="W20" i="102"/>
  <c r="E12" i="102"/>
  <c r="D11" i="102"/>
  <c r="E20" i="102"/>
  <c r="AA14" i="102"/>
  <c r="AB14" i="102" s="1"/>
  <c r="E14" i="102"/>
  <c r="R5" i="70"/>
  <c r="S5" i="70" s="1"/>
  <c r="O7" i="70"/>
  <c r="P7" i="70" s="1"/>
  <c r="L8" i="70"/>
  <c r="M8" i="70" s="1"/>
  <c r="L7" i="70"/>
  <c r="M7" i="70" s="1"/>
  <c r="I11" i="70"/>
  <c r="J11" i="70" s="1"/>
  <c r="U12" i="70"/>
  <c r="V12" i="70" s="1"/>
  <c r="R10" i="70"/>
  <c r="S10" i="70" s="1"/>
  <c r="O5" i="70"/>
  <c r="P5" i="70" s="1"/>
  <c r="O11" i="70"/>
  <c r="P11" i="70" s="1"/>
  <c r="I9" i="70"/>
  <c r="I12" i="70"/>
  <c r="J12" i="70" s="1"/>
  <c r="I8" i="70"/>
  <c r="J8" i="70" s="1"/>
  <c r="P13" i="70"/>
  <c r="U10" i="70"/>
  <c r="V10" i="70" s="1"/>
  <c r="U6" i="70"/>
  <c r="V6" i="70" s="1"/>
  <c r="L6" i="70"/>
  <c r="M6" i="70" s="1"/>
  <c r="I6" i="70"/>
  <c r="J6" i="70" s="1"/>
  <c r="I15" i="70"/>
  <c r="K15" i="70" s="1"/>
  <c r="C6" i="70"/>
  <c r="D6" i="70" s="1"/>
  <c r="J21" i="57"/>
  <c r="D19" i="57"/>
  <c r="G20" i="57"/>
  <c r="Y12" i="57"/>
  <c r="M12" i="57"/>
  <c r="AJ15" i="53"/>
  <c r="AK15" i="53" s="1"/>
  <c r="J16" i="57"/>
  <c r="J24" i="57"/>
  <c r="V13" i="57"/>
  <c r="H16" i="57"/>
  <c r="P13" i="57"/>
  <c r="Q11" i="76"/>
  <c r="W13" i="76"/>
  <c r="H11" i="76"/>
  <c r="N11" i="76"/>
  <c r="K11" i="76"/>
  <c r="T13" i="76"/>
  <c r="AA16" i="76"/>
  <c r="AB16" i="76" s="1"/>
  <c r="K13" i="76"/>
  <c r="H5" i="76"/>
  <c r="W9" i="76"/>
  <c r="AA12" i="76"/>
  <c r="AB12" i="76" s="1"/>
  <c r="K17" i="76"/>
  <c r="W15" i="76"/>
  <c r="T12" i="76"/>
  <c r="T5" i="76"/>
  <c r="T14" i="76"/>
  <c r="T6" i="76"/>
  <c r="T16" i="76"/>
  <c r="T9" i="76"/>
  <c r="T10" i="76"/>
  <c r="T15" i="76"/>
  <c r="T8" i="76"/>
  <c r="T7" i="76"/>
  <c r="T11" i="76"/>
  <c r="N17" i="76"/>
  <c r="AL6" i="80"/>
  <c r="AL11" i="80"/>
  <c r="AL9" i="80"/>
  <c r="AA18" i="81"/>
  <c r="AB18" i="81" s="1"/>
  <c r="AL16" i="79"/>
  <c r="H12" i="81"/>
  <c r="N18" i="81"/>
  <c r="Q13" i="81"/>
  <c r="J8" i="81"/>
  <c r="AA8" i="81"/>
  <c r="AB8" i="81" s="1"/>
  <c r="E6" i="81"/>
  <c r="Q14" i="81"/>
  <c r="H6" i="81"/>
  <c r="S10" i="81"/>
  <c r="T9" i="81"/>
  <c r="W6" i="81"/>
  <c r="M11" i="81"/>
  <c r="N9" i="81"/>
  <c r="N6" i="81"/>
  <c r="T14" i="81"/>
  <c r="J11" i="81"/>
  <c r="K9" i="81"/>
  <c r="Q9" i="81"/>
  <c r="T6" i="81"/>
  <c r="AA21" i="81"/>
  <c r="AB21" i="81" s="1"/>
  <c r="E21" i="81"/>
  <c r="W8" i="81"/>
  <c r="G11" i="81"/>
  <c r="H18" i="81"/>
  <c r="H8" i="81"/>
  <c r="N8" i="81"/>
  <c r="W18" i="81"/>
  <c r="AL21" i="77"/>
  <c r="AL10" i="85"/>
  <c r="AL15" i="85"/>
  <c r="AL16" i="85"/>
  <c r="AL14" i="85"/>
  <c r="G8" i="87"/>
  <c r="H15" i="87"/>
  <c r="T15" i="87"/>
  <c r="H5" i="87"/>
  <c r="H6" i="87"/>
  <c r="AA5" i="87"/>
  <c r="AB5" i="87" s="1"/>
  <c r="H8" i="87"/>
  <c r="H18" i="87"/>
  <c r="AA8" i="87"/>
  <c r="AB8" i="87" s="1"/>
  <c r="T5" i="87"/>
  <c r="T18" i="87"/>
  <c r="W8" i="87"/>
  <c r="N5" i="87"/>
  <c r="N7" i="87"/>
  <c r="W6" i="92"/>
  <c r="W18" i="87"/>
  <c r="N16" i="87"/>
  <c r="N6" i="87"/>
  <c r="N18" i="87"/>
  <c r="N9" i="87"/>
  <c r="N8" i="87"/>
  <c r="AA6" i="92"/>
  <c r="AB6" i="92" s="1"/>
  <c r="AL13" i="91"/>
  <c r="S14" i="92"/>
  <c r="T14" i="92"/>
  <c r="N8" i="92"/>
  <c r="T5" i="92"/>
  <c r="E6" i="92"/>
  <c r="N17" i="92"/>
  <c r="N6" i="92"/>
  <c r="AA17" i="92"/>
  <c r="AB17" i="92" s="1"/>
  <c r="S7" i="92"/>
  <c r="M15" i="92"/>
  <c r="Q7" i="103"/>
  <c r="N6" i="103"/>
  <c r="K7" i="103"/>
  <c r="M7" i="103"/>
  <c r="E7" i="103"/>
  <c r="AA7" i="103"/>
  <c r="AB7" i="103" s="1"/>
  <c r="E6" i="103"/>
  <c r="AL8" i="97"/>
  <c r="AL8" i="96"/>
  <c r="N13" i="102"/>
  <c r="AL13" i="96"/>
  <c r="AA13" i="102"/>
  <c r="AB13" i="102" s="1"/>
  <c r="AL14" i="95"/>
  <c r="AL15" i="95"/>
  <c r="AL19" i="94"/>
  <c r="AL11" i="94"/>
  <c r="T12" i="102"/>
  <c r="T10" i="102"/>
  <c r="T11" i="102"/>
  <c r="T8" i="102"/>
  <c r="W12" i="102"/>
  <c r="AA8" i="102"/>
  <c r="AB8" i="102" s="1"/>
  <c r="T14" i="102"/>
  <c r="U7" i="70"/>
  <c r="T13" i="102"/>
  <c r="AL7" i="75"/>
  <c r="W15" i="102"/>
  <c r="W10" i="102"/>
  <c r="W11" i="102"/>
  <c r="W13" i="102"/>
  <c r="W8" i="102"/>
  <c r="V10" i="102"/>
  <c r="W9" i="102"/>
  <c r="W14" i="102"/>
  <c r="AL5" i="100"/>
  <c r="AL6" i="100"/>
  <c r="T17" i="92"/>
  <c r="AL9" i="91"/>
  <c r="AA12" i="92"/>
  <c r="AB12" i="92" s="1"/>
  <c r="AL6" i="91"/>
  <c r="AL10" i="91"/>
  <c r="T9" i="92"/>
  <c r="AA16" i="92"/>
  <c r="AB16" i="92" s="1"/>
  <c r="T13" i="92"/>
  <c r="T18" i="92"/>
  <c r="T22" i="92"/>
  <c r="T7" i="92"/>
  <c r="T15" i="92"/>
  <c r="T11" i="92"/>
  <c r="T16" i="92"/>
  <c r="T12" i="92"/>
  <c r="T6" i="92"/>
  <c r="AL24" i="89"/>
  <c r="AL22" i="88"/>
  <c r="AL18" i="88"/>
  <c r="AL16" i="88"/>
  <c r="AL5" i="85"/>
  <c r="W5" i="87"/>
  <c r="AA16" i="87"/>
  <c r="AB16" i="87" s="1"/>
  <c r="V16" i="87"/>
  <c r="W7" i="87"/>
  <c r="S6" i="87"/>
  <c r="T7" i="87"/>
  <c r="W6" i="87"/>
  <c r="T16" i="87"/>
  <c r="T13" i="87"/>
  <c r="AL6" i="85"/>
  <c r="AL7" i="85"/>
  <c r="W16" i="87"/>
  <c r="AL12" i="85"/>
  <c r="T9" i="87"/>
  <c r="T8" i="87"/>
  <c r="T6" i="87"/>
  <c r="W9" i="87"/>
  <c r="AL8" i="91"/>
  <c r="AL17" i="85"/>
  <c r="AL10" i="75"/>
  <c r="AL12" i="75"/>
  <c r="AL6" i="75"/>
  <c r="AL9" i="75"/>
  <c r="AL8" i="75"/>
  <c r="W5" i="76"/>
  <c r="AL9" i="74"/>
  <c r="AL6" i="74"/>
  <c r="AA6" i="76"/>
  <c r="AB6" i="76" s="1"/>
  <c r="AL13" i="74"/>
  <c r="W18" i="76"/>
  <c r="W14" i="76"/>
  <c r="W16" i="76"/>
  <c r="W11" i="76"/>
  <c r="W12" i="76"/>
  <c r="AL14" i="73"/>
  <c r="W6" i="76"/>
  <c r="W8" i="76"/>
  <c r="W7" i="76"/>
  <c r="AA17" i="76"/>
  <c r="AB17" i="76" s="1"/>
  <c r="W10" i="76"/>
  <c r="W17" i="76"/>
  <c r="AL16" i="72"/>
  <c r="AL17" i="72"/>
  <c r="AL8" i="74"/>
  <c r="AL12" i="74"/>
  <c r="N6" i="76"/>
  <c r="D11" i="76"/>
  <c r="AA11" i="76"/>
  <c r="AB11" i="76" s="1"/>
  <c r="E16" i="76"/>
  <c r="D18" i="76"/>
  <c r="E18" i="76"/>
  <c r="AL9" i="71"/>
  <c r="AL8" i="71"/>
  <c r="AL10" i="71"/>
  <c r="AL5" i="71"/>
  <c r="AL13" i="71"/>
  <c r="AL6" i="71"/>
  <c r="T8" i="81"/>
  <c r="AA24" i="81"/>
  <c r="AB24" i="81" s="1"/>
  <c r="W5" i="81"/>
  <c r="W21" i="81"/>
  <c r="W24" i="81"/>
  <c r="W10" i="81"/>
  <c r="W13" i="81"/>
  <c r="T5" i="81"/>
  <c r="W7" i="81"/>
  <c r="W20" i="81"/>
  <c r="W11" i="81"/>
  <c r="W16" i="81"/>
  <c r="T18" i="81"/>
  <c r="T20" i="81"/>
  <c r="T7" i="81"/>
  <c r="T24" i="81"/>
  <c r="T21" i="81"/>
  <c r="T11" i="81"/>
  <c r="T13" i="81"/>
  <c r="T10" i="81"/>
  <c r="AL14" i="77"/>
  <c r="Q14" i="70"/>
  <c r="O12" i="70"/>
  <c r="P12" i="70" s="1"/>
  <c r="E15" i="70"/>
  <c r="N15" i="70"/>
  <c r="T15" i="70"/>
  <c r="E14" i="70"/>
  <c r="E13" i="70"/>
  <c r="V13" i="70"/>
  <c r="W15" i="70"/>
  <c r="W14" i="70"/>
  <c r="C10" i="70"/>
  <c r="AA14" i="70"/>
  <c r="AB14" i="70" s="1"/>
  <c r="O8" i="70"/>
  <c r="P8" i="70" s="1"/>
  <c r="R11" i="70"/>
  <c r="S11" i="70" s="1"/>
  <c r="Q15" i="70"/>
  <c r="R8" i="70"/>
  <c r="R6" i="70"/>
  <c r="S14" i="70"/>
  <c r="T13" i="70"/>
  <c r="AA13" i="70"/>
  <c r="AB13" i="70" s="1"/>
  <c r="AJ9" i="49"/>
  <c r="AK9" i="49" s="1"/>
  <c r="M5" i="70"/>
  <c r="O10" i="70"/>
  <c r="D5" i="70"/>
  <c r="N14" i="70"/>
  <c r="J14" i="70"/>
  <c r="F8" i="70"/>
  <c r="V5" i="70"/>
  <c r="AJ14" i="53"/>
  <c r="AK14" i="53" s="1"/>
  <c r="Y13" i="57"/>
  <c r="M14" i="57"/>
  <c r="H19" i="57"/>
  <c r="H23" i="57"/>
  <c r="P16" i="57"/>
  <c r="N23" i="57"/>
  <c r="P23" i="57"/>
  <c r="AJ27" i="54"/>
  <c r="AK27" i="54" s="1"/>
  <c r="W23" i="57"/>
  <c r="S16" i="57"/>
  <c r="S23" i="57"/>
  <c r="T16" i="81"/>
  <c r="S16" i="81"/>
  <c r="K16" i="76"/>
  <c r="N16" i="76"/>
  <c r="G15" i="76"/>
  <c r="H16" i="76"/>
  <c r="AL14" i="75"/>
  <c r="AL5" i="74"/>
  <c r="AL7" i="74"/>
  <c r="AL10" i="74"/>
  <c r="AL7" i="79"/>
  <c r="AL9" i="78"/>
  <c r="AA5" i="92"/>
  <c r="AB5" i="92" s="1"/>
  <c r="AL7" i="100"/>
  <c r="AL8" i="100"/>
  <c r="AL10" i="94"/>
  <c r="AL5" i="94"/>
  <c r="AL18" i="94"/>
  <c r="AL13" i="94"/>
  <c r="AL15" i="94"/>
  <c r="AL7" i="94"/>
  <c r="AL9" i="94"/>
  <c r="AL20" i="94"/>
  <c r="AL10" i="97"/>
  <c r="AL7" i="97"/>
  <c r="K9" i="102"/>
  <c r="K15" i="102"/>
  <c r="AL6" i="97"/>
  <c r="AL5" i="97"/>
  <c r="AL10" i="96"/>
  <c r="AL7" i="96"/>
  <c r="AL14" i="96"/>
  <c r="E10" i="102"/>
  <c r="AL6" i="96"/>
  <c r="AL12" i="96"/>
  <c r="AL5" i="96"/>
  <c r="E7" i="102"/>
  <c r="E5" i="102"/>
  <c r="K13" i="102"/>
  <c r="K14" i="102"/>
  <c r="AL5" i="95"/>
  <c r="AL9" i="95"/>
  <c r="AL13" i="95"/>
  <c r="N11" i="102"/>
  <c r="AL17" i="95"/>
  <c r="AL6" i="95"/>
  <c r="E8" i="102"/>
  <c r="AL12" i="95"/>
  <c r="AL11" i="95"/>
  <c r="Q11" i="102"/>
  <c r="AL10" i="95"/>
  <c r="AL7" i="95"/>
  <c r="AL18" i="95"/>
  <c r="E19" i="102"/>
  <c r="AA12" i="102"/>
  <c r="AB12" i="102" s="1"/>
  <c r="Q13" i="102"/>
  <c r="N12" i="102"/>
  <c r="E11" i="102"/>
  <c r="AA10" i="102"/>
  <c r="AB10" i="102" s="1"/>
  <c r="AA11" i="102"/>
  <c r="AB11" i="102" s="1"/>
  <c r="Q9" i="102"/>
  <c r="N7" i="102"/>
  <c r="E13" i="102"/>
  <c r="M5" i="102"/>
  <c r="N5" i="102"/>
  <c r="AA5" i="102"/>
  <c r="AB5" i="102" s="1"/>
  <c r="AA19" i="102"/>
  <c r="AB19" i="102" s="1"/>
  <c r="D19" i="102"/>
  <c r="K5" i="102"/>
  <c r="K12" i="102"/>
  <c r="J11" i="102"/>
  <c r="K8" i="102"/>
  <c r="K11" i="102"/>
  <c r="P10" i="102"/>
  <c r="Q10" i="102"/>
  <c r="Q12" i="102"/>
  <c r="M10" i="102"/>
  <c r="N10" i="102"/>
  <c r="N9" i="102"/>
  <c r="Q8" i="102"/>
  <c r="N8" i="102"/>
  <c r="AL7" i="91"/>
  <c r="AL19" i="91"/>
  <c r="AL12" i="91"/>
  <c r="AL16" i="91"/>
  <c r="AL18" i="91"/>
  <c r="AL20" i="91"/>
  <c r="H18" i="92"/>
  <c r="H9" i="92"/>
  <c r="AL11" i="73"/>
  <c r="AL11" i="71"/>
  <c r="AL12" i="71"/>
  <c r="AL15" i="71"/>
  <c r="AL16" i="71"/>
  <c r="AL17" i="71"/>
  <c r="AL11" i="79"/>
  <c r="AL13" i="79"/>
  <c r="AL22" i="79"/>
  <c r="AL8" i="79"/>
  <c r="AL5" i="79"/>
  <c r="AL14" i="79"/>
  <c r="AL12" i="79"/>
  <c r="AL18" i="79"/>
  <c r="AL10" i="79"/>
  <c r="Q8" i="92"/>
  <c r="Q11" i="92"/>
  <c r="Q7" i="92"/>
  <c r="Q9" i="92"/>
  <c r="Q13" i="92"/>
  <c r="Q14" i="92"/>
  <c r="Q6" i="92"/>
  <c r="Q12" i="92"/>
  <c r="Q21" i="92"/>
  <c r="Q22" i="92"/>
  <c r="Q5" i="92"/>
  <c r="Q18" i="92"/>
  <c r="K13" i="87"/>
  <c r="K16" i="87"/>
  <c r="AA6" i="87"/>
  <c r="AB6" i="87" s="1"/>
  <c r="K5" i="87"/>
  <c r="K7" i="87"/>
  <c r="K9" i="87"/>
  <c r="K6" i="87"/>
  <c r="J6" i="87"/>
  <c r="N13" i="92"/>
  <c r="N9" i="92"/>
  <c r="N5" i="92"/>
  <c r="N15" i="92"/>
  <c r="N16" i="92"/>
  <c r="N22" i="92"/>
  <c r="N12" i="92"/>
  <c r="N11" i="92"/>
  <c r="M22" i="92"/>
  <c r="N21" i="92"/>
  <c r="N7" i="92"/>
  <c r="H15" i="92"/>
  <c r="H21" i="92"/>
  <c r="H12" i="92"/>
  <c r="H11" i="92"/>
  <c r="H7" i="92"/>
  <c r="H5" i="92"/>
  <c r="H13" i="92"/>
  <c r="H22" i="92"/>
  <c r="H17" i="92"/>
  <c r="K16" i="92"/>
  <c r="K9" i="92"/>
  <c r="K11" i="92"/>
  <c r="K18" i="92"/>
  <c r="K13" i="92"/>
  <c r="K22" i="92"/>
  <c r="D10" i="92"/>
  <c r="K5" i="92"/>
  <c r="K12" i="92"/>
  <c r="K15" i="92"/>
  <c r="AL20" i="90"/>
  <c r="AL6" i="90"/>
  <c r="AL13" i="90"/>
  <c r="AL5" i="90"/>
  <c r="AL15" i="90"/>
  <c r="AA9" i="92"/>
  <c r="AB9" i="92" s="1"/>
  <c r="AL8" i="90"/>
  <c r="AA22" i="92"/>
  <c r="AB22" i="92" s="1"/>
  <c r="AL10" i="90"/>
  <c r="AL7" i="90"/>
  <c r="AL12" i="90"/>
  <c r="AL18" i="90"/>
  <c r="AL17" i="90"/>
  <c r="AL11" i="90"/>
  <c r="AL9" i="90"/>
  <c r="E21" i="92"/>
  <c r="E17" i="92"/>
  <c r="E12" i="92"/>
  <c r="E9" i="92"/>
  <c r="E18" i="92"/>
  <c r="AL20" i="89"/>
  <c r="AL14" i="89"/>
  <c r="AL8" i="89"/>
  <c r="AL6" i="89"/>
  <c r="AL12" i="89"/>
  <c r="AL11" i="89"/>
  <c r="AL10" i="89"/>
  <c r="AL15" i="89"/>
  <c r="AL9" i="89"/>
  <c r="AL18" i="89"/>
  <c r="AL5" i="89"/>
  <c r="AL7" i="89"/>
  <c r="AL21" i="89"/>
  <c r="AL19" i="89"/>
  <c r="AL22" i="89"/>
  <c r="AL13" i="89"/>
  <c r="E5" i="92"/>
  <c r="AA15" i="92"/>
  <c r="AB15" i="92" s="1"/>
  <c r="D15" i="92"/>
  <c r="D11" i="92"/>
  <c r="AA11" i="92"/>
  <c r="AB11" i="92" s="1"/>
  <c r="E10" i="92"/>
  <c r="E14" i="92"/>
  <c r="E11" i="92"/>
  <c r="E22" i="92"/>
  <c r="E7" i="92"/>
  <c r="E16" i="92"/>
  <c r="AA13" i="92"/>
  <c r="AB13" i="92" s="1"/>
  <c r="D13" i="92"/>
  <c r="E13" i="92"/>
  <c r="E15" i="92"/>
  <c r="AL9" i="88"/>
  <c r="AL13" i="88"/>
  <c r="AL21" i="88"/>
  <c r="AL7" i="88"/>
  <c r="AL14" i="88"/>
  <c r="AL12" i="88"/>
  <c r="AL6" i="88"/>
  <c r="AL20" i="88"/>
  <c r="AL17" i="88"/>
  <c r="AL8" i="88"/>
  <c r="AL5" i="88"/>
  <c r="G16" i="81"/>
  <c r="H16" i="81"/>
  <c r="AA16" i="81"/>
  <c r="AB16" i="81" s="1"/>
  <c r="AA7" i="87"/>
  <c r="AB7" i="87" s="1"/>
  <c r="Q18" i="87"/>
  <c r="Q6" i="87"/>
  <c r="Q9" i="87"/>
  <c r="Q5" i="87"/>
  <c r="Q7" i="87"/>
  <c r="Q16" i="87"/>
  <c r="AL10" i="84"/>
  <c r="AL7" i="84"/>
  <c r="AL11" i="84"/>
  <c r="AL9" i="84"/>
  <c r="AL12" i="83"/>
  <c r="AL7" i="83"/>
  <c r="AL5" i="83"/>
  <c r="AL15" i="83"/>
  <c r="AL9" i="83"/>
  <c r="AL6" i="83"/>
  <c r="AL8" i="83"/>
  <c r="E5" i="87"/>
  <c r="E8" i="87"/>
  <c r="E7" i="87"/>
  <c r="AA9" i="87"/>
  <c r="AB9" i="87" s="1"/>
  <c r="E9" i="87"/>
  <c r="D9" i="87"/>
  <c r="E6" i="87"/>
  <c r="AL7" i="82"/>
  <c r="AL11" i="82"/>
  <c r="AL5" i="82"/>
  <c r="AL14" i="82"/>
  <c r="AL10" i="82"/>
  <c r="AL15" i="82"/>
  <c r="AL6" i="82"/>
  <c r="N24" i="81"/>
  <c r="Q24" i="81"/>
  <c r="K15" i="81"/>
  <c r="Q18" i="81"/>
  <c r="AA20" i="81"/>
  <c r="AB20" i="81" s="1"/>
  <c r="P20" i="81"/>
  <c r="P10" i="81"/>
  <c r="Q11" i="81"/>
  <c r="Q10" i="81"/>
  <c r="Q21" i="81"/>
  <c r="Q7" i="81"/>
  <c r="Q5" i="81"/>
  <c r="Q16" i="81"/>
  <c r="Q20" i="81"/>
  <c r="N11" i="81"/>
  <c r="N16" i="81"/>
  <c r="N5" i="81"/>
  <c r="N20" i="81"/>
  <c r="N13" i="81"/>
  <c r="N10" i="81"/>
  <c r="N21" i="81"/>
  <c r="N7" i="81"/>
  <c r="M10" i="81"/>
  <c r="AA10" i="81"/>
  <c r="AB10" i="81" s="1"/>
  <c r="AA5" i="81"/>
  <c r="AB5" i="81" s="1"/>
  <c r="K10" i="81"/>
  <c r="J5" i="81"/>
  <c r="K6" i="81"/>
  <c r="K21" i="81"/>
  <c r="K11" i="81"/>
  <c r="K13" i="81"/>
  <c r="K7" i="81"/>
  <c r="K24" i="81"/>
  <c r="K20" i="81"/>
  <c r="K5" i="81"/>
  <c r="K18" i="81"/>
  <c r="K16" i="81"/>
  <c r="H13" i="81"/>
  <c r="H20" i="81"/>
  <c r="H7" i="81"/>
  <c r="H10" i="81"/>
  <c r="H5" i="81"/>
  <c r="AA13" i="81"/>
  <c r="AB13" i="81" s="1"/>
  <c r="H11" i="81"/>
  <c r="H24" i="81"/>
  <c r="AL19" i="78"/>
  <c r="AL25" i="78"/>
  <c r="AL18" i="78"/>
  <c r="AL10" i="78"/>
  <c r="E24" i="81"/>
  <c r="E13" i="81"/>
  <c r="AL7" i="78"/>
  <c r="AL8" i="78"/>
  <c r="AL5" i="78"/>
  <c r="AL6" i="78"/>
  <c r="AL15" i="78"/>
  <c r="E20" i="81"/>
  <c r="E8" i="81"/>
  <c r="E10" i="81"/>
  <c r="AA11" i="81"/>
  <c r="AB11" i="81" s="1"/>
  <c r="E7" i="81"/>
  <c r="E11" i="81"/>
  <c r="E5" i="81"/>
  <c r="E18" i="81"/>
  <c r="D11" i="81"/>
  <c r="AL10" i="77"/>
  <c r="AL6" i="77"/>
  <c r="AL12" i="77"/>
  <c r="AL25" i="77"/>
  <c r="AL23" i="77"/>
  <c r="AL7" i="77"/>
  <c r="AL18" i="77"/>
  <c r="AL5" i="77"/>
  <c r="AL13" i="77"/>
  <c r="AL5" i="75"/>
  <c r="Q9" i="76"/>
  <c r="N5" i="76"/>
  <c r="K14" i="76"/>
  <c r="K5" i="76"/>
  <c r="AA5" i="76"/>
  <c r="AB5" i="76" s="1"/>
  <c r="G12" i="76"/>
  <c r="N15" i="76"/>
  <c r="AA14" i="76"/>
  <c r="AB14" i="76" s="1"/>
  <c r="Q5" i="76"/>
  <c r="P15" i="76"/>
  <c r="Q12" i="76"/>
  <c r="Q10" i="76"/>
  <c r="AL9" i="73"/>
  <c r="AA15" i="76"/>
  <c r="AB15" i="76" s="1"/>
  <c r="AC18" i="76" s="1"/>
  <c r="N12" i="76"/>
  <c r="N7" i="76"/>
  <c r="N8" i="76"/>
  <c r="N13" i="76"/>
  <c r="N10" i="76"/>
  <c r="M9" i="76"/>
  <c r="AA9" i="76"/>
  <c r="AB9" i="76" s="1"/>
  <c r="N9" i="76"/>
  <c r="N14" i="76"/>
  <c r="AL5" i="73"/>
  <c r="AL12" i="73"/>
  <c r="J10" i="76"/>
  <c r="K12" i="76"/>
  <c r="K7" i="76"/>
  <c r="AA10" i="76"/>
  <c r="AB10" i="76" s="1"/>
  <c r="E12" i="76"/>
  <c r="K15" i="76"/>
  <c r="K10" i="76"/>
  <c r="K8" i="76"/>
  <c r="K9" i="76"/>
  <c r="K6" i="76"/>
  <c r="AL7" i="73"/>
  <c r="AL6" i="73"/>
  <c r="AL15" i="73"/>
  <c r="AL13" i="73"/>
  <c r="AL10" i="73"/>
  <c r="AL8" i="73"/>
  <c r="E10" i="76"/>
  <c r="E9" i="76"/>
  <c r="Q8" i="76"/>
  <c r="Q6" i="76"/>
  <c r="Q14" i="76"/>
  <c r="Q15" i="76"/>
  <c r="Q13" i="76"/>
  <c r="Q7" i="76"/>
  <c r="P13" i="76"/>
  <c r="AA13" i="76"/>
  <c r="AB13" i="76" s="1"/>
  <c r="AL8" i="72"/>
  <c r="AL6" i="72"/>
  <c r="H6" i="76"/>
  <c r="H12" i="76"/>
  <c r="AL5" i="72"/>
  <c r="H13" i="76"/>
  <c r="H14" i="76"/>
  <c r="AL12" i="72"/>
  <c r="AL15" i="72"/>
  <c r="G8" i="76"/>
  <c r="H15" i="76"/>
  <c r="H10" i="76"/>
  <c r="H7" i="76"/>
  <c r="AA8" i="76"/>
  <c r="AB8" i="76" s="1"/>
  <c r="H8" i="76"/>
  <c r="H9" i="76"/>
  <c r="AL11" i="72"/>
  <c r="AL13" i="72"/>
  <c r="AL7" i="72"/>
  <c r="AL10" i="72"/>
  <c r="E8" i="76"/>
  <c r="E13" i="76"/>
  <c r="AL9" i="72"/>
  <c r="E15" i="76"/>
  <c r="E7" i="76"/>
  <c r="E17" i="76"/>
  <c r="E6" i="76"/>
  <c r="AA7" i="76"/>
  <c r="AB7" i="76" s="1"/>
  <c r="E5" i="76"/>
  <c r="D7" i="76"/>
  <c r="E11" i="76"/>
  <c r="E14" i="76"/>
  <c r="AL14" i="71"/>
  <c r="AL7" i="71"/>
  <c r="AJ6" i="53"/>
  <c r="AK6" i="53" s="1"/>
  <c r="AJ6" i="50"/>
  <c r="AK6" i="50" s="1"/>
  <c r="AJ8" i="51"/>
  <c r="AK8" i="51" s="1"/>
  <c r="AJ20" i="53"/>
  <c r="AK20" i="53" s="1"/>
  <c r="AJ11" i="53"/>
  <c r="AK11" i="53" s="1"/>
  <c r="AJ11" i="52"/>
  <c r="AK11" i="52" s="1"/>
  <c r="AJ8" i="56"/>
  <c r="AK8" i="56" s="1"/>
  <c r="AJ11" i="49"/>
  <c r="AK11" i="49" s="1"/>
  <c r="AJ5" i="49"/>
  <c r="AK5" i="49" s="1"/>
  <c r="AJ9" i="52"/>
  <c r="AK9" i="52" s="1"/>
  <c r="AJ7" i="53"/>
  <c r="AK7" i="53" s="1"/>
  <c r="AJ16" i="55"/>
  <c r="AK16" i="55" s="1"/>
  <c r="AJ7" i="51"/>
  <c r="AK7" i="51" s="1"/>
  <c r="AJ18" i="56"/>
  <c r="AK18" i="56" s="1"/>
  <c r="AJ19" i="56"/>
  <c r="AK19" i="56" s="1"/>
  <c r="AJ6" i="56"/>
  <c r="AK6" i="56" s="1"/>
  <c r="AJ24" i="56"/>
  <c r="AK24" i="56" s="1"/>
  <c r="AJ9" i="56"/>
  <c r="AK9" i="56" s="1"/>
  <c r="AJ25" i="56"/>
  <c r="AK25" i="56" s="1"/>
  <c r="AJ17" i="56"/>
  <c r="AK17" i="56" s="1"/>
  <c r="AJ5" i="56"/>
  <c r="AK5" i="56" s="1"/>
  <c r="AJ22" i="56"/>
  <c r="AK22" i="56" s="1"/>
  <c r="AJ13" i="55"/>
  <c r="AK13" i="55" s="1"/>
  <c r="AJ25" i="55"/>
  <c r="AK25" i="55" s="1"/>
  <c r="AJ9" i="55"/>
  <c r="AK9" i="55" s="1"/>
  <c r="AJ18" i="55"/>
  <c r="AK18" i="55" s="1"/>
  <c r="AL19" i="55" s="1"/>
  <c r="AJ8" i="55"/>
  <c r="AK8" i="55" s="1"/>
  <c r="AJ6" i="55"/>
  <c r="AK6" i="55" s="1"/>
  <c r="AJ10" i="55"/>
  <c r="AK10" i="55" s="1"/>
  <c r="AJ10" i="54"/>
  <c r="AK10" i="54" s="1"/>
  <c r="AJ15" i="54"/>
  <c r="AK15" i="54" s="1"/>
  <c r="C25" i="115" s="1"/>
  <c r="D25" i="115" s="1"/>
  <c r="E25" i="115" s="1"/>
  <c r="AJ11" i="54"/>
  <c r="AK11" i="54" s="1"/>
  <c r="AJ13" i="53"/>
  <c r="AK13" i="53" s="1"/>
  <c r="AJ7" i="49"/>
  <c r="AK7" i="49" s="1"/>
  <c r="AJ8" i="49"/>
  <c r="AK8" i="49" s="1"/>
  <c r="AL22" i="53"/>
  <c r="AJ10" i="52"/>
  <c r="AK10" i="52" s="1"/>
  <c r="AJ8" i="52"/>
  <c r="AK8" i="52" s="1"/>
  <c r="AJ7" i="52"/>
  <c r="AK7" i="52" s="1"/>
  <c r="AJ5" i="52"/>
  <c r="AK5" i="52" s="1"/>
  <c r="AJ10" i="51"/>
  <c r="AK10" i="51" s="1"/>
  <c r="AJ9" i="51"/>
  <c r="AK9" i="51" s="1"/>
  <c r="AJ11" i="51"/>
  <c r="AK11" i="51" s="1"/>
  <c r="AL12" i="51"/>
  <c r="AJ11" i="50"/>
  <c r="AK11" i="50" s="1"/>
  <c r="AJ9" i="50"/>
  <c r="AK9" i="50" s="1"/>
  <c r="AJ7" i="50"/>
  <c r="AK7" i="50" s="1"/>
  <c r="AJ14" i="50"/>
  <c r="AK14" i="50" s="1"/>
  <c r="AJ5" i="50"/>
  <c r="AK5" i="50" s="1"/>
  <c r="AJ8" i="50"/>
  <c r="AK8" i="50" s="1"/>
  <c r="AL24" i="50"/>
  <c r="AL22" i="50"/>
  <c r="AL19" i="50"/>
  <c r="AL20" i="50"/>
  <c r="AL21" i="50"/>
  <c r="AL15" i="50"/>
  <c r="AL16" i="50"/>
  <c r="AL18" i="50"/>
  <c r="AL17" i="50"/>
  <c r="AL23" i="50"/>
  <c r="AL12" i="50"/>
  <c r="AJ18" i="49"/>
  <c r="AK18" i="49" s="1"/>
  <c r="AJ16" i="49"/>
  <c r="AK16" i="49" s="1"/>
  <c r="AJ20" i="49"/>
  <c r="AK20" i="49" s="1"/>
  <c r="AJ14" i="49"/>
  <c r="AK14" i="49" s="1"/>
  <c r="AJ12" i="49"/>
  <c r="AK12" i="49" s="1"/>
  <c r="AJ24" i="49"/>
  <c r="AK24" i="49" s="1"/>
  <c r="AJ23" i="49"/>
  <c r="AK23" i="49" s="1"/>
  <c r="AJ19" i="49"/>
  <c r="AK19" i="49" s="1"/>
  <c r="AJ15" i="49"/>
  <c r="AK15" i="49" s="1"/>
  <c r="AJ6" i="49"/>
  <c r="AK6" i="49" s="1"/>
  <c r="AJ10" i="49"/>
  <c r="AK10" i="49" s="1"/>
  <c r="AJ13" i="49"/>
  <c r="AK13" i="49" s="1"/>
  <c r="AJ22" i="49"/>
  <c r="AK22" i="49" s="1"/>
  <c r="AJ17" i="49"/>
  <c r="AK17" i="49" s="1"/>
  <c r="AJ21" i="49"/>
  <c r="AK21" i="49" s="1"/>
  <c r="W22" i="57" l="1"/>
  <c r="C19" i="115"/>
  <c r="D19" i="115" s="1"/>
  <c r="AA7" i="57"/>
  <c r="AB7" i="57" s="1"/>
  <c r="W7" i="57"/>
  <c r="W26" i="57"/>
  <c r="W12" i="57"/>
  <c r="W21" i="57"/>
  <c r="W18" i="57"/>
  <c r="T22" i="57"/>
  <c r="AL16" i="56"/>
  <c r="AL24" i="55"/>
  <c r="S5" i="57"/>
  <c r="T26" i="57"/>
  <c r="T18" i="57"/>
  <c r="T21" i="57"/>
  <c r="AL21" i="53"/>
  <c r="T12" i="57"/>
  <c r="T7" i="57"/>
  <c r="C5" i="114"/>
  <c r="D5" i="114" s="1"/>
  <c r="C11" i="114"/>
  <c r="D11" i="114" s="1"/>
  <c r="Q22" i="57"/>
  <c r="AL21" i="56"/>
  <c r="C15" i="115"/>
  <c r="D15" i="115" s="1"/>
  <c r="AL15" i="55"/>
  <c r="P6" i="57"/>
  <c r="Q15" i="57"/>
  <c r="Q7" i="57"/>
  <c r="Q26" i="57"/>
  <c r="Q13" i="57"/>
  <c r="Q21" i="57"/>
  <c r="Q18" i="57"/>
  <c r="D6" i="115"/>
  <c r="C6" i="114"/>
  <c r="D6" i="114" s="1"/>
  <c r="C7" i="114"/>
  <c r="AL13" i="56"/>
  <c r="AL20" i="56"/>
  <c r="AA22" i="57"/>
  <c r="AB22" i="57" s="1"/>
  <c r="M5" i="57"/>
  <c r="N25" i="57"/>
  <c r="AL23" i="56"/>
  <c r="M6" i="57"/>
  <c r="N26" i="57"/>
  <c r="N19" i="57"/>
  <c r="AL22" i="55"/>
  <c r="AL21" i="55"/>
  <c r="K25" i="57"/>
  <c r="N7" i="57"/>
  <c r="J18" i="57"/>
  <c r="N22" i="57"/>
  <c r="K7" i="57"/>
  <c r="K13" i="57"/>
  <c r="K26" i="57"/>
  <c r="N16" i="57"/>
  <c r="K22" i="57"/>
  <c r="K15" i="57"/>
  <c r="C18" i="115"/>
  <c r="D18" i="115" s="1"/>
  <c r="C7" i="115"/>
  <c r="D7" i="115" s="1"/>
  <c r="N9" i="57"/>
  <c r="N21" i="57"/>
  <c r="N18" i="57"/>
  <c r="N12" i="57"/>
  <c r="N17" i="57"/>
  <c r="M8" i="57"/>
  <c r="N15" i="57"/>
  <c r="K12" i="57"/>
  <c r="K18" i="57"/>
  <c r="AL16" i="53"/>
  <c r="K21" i="57"/>
  <c r="AL9" i="53"/>
  <c r="J5" i="57"/>
  <c r="K14" i="57"/>
  <c r="AL18" i="53"/>
  <c r="AC17" i="87"/>
  <c r="AC20" i="92"/>
  <c r="AC19" i="92"/>
  <c r="E23" i="115"/>
  <c r="AC16" i="102"/>
  <c r="AC8" i="103"/>
  <c r="AC6" i="103"/>
  <c r="AC18" i="102"/>
  <c r="AC6" i="102"/>
  <c r="AC17" i="102"/>
  <c r="AC11" i="87"/>
  <c r="AC19" i="81"/>
  <c r="W9" i="70"/>
  <c r="AL15" i="56"/>
  <c r="H12" i="57"/>
  <c r="H22" i="57"/>
  <c r="AL10" i="56"/>
  <c r="AL7" i="55"/>
  <c r="AL20" i="55"/>
  <c r="H7" i="57"/>
  <c r="H15" i="57"/>
  <c r="H11" i="57"/>
  <c r="AL17" i="53"/>
  <c r="H14" i="57"/>
  <c r="AL12" i="53"/>
  <c r="G6" i="57"/>
  <c r="H18" i="57"/>
  <c r="AL6" i="52"/>
  <c r="E9" i="70"/>
  <c r="K12" i="70"/>
  <c r="D18" i="57"/>
  <c r="W14" i="57"/>
  <c r="AL14" i="56"/>
  <c r="AA13" i="57"/>
  <c r="AB13" i="57" s="1"/>
  <c r="AL11" i="55"/>
  <c r="AL23" i="55"/>
  <c r="E18" i="57"/>
  <c r="AA21" i="57"/>
  <c r="AB21" i="57" s="1"/>
  <c r="E21" i="57"/>
  <c r="D8" i="57"/>
  <c r="E13" i="57"/>
  <c r="AL8" i="53"/>
  <c r="AC17" i="81"/>
  <c r="AC12" i="81"/>
  <c r="AC14" i="87"/>
  <c r="AC5" i="103"/>
  <c r="AC20" i="102"/>
  <c r="AA5" i="70"/>
  <c r="AB5" i="70" s="1"/>
  <c r="K9" i="70"/>
  <c r="J9" i="70"/>
  <c r="AA9" i="70"/>
  <c r="AB9" i="70" s="1"/>
  <c r="J15" i="70"/>
  <c r="K5" i="70"/>
  <c r="W5" i="70"/>
  <c r="N11" i="70"/>
  <c r="N10" i="70"/>
  <c r="N9" i="70"/>
  <c r="N12" i="70"/>
  <c r="N7" i="70"/>
  <c r="N8" i="70"/>
  <c r="N5" i="70"/>
  <c r="N13" i="70"/>
  <c r="N6" i="70"/>
  <c r="T5" i="70"/>
  <c r="K8" i="70"/>
  <c r="K7" i="70"/>
  <c r="K14" i="70"/>
  <c r="K11" i="70"/>
  <c r="AA15" i="70"/>
  <c r="AB15" i="70" s="1"/>
  <c r="K13" i="70"/>
  <c r="K10" i="70"/>
  <c r="K6" i="70"/>
  <c r="W6" i="70"/>
  <c r="V7" i="70"/>
  <c r="W11" i="70"/>
  <c r="W8" i="70"/>
  <c r="AA7" i="70"/>
  <c r="AB7" i="70" s="1"/>
  <c r="AA12" i="70"/>
  <c r="AB12" i="70" s="1"/>
  <c r="W7" i="70"/>
  <c r="W12" i="70"/>
  <c r="W10" i="70"/>
  <c r="H5" i="70"/>
  <c r="H6" i="70"/>
  <c r="E6" i="70"/>
  <c r="H17" i="57"/>
  <c r="H24" i="57"/>
  <c r="K9" i="57"/>
  <c r="H9" i="57"/>
  <c r="H10" i="57"/>
  <c r="H8" i="57"/>
  <c r="N24" i="57"/>
  <c r="M20" i="57"/>
  <c r="N20" i="57"/>
  <c r="H20" i="57"/>
  <c r="H6" i="57"/>
  <c r="H5" i="57"/>
  <c r="H13" i="57"/>
  <c r="T13" i="57"/>
  <c r="N11" i="57"/>
  <c r="N13" i="57"/>
  <c r="N14" i="57"/>
  <c r="Q17" i="57"/>
  <c r="W13" i="57"/>
  <c r="N6" i="57"/>
  <c r="AA12" i="57"/>
  <c r="AB12" i="57" s="1"/>
  <c r="N8" i="57"/>
  <c r="N10" i="57"/>
  <c r="N5" i="57"/>
  <c r="W20" i="57"/>
  <c r="W9" i="57"/>
  <c r="J11" i="57"/>
  <c r="K5" i="57"/>
  <c r="E14" i="57"/>
  <c r="T14" i="57"/>
  <c r="Q5" i="57"/>
  <c r="W16" i="57"/>
  <c r="W6" i="57"/>
  <c r="W24" i="57"/>
  <c r="W5" i="57"/>
  <c r="W8" i="57"/>
  <c r="W10" i="57"/>
  <c r="W19" i="57"/>
  <c r="W11" i="57"/>
  <c r="W17" i="57"/>
  <c r="Q9" i="57"/>
  <c r="E11" i="57"/>
  <c r="Q16" i="57"/>
  <c r="AC14" i="81"/>
  <c r="AC9" i="81"/>
  <c r="AC12" i="87"/>
  <c r="AC15" i="87"/>
  <c r="AC7" i="103"/>
  <c r="E12" i="70"/>
  <c r="E10" i="70"/>
  <c r="E5" i="70"/>
  <c r="E11" i="70"/>
  <c r="AA11" i="70"/>
  <c r="AB11" i="70" s="1"/>
  <c r="T8" i="70"/>
  <c r="S6" i="70"/>
  <c r="D10" i="70"/>
  <c r="E7" i="70"/>
  <c r="E8" i="70"/>
  <c r="Q7" i="70"/>
  <c r="T10" i="70"/>
  <c r="T11" i="70"/>
  <c r="S8" i="70"/>
  <c r="Q10" i="70"/>
  <c r="T12" i="70"/>
  <c r="T9" i="70"/>
  <c r="T7" i="70"/>
  <c r="AA10" i="70"/>
  <c r="AB10" i="70" s="1"/>
  <c r="Q6" i="70"/>
  <c r="AA6" i="70"/>
  <c r="AB6" i="70" s="1"/>
  <c r="T6" i="70"/>
  <c r="H10" i="70"/>
  <c r="H7" i="70"/>
  <c r="Q5" i="70"/>
  <c r="Q9" i="70"/>
  <c r="Q8" i="70"/>
  <c r="Q12" i="70"/>
  <c r="AA8" i="70"/>
  <c r="AB8" i="70" s="1"/>
  <c r="Q11" i="70"/>
  <c r="P10" i="70"/>
  <c r="H11" i="70"/>
  <c r="H9" i="70"/>
  <c r="H8" i="70"/>
  <c r="G8" i="70"/>
  <c r="H12" i="70"/>
  <c r="E10" i="57"/>
  <c r="E6" i="57"/>
  <c r="E5" i="57"/>
  <c r="E19" i="57"/>
  <c r="E9" i="57"/>
  <c r="E12" i="57"/>
  <c r="E16" i="57"/>
  <c r="E8" i="57"/>
  <c r="E17" i="57"/>
  <c r="E24" i="57"/>
  <c r="E20" i="57"/>
  <c r="T16" i="57"/>
  <c r="T20" i="57"/>
  <c r="T23" i="57"/>
  <c r="T24" i="57"/>
  <c r="T17" i="57"/>
  <c r="S17" i="57"/>
  <c r="T5" i="57"/>
  <c r="T11" i="57"/>
  <c r="AL7" i="56"/>
  <c r="T6" i="57"/>
  <c r="T10" i="57"/>
  <c r="T9" i="57"/>
  <c r="T19" i="57"/>
  <c r="T8" i="57"/>
  <c r="K16" i="57"/>
  <c r="K10" i="57"/>
  <c r="Q14" i="57"/>
  <c r="Q10" i="57"/>
  <c r="Q11" i="57"/>
  <c r="Q6" i="57"/>
  <c r="Q12" i="57"/>
  <c r="P20" i="57"/>
  <c r="Q24" i="57"/>
  <c r="Q8" i="57"/>
  <c r="Q20" i="57"/>
  <c r="Q19" i="57"/>
  <c r="AL14" i="55"/>
  <c r="AL17" i="55"/>
  <c r="K8" i="57"/>
  <c r="K19" i="57"/>
  <c r="K20" i="57"/>
  <c r="K6" i="57"/>
  <c r="K17" i="57"/>
  <c r="K24" i="57"/>
  <c r="K11" i="57"/>
  <c r="AL19" i="53"/>
  <c r="AC16" i="76"/>
  <c r="AC15" i="102"/>
  <c r="AC10" i="102"/>
  <c r="AC19" i="102"/>
  <c r="AC7" i="102"/>
  <c r="AC14" i="102"/>
  <c r="AC9" i="102"/>
  <c r="AC8" i="102"/>
  <c r="AC12" i="102"/>
  <c r="AC13" i="102"/>
  <c r="AC5" i="102"/>
  <c r="AC11" i="102"/>
  <c r="AC16" i="87"/>
  <c r="AC8" i="92"/>
  <c r="AC18" i="92"/>
  <c r="AC17" i="92"/>
  <c r="AC10" i="92"/>
  <c r="AC15" i="92"/>
  <c r="AC6" i="92"/>
  <c r="AC7" i="92"/>
  <c r="AC9" i="92"/>
  <c r="AC21" i="92"/>
  <c r="AC16" i="92"/>
  <c r="AC12" i="92"/>
  <c r="AC11" i="92"/>
  <c r="AC14" i="92"/>
  <c r="AC13" i="92"/>
  <c r="AC5" i="92"/>
  <c r="AC22" i="92"/>
  <c r="AC13" i="87"/>
  <c r="AC18" i="87"/>
  <c r="AC6" i="87"/>
  <c r="AC8" i="87"/>
  <c r="AC5" i="87"/>
  <c r="AC9" i="87"/>
  <c r="AC10" i="87"/>
  <c r="AC7" i="87"/>
  <c r="AC15" i="81"/>
  <c r="AC6" i="81"/>
  <c r="AC13" i="81"/>
  <c r="AC10" i="81"/>
  <c r="AC8" i="81"/>
  <c r="AC24" i="81"/>
  <c r="AC7" i="81"/>
  <c r="AC16" i="81"/>
  <c r="AC20" i="81"/>
  <c r="AC21" i="81"/>
  <c r="AC11" i="81"/>
  <c r="AC5" i="81"/>
  <c r="AC18" i="81"/>
  <c r="AC5" i="76"/>
  <c r="AC11" i="76"/>
  <c r="AC15" i="76"/>
  <c r="AC14" i="76"/>
  <c r="AC12" i="76"/>
  <c r="AC9" i="76"/>
  <c r="AC6" i="76"/>
  <c r="AC13" i="76"/>
  <c r="AC8" i="76"/>
  <c r="AC7" i="76"/>
  <c r="AC10" i="76"/>
  <c r="AC17" i="76"/>
  <c r="AL14" i="53"/>
  <c r="AL7" i="53"/>
  <c r="AL13" i="53"/>
  <c r="AL15" i="53"/>
  <c r="AL20" i="53"/>
  <c r="AL6" i="53"/>
  <c r="AL10" i="53"/>
  <c r="AL11" i="53"/>
  <c r="AL5" i="53"/>
  <c r="AL12" i="56"/>
  <c r="AL9" i="56"/>
  <c r="AL19" i="56"/>
  <c r="AL6" i="56"/>
  <c r="AL18" i="56"/>
  <c r="AL11" i="56"/>
  <c r="AL17" i="56"/>
  <c r="AL22" i="56"/>
  <c r="AL24" i="56"/>
  <c r="AL8" i="56"/>
  <c r="AL25" i="56"/>
  <c r="AL5" i="56"/>
  <c r="AL12" i="55"/>
  <c r="AL26" i="55"/>
  <c r="AL5" i="55"/>
  <c r="AL8" i="55"/>
  <c r="AL16" i="55"/>
  <c r="AL25" i="55"/>
  <c r="AL10" i="55"/>
  <c r="AL9" i="55"/>
  <c r="AL6" i="55"/>
  <c r="AL18" i="55"/>
  <c r="AL13" i="55"/>
  <c r="AL15" i="54"/>
  <c r="AL9" i="52"/>
  <c r="AL5" i="52"/>
  <c r="AL11" i="52"/>
  <c r="AL10" i="52"/>
  <c r="AL7" i="52"/>
  <c r="AL8" i="52"/>
  <c r="AL5" i="51"/>
  <c r="AL7" i="51"/>
  <c r="AL9" i="51"/>
  <c r="AL10" i="51"/>
  <c r="AL8" i="51"/>
  <c r="AL6" i="51"/>
  <c r="AL11" i="51"/>
  <c r="AL10" i="50"/>
  <c r="AL6" i="50"/>
  <c r="AL11" i="50"/>
  <c r="AL7" i="50"/>
  <c r="AL9" i="50"/>
  <c r="AL13" i="50"/>
  <c r="AL14" i="50"/>
  <c r="AL8" i="50"/>
  <c r="AL5" i="50"/>
  <c r="AL22" i="49"/>
  <c r="AL21" i="49"/>
  <c r="AL15" i="49"/>
  <c r="AL18" i="49"/>
  <c r="AL13" i="49"/>
  <c r="AL19" i="49"/>
  <c r="AL14" i="49"/>
  <c r="AL23" i="49"/>
  <c r="AL20" i="49"/>
  <c r="AL17" i="49"/>
  <c r="AL24" i="49"/>
  <c r="AL16" i="49"/>
  <c r="AL12" i="49"/>
  <c r="AL7" i="49"/>
  <c r="AL5" i="49"/>
  <c r="AL10" i="49"/>
  <c r="AL6" i="49"/>
  <c r="AL8" i="49"/>
  <c r="AL9" i="49"/>
  <c r="AL11" i="49"/>
  <c r="D7" i="114" l="1"/>
  <c r="AC15" i="70"/>
  <c r="AC6" i="70"/>
  <c r="AC8" i="70"/>
  <c r="AC11" i="70"/>
  <c r="AC7" i="70"/>
  <c r="AC5" i="70"/>
  <c r="AC10" i="70"/>
  <c r="AC13" i="70"/>
  <c r="AC9" i="70"/>
  <c r="AC14" i="70"/>
  <c r="AC12" i="70"/>
  <c r="X5" i="57"/>
  <c r="X6" i="57"/>
  <c r="X24" i="57"/>
  <c r="X10" i="57"/>
  <c r="X20" i="57"/>
  <c r="X14" i="57"/>
  <c r="X9" i="57"/>
  <c r="X17" i="57"/>
  <c r="X16" i="57"/>
  <c r="E11" i="114" l="1"/>
  <c r="E12" i="114"/>
  <c r="E6" i="114"/>
  <c r="E5" i="114"/>
  <c r="E9" i="114"/>
  <c r="E8" i="114"/>
  <c r="E7" i="114"/>
  <c r="E10" i="114"/>
  <c r="AJ13" i="54"/>
  <c r="AK13" i="54" s="1"/>
  <c r="X8" i="57"/>
  <c r="AA8" i="57" s="1"/>
  <c r="AB8" i="57" s="1"/>
  <c r="AJ14" i="54"/>
  <c r="AK14" i="54" s="1"/>
  <c r="X11" i="57"/>
  <c r="AA20" i="57"/>
  <c r="AB20" i="57" s="1"/>
  <c r="Y16" i="57"/>
  <c r="AA16" i="57"/>
  <c r="AB16" i="57" s="1"/>
  <c r="AJ19" i="54"/>
  <c r="AK19" i="54" s="1"/>
  <c r="Y6" i="57"/>
  <c r="AA6" i="57"/>
  <c r="AB6" i="57" s="1"/>
  <c r="AJ20" i="54"/>
  <c r="AK20" i="54" s="1"/>
  <c r="C11" i="115" s="1"/>
  <c r="D11" i="115" s="1"/>
  <c r="AJ5" i="54"/>
  <c r="AK5" i="54" s="1"/>
  <c r="AJ9" i="54"/>
  <c r="AK9" i="54" s="1"/>
  <c r="AJ21" i="54"/>
  <c r="AK21" i="54" s="1"/>
  <c r="AL21" i="54" s="1"/>
  <c r="AJ18" i="54"/>
  <c r="AK18" i="54" s="1"/>
  <c r="AJ7" i="54"/>
  <c r="AK7" i="54" s="1"/>
  <c r="C5" i="115" s="1"/>
  <c r="AJ26" i="54"/>
  <c r="AK26" i="54" s="1"/>
  <c r="C17" i="115" s="1"/>
  <c r="D17" i="115" s="1"/>
  <c r="AJ8" i="54"/>
  <c r="AK8" i="54" s="1"/>
  <c r="Z22" i="57" l="1"/>
  <c r="Z26" i="57"/>
  <c r="AL19" i="54"/>
  <c r="Z18" i="57"/>
  <c r="Z21" i="57"/>
  <c r="Z7" i="57"/>
  <c r="D5" i="115"/>
  <c r="E19" i="115" s="1"/>
  <c r="AL25" i="54"/>
  <c r="AL24" i="54"/>
  <c r="AL16" i="54"/>
  <c r="AL6" i="54"/>
  <c r="AL12" i="54"/>
  <c r="AL23" i="54"/>
  <c r="AL10" i="54"/>
  <c r="AL11" i="54"/>
  <c r="Y23" i="57"/>
  <c r="Z13" i="57"/>
  <c r="Y20" i="57"/>
  <c r="Y8" i="57"/>
  <c r="AA14" i="57"/>
  <c r="AB14" i="57" s="1"/>
  <c r="Y14" i="57"/>
  <c r="AL27" i="54"/>
  <c r="Z14" i="57"/>
  <c r="Z23" i="57"/>
  <c r="Z16" i="57"/>
  <c r="AA23" i="57"/>
  <c r="AB23" i="57" s="1"/>
  <c r="Z6" i="57"/>
  <c r="AL7" i="54"/>
  <c r="Y24" i="57"/>
  <c r="Z24" i="57"/>
  <c r="AA24" i="57"/>
  <c r="AB24" i="57" s="1"/>
  <c r="Y5" i="57"/>
  <c r="Z5" i="57"/>
  <c r="AA5" i="57"/>
  <c r="AB5" i="57" s="1"/>
  <c r="Y19" i="57"/>
  <c r="AA19" i="57"/>
  <c r="AB19" i="57" s="1"/>
  <c r="Z19" i="57"/>
  <c r="AL20" i="54"/>
  <c r="AL8" i="54"/>
  <c r="Z10" i="57"/>
  <c r="Y10" i="57"/>
  <c r="AA10" i="57"/>
  <c r="AB10" i="57" s="1"/>
  <c r="AL18" i="54"/>
  <c r="AL13" i="54"/>
  <c r="Z20" i="57"/>
  <c r="AL5" i="54"/>
  <c r="Z12" i="57"/>
  <c r="Z11" i="57"/>
  <c r="AA11" i="57"/>
  <c r="AB11" i="57" s="1"/>
  <c r="Y11" i="57"/>
  <c r="AL26" i="54"/>
  <c r="AA9" i="57"/>
  <c r="AB9" i="57" s="1"/>
  <c r="Y9" i="57"/>
  <c r="Z9" i="57"/>
  <c r="AL14" i="54"/>
  <c r="AL9" i="54"/>
  <c r="Z8" i="57"/>
  <c r="Z17" i="57"/>
  <c r="AA17" i="57"/>
  <c r="AB17" i="57" s="1"/>
  <c r="Y17" i="57"/>
  <c r="E29" i="115" l="1"/>
  <c r="E24" i="115"/>
  <c r="E13" i="115"/>
  <c r="E31" i="115"/>
  <c r="E20" i="115"/>
  <c r="E32" i="115"/>
  <c r="E8" i="115"/>
  <c r="E16" i="115"/>
  <c r="E14" i="115"/>
  <c r="E7" i="115"/>
  <c r="E11" i="115"/>
  <c r="E21" i="115"/>
  <c r="E12" i="115"/>
  <c r="E22" i="115"/>
  <c r="E26" i="115"/>
  <c r="E5" i="115"/>
  <c r="E9" i="115"/>
  <c r="E18" i="115"/>
  <c r="E17" i="115"/>
  <c r="E10" i="115"/>
  <c r="E30" i="115"/>
  <c r="E15" i="115"/>
  <c r="AC25" i="57"/>
  <c r="AC26" i="57"/>
  <c r="E6" i="115"/>
  <c r="AC22" i="57"/>
  <c r="AC7" i="57"/>
  <c r="AC15" i="57"/>
  <c r="AC18" i="57"/>
  <c r="AC21" i="57"/>
  <c r="AC13" i="57"/>
  <c r="AC10" i="57"/>
  <c r="AC6" i="57"/>
  <c r="AC9" i="57"/>
  <c r="AC11" i="57"/>
  <c r="AC12" i="57"/>
  <c r="AC5" i="57"/>
  <c r="AC24" i="57"/>
  <c r="AC8" i="57"/>
  <c r="AC19" i="57"/>
  <c r="AC14" i="57"/>
  <c r="AC17" i="57"/>
  <c r="AC23" i="57"/>
  <c r="AC16" i="57"/>
  <c r="AC20" i="57"/>
</calcChain>
</file>

<file path=xl/sharedStrings.xml><?xml version="1.0" encoding="utf-8"?>
<sst xmlns="http://schemas.openxmlformats.org/spreadsheetml/2006/main" count="4041" uniqueCount="314">
  <si>
    <t>Time/Score</t>
  </si>
  <si>
    <t>Place</t>
  </si>
  <si>
    <t>Points</t>
  </si>
  <si>
    <t>Finals Average</t>
  </si>
  <si>
    <t>Total</t>
  </si>
  <si>
    <t>8/25/2018-Finals</t>
  </si>
  <si>
    <t>8/26/2018-Finals</t>
  </si>
  <si>
    <t>Column2</t>
  </si>
  <si>
    <t>Place4</t>
  </si>
  <si>
    <t>Points5</t>
  </si>
  <si>
    <t>Time/Score6</t>
  </si>
  <si>
    <t>Time/Score10</t>
  </si>
  <si>
    <t>Place16</t>
  </si>
  <si>
    <t>Points17</t>
  </si>
  <si>
    <t>Time/Score18</t>
  </si>
  <si>
    <t>Time/Score22</t>
  </si>
  <si>
    <t>Points25</t>
  </si>
  <si>
    <t>Time/Score3</t>
  </si>
  <si>
    <t>Time/Score4</t>
  </si>
  <si>
    <t>Time/Score7</t>
  </si>
  <si>
    <t>Place7</t>
  </si>
  <si>
    <t>Points8</t>
  </si>
  <si>
    <t>Time/Score9</t>
  </si>
  <si>
    <t>Place10</t>
  </si>
  <si>
    <t>Points11</t>
  </si>
  <si>
    <t>Time/Score12</t>
  </si>
  <si>
    <t>Time/Score13</t>
  </si>
  <si>
    <t>Place13</t>
  </si>
  <si>
    <t>Points14</t>
  </si>
  <si>
    <t>Time/Score15</t>
  </si>
  <si>
    <t>Time/Score16</t>
  </si>
  <si>
    <t>Time/Score19</t>
  </si>
  <si>
    <t>Place19</t>
  </si>
  <si>
    <t>Points20</t>
  </si>
  <si>
    <t>Time/Score21</t>
  </si>
  <si>
    <t>Place22</t>
  </si>
  <si>
    <t>Points23</t>
  </si>
  <si>
    <t>Place26</t>
  </si>
  <si>
    <t>Name</t>
  </si>
  <si>
    <t>Non-Member</t>
  </si>
  <si>
    <t>Points24</t>
  </si>
  <si>
    <t>Mini Mite Girls-Barrel Racing</t>
  </si>
  <si>
    <t>Points4</t>
  </si>
  <si>
    <t>Place5</t>
  </si>
  <si>
    <t>Points43</t>
  </si>
  <si>
    <t>Place54</t>
  </si>
  <si>
    <t>Place55</t>
  </si>
  <si>
    <t>Place56</t>
  </si>
  <si>
    <t>Place57</t>
  </si>
  <si>
    <t>Points44</t>
  </si>
  <si>
    <t>Place58</t>
  </si>
  <si>
    <t>Points45</t>
  </si>
  <si>
    <t>Place59</t>
  </si>
  <si>
    <t>Points46</t>
  </si>
  <si>
    <t>Points47</t>
  </si>
  <si>
    <t>Points48</t>
  </si>
  <si>
    <t>Points482</t>
  </si>
  <si>
    <t>Place593</t>
  </si>
  <si>
    <t>Mini Mite Girls-Dummy Roping</t>
  </si>
  <si>
    <t>Mini Mite Girls-Figure 8</t>
  </si>
  <si>
    <t>Mini Mite Girls-Goat Flanking</t>
  </si>
  <si>
    <t>Mini Mite Boys-Flag Race</t>
  </si>
  <si>
    <t>Mini Mite Boys-Figure 8</t>
  </si>
  <si>
    <t>Mini Mite Boys-Goat Flanking</t>
  </si>
  <si>
    <t>Mini Mite Boys-Dummy Roping</t>
  </si>
  <si>
    <t>Mini Mite Girls-All-Around</t>
  </si>
  <si>
    <t>Mini Mite Boys-All-Around</t>
  </si>
  <si>
    <t>Painter, Blayze</t>
  </si>
  <si>
    <t>Mackenzie, Stetson</t>
  </si>
  <si>
    <t>Mason, Rozin</t>
  </si>
  <si>
    <t>Seal, Bryson</t>
  </si>
  <si>
    <t>Jepsen, Willy</t>
  </si>
  <si>
    <t>Macedo, Myles</t>
  </si>
  <si>
    <t>Rhoades, Lucas</t>
  </si>
  <si>
    <t>Forrey, Dean</t>
  </si>
  <si>
    <t>Column1</t>
  </si>
  <si>
    <t>Points432</t>
  </si>
  <si>
    <t>Points442</t>
  </si>
  <si>
    <t>Points452</t>
  </si>
  <si>
    <t>Points462</t>
  </si>
  <si>
    <t>Points472</t>
  </si>
  <si>
    <t>Points49</t>
  </si>
  <si>
    <t>Points483</t>
  </si>
  <si>
    <t>Warrick, Josie Jet</t>
  </si>
  <si>
    <t>Metcalf, Bryer</t>
  </si>
  <si>
    <t>Mackenzie, Carlee</t>
  </si>
  <si>
    <t>Seal, Presley</t>
  </si>
  <si>
    <t>Mulrony, Collins</t>
  </si>
  <si>
    <t>Bengoa, Camilla</t>
  </si>
  <si>
    <t>Maestrejuan, Deni</t>
  </si>
  <si>
    <t>Moos, Bailey</t>
  </si>
  <si>
    <t>Joslin, Abilene</t>
  </si>
  <si>
    <t>Painter, Avery</t>
  </si>
  <si>
    <t>Weldon, Macey</t>
  </si>
  <si>
    <t>Moffis, Betty</t>
  </si>
  <si>
    <t>X</t>
  </si>
  <si>
    <t>Youtsey, Jayne</t>
  </si>
  <si>
    <t>Babcock, Macardy</t>
  </si>
  <si>
    <t>Pee Wee Girls-Barrel Racing</t>
  </si>
  <si>
    <t>Pee Wee Girls-Pole Bending</t>
  </si>
  <si>
    <t>Pee Wee Girls-Goat Tying</t>
  </si>
  <si>
    <t>Pee Wee Girls-All-Around</t>
  </si>
  <si>
    <t>Pee Wee Boys-All-Around</t>
  </si>
  <si>
    <t>Pee Wee Boys-Calf Riding</t>
  </si>
  <si>
    <t>Pee Wee Boys-Goat Tying</t>
  </si>
  <si>
    <t>Pee Wee Boys-Flag Race</t>
  </si>
  <si>
    <t>Pee Wee Boys-Steer Daubing</t>
  </si>
  <si>
    <t>Pee Wee Boys-Breakaway Roping</t>
  </si>
  <si>
    <t>Pee Wee Girls-Breakaway</t>
  </si>
  <si>
    <t>Junior Boys-Steer Riding</t>
  </si>
  <si>
    <t>Junior Boys-Goat Tying</t>
  </si>
  <si>
    <t>Junior Boys-Breakaway Roping</t>
  </si>
  <si>
    <t>Junior Boys-All-Around</t>
  </si>
  <si>
    <t>Junior Girls-All-Around</t>
  </si>
  <si>
    <t>Junior Girls-Barrel Racing</t>
  </si>
  <si>
    <t>Junior Girls-Pole Bending</t>
  </si>
  <si>
    <t>Junior Girls-Goat Tying</t>
  </si>
  <si>
    <t>Junior Girls-Breakaway</t>
  </si>
  <si>
    <t>Junior-Team Roping-Header</t>
  </si>
  <si>
    <t>Junior-Team Roping-Heeler</t>
  </si>
  <si>
    <t>Senior Girls-Barrel Racing</t>
  </si>
  <si>
    <t>Senior Girls-Pole Bending</t>
  </si>
  <si>
    <t>Senior Girls-Goat Tying</t>
  </si>
  <si>
    <t>Senior Girls-Breakaway</t>
  </si>
  <si>
    <t>Senior-Team Roping-Header</t>
  </si>
  <si>
    <t>Senior-Team Roping-Heeler</t>
  </si>
  <si>
    <t>Senior Boys-Calf Roping</t>
  </si>
  <si>
    <t>Senior Boys-Steer Wrestling</t>
  </si>
  <si>
    <t>Senior Girls-All-Around</t>
  </si>
  <si>
    <t>Senior Boys-All-Around</t>
  </si>
  <si>
    <t>Mulrony, Mannie</t>
  </si>
  <si>
    <t>Powell, Kreece</t>
  </si>
  <si>
    <t>Metcalf, Hunter</t>
  </si>
  <si>
    <t>Layne, Ryker</t>
  </si>
  <si>
    <t>Burdick, Trevor</t>
  </si>
  <si>
    <t>McFarlane, Trey</t>
  </si>
  <si>
    <t>McDaniel, Mason</t>
  </si>
  <si>
    <t>McFarlane, Trell</t>
  </si>
  <si>
    <t>Severa, Colton</t>
  </si>
  <si>
    <t>Byrd, Colt</t>
  </si>
  <si>
    <t>McDaniel, Logan</t>
  </si>
  <si>
    <t>Manning, Molly</t>
  </si>
  <si>
    <t>Manning, Addison</t>
  </si>
  <si>
    <t>Seiders, Clara</t>
  </si>
  <si>
    <t>Maestrejuan, Jalee</t>
  </si>
  <si>
    <t>Moyle, Hannah</t>
  </si>
  <si>
    <t>Rose, Mackenzie</t>
  </si>
  <si>
    <t>James, Payton</t>
  </si>
  <si>
    <t>Warrick, Tylee</t>
  </si>
  <si>
    <t>McDaniel, Devon</t>
  </si>
  <si>
    <t>Saunders, Sammy</t>
  </si>
  <si>
    <t>Rhoades, Trevor</t>
  </si>
  <si>
    <t>Layne, Jeffrey</t>
  </si>
  <si>
    <t>Spies, Austin</t>
  </si>
  <si>
    <t>Greenwood, Jake</t>
  </si>
  <si>
    <t>Moffis, Quintin</t>
  </si>
  <si>
    <t>Manning, Ava</t>
  </si>
  <si>
    <t>Moos, Hannah</t>
  </si>
  <si>
    <t>Telford, Shawny</t>
  </si>
  <si>
    <t>Rose-Carter, Bre'</t>
  </si>
  <si>
    <t>McFarlane, Sloan</t>
  </si>
  <si>
    <t>Manning, Isabella</t>
  </si>
  <si>
    <t>Telford, Sierra</t>
  </si>
  <si>
    <t>Rutan, Shailee</t>
  </si>
  <si>
    <t>Totten, Jada</t>
  </si>
  <si>
    <t>Babcock, Morgyn</t>
  </si>
  <si>
    <t>Backus, Madison</t>
  </si>
  <si>
    <t>Spies, Morgan</t>
  </si>
  <si>
    <t>Moffis, Alyvia</t>
  </si>
  <si>
    <t>Greenwood, Millie</t>
  </si>
  <si>
    <t>Skovgard, Wyatt</t>
  </si>
  <si>
    <t>Senior-Team Roping</t>
  </si>
  <si>
    <t>Junior-Team Roping</t>
  </si>
  <si>
    <t>McDaniel, Mason/Powell, Kreece</t>
  </si>
  <si>
    <t>McFarlane, Trell/McFarlane, Trey</t>
  </si>
  <si>
    <t>Saunders, Sammy/McDaniel, Devon</t>
  </si>
  <si>
    <t>Telford, Shawny/Powell, Kreece</t>
  </si>
  <si>
    <t>McFarlane, Sloan/Saunders, Sammy</t>
  </si>
  <si>
    <t>McFarlane, Sloan/McFarlane, Trey</t>
  </si>
  <si>
    <t>Burdick, Trevor/Moffis, Quintin</t>
  </si>
  <si>
    <t>McDaniel, Mason/McDaniel, Devon</t>
  </si>
  <si>
    <t>Rookie Boy</t>
  </si>
  <si>
    <t>Rookie Girl</t>
  </si>
  <si>
    <t>8/24/2019-Finals</t>
  </si>
  <si>
    <t>8/25/2019-Finals</t>
  </si>
  <si>
    <t>Parker, Brook</t>
  </si>
  <si>
    <t>Latham, Katie</t>
  </si>
  <si>
    <t>Ballhagen, Abigail</t>
  </si>
  <si>
    <t>McDaniel, Ally</t>
  </si>
  <si>
    <t>Barnes, Cassidy</t>
  </si>
  <si>
    <t>Totten, Jada/Skovgard, Wyatt</t>
  </si>
  <si>
    <t>Brackett, Cade/Skovgard, Wyatt</t>
  </si>
  <si>
    <t>Brackett, Zane/Spies, Morgan</t>
  </si>
  <si>
    <t>Brackett, Zane/Brackett, Cade</t>
  </si>
  <si>
    <t>Totten, Jada/Greenwood, Millie</t>
  </si>
  <si>
    <t>Brackett, Cade</t>
  </si>
  <si>
    <t>Brackett, Zane</t>
  </si>
  <si>
    <t>Senior Boys-Chute Dogging</t>
  </si>
  <si>
    <t>Hymas Robinson, Shanna</t>
  </si>
  <si>
    <t>Morey, Halle</t>
  </si>
  <si>
    <t>McCurry, Anneliese</t>
  </si>
  <si>
    <t>Crockett, Cassidy</t>
  </si>
  <si>
    <t>Nicoletti, Morgan</t>
  </si>
  <si>
    <t>Crockett, McKenzie</t>
  </si>
  <si>
    <t>Hart, McKayla</t>
  </si>
  <si>
    <t>Nicoletti, Cadence</t>
  </si>
  <si>
    <t>Ballhagen, Chloe</t>
  </si>
  <si>
    <t>McFarlane, Trell/Moffis, Quintin</t>
  </si>
  <si>
    <t>Burdick, Trevor/Spies, Austin</t>
  </si>
  <si>
    <t>Telford, Sierra/Rutan, Shailee</t>
  </si>
  <si>
    <t>Telford, Shawny/Spies, Austin</t>
  </si>
  <si>
    <t>Rhoades, Trevor/Rutan, Shailee</t>
  </si>
  <si>
    <t>Junior Boys-Calf Tying</t>
  </si>
  <si>
    <t>Smith, Kenzie</t>
  </si>
  <si>
    <t>Stunja, Aliyah</t>
  </si>
  <si>
    <t>Beckley, Payton</t>
  </si>
  <si>
    <t>Post, Kinlee</t>
  </si>
  <si>
    <t>Hart, Porter</t>
  </si>
  <si>
    <t>Crockett, Colt</t>
  </si>
  <si>
    <t>Gebauer, Brogan</t>
  </si>
  <si>
    <t>Grubbs, Grady</t>
  </si>
  <si>
    <t>Smith, Karlee</t>
  </si>
  <si>
    <t>Higby, Riata</t>
  </si>
  <si>
    <t>Marts, Shaney</t>
  </si>
  <si>
    <t>Scrivner, Emma Jo</t>
  </si>
  <si>
    <t>Powell, Lettie</t>
  </si>
  <si>
    <t>Coley, Bristol</t>
  </si>
  <si>
    <t>Noble, Ryelin</t>
  </si>
  <si>
    <t>Noble, Rhenlee</t>
  </si>
  <si>
    <t>Rhoades, Hallie</t>
  </si>
  <si>
    <t>Robinson, Krew</t>
  </si>
  <si>
    <t>Crockett, Case</t>
  </si>
  <si>
    <t>Scrivner, Denton</t>
  </si>
  <si>
    <t>Hymas Robinson, Bailey</t>
  </si>
  <si>
    <t>Points484</t>
  </si>
  <si>
    <t>Turnout</t>
  </si>
  <si>
    <t>Not yet eliglible--only placed in one event</t>
  </si>
  <si>
    <t>Swan, Bradee Blu</t>
  </si>
  <si>
    <t>Murray, Rose</t>
  </si>
  <si>
    <t>Murray, Ella</t>
  </si>
  <si>
    <t>McLeod-Lee, Markie</t>
  </si>
  <si>
    <t>Edwards, Remi</t>
  </si>
  <si>
    <t>Davis, Camarie</t>
  </si>
  <si>
    <t>Stewart, Savannah</t>
  </si>
  <si>
    <t>Kriewall, Tristan</t>
  </si>
  <si>
    <t>Hobbesiefken, Caitlin</t>
  </si>
  <si>
    <t>Hobbesiefken, Alexis</t>
  </si>
  <si>
    <t>Swan, Porter</t>
  </si>
  <si>
    <t>Waibel, Wyatt</t>
  </si>
  <si>
    <t>Davis, Sydney</t>
  </si>
  <si>
    <t>Davis, Celie</t>
  </si>
  <si>
    <t>Painter, Lexis</t>
  </si>
  <si>
    <t>Rhoades, Trevor/Greenwood, Jake</t>
  </si>
  <si>
    <t>Kofoed, Sam/Greenwood, Jake</t>
  </si>
  <si>
    <t>Telford, Sierra/Mackenzie, Stetson</t>
  </si>
  <si>
    <t>Hall, Kade</t>
  </si>
  <si>
    <t>Bayes, Grant</t>
  </si>
  <si>
    <t>Warrick, Harley</t>
  </si>
  <si>
    <t>Hall, Maddie</t>
  </si>
  <si>
    <t>Brown, Brenna</t>
  </si>
  <si>
    <t>Hall, Zayne</t>
  </si>
  <si>
    <t>Brown, Brenna/Greenwood, Millie</t>
  </si>
  <si>
    <t>Brown, Brenna/Spies, Morgan</t>
  </si>
  <si>
    <t>Palmer, Andrew</t>
  </si>
  <si>
    <t>Jones, Josey</t>
  </si>
  <si>
    <t>Totten, Jada/Brown, Brenna</t>
  </si>
  <si>
    <t>Brackett, Zane/Greenwood, Millie</t>
  </si>
  <si>
    <t>Brannon, Luke/Greenwood, Millie</t>
  </si>
  <si>
    <t>Brannon, Luke/Skovgard, Wyatt</t>
  </si>
  <si>
    <t>Brackett, Cade/Brown, Brenna</t>
  </si>
  <si>
    <t>Kofoed, Sam</t>
  </si>
  <si>
    <t>McGinn, Dawson</t>
  </si>
  <si>
    <t>Burch, Halle</t>
  </si>
  <si>
    <t>Brackett, Chantry</t>
  </si>
  <si>
    <t>Rhoades, Trevor/Spies, Austin</t>
  </si>
  <si>
    <t>Rutan, Shailee/Kofoed, Sam</t>
  </si>
  <si>
    <t>Mackenzie, Stetson/Powell, Kreece</t>
  </si>
  <si>
    <t>Rhoades, Trevor/McGinn, Dawson</t>
  </si>
  <si>
    <t>Rutan, Shailee/Greenwood, Jake</t>
  </si>
  <si>
    <t>Telford, Shawny/Mackenzie, Stetson</t>
  </si>
  <si>
    <t>McGinn, Dawson/Greenwood, Jake</t>
  </si>
  <si>
    <t>Ashbaugh, Jayden</t>
  </si>
  <si>
    <t>Jennings, Luke</t>
  </si>
  <si>
    <t>Jennings, Eli</t>
  </si>
  <si>
    <t>Ball, Trinity</t>
  </si>
  <si>
    <t>Burdick, Trevor/Rutan, Shailee</t>
  </si>
  <si>
    <t>15.307/1</t>
  </si>
  <si>
    <t>17.634/1</t>
  </si>
  <si>
    <t>10.412/1</t>
  </si>
  <si>
    <t>13.600/1</t>
  </si>
  <si>
    <t>3.410/1</t>
  </si>
  <si>
    <t>9.160/1</t>
  </si>
  <si>
    <t>2.970/1</t>
  </si>
  <si>
    <t>4.800/1</t>
  </si>
  <si>
    <t>4.490/1</t>
  </si>
  <si>
    <t>7.950/1</t>
  </si>
  <si>
    <t>6.260/1</t>
  </si>
  <si>
    <t>15.720/1</t>
  </si>
  <si>
    <t>20.910/1</t>
  </si>
  <si>
    <t>16.800/1</t>
  </si>
  <si>
    <t>25.590/1</t>
  </si>
  <si>
    <t>16.680/1</t>
  </si>
  <si>
    <t>15.230/1</t>
  </si>
  <si>
    <t>15.190/1</t>
  </si>
  <si>
    <t>39.440/1</t>
  </si>
  <si>
    <t>5.400/1</t>
  </si>
  <si>
    <t>13.400/1</t>
  </si>
  <si>
    <t>4.090/1</t>
  </si>
  <si>
    <t>5.350/1</t>
  </si>
  <si>
    <t>13.050/1</t>
  </si>
  <si>
    <t>22.550/1</t>
  </si>
  <si>
    <t>4.060/1</t>
  </si>
  <si>
    <t>12.440/1</t>
  </si>
  <si>
    <t>5.480/1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</si>
</sst>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"/>
    <numFmt numFmtId="165" formatCode="0.000\ \ \ \ "/>
    <numFmt numFmtId="166" formatCode="0.00\ \ \ \ \ \ "/>
    <numFmt numFmtId="167" formatCode="0.00\ \ \ \ \ \ \ \ \ \ \ \ \ \ \ 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2" xfId="0" applyFont="1" applyFill="1" applyBorder="1"/>
    <xf numFmtId="0" fontId="1" fillId="2" borderId="5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14" fontId="1" fillId="3" borderId="10" xfId="0" applyNumberFormat="1" applyFont="1" applyFill="1" applyBorder="1" applyAlignment="1">
      <alignment horizontal="center"/>
    </xf>
    <xf numFmtId="4" fontId="2" fillId="0" borderId="0" xfId="1" applyNumberFormat="1" applyFont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4" fillId="3" borderId="0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1" applyNumberFormat="1" applyFont="1" applyAlignment="1">
      <alignment horizontal="right"/>
    </xf>
    <xf numFmtId="165" fontId="4" fillId="3" borderId="12" xfId="1" applyNumberFormat="1" applyFont="1" applyFill="1" applyBorder="1" applyAlignment="1">
      <alignment horizontal="right"/>
    </xf>
    <xf numFmtId="165" fontId="2" fillId="0" borderId="13" xfId="1" applyNumberFormat="1" applyFont="1" applyBorder="1" applyAlignment="1">
      <alignment horizontal="right"/>
    </xf>
    <xf numFmtId="165" fontId="2" fillId="0" borderId="12" xfId="1" applyNumberFormat="1" applyFont="1" applyBorder="1" applyAlignment="1">
      <alignment horizontal="right"/>
    </xf>
    <xf numFmtId="165" fontId="2" fillId="0" borderId="14" xfId="1" applyNumberFormat="1" applyFont="1" applyBorder="1" applyAlignment="1">
      <alignment horizontal="right"/>
    </xf>
    <xf numFmtId="165" fontId="4" fillId="4" borderId="0" xfId="1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6" fontId="4" fillId="4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5" fontId="2" fillId="0" borderId="0" xfId="1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right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1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4" fontId="1" fillId="3" borderId="1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2" borderId="14" xfId="0" applyFont="1" applyFill="1" applyBorder="1" applyProtection="1"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165" fontId="4" fillId="4" borderId="0" xfId="1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166" fontId="4" fillId="4" borderId="5" xfId="0" applyNumberFormat="1" applyFont="1" applyFill="1" applyBorder="1" applyAlignment="1" applyProtection="1">
      <alignment horizontal="center"/>
      <protection hidden="1"/>
    </xf>
    <xf numFmtId="164" fontId="4" fillId="4" borderId="12" xfId="0" applyNumberFormat="1" applyFont="1" applyFill="1" applyBorder="1" applyAlignment="1" applyProtection="1">
      <alignment horizontal="center"/>
      <protection hidden="1"/>
    </xf>
    <xf numFmtId="4" fontId="4" fillId="4" borderId="5" xfId="0" applyNumberFormat="1" applyFont="1" applyFill="1" applyBorder="1" applyAlignment="1" applyProtection="1">
      <alignment horizontal="center"/>
      <protection hidden="1"/>
    </xf>
    <xf numFmtId="4" fontId="4" fillId="4" borderId="0" xfId="1" applyNumberFormat="1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" fillId="2" borderId="12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165" fontId="4" fillId="3" borderId="12" xfId="1" applyNumberFormat="1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166" fontId="4" fillId="3" borderId="5" xfId="0" applyNumberFormat="1" applyFont="1" applyFill="1" applyBorder="1" applyAlignment="1" applyProtection="1">
      <alignment horizontal="right"/>
      <protection hidden="1"/>
    </xf>
    <xf numFmtId="164" fontId="4" fillId="3" borderId="12" xfId="0" applyNumberFormat="1" applyFont="1" applyFill="1" applyBorder="1" applyAlignment="1" applyProtection="1">
      <alignment horizontal="center"/>
      <protection hidden="1"/>
    </xf>
    <xf numFmtId="4" fontId="4" fillId="3" borderId="5" xfId="0" applyNumberFormat="1" applyFont="1" applyFill="1" applyBorder="1" applyAlignment="1" applyProtection="1">
      <alignment horizontal="center"/>
      <protection hidden="1"/>
    </xf>
    <xf numFmtId="4" fontId="4" fillId="3" borderId="0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165" fontId="2" fillId="0" borderId="13" xfId="1" applyNumberFormat="1" applyFont="1" applyBorder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6" fontId="2" fillId="0" borderId="3" xfId="0" applyNumberFormat="1" applyFont="1" applyBorder="1" applyAlignment="1" applyProtection="1">
      <alignment horizontal="right"/>
      <protection hidden="1"/>
    </xf>
    <xf numFmtId="166" fontId="2" fillId="0" borderId="2" xfId="0" applyNumberFormat="1" applyFont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165" fontId="2" fillId="0" borderId="12" xfId="1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6" fontId="2" fillId="0" borderId="5" xfId="0" applyNumberFormat="1" applyFont="1" applyBorder="1" applyAlignment="1" applyProtection="1">
      <alignment horizontal="right"/>
      <protection hidden="1"/>
    </xf>
    <xf numFmtId="166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166" fontId="2" fillId="0" borderId="5" xfId="0" applyNumberFormat="1" applyFont="1" applyFill="1" applyBorder="1" applyAlignment="1" applyProtection="1">
      <alignment horizontal="right"/>
      <protection hidden="1"/>
    </xf>
    <xf numFmtId="0" fontId="2" fillId="0" borderId="6" xfId="0" applyFont="1" applyBorder="1" applyProtection="1">
      <protection hidden="1"/>
    </xf>
    <xf numFmtId="0" fontId="2" fillId="0" borderId="8" xfId="0" applyFont="1" applyBorder="1" applyAlignment="1" applyProtection="1">
      <alignment horizontal="center"/>
      <protection hidden="1"/>
    </xf>
    <xf numFmtId="165" fontId="2" fillId="0" borderId="14" xfId="1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6" fontId="2" fillId="0" borderId="8" xfId="0" applyNumberFormat="1" applyFont="1" applyBorder="1" applyAlignment="1" applyProtection="1">
      <alignment horizontal="right"/>
      <protection hidden="1"/>
    </xf>
    <xf numFmtId="166" fontId="2" fillId="0" borderId="7" xfId="0" applyNumberFormat="1" applyFont="1" applyBorder="1" applyAlignment="1" applyProtection="1">
      <alignment horizontal="right"/>
      <protection hidden="1"/>
    </xf>
    <xf numFmtId="0" fontId="8" fillId="5" borderId="19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2" fillId="0" borderId="2" xfId="0" applyNumberFormat="1" applyFont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Protection="1">
      <protection hidden="1"/>
    </xf>
    <xf numFmtId="4" fontId="4" fillId="4" borderId="12" xfId="0" applyNumberFormat="1" applyFont="1" applyFill="1" applyBorder="1" applyAlignment="1" applyProtection="1">
      <alignment horizontal="center"/>
      <protection hidden="1"/>
    </xf>
    <xf numFmtId="4" fontId="4" fillId="4" borderId="0" xfId="0" applyNumberFormat="1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Protection="1">
      <protection hidden="1"/>
    </xf>
    <xf numFmtId="4" fontId="4" fillId="3" borderId="12" xfId="0" applyNumberFormat="1" applyFont="1" applyFill="1" applyBorder="1" applyAlignment="1" applyProtection="1">
      <alignment horizontal="center"/>
      <protection hidden="1"/>
    </xf>
    <xf numFmtId="4" fontId="4" fillId="3" borderId="0" xfId="0" applyNumberFormat="1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12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0" fontId="2" fillId="0" borderId="5" xfId="0" applyNumberFormat="1" applyFont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0" fontId="8" fillId="6" borderId="19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4" fontId="1" fillId="3" borderId="9" xfId="0" applyNumberFormat="1" applyFont="1" applyFill="1" applyBorder="1" applyAlignment="1" applyProtection="1">
      <alignment horizontal="center"/>
      <protection hidden="1"/>
    </xf>
    <xf numFmtId="14" fontId="1" fillId="3" borderId="15" xfId="0" applyNumberFormat="1" applyFont="1" applyFill="1" applyBorder="1" applyAlignment="1" applyProtection="1">
      <alignment horizontal="center"/>
      <protection hidden="1"/>
    </xf>
    <xf numFmtId="4" fontId="4" fillId="4" borderId="17" xfId="0" applyNumberFormat="1" applyFont="1" applyFill="1" applyBorder="1" applyAlignment="1" applyProtection="1">
      <alignment horizontal="center"/>
      <protection hidden="1"/>
    </xf>
    <xf numFmtId="4" fontId="4" fillId="3" borderId="17" xfId="0" applyNumberFormat="1" applyFont="1" applyFill="1" applyBorder="1" applyAlignment="1" applyProtection="1">
      <alignment horizontal="center"/>
      <protection hidden="1"/>
    </xf>
    <xf numFmtId="167" fontId="2" fillId="0" borderId="18" xfId="0" applyNumberFormat="1" applyFont="1" applyBorder="1" applyAlignment="1" applyProtection="1">
      <alignment horizontal="right"/>
      <protection hidden="1"/>
    </xf>
    <xf numFmtId="167" fontId="2" fillId="0" borderId="17" xfId="0" applyNumberFormat="1" applyFont="1" applyBorder="1" applyAlignment="1" applyProtection="1">
      <alignment horizontal="right"/>
      <protection hidden="1"/>
    </xf>
    <xf numFmtId="165" fontId="2" fillId="0" borderId="12" xfId="1" applyNumberFormat="1" applyFont="1" applyFill="1" applyBorder="1" applyAlignment="1" applyProtection="1">
      <alignment horizontal="right"/>
      <protection hidden="1"/>
    </xf>
    <xf numFmtId="165" fontId="2" fillId="0" borderId="13" xfId="1" applyNumberFormat="1" applyFont="1" applyFill="1" applyBorder="1" applyAlignment="1" applyProtection="1">
      <alignment horizontal="right"/>
      <protection hidden="1"/>
    </xf>
    <xf numFmtId="165" fontId="2" fillId="5" borderId="12" xfId="1" applyNumberFormat="1" applyFont="1" applyFill="1" applyBorder="1" applyAlignment="1" applyProtection="1">
      <alignment horizontal="right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2" fillId="0" borderId="18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2" fillId="6" borderId="17" xfId="0" applyFont="1" applyFill="1" applyBorder="1" applyProtection="1">
      <protection hidden="1"/>
    </xf>
    <xf numFmtId="0" fontId="2" fillId="0" borderId="16" xfId="0" applyFont="1" applyBorder="1" applyProtection="1"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/>
      <protection hidden="1"/>
    </xf>
    <xf numFmtId="1" fontId="2" fillId="0" borderId="12" xfId="0" applyNumberFormat="1" applyFont="1" applyBorder="1" applyAlignment="1" applyProtection="1">
      <alignment horizont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1" fontId="2" fillId="5" borderId="12" xfId="0" applyNumberFormat="1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Protection="1">
      <protection hidden="1"/>
    </xf>
    <xf numFmtId="0" fontId="2" fillId="0" borderId="8" xfId="0" applyNumberFormat="1" applyFont="1" applyBorder="1" applyAlignment="1" applyProtection="1">
      <alignment horizontal="center"/>
      <protection hidden="1"/>
    </xf>
    <xf numFmtId="166" fontId="2" fillId="0" borderId="0" xfId="1" applyNumberFormat="1" applyFont="1" applyFill="1" applyBorder="1" applyAlignment="1" applyProtection="1">
      <alignment horizontal="right"/>
      <protection hidden="1"/>
    </xf>
    <xf numFmtId="0" fontId="2" fillId="0" borderId="17" xfId="0" applyFont="1" applyFill="1" applyBorder="1" applyProtection="1">
      <protection hidden="1"/>
    </xf>
    <xf numFmtId="0" fontId="2" fillId="0" borderId="7" xfId="0" applyNumberFormat="1" applyFont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166" fontId="2" fillId="0" borderId="7" xfId="1" applyNumberFormat="1" applyFont="1" applyFill="1" applyBorder="1" applyAlignment="1" applyProtection="1">
      <alignment horizontal="right"/>
      <protection hidden="1"/>
    </xf>
    <xf numFmtId="0" fontId="2" fillId="0" borderId="3" xfId="0" applyNumberFormat="1" applyFont="1" applyBorder="1" applyAlignment="1" applyProtection="1">
      <alignment horizontal="center"/>
      <protection hidden="1"/>
    </xf>
    <xf numFmtId="165" fontId="2" fillId="5" borderId="14" xfId="1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165" fontId="2" fillId="0" borderId="12" xfId="1" applyNumberFormat="1" applyFont="1" applyBorder="1" applyAlignment="1" applyProtection="1">
      <alignment horizontal="center"/>
      <protection hidden="1"/>
    </xf>
    <xf numFmtId="165" fontId="2" fillId="0" borderId="13" xfId="1" applyNumberFormat="1" applyFont="1" applyBorder="1" applyAlignment="1" applyProtection="1">
      <alignment horizontal="center"/>
      <protection hidden="1"/>
    </xf>
    <xf numFmtId="14" fontId="1" fillId="3" borderId="9" xfId="0" applyNumberFormat="1" applyFont="1" applyFill="1" applyBorder="1" applyAlignment="1" applyProtection="1">
      <alignment horizontal="center"/>
      <protection hidden="1"/>
    </xf>
    <xf numFmtId="14" fontId="1" fillId="3" borderId="10" xfId="0" applyNumberFormat="1" applyFont="1" applyFill="1" applyBorder="1" applyAlignment="1" applyProtection="1">
      <alignment horizontal="center"/>
      <protection hidden="1"/>
    </xf>
    <xf numFmtId="14" fontId="1" fillId="3" borderId="1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14" fontId="1" fillId="3" borderId="9" xfId="0" applyNumberFormat="1" applyFont="1" applyFill="1" applyBorder="1" applyAlignment="1">
      <alignment horizontal="center"/>
    </xf>
    <xf numFmtId="14" fontId="1" fillId="3" borderId="10" xfId="0" applyNumberFormat="1" applyFont="1" applyFill="1" applyBorder="1" applyAlignment="1">
      <alignment horizontal="center"/>
    </xf>
    <xf numFmtId="14" fontId="1" fillId="3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8" xfId="2" xr:uid="{99A607DE-AB06-4B65-A832-209FA09CBD09}"/>
  </cellStyles>
  <dxfs count="1838"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7" formatCode="0.00\ \ \ \ \ \ \ \ \ \ \ \ 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6" formatCode="0.00\ \ \ \ \ \ "/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numFmt numFmtId="165" formatCode="0.000\ \ \ \ 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5EBDBC7-60FF-4F1D-B33D-63972B1FE94D}" name="Table622027323337214147" displayName="Table622027323337214147" ref="B4:AL24" totalsRowShown="0" headerRowDxfId="1837" dataDxfId="1836" tableBorderDxfId="1835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F8A2CCB0-3CCB-45DD-8B20-CB8FA7D468B5}" name="Name" dataDxfId="1834"/>
    <tableColumn id="37" xr3:uid="{BAED3D86-009B-4C61-9B70-2380043449E0}" name="Non-Member" dataDxfId="1833"/>
    <tableColumn id="2" xr3:uid="{0BFF8094-F675-48C4-A6E3-D2081E3F3619}" name="Time/Score" dataDxfId="1832" dataCellStyle="Comma"/>
    <tableColumn id="3" xr3:uid="{687E5BF4-1D47-4504-9657-7E10C7B6FC7D}" name="Column2" dataDxfId="1831">
      <calculatedColumnFormula>IF(D5=0," ",_xlfn.RANK.AVG(D5,D$5:D$24,1)-COUNTIF(D$5:D$24,0))</calculatedColumnFormula>
    </tableColumn>
    <tableColumn id="4" xr3:uid="{8945261F-5C03-4183-8C77-2D3F7F79C4F5}" name="Place" dataDxfId="1830">
      <calculatedColumnFormula>IF(D5=0," ",IF((RANK(D5,D$5:D$24,1)-COUNTIF(D$5:D$24,0)&gt;6)," ",RANK(D5,D$5:D$24,1)-COUNTIF(D$5:D$24,0)))</calculatedColumnFormula>
    </tableColumn>
    <tableColumn id="5" xr3:uid="{26697BA3-D9D5-443E-984D-219B453F2CF9}" name="Points" dataDxfId="1829">
      <calculatedColumnFormula>IF(Table622027323337214147[[#This Row],[Non-Member]]="X"," ",IF(F5=" "," ",IFERROR(VLOOKUP(E5,Points!$A$2:$B$14,2,FALSE)," ")))</calculatedColumnFormula>
    </tableColumn>
    <tableColumn id="6" xr3:uid="{27F121DB-3177-4611-AE85-339E1D4F5D60}" name="Time/Score3" dataDxfId="1828" dataCellStyle="Comma"/>
    <tableColumn id="7" xr3:uid="{9B32EBEF-5CA7-482F-B037-4C2C6A1383CA}" name="Time/Score4" dataDxfId="1827">
      <calculatedColumnFormula>IF(H5=0," ",_xlfn.RANK.AVG(H5,H$5:H$24,1)-COUNTIF(H$5:H$24,0))</calculatedColumnFormula>
    </tableColumn>
    <tableColumn id="8" xr3:uid="{3DE44A62-774B-4E9D-B05F-93DDD65AF588}" name="Place4" dataDxfId="1826">
      <calculatedColumnFormula>IF(H5=0," ",IF((RANK(H5,H$5:H$24,1)-COUNTIF(H$5:H$24,0)&gt;6)," ",RANK(H5,H$5:H$24,1)-COUNTIF(H$5:H$24,0)))</calculatedColumnFormula>
    </tableColumn>
    <tableColumn id="9" xr3:uid="{EF07A767-A471-4C3F-A273-30C2DF4A6157}" name="Points5" dataDxfId="1825">
      <calculatedColumnFormula>IF(Table622027323337214147[[#This Row],[Non-Member]]="X"," ",IF(J5=" "," ",IFERROR(VLOOKUP(I5,Points!$A$2:$B$14,2,FALSE)," ")))</calculatedColumnFormula>
    </tableColumn>
    <tableColumn id="10" xr3:uid="{9ECCB7EF-A0B7-463D-BECA-1A4E1530FE14}" name="Time/Score6" dataDxfId="1824" dataCellStyle="Comma"/>
    <tableColumn id="11" xr3:uid="{16578AD7-5698-44FC-A794-F6345BE250DB}" name="Time/Score7" dataDxfId="1823">
      <calculatedColumnFormula>IF(L5=0," ",_xlfn.RANK.AVG(L5,L$5:L$24,1)-COUNTIF(L$5:L$24,0))</calculatedColumnFormula>
    </tableColumn>
    <tableColumn id="12" xr3:uid="{2A47BA5E-C1CB-403B-B0C0-612998D786F5}" name="Place7" dataDxfId="1822">
      <calculatedColumnFormula>IF(L5=0," ",IF((RANK(L5,L$5:L$24,1)-COUNTIF(L$5:L$24,0)&gt;6)," ",RANK(L5,L$5:L$24,1)-COUNTIF(L$5:L$24,0)))</calculatedColumnFormula>
    </tableColumn>
    <tableColumn id="13" xr3:uid="{4D430DBB-2AC0-48EA-8294-8852A8693323}" name="Points8" dataDxfId="1821">
      <calculatedColumnFormula>IF(Table622027323337214147[[#This Row],[Non-Member]]="X"," ",IF(N5=" "," ",IFERROR(VLOOKUP(M5,Points!$A$2:$B$14,2,FALSE)," ")))</calculatedColumnFormula>
    </tableColumn>
    <tableColumn id="14" xr3:uid="{2B81C16C-2995-4F28-B660-DA3D488D077D}" name="Time/Score9" dataDxfId="1820" dataCellStyle="Comma"/>
    <tableColumn id="15" xr3:uid="{C87A901E-9EA2-4185-B43D-CBA52434D6D9}" name="Time/Score10" dataDxfId="1819">
      <calculatedColumnFormula>IF(P5=0," ",_xlfn.RANK.AVG(P5,P$5:P$24,1)-COUNTIF(P$5:P$24,0))</calculatedColumnFormula>
    </tableColumn>
    <tableColumn id="16" xr3:uid="{DC42C51C-D27E-42CC-9945-F82BB210BB2E}" name="Place10" dataDxfId="1818">
      <calculatedColumnFormula>IF(P5=0," ",IF((RANK(P5,P$5:P$24,1)-COUNTIF(P$5:P$24,0)&gt;6)," ",RANK(P5,P$5:P$24,1)-COUNTIF(P$5:P$24,0)))</calculatedColumnFormula>
    </tableColumn>
    <tableColumn id="17" xr3:uid="{9C63DAF7-1B0A-4109-9645-10FCF7F2834F}" name="Points11" dataDxfId="1817">
      <calculatedColumnFormula>IF(Table622027323337214147[[#This Row],[Non-Member]]="X"," ",IF(R5=" "," ",IFERROR(VLOOKUP(Q5,Points!$A$2:$B$14,2,FALSE)," ")))</calculatedColumnFormula>
    </tableColumn>
    <tableColumn id="18" xr3:uid="{0C308607-FA17-465D-A8A1-68F3A94392FA}" name="Time/Score12" dataDxfId="1816" dataCellStyle="Comma"/>
    <tableColumn id="19" xr3:uid="{3C1D7D92-2A19-4C80-9332-2C4C4F14269E}" name="Time/Score13" dataDxfId="1815">
      <calculatedColumnFormula>IF(T5=0," ",_xlfn.RANK.AVG(T5,T$5:T$24,1)-COUNTIF(T$5:T$24,0))</calculatedColumnFormula>
    </tableColumn>
    <tableColumn id="20" xr3:uid="{5F500BF3-0A60-40C2-AB73-DF6C02719E10}" name="Place13" dataDxfId="1814">
      <calculatedColumnFormula>IF(T5=0," ",IF((RANK(T5,T$5:T$24,1)-COUNTIF(T$5:T$24,0)&gt;6)," ",RANK(T5,T$5:T$24,1)-COUNTIF(T$5:T$24,0)))</calculatedColumnFormula>
    </tableColumn>
    <tableColumn id="21" xr3:uid="{3194DC89-A319-4388-B038-188DE8309D3E}" name="Points14" dataDxfId="1813">
      <calculatedColumnFormula>IF(Table622027323337214147[[#This Row],[Non-Member]]="X"," ",IF(V5=" "," ",IFERROR(VLOOKUP(U5,Points!$A$2:$B$14,2,FALSE)," ")))</calculatedColumnFormula>
    </tableColumn>
    <tableColumn id="22" xr3:uid="{7EE86C21-5FA8-4B04-AFD6-D2C883133F36}" name="Time/Score15" dataDxfId="1812" dataCellStyle="Comma"/>
    <tableColumn id="23" xr3:uid="{C8B745FE-7163-4548-A89C-FF3EA0447DCD}" name="Time/Score16" dataDxfId="1811">
      <calculatedColumnFormula>IF(X5=0," ",_xlfn.RANK.AVG(X5,X$5:X$24,1)-COUNTIF(X$5:X$24,0))</calculatedColumnFormula>
    </tableColumn>
    <tableColumn id="24" xr3:uid="{0A3D6E65-B9E8-4617-BEA4-20408610C4D9}" name="Place16" dataDxfId="1810">
      <calculatedColumnFormula>IF(X5=0," ",IF((RANK(X5,X$5:X$24,1)-COUNTIF(X$5:X$24,0)&gt;6)," ",RANK(X5,X$5:X$24,1)-COUNTIF(X$5:X$24,0)))</calculatedColumnFormula>
    </tableColumn>
    <tableColumn id="25" xr3:uid="{543CF7C6-412E-496E-97C4-048ACAF333FD}" name="Points17" dataDxfId="1809">
      <calculatedColumnFormula>IF(Table622027323337214147[[#This Row],[Non-Member]]="X"," ",IF(Z5=" "," ",IFERROR(VLOOKUP(Y5,Points!$A$2:$B$14,2,FALSE)," ")))</calculatedColumnFormula>
    </tableColumn>
    <tableColumn id="26" xr3:uid="{E3FAE481-2DD2-457E-A680-675227F4D924}" name="Time/Score18" dataDxfId="1808" dataCellStyle="Comma"/>
    <tableColumn id="27" xr3:uid="{F1AABE18-F9C3-4916-9BFA-C8E462258264}" name="Time/Score19" dataDxfId="1807">
      <calculatedColumnFormula>IF(AB5=0," ",_xlfn.RANK.AVG(AB5,AB$5:AB$24,1)-COUNTIF(AB$5:AB$24,0))</calculatedColumnFormula>
    </tableColumn>
    <tableColumn id="28" xr3:uid="{2215ADD1-1831-4BBF-A87C-480CE4335088}" name="Place19" dataDxfId="1806">
      <calculatedColumnFormula>IF(AB5=0," ",IF((RANK(AB5,AB$5:AB$24,1)-COUNTIF(AB$5:AB$24,0)&gt;6)," ",RANK(AB5,AB$5:AB$24,1)-COUNTIF(AB$5:AB$24,0)))</calculatedColumnFormula>
    </tableColumn>
    <tableColumn id="29" xr3:uid="{437D168E-EA44-4DA3-BB4A-62E1F5790A61}" name="Points20" dataDxfId="1805">
      <calculatedColumnFormula>IF(Table622027323337214147[[#This Row],[Non-Member]]="X"," ",IF(AD5=" "," ",IFERROR(VLOOKUP(AC5,Points!$A$2:$B$14,2,FALSE)," ")))</calculatedColumnFormula>
    </tableColumn>
    <tableColumn id="30" xr3:uid="{A032E710-4EE6-4FBF-BCB6-36CDB738D223}" name="Time/Score21" dataDxfId="1804" dataCellStyle="Comma">
      <calculatedColumnFormula>IF(OR(X5=0,AB5=0)," ",X5+AB5)</calculatedColumnFormula>
    </tableColumn>
    <tableColumn id="31" xr3:uid="{B3C537E5-A8EB-48D7-A90B-0C44F5E0BDDA}" name="Time/Score22" dataDxfId="1803">
      <calculatedColumnFormula>IF(OR(AF5=0,AF5=" ")," ",_xlfn.RANK.AVG(AF5,AF$5:AF$24,1)-COUNTIF(AF$5:AF$24,0))</calculatedColumnFormula>
    </tableColumn>
    <tableColumn id="32" xr3:uid="{340F11AB-E64A-4EA5-A61D-7C64BDE16432}" name="Place22" dataDxfId="1802">
      <calculatedColumnFormula>IF(OR(AF5=0,AF5=" ")," ",IF((RANK(AF5,AF$5:AF$24,1)-COUNTIF(AF$5:AF$24,0)&gt;6)," ",RANK(AF5,AF$5:AF$24,1)-COUNTIF(AF$5:AF$24,0)))</calculatedColumnFormula>
    </tableColumn>
    <tableColumn id="33" xr3:uid="{A88A8A9B-4B7D-47AB-BEB7-2B5DC83FB103}" name="Points23" dataDxfId="1801">
      <calculatedColumnFormula>IF(Table622027323337214147[[#This Row],[Non-Member]]="X"," ",IF(AH5=" "," ",IFERROR(VLOOKUP(AG5,Points!$A$2:$B$14,2,FALSE)," ")))</calculatedColumnFormula>
    </tableColumn>
    <tableColumn id="34" xr3:uid="{AE92B3FA-7640-436A-ABD5-A2FF78DEDBFB}" name="Points24" dataDxfId="1800">
      <calculatedColumnFormula>IF(Table622027323337214147[[#This Row],[Non-Member]]="X"," ",((IF(G5=" ",0,G5))+(IF(K5=" ",0,K5))+(IF(O5=" ",0,O5))+(IF(S5=" ",0,S5))+(IF(W5=" ",0,W5))+(IF(AA5=" ",0,AA5))+(IF(AE5=" ",0,AE5))+(IF(AI5=" ",0,AI5))))</calculatedColumnFormula>
    </tableColumn>
    <tableColumn id="35" xr3:uid="{F2019A5E-0666-48CE-966F-88522331D90B}" name="Points25" dataDxfId="1799" dataCellStyle="Comma">
      <calculatedColumnFormula>IF(AJ5=0," ",AJ5)</calculatedColumnFormula>
    </tableColumn>
    <tableColumn id="36" xr3:uid="{4C377919-AFB1-455E-B805-25321AB1B9DE}" name="Place26" dataDxfId="179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2C194D8-EAF4-4EEE-8D06-CDB07F655270}" name="Table622027323334171819305147" displayName="Table622027323334171819305147" ref="B4:N24" totalsRowShown="0" headerRowDxfId="1514" dataDxfId="1513" tableBorderDxfId="1512">
  <autoFilter ref="B4:N24" xr:uid="{89B1FF52-34AE-480D-BF76-50E05053D0D8}"/>
  <sortState xmlns:xlrd2="http://schemas.microsoft.com/office/spreadsheetml/2017/richdata2" ref="B5:N24">
    <sortCondition ref="N5:N24"/>
    <sortCondition ref="B5:B24"/>
  </sortState>
  <tableColumns count="13">
    <tableColumn id="1" xr3:uid="{1B8DBFF2-78C3-475A-83EF-24E53AD06E6E}" name="Name" dataDxfId="1511"/>
    <tableColumn id="37" xr3:uid="{9DD0137E-861E-440B-BE37-0593138D2BF2}" name="Non-Member" dataDxfId="1510"/>
    <tableColumn id="5" xr3:uid="{082ED6BF-B8A7-4058-B385-7FE8B46CC5C5}" name="Points" dataDxfId="1509"/>
    <tableColumn id="9" xr3:uid="{65C05F1F-C756-46B0-B249-C3BB3002AD66}" name="Points5" dataDxfId="1508"/>
    <tableColumn id="13" xr3:uid="{BA111E09-3E83-46B2-AAA1-6C6D68EC1D65}" name="Points8" dataDxfId="1507"/>
    <tableColumn id="17" xr3:uid="{61F30F98-531A-4D23-BC89-BB871712D256}" name="Points11" dataDxfId="1506"/>
    <tableColumn id="21" xr3:uid="{4FE5CC51-E755-4FAC-BB82-C54414AC64D4}" name="Points14" dataDxfId="1505"/>
    <tableColumn id="25" xr3:uid="{FB32E567-7F04-4153-A288-8B18B37B07F0}" name="Points17" dataDxfId="1504"/>
    <tableColumn id="29" xr3:uid="{B54F9AD3-C600-4042-96EE-ADD8955EC488}" name="Points20" dataDxfId="1503"/>
    <tableColumn id="33" xr3:uid="{D130B10E-81F3-4871-B931-D7C47EC08E74}" name="Points23" dataDxfId="1502"/>
    <tableColumn id="34" xr3:uid="{24ED0EC8-DBD7-4284-A930-74B4592A9A0D}" name="Points24" dataDxfId="1501">
      <calculatedColumnFormula>IF(Table622027323334171819305147[[#This Row],[Non-Member]]="X"," ",((IF(D5=" ",0,D5))+(IF(E5=" ",0,E5))+(IF(F5=" ",0,F5))+(IF(G5=" ",0,G5))+(IF(H5=" ",0,H5))+(IF(I5=" ",0,I5))+(IF(J5=" ",0,J5))+(IF(K5=" ",0,K5))))</calculatedColumnFormula>
    </tableColumn>
    <tableColumn id="35" xr3:uid="{3CB61B91-1C9C-4482-A7AB-41CD7F00AF17}" name="Points25" dataDxfId="1500" dataCellStyle="Comma">
      <calculatedColumnFormula>IF(L5=0," ",L5)</calculatedColumnFormula>
    </tableColumn>
    <tableColumn id="36" xr3:uid="{A60BA279-3B22-45A8-8A5F-4BB7576EB444}" name="Place26" dataDxfId="1499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D2757CC-D564-43D4-8A45-607DAA88991E}" name="Table6220273233162753" displayName="Table6220273233162753" ref="B4:AL24" totalsRowShown="0" headerRowDxfId="1498" dataDxfId="1497" tableBorderDxfId="1496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F7F66CB9-90EA-4320-9C58-55DF15FDF28A}" name="Name" dataDxfId="1495"/>
    <tableColumn id="37" xr3:uid="{B64B45B7-6975-4436-8482-EFA5E9826807}" name="Non-Member" dataDxfId="1494"/>
    <tableColumn id="2" xr3:uid="{AAEB8A20-1B44-4985-8EAD-7D3BE069DA11}" name="Time/Score" dataDxfId="1493" dataCellStyle="Comma"/>
    <tableColumn id="3" xr3:uid="{08F67553-D875-4D79-878C-62A0651270CF}" name="Column2" dataDxfId="1492">
      <calculatedColumnFormula>IF(D5=0," ",_xlfn.RANK.AVG(D5,D$5:D$24,1)-COUNTIF(D$5:D$24,0))</calculatedColumnFormula>
    </tableColumn>
    <tableColumn id="4" xr3:uid="{043E44EE-76D8-4811-976D-24AF8B3A3795}" name="Place" dataDxfId="1491">
      <calculatedColumnFormula>IF(D5=0," ",IF((RANK(D5,D$5:D$24,1)-COUNTIF(D$5:D$24,0)&gt;6)," ",RANK(D5,D$5:D$24,1)-COUNTIF(D$5:D$24,0)))</calculatedColumnFormula>
    </tableColumn>
    <tableColumn id="5" xr3:uid="{C64D0F4F-7F44-4523-93D2-931FEC25BB94}" name="Points" dataDxfId="1490">
      <calculatedColumnFormula>IF(Table6220273233162753[[#This Row],[Non-Member]]="X"," ",IF(F5=" "," ",IFERROR(VLOOKUP(E5,Points!$A$2:$B$14,2,FALSE)," ")))</calculatedColumnFormula>
    </tableColumn>
    <tableColumn id="6" xr3:uid="{75973B4A-E2AC-4AD5-9A28-AEC34F559386}" name="Time/Score3" dataDxfId="1489" dataCellStyle="Comma"/>
    <tableColumn id="7" xr3:uid="{89315CB9-48E1-42AA-B336-F68EB72AB2BB}" name="Time/Score4" dataDxfId="1488">
      <calculatedColumnFormula>IF(H5=0," ",_xlfn.RANK.AVG(H5,H$5:H$24,1)-COUNTIF(H$5:H$24,0))</calculatedColumnFormula>
    </tableColumn>
    <tableColumn id="8" xr3:uid="{22F27884-97F8-467E-B743-8E5D0F1848B7}" name="Place4" dataDxfId="1487">
      <calculatedColumnFormula>IF(H5=0," ",IF((RANK(H5,H$5:H$24,1)-COUNTIF(H$5:H$24,0)&gt;6)," ",RANK(H5,H$5:H$24,1)-COUNTIF(H$5:H$24,0)))</calculatedColumnFormula>
    </tableColumn>
    <tableColumn id="9" xr3:uid="{FA5929A9-08A1-4EC0-A9A6-C62B01456038}" name="Points5" dataDxfId="1486">
      <calculatedColumnFormula>IF(Table6220273233162753[[#This Row],[Non-Member]]="X"," ",IF(J5=" "," ",IFERROR(VLOOKUP(I5,Points!$A$2:$B$14,2,FALSE)," ")))</calculatedColumnFormula>
    </tableColumn>
    <tableColumn id="10" xr3:uid="{891380A9-16F4-4CC8-A4AE-7FA96697EF4A}" name="Time/Score6" dataDxfId="1485" dataCellStyle="Comma"/>
    <tableColumn id="11" xr3:uid="{841B7F78-7584-421B-B510-9EE3EE143EE9}" name="Time/Score7" dataDxfId="1484">
      <calculatedColumnFormula>IF(L5=0," ",_xlfn.RANK.AVG(L5,L$5:L$24,1)-COUNTIF(L$5:L$24,0))</calculatedColumnFormula>
    </tableColumn>
    <tableColumn id="12" xr3:uid="{C7EA258A-D299-47C4-9142-E1B57FF949A0}" name="Place7" dataDxfId="1483">
      <calculatedColumnFormula>IF(L5=0," ",IF((RANK(L5,L$5:L$24,1)-COUNTIF(L$5:L$24,0)&gt;6)," ",RANK(L5,L$5:L$24,1)-COUNTIF(L$5:L$24,0)))</calculatedColumnFormula>
    </tableColumn>
    <tableColumn id="13" xr3:uid="{77BADFF8-BE67-425D-8020-F41BC1986E70}" name="Points8" dataDxfId="1482">
      <calculatedColumnFormula>IF(Table6220273233162753[[#This Row],[Non-Member]]="X"," ",IF(N5=" "," ",IFERROR(VLOOKUP(M5,Points!$A$2:$B$14,2,FALSE)," ")))</calculatedColumnFormula>
    </tableColumn>
    <tableColumn id="14" xr3:uid="{6D0F99B1-E077-4411-B349-3EB1503C4E73}" name="Time/Score9" dataDxfId="1481" dataCellStyle="Comma"/>
    <tableColumn id="15" xr3:uid="{E3A018AB-C2BD-48E7-80BD-3CE38204F5A7}" name="Time/Score10" dataDxfId="1480">
      <calculatedColumnFormula>IF(P5=0," ",_xlfn.RANK.AVG(P5,P$5:P$24,1)-COUNTIF(P$5:P$24,0))</calculatedColumnFormula>
    </tableColumn>
    <tableColumn id="16" xr3:uid="{EF531C5F-BD47-4D4B-8BF6-780A3041B39E}" name="Place10" dataDxfId="1479">
      <calculatedColumnFormula>IF(P5=0," ",IF((RANK(P5,P$5:P$24,1)-COUNTIF(P$5:P$24,0)&gt;6)," ",RANK(P5,P$5:P$24,1)-COUNTIF(P$5:P$24,0)))</calculatedColumnFormula>
    </tableColumn>
    <tableColumn id="17" xr3:uid="{4EB6FE69-BCEF-4FE4-9778-A0FDA8DD193F}" name="Points11" dataDxfId="1478">
      <calculatedColumnFormula>IF(Table6220273233162753[[#This Row],[Non-Member]]="X"," ",IF(R5=" "," ",IFERROR(VLOOKUP(Q5,Points!$A$2:$B$14,2,FALSE)," ")))</calculatedColumnFormula>
    </tableColumn>
    <tableColumn id="18" xr3:uid="{408B17F1-C352-497D-AEAD-FB11B42C456C}" name="Time/Score12" dataDxfId="1477" dataCellStyle="Comma"/>
    <tableColumn id="19" xr3:uid="{599BDD81-3365-4411-A0C6-D2E2654E504E}" name="Time/Score13" dataDxfId="1476">
      <calculatedColumnFormula>IF(T5=0," ",_xlfn.RANK.AVG(T5,T$5:T$24,1)-COUNTIF(T$5:T$24,0))</calculatedColumnFormula>
    </tableColumn>
    <tableColumn id="20" xr3:uid="{1F06AE18-19E5-41AD-B20E-D96C8FBB3BE2}" name="Place13" dataDxfId="1475">
      <calculatedColumnFormula>IF(T5=0," ",IF((RANK(T5,T$5:T$24,1)-COUNTIF(T$5:T$24,0)&gt;6)," ",RANK(T5,T$5:T$24,1)-COUNTIF(T$5:T$24,0)))</calculatedColumnFormula>
    </tableColumn>
    <tableColumn id="21" xr3:uid="{16B5D071-2393-47EF-BF70-E63628CD644F}" name="Points14" dataDxfId="1474">
      <calculatedColumnFormula>IF(Table6220273233162753[[#This Row],[Non-Member]]="X"," ",IF(V5=" "," ",IFERROR(VLOOKUP(U5,Points!$A$2:$B$14,2,FALSE)," ")))</calculatedColumnFormula>
    </tableColumn>
    <tableColumn id="22" xr3:uid="{FA7BA337-A9A7-450D-9A7C-5FF9A46ED78F}" name="Time/Score15" dataDxfId="1473" dataCellStyle="Comma"/>
    <tableColumn id="23" xr3:uid="{83529628-666C-45C9-A38E-5E3D67BF85EF}" name="Time/Score16" dataDxfId="1472">
      <calculatedColumnFormula>IF(X5=0," ",_xlfn.RANK.AVG(X5,X$5:X$24,1)-COUNTIF(X$5:X$24,0))</calculatedColumnFormula>
    </tableColumn>
    <tableColumn id="24" xr3:uid="{ACC7EE2B-7FFD-4F85-9C79-33F33E595786}" name="Place16" dataDxfId="1471">
      <calculatedColumnFormula>IF(X5=0," ",IF((RANK(X5,X$5:X$24,1)-COUNTIF(X$5:X$24,0)&gt;6)," ",RANK(X5,X$5:X$24,1)-COUNTIF(X$5:X$24,0)))</calculatedColumnFormula>
    </tableColumn>
    <tableColumn id="25" xr3:uid="{AB3E96C0-56B4-4FBE-A24B-0652EDF91F66}" name="Points17" dataDxfId="1470">
      <calculatedColumnFormula>IF(Table6220273233162753[[#This Row],[Non-Member]]="X"," ",IF(Z5=" "," ",IFERROR(VLOOKUP(Y5,Points!$A$2:$B$14,2,FALSE)," ")))</calculatedColumnFormula>
    </tableColumn>
    <tableColumn id="26" xr3:uid="{391D1F19-3AC4-47F7-AE67-31DBB52727CA}" name="Time/Score18" dataDxfId="1469" dataCellStyle="Comma"/>
    <tableColumn id="27" xr3:uid="{03E791DD-4154-4B31-AE48-D6F169BB0F1A}" name="Time/Score19" dataDxfId="1468">
      <calculatedColumnFormula>IF(AB5=0," ",_xlfn.RANK.AVG(AB5,AB$5:AB$24,1)-COUNTIF(AB$5:AB$24,0))</calculatedColumnFormula>
    </tableColumn>
    <tableColumn id="28" xr3:uid="{7E6E0EFB-63E9-4238-8DFA-E86B7EA2DE09}" name="Place19" dataDxfId="1467">
      <calculatedColumnFormula>IF(AB5=0," ",IF((RANK(AB5,AB$5:AB$24,1)-COUNTIF(AB$5:AB$24,0)&gt;6)," ",RANK(AB5,AB$5:AB$24,1)-COUNTIF(AB$5:AB$24,0)))</calculatedColumnFormula>
    </tableColumn>
    <tableColumn id="29" xr3:uid="{F2B37FCA-2397-4C48-9089-AF59AC715051}" name="Points20" dataDxfId="1466">
      <calculatedColumnFormula>IF(Table6220273233162753[[#This Row],[Non-Member]]="X"," ",IF(AD5=" "," ",IFERROR(VLOOKUP(AC5,Points!$A$2:$B$14,2,FALSE)," ")))</calculatedColumnFormula>
    </tableColumn>
    <tableColumn id="30" xr3:uid="{63F9A519-8B21-42E9-8515-FF93E7522AA8}" name="Time/Score21" dataDxfId="1465" dataCellStyle="Comma">
      <calculatedColumnFormula>IF(OR(X5=0,AB5=0)," ",X5+AB5)</calculatedColumnFormula>
    </tableColumn>
    <tableColumn id="31" xr3:uid="{DE82A9D7-6C71-4EFB-B07D-8AC1AF7E876F}" name="Time/Score22" dataDxfId="1464">
      <calculatedColumnFormula>IF(OR(AF5=0,AF5=" ")," ",_xlfn.RANK.AVG(AF5,AF$5:AF$24,1)-COUNTIF(AF$5:AF$24,0))</calculatedColumnFormula>
    </tableColumn>
    <tableColumn id="32" xr3:uid="{93DB0075-D611-4DCF-87C7-8FCEBE3854F6}" name="Place22" dataDxfId="1463">
      <calculatedColumnFormula>IF(OR(AF5=0,AF5=" ")," ",IF((RANK(AF5,AF$5:AF$24,1)-COUNTIF(AF$5:AF$24,0)&gt;6)," ",RANK(AF5,AF$5:AF$24,1)-COUNTIF(AF$5:AF$24,0)))</calculatedColumnFormula>
    </tableColumn>
    <tableColumn id="33" xr3:uid="{78BB32A6-1F46-428B-BD00-D142A2274D39}" name="Points23" dataDxfId="1462">
      <calculatedColumnFormula>IF(Table6220273233162753[[#This Row],[Non-Member]]="X"," ",IF(AH5=" "," ",IFERROR(VLOOKUP(AG5,Points!$A$2:$B$14,2,FALSE)," ")))</calculatedColumnFormula>
    </tableColumn>
    <tableColumn id="34" xr3:uid="{E641B910-534E-43AD-93AA-820919489D52}" name="Points24" dataDxfId="1461">
      <calculatedColumnFormula>IF(Table6220273233162753[[#This Row],[Non-Member]]="X"," ",((IF(G5=" ",0,G5))+(IF(K5=" ",0,K5))+(IF(O5=" ",0,O5))+(IF(S5=" ",0,S5))+(IF(W5=" ",0,W5))+(IF(AA5=" ",0,AA5))+(IF(AE5=" ",0,AE5))+(IF(AI5=" ",0,AI5))))</calculatedColumnFormula>
    </tableColumn>
    <tableColumn id="35" xr3:uid="{A8ED76F7-D8B2-4F17-99B8-76F9D9806B29}" name="Points25" dataDxfId="1460" dataCellStyle="Comma">
      <calculatedColumnFormula>IF(AJ5=0," ",AJ5)</calculatedColumnFormula>
    </tableColumn>
    <tableColumn id="36" xr3:uid="{73C004D1-B33A-489C-9CF9-99BEA8114854}" name="Place26" dataDxfId="145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1EA9E36D-D0ED-4123-B96C-4CC8A474D239}" name="Table622027323334172854" displayName="Table622027323334172854" ref="B4:AL24" totalsRowShown="0" headerRowDxfId="1458" dataDxfId="1457" tableBorderDxfId="1456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642DDDF6-13C1-46C4-BFB6-590D57797410}" name="Name" dataDxfId="1455"/>
    <tableColumn id="37" xr3:uid="{2077C268-44F2-4E16-84F9-754AA3146C07}" name="Non-Member" dataDxfId="1454"/>
    <tableColumn id="2" xr3:uid="{516F33FE-A8E6-48DA-B1D8-442B0449A3FD}" name="Time/Score" dataDxfId="1453" dataCellStyle="Comma"/>
    <tableColumn id="3" xr3:uid="{5BB8DDB3-B6FD-427A-AD6F-FFDAA3B34FA5}" name="Column2" dataDxfId="1452">
      <calculatedColumnFormula>IF(D5=0," ",_xlfn.RANK.AVG(D5,D$5:D$24,1)-COUNTIF(D$5:D$24,0))</calculatedColumnFormula>
    </tableColumn>
    <tableColumn id="4" xr3:uid="{75DC0D5D-AD4B-46FB-8D6D-83126A33A0B8}" name="Place" dataDxfId="1451">
      <calculatedColumnFormula>IF(D5=0," ",IF((RANK(D5,D$5:D$24,1)-COUNTIF(D$5:D$24,0)&gt;6)," ",RANK(D5,D$5:D$24,1)-COUNTIF(D$5:D$24,0)))</calculatedColumnFormula>
    </tableColumn>
    <tableColumn id="5" xr3:uid="{5CC502FB-98FC-44CC-875E-E5DFC58F77FB}" name="Points" dataDxfId="1450">
      <calculatedColumnFormula>IF(Table622027323334172854[[#This Row],[Non-Member]]="X"," ",IF(F5=" "," ",IFERROR(VLOOKUP(E5,Points!$A$2:$B$14,2,FALSE)," ")))</calculatedColumnFormula>
    </tableColumn>
    <tableColumn id="6" xr3:uid="{91BD72D7-730B-45C0-8ADF-AEA3EDAC64D9}" name="Time/Score3" dataDxfId="1449" dataCellStyle="Comma"/>
    <tableColumn id="7" xr3:uid="{61C15CC8-7E09-4314-BCAA-B72D2F849FBF}" name="Time/Score4" dataDxfId="1448">
      <calculatedColumnFormula>IF(H5=0," ",_xlfn.RANK.AVG(H5,H$5:H$24,1)-COUNTIF(H$5:H$24,0))</calculatedColumnFormula>
    </tableColumn>
    <tableColumn id="8" xr3:uid="{C35AFDDB-3EAD-47D2-BF02-7155DB70947B}" name="Place4" dataDxfId="1447">
      <calculatedColumnFormula>IF(H5=0," ",IF((RANK(H5,H$5:H$24,1)-COUNTIF(H$5:H$24,0)&gt;6)," ",RANK(H5,H$5:H$24,1)-COUNTIF(H$5:H$24,0)))</calculatedColumnFormula>
    </tableColumn>
    <tableColumn id="9" xr3:uid="{23613369-D106-4F10-8A45-B924318680F2}" name="Points5" dataDxfId="1446">
      <calculatedColumnFormula>IF(Table622027323334172854[[#This Row],[Non-Member]]="X"," ",IF(J5=" "," ",IFERROR(VLOOKUP(I5,Points!$A$2:$B$14,2,FALSE)," ")))</calculatedColumnFormula>
    </tableColumn>
    <tableColumn id="10" xr3:uid="{8D52326B-9476-40B4-8EE9-F7B50328B47A}" name="Time/Score6" dataDxfId="1445" dataCellStyle="Comma"/>
    <tableColumn id="11" xr3:uid="{208DCA8B-DED1-4179-8286-C977342B60CD}" name="Time/Score7" dataDxfId="1444">
      <calculatedColumnFormula>IF(L5=0," ",_xlfn.RANK.AVG(L5,L$5:L$24,1)-COUNTIF(L$5:L$24,0))</calculatedColumnFormula>
    </tableColumn>
    <tableColumn id="12" xr3:uid="{D56F6A07-5335-42BE-9674-DC4C6C2EBC09}" name="Place7" dataDxfId="1443">
      <calculatedColumnFormula>IF(L5=0," ",IF((RANK(L5,L$5:L$24,1)-COUNTIF(L$5:L$24,0)&gt;6)," ",RANK(L5,L$5:L$24,1)-COUNTIF(L$5:L$24,0)))</calculatedColumnFormula>
    </tableColumn>
    <tableColumn id="13" xr3:uid="{2DC4432C-46CF-4C1E-BC51-D868447D5873}" name="Points8" dataDxfId="1442">
      <calculatedColumnFormula>IF(Table622027323334172854[[#This Row],[Non-Member]]="X"," ",IF(N5=" "," ",IFERROR(VLOOKUP(M5,Points!$A$2:$B$14,2,FALSE)," ")))</calculatedColumnFormula>
    </tableColumn>
    <tableColumn id="14" xr3:uid="{28BB2BB7-CEEF-4BF4-A5B5-DC89822A9302}" name="Time/Score9" dataDxfId="1441" dataCellStyle="Comma"/>
    <tableColumn id="15" xr3:uid="{D7B2B14A-2BC7-4D13-884B-70D3A66AF544}" name="Time/Score10" dataDxfId="1440">
      <calculatedColumnFormula>IF(P5=0," ",_xlfn.RANK.AVG(P5,P$5:P$24,1)-COUNTIF(P$5:P$24,0))</calculatedColumnFormula>
    </tableColumn>
    <tableColumn id="16" xr3:uid="{C764B6CE-70B9-424F-8A5D-C6922D5FA519}" name="Place10" dataDxfId="1439">
      <calculatedColumnFormula>IF(P5=0," ",IF((RANK(P5,P$5:P$24,1)-COUNTIF(P$5:P$24,0)&gt;6)," ",RANK(P5,P$5:P$24,1)-COUNTIF(P$5:P$24,0)))</calculatedColumnFormula>
    </tableColumn>
    <tableColumn id="17" xr3:uid="{06E545F8-170D-4E1B-B042-74E69E520828}" name="Points11" dataDxfId="1438">
      <calculatedColumnFormula>IF(Table622027323334172854[[#This Row],[Non-Member]]="X"," ",IF(R5=" "," ",IFERROR(VLOOKUP(Q5,Points!$A$2:$B$14,2,FALSE)," ")))</calculatedColumnFormula>
    </tableColumn>
    <tableColumn id="18" xr3:uid="{E612CF16-B9F9-4113-A028-6FDAE79DC0A7}" name="Time/Score12" dataDxfId="1437" dataCellStyle="Comma"/>
    <tableColumn id="19" xr3:uid="{99D8D86E-1EC6-40DB-B9C9-2597CF666691}" name="Time/Score13" dataDxfId="1436">
      <calculatedColumnFormula>IF(T5=0," ",_xlfn.RANK.AVG(T5,T$5:T$24,1)-COUNTIF(T$5:T$24,0))</calculatedColumnFormula>
    </tableColumn>
    <tableColumn id="20" xr3:uid="{19C80A2D-3D05-4B01-8BC9-5F07C9B86188}" name="Place13" dataDxfId="1435">
      <calculatedColumnFormula>IF(T5=0," ",IF((RANK(T5,T$5:T$24,1)-COUNTIF(T$5:T$24,0)&gt;6)," ",RANK(T5,T$5:T$24,1)-COUNTIF(T$5:T$24,0)))</calculatedColumnFormula>
    </tableColumn>
    <tableColumn id="21" xr3:uid="{13972953-EC06-4212-BFDF-1D1E9A2249BE}" name="Points14" dataDxfId="1434">
      <calculatedColumnFormula>IF(Table622027323334172854[[#This Row],[Non-Member]]="X"," ",IF(V5=" "," ",IFERROR(VLOOKUP(U5,Points!$A$2:$B$14,2,FALSE)," ")))</calculatedColumnFormula>
    </tableColumn>
    <tableColumn id="22" xr3:uid="{B380B21F-F804-422E-89FD-6E3289B1C46F}" name="Time/Score15" dataDxfId="1433" dataCellStyle="Comma"/>
    <tableColumn id="23" xr3:uid="{313162F6-F6AA-4D23-90CD-8A777B88BDA0}" name="Time/Score16" dataDxfId="1432">
      <calculatedColumnFormula>IF(X5=0," ",_xlfn.RANK.AVG(X5,X$5:X$24,1)-COUNTIF(X$5:X$24,0))</calculatedColumnFormula>
    </tableColumn>
    <tableColumn id="24" xr3:uid="{EA128253-089D-428F-A666-518E561568AB}" name="Place16" dataDxfId="1431">
      <calculatedColumnFormula>IF(X5=0," ",IF((RANK(X5,X$5:X$24,1)-COUNTIF(X$5:X$24,0)&gt;6)," ",RANK(X5,X$5:X$24,1)-COUNTIF(X$5:X$24,0)))</calculatedColumnFormula>
    </tableColumn>
    <tableColumn id="25" xr3:uid="{583FC8A1-29E2-4B9F-83E2-F55629BB9BD5}" name="Points17" dataDxfId="1430">
      <calculatedColumnFormula>IF(Table622027323334172854[[#This Row],[Non-Member]]="X"," ",IF(Z5=" "," ",IFERROR(VLOOKUP(Y5,Points!$A$2:$B$14,2,FALSE)," ")))</calculatedColumnFormula>
    </tableColumn>
    <tableColumn id="26" xr3:uid="{C964E2F1-4A01-463C-B95B-7580E7EA1736}" name="Time/Score18" dataDxfId="1429" dataCellStyle="Comma"/>
    <tableColumn id="27" xr3:uid="{18D2FA74-36A4-4BAA-BAC6-BEA7C3B4A11F}" name="Time/Score19" dataDxfId="1428">
      <calculatedColumnFormula>IF(AB5=0," ",_xlfn.RANK.AVG(AB5,AB$5:AB$24,1)-COUNTIF(AB$5:AB$24,0))</calculatedColumnFormula>
    </tableColumn>
    <tableColumn id="28" xr3:uid="{81766F6B-30AF-418D-8E9E-A85D4D028D72}" name="Place19" dataDxfId="1427">
      <calculatedColumnFormula>IF(AB5=0," ",IF((RANK(AB5,AB$5:AB$24,1)-COUNTIF(AB$5:AB$24,0)&gt;6)," ",RANK(AB5,AB$5:AB$24,1)-COUNTIF(AB$5:AB$24,0)))</calculatedColumnFormula>
    </tableColumn>
    <tableColumn id="29" xr3:uid="{66EF5A6E-30AB-4904-81F4-8DCE3D7CE7AF}" name="Points20" dataDxfId="1426">
      <calculatedColumnFormula>IF(Table622027323334172854[[#This Row],[Non-Member]]="X"," ",IF(AD5=" "," ",IFERROR(VLOOKUP(AC5,Points!$A$2:$B$14,2,FALSE)," ")))</calculatedColumnFormula>
    </tableColumn>
    <tableColumn id="30" xr3:uid="{BFCD9C18-08D9-44C2-88A2-F749C625CAA6}" name="Time/Score21" dataDxfId="1425" dataCellStyle="Comma">
      <calculatedColumnFormula>IF(OR(X5=0,AB5=0)," ",X5+AB5)</calculatedColumnFormula>
    </tableColumn>
    <tableColumn id="31" xr3:uid="{02423D66-CB98-45D9-958E-408D0A0A1654}" name="Time/Score22" dataDxfId="1424">
      <calculatedColumnFormula>IF(OR(AF5=0,AF5=" ")," ",_xlfn.RANK.AVG(AF5,AF$5:AF$24,1)-COUNTIF(AF$5:AF$24,0))</calculatedColumnFormula>
    </tableColumn>
    <tableColumn id="32" xr3:uid="{A1F89445-9F40-4969-96F4-B0A73187A2A6}" name="Place22" dataDxfId="1423">
      <calculatedColumnFormula>IF(OR(AF5=0,AF5=" ")," ",IF((RANK(AF5,AF$5:AF$24,1)-COUNTIF(AF$5:AF$24,0)&gt;6)," ",RANK(AF5,AF$5:AF$24,1)-COUNTIF(AF$5:AF$24,0)))</calculatedColumnFormula>
    </tableColumn>
    <tableColumn id="33" xr3:uid="{B4F33260-B7EF-48EC-BBDB-637CEC1590AF}" name="Points23" dataDxfId="1422">
      <calculatedColumnFormula>IF(Table622027323334172854[[#This Row],[Non-Member]]="X"," ",IF(AH5=" "," ",IFERROR(VLOOKUP(AG5,Points!$A$2:$B$14,2,FALSE)," ")))</calculatedColumnFormula>
    </tableColumn>
    <tableColumn id="34" xr3:uid="{DF643F82-C846-41A2-90EF-A1EBE72049FC}" name="Points24" dataDxfId="1421">
      <calculatedColumnFormula>IF(Table622027323334172854[[#This Row],[Non-Member]]="X"," ",((IF(G5=" ",0,G5))+(IF(K5=" ",0,K5))+(IF(O5=" ",0,O5))+(IF(S5=" ",0,S5))+(IF(W5=" ",0,W5))+(IF(AA5=" ",0,AA5))+(IF(AE5=" ",0,AE5))+(IF(AI5=" ",0,AI5))))</calculatedColumnFormula>
    </tableColumn>
    <tableColumn id="35" xr3:uid="{4BD59E87-F182-41A8-AD56-DA5D7109C716}" name="Points25" dataDxfId="1420" dataCellStyle="Comma">
      <calculatedColumnFormula>IF(AJ5=0," ",AJ5)</calculatedColumnFormula>
    </tableColumn>
    <tableColumn id="36" xr3:uid="{82B1E1C7-0F85-44E6-8B7A-0B4D0D05F45C}" name="Place26" dataDxfId="141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ED62D3-78C5-47EA-84D7-C57F5268425D}" name="Table6220273233341728543" displayName="Table6220273233341728543" ref="B4:AL24" totalsRowShown="0" headerRowDxfId="1418" dataDxfId="1417" tableBorderDxfId="1416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DB166774-30A5-476E-BA74-C76EF087F43B}" name="Name" dataDxfId="1415"/>
    <tableColumn id="37" xr3:uid="{7CC3A142-5162-4E45-BA01-70AC6EFC4F80}" name="Non-Member" dataDxfId="1414"/>
    <tableColumn id="2" xr3:uid="{9E21FFC2-8A71-4A23-B782-DF51C6CA9975}" name="Time/Score" dataDxfId="1413" dataCellStyle="Comma"/>
    <tableColumn id="3" xr3:uid="{ADD1B935-A853-4947-9804-5928E251A50A}" name="Column2" dataDxfId="1412">
      <calculatedColumnFormula>IF(D5=0," ",_xlfn.RANK.AVG(D5,D$5:D$24,1)-COUNTIF(D$5:D$24,0))</calculatedColumnFormula>
    </tableColumn>
    <tableColumn id="4" xr3:uid="{CA16771C-8F01-444B-981D-266AC9233B79}" name="Place" dataDxfId="1411">
      <calculatedColumnFormula>IF(D5=0," ",IF((RANK(D5,D$5:D$24,1)-COUNTIF(D$5:D$24,0)&gt;6)," ",RANK(D5,D$5:D$24,1)-COUNTIF(D$5:D$24,0)))</calculatedColumnFormula>
    </tableColumn>
    <tableColumn id="5" xr3:uid="{38C9A7EC-6B06-4C09-ACCC-31B93DE47929}" name="Points" dataDxfId="1410">
      <calculatedColumnFormula>IF(Table6220273233341728543[[#This Row],[Non-Member]]="X"," ",IF(F5=" "," ",IFERROR(VLOOKUP(E5,Points!$A$2:$B$14,2,FALSE)," ")))</calculatedColumnFormula>
    </tableColumn>
    <tableColumn id="6" xr3:uid="{AA710A66-8872-44E1-A9D3-284C27A6EBD5}" name="Time/Score3" dataDxfId="1409" dataCellStyle="Comma"/>
    <tableColumn id="7" xr3:uid="{172243DF-7004-4E3C-8992-CFF82782A07C}" name="Time/Score4" dataDxfId="1408">
      <calculatedColumnFormula>IF(H5=0," ",_xlfn.RANK.AVG(H5,H$5:H$24,1)-COUNTIF(H$5:H$24,0))</calculatedColumnFormula>
    </tableColumn>
    <tableColumn id="8" xr3:uid="{22642594-F2ED-4F5B-845A-7767BC0CDE86}" name="Place4" dataDxfId="1407">
      <calculatedColumnFormula>IF(H5=0," ",IF((RANK(H5,H$5:H$24,1)-COUNTIF(H$5:H$24,0)&gt;6)," ",RANK(H5,H$5:H$24,1)-COUNTIF(H$5:H$24,0)))</calculatedColumnFormula>
    </tableColumn>
    <tableColumn id="9" xr3:uid="{CF1E390F-85A3-4069-9D0C-991C07BD2F44}" name="Points5" dataDxfId="1406">
      <calculatedColumnFormula>IF(Table6220273233341728543[[#This Row],[Non-Member]]="X"," ",IF(J5=" "," ",IFERROR(VLOOKUP(I5,Points!$A$2:$B$14,2,FALSE)," ")))</calculatedColumnFormula>
    </tableColumn>
    <tableColumn id="10" xr3:uid="{50B4C0CF-181E-4554-BA1F-3EF47DA44DA4}" name="Time/Score6" dataDxfId="1405" dataCellStyle="Comma"/>
    <tableColumn id="11" xr3:uid="{60087C77-E139-4BB6-B2A9-DC8FDAFF192B}" name="Time/Score7" dataDxfId="1404">
      <calculatedColumnFormula>IF(L5=0," ",_xlfn.RANK.AVG(L5,L$5:L$24,1)-COUNTIF(L$5:L$24,0))</calculatedColumnFormula>
    </tableColumn>
    <tableColumn id="12" xr3:uid="{2BBB135E-E0AC-4822-9464-41AB34022855}" name="Place7" dataDxfId="1403">
      <calculatedColumnFormula>IF(L5=0," ",IF((RANK(L5,L$5:L$24,1)-COUNTIF(L$5:L$24,0)&gt;6)," ",RANK(L5,L$5:L$24,1)-COUNTIF(L$5:L$24,0)))</calculatedColumnFormula>
    </tableColumn>
    <tableColumn id="13" xr3:uid="{276B8DE7-5708-43AD-994A-79B5B37D0E49}" name="Points8" dataDxfId="1402">
      <calculatedColumnFormula>IF(Table6220273233341728543[[#This Row],[Non-Member]]="X"," ",IF(N5=" "," ",IFERROR(VLOOKUP(M5,Points!$A$2:$B$14,2,FALSE)," ")))</calculatedColumnFormula>
    </tableColumn>
    <tableColumn id="14" xr3:uid="{35A31345-4D58-4FEA-9ED5-8C9A7A22C118}" name="Time/Score9" dataDxfId="1401" dataCellStyle="Comma"/>
    <tableColumn id="15" xr3:uid="{C4163F6D-598D-418F-AE15-B6F7CE739A55}" name="Time/Score10" dataDxfId="1400">
      <calculatedColumnFormula>IF(P5=0," ",_xlfn.RANK.AVG(P5,P$5:P$24,1)-COUNTIF(P$5:P$24,0))</calculatedColumnFormula>
    </tableColumn>
    <tableColumn id="16" xr3:uid="{30621CB1-D56A-47C1-9E7B-2AAA2618E468}" name="Place10" dataDxfId="1399">
      <calculatedColumnFormula>IF(P5=0," ",IF((RANK(P5,P$5:P$24,1)-COUNTIF(P$5:P$24,0)&gt;6)," ",RANK(P5,P$5:P$24,1)-COUNTIF(P$5:P$24,0)))</calculatedColumnFormula>
    </tableColumn>
    <tableColumn id="17" xr3:uid="{16CA90C4-614A-42D4-A818-4445555D809F}" name="Points11" dataDxfId="1398">
      <calculatedColumnFormula>IF(Table6220273233341728543[[#This Row],[Non-Member]]="X"," ",IF(R5=" "," ",IFERROR(VLOOKUP(Q5,Points!$A$2:$B$14,2,FALSE)," ")))</calculatedColumnFormula>
    </tableColumn>
    <tableColumn id="18" xr3:uid="{9D6AC48E-B729-41D2-937B-5BDAB3648750}" name="Time/Score12" dataDxfId="1397" dataCellStyle="Comma"/>
    <tableColumn id="19" xr3:uid="{2B1774DC-F12B-4A9F-9B72-5D65A4CF26DC}" name="Time/Score13" dataDxfId="1396">
      <calculatedColumnFormula>IF(T5=0," ",_xlfn.RANK.AVG(T5,T$5:T$24,1)-COUNTIF(T$5:T$24,0))</calculatedColumnFormula>
    </tableColumn>
    <tableColumn id="20" xr3:uid="{47D300BE-CB9F-480C-AEA0-5A1831D8C86D}" name="Place13" dataDxfId="1395">
      <calculatedColumnFormula>IF(T5=0," ",IF((RANK(T5,T$5:T$24,1)-COUNTIF(T$5:T$24,0)&gt;6)," ",RANK(T5,T$5:T$24,1)-COUNTIF(T$5:T$24,0)))</calculatedColumnFormula>
    </tableColumn>
    <tableColumn id="21" xr3:uid="{37AEB1D7-4150-4AAE-867B-80F066941E5D}" name="Points14" dataDxfId="1394">
      <calculatedColumnFormula>IF(Table6220273233341728543[[#This Row],[Non-Member]]="X"," ",IF(V5=" "," ",IFERROR(VLOOKUP(U5,Points!$A$2:$B$14,2,FALSE)," ")))</calculatedColumnFormula>
    </tableColumn>
    <tableColumn id="22" xr3:uid="{FAE60E7A-CDA6-4CF8-B71E-56FF3095E125}" name="Time/Score15" dataDxfId="1393" dataCellStyle="Comma"/>
    <tableColumn id="23" xr3:uid="{F1AB930C-20FC-47CF-BF47-900D9DD7AB8B}" name="Time/Score16" dataDxfId="1392">
      <calculatedColumnFormula>IF(X5=0," ",_xlfn.RANK.AVG(X5,X$5:X$24,1)-COUNTIF(X$5:X$24,0))</calculatedColumnFormula>
    </tableColumn>
    <tableColumn id="24" xr3:uid="{EA22D6C1-A395-4A91-8462-F3F6997F9A37}" name="Place16" dataDxfId="1391">
      <calculatedColumnFormula>IF(X5=0," ",IF((RANK(X5,X$5:X$24,1)-COUNTIF(X$5:X$24,0)&gt;6)," ",RANK(X5,X$5:X$24,1)-COUNTIF(X$5:X$24,0)))</calculatedColumnFormula>
    </tableColumn>
    <tableColumn id="25" xr3:uid="{AF43F5D9-2714-4FCB-B3CC-292C2AD982F7}" name="Points17" dataDxfId="1390">
      <calculatedColumnFormula>IF(Table6220273233341728543[[#This Row],[Non-Member]]="X"," ",IF(Z5=" "," ",IFERROR(VLOOKUP(Y5,Points!$A$2:$B$14,2,FALSE)," ")))</calculatedColumnFormula>
    </tableColumn>
    <tableColumn id="26" xr3:uid="{C8C49DC4-FDED-45B3-97E3-C6F69E8CADBB}" name="Time/Score18" dataDxfId="1389" dataCellStyle="Comma"/>
    <tableColumn id="27" xr3:uid="{1649C22D-B843-4A8F-9828-009F0B2B5CCB}" name="Time/Score19" dataDxfId="1388">
      <calculatedColumnFormula>IF(AB5=0," ",_xlfn.RANK.AVG(AB5,AB$5:AB$24,1)-COUNTIF(AB$5:AB$24,0))</calculatedColumnFormula>
    </tableColumn>
    <tableColumn id="28" xr3:uid="{BCFA1617-116F-4880-8564-3E8DE0DB9FA7}" name="Place19" dataDxfId="1387">
      <calculatedColumnFormula>IF(AB5=0," ",IF((RANK(AB5,AB$5:AB$24,1)-COUNTIF(AB$5:AB$24,0)&gt;6)," ",RANK(AB5,AB$5:AB$24,1)-COUNTIF(AB$5:AB$24,0)))</calculatedColumnFormula>
    </tableColumn>
    <tableColumn id="29" xr3:uid="{5F52A66F-B4BD-4244-91E1-E6D1AE5D2235}" name="Points20" dataDxfId="1386">
      <calculatedColumnFormula>IF(Table6220273233341728543[[#This Row],[Non-Member]]="X"," ",IF(AD5=" "," ",IFERROR(VLOOKUP(AC5,Points!$A$2:$B$14,2,FALSE)," ")))</calculatedColumnFormula>
    </tableColumn>
    <tableColumn id="30" xr3:uid="{20A6AC05-5F83-40F0-B442-740A9907CAF1}" name="Time/Score21" dataDxfId="1385" dataCellStyle="Comma">
      <calculatedColumnFormula>IF(OR(X5=0,AB5=0)," ",X5+AB5)</calculatedColumnFormula>
    </tableColumn>
    <tableColumn id="31" xr3:uid="{52EFEE01-55DB-4429-B016-44173E4D045D}" name="Time/Score22" dataDxfId="1384">
      <calculatedColumnFormula>IF(OR(AF5=0,AF5=" ")," ",_xlfn.RANK.AVG(AF5,AF$5:AF$24,1)-COUNTIF(AF$5:AF$24,0))</calculatedColumnFormula>
    </tableColumn>
    <tableColumn id="32" xr3:uid="{2F7F592B-DDE5-439B-AE2C-CB6865163296}" name="Place22" dataDxfId="1383">
      <calculatedColumnFormula>IF(OR(AF5=0,AF5=" ")," ",IF((RANK(AF5,AF$5:AF$24,1)-COUNTIF(AF$5:AF$24,0)&gt;6)," ",RANK(AF5,AF$5:AF$24,1)-COUNTIF(AF$5:AF$24,0)))</calculatedColumnFormula>
    </tableColumn>
    <tableColumn id="33" xr3:uid="{25160085-27E9-4923-A9FC-5720A4D93EE2}" name="Points23" dataDxfId="1382">
      <calculatedColumnFormula>IF(Table6220273233341728543[[#This Row],[Non-Member]]="X"," ",IF(AH5=" "," ",IFERROR(VLOOKUP(AG5,Points!$A$2:$B$14,2,FALSE)," ")))</calculatedColumnFormula>
    </tableColumn>
    <tableColumn id="34" xr3:uid="{14A2A374-F7C2-4B5B-AE6A-79372122867D}" name="Points24" dataDxfId="1381">
      <calculatedColumnFormula>IF(Table6220273233341728543[[#This Row],[Non-Member]]="X"," ",((IF(G5=" ",0,G5))+(IF(K5=" ",0,K5))+(IF(O5=" ",0,O5))+(IF(S5=" ",0,S5))+(IF(W5=" ",0,W5))+(IF(AA5=" ",0,AA5))+(IF(AE5=" ",0,AE5))+(IF(AI5=" ",0,AI5))))</calculatedColumnFormula>
    </tableColumn>
    <tableColumn id="35" xr3:uid="{EAF43665-05A5-4638-9DAD-0D0144B3BEC1}" name="Points25" dataDxfId="1380" dataCellStyle="Comma">
      <calculatedColumnFormula>IF(AJ5=0," ",AJ5)</calculatedColumnFormula>
    </tableColumn>
    <tableColumn id="36" xr3:uid="{D5A41E43-7DC4-4FB3-A2C7-2C859F4B4FED}" name="Place26" dataDxfId="137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3D960CAA-FC37-42AB-9C75-FCBCBA624071}" name="Table6345689101123344440203156" displayName="Table6345689101123344440203156" ref="B4:AC24" totalsRowShown="0" headerRowDxfId="1378" dataDxfId="1377" tableBorderDxfId="1376">
  <autoFilter ref="B4:AC24" xr:uid="{89B1FF52-34AE-480D-BF76-50E05053D0D8}"/>
  <sortState xmlns:xlrd2="http://schemas.microsoft.com/office/spreadsheetml/2017/richdata2" ref="B5:AC24">
    <sortCondition ref="AC5:AC24"/>
    <sortCondition ref="B5:B24"/>
  </sortState>
  <tableColumns count="28">
    <tableColumn id="1" xr3:uid="{E9029CF5-6D5A-4D88-B2A2-7F504E43A9C2}" name="Name" dataDxfId="1375"/>
    <tableColumn id="39" xr3:uid="{B49ECDCA-C3E7-42F2-99CA-5976FB10CD45}" name="Points" dataDxfId="1374">
      <calculatedColumnFormula>IFERROR(IF(VLOOKUP($B5,'SR-Team Roping-Header'!$B$5:$N$24,3,FALSE)=" ",0,VLOOKUP($B5,'SR-Team Roping-Header'!$B$5:$N$24,3,FALSE)),0)+IFERROR(IF(VLOOKUP($B5,'SR-Team Roping-Heeler'!$B$5:$N$24,3,FALSE)=" ",0,VLOOKUP($B5,'SR-Team Roping-Heeler'!$B$5:$N$24,3,FALSE)),0)+IFERROR(IF(VLOOKUP($B5,'SR B-Calf Roping'!$B$5:$AI$24,6,FALSE)=" ",0,VLOOKUP($B5,'SR B-Calf Roping'!$B$5:$AI$24,6,FALSE)),0)+IFERROR(IF(VLOOKUP($B5,'SR B-Steer Wrestling'!$B$5:$AI$24,6,FALSE)=" ",0,VLOOKUP($B5,'SR B-Steer Wrestling'!$B$5:$AI$24,6,FALSE)),0)+IFERROR(IF(VLOOKUP($B5,'SR B-Chute Dogging'!$B$5:$AI$24,6,FALSE)=" ",0,VLOOKUP($B5,'SR B-Chute Dogging'!$B$5:$AI$24,6,FALSE)),0)</calculatedColumnFormula>
    </tableColumn>
    <tableColumn id="4" xr3:uid="{C2919591-DF0F-47F5-9F17-60BB96AB0DEB}" name="Column1" dataDxfId="1373">
      <calculatedColumnFormula>IF(C5&gt;0,C5," ")</calculatedColumnFormula>
    </tableColumn>
    <tableColumn id="5" xr3:uid="{EA1E7FC2-5FAB-44D1-B372-5341956CE393}" name="Place" dataDxfId="1372">
      <calculatedColumnFormula>IF(C5=0," ",RANK(C5,C$5:C$24,0))</calculatedColumnFormula>
    </tableColumn>
    <tableColumn id="43" xr3:uid="{647F64DD-A908-4712-9E5B-FE9C5B39657D}" name="Points4" dataDxfId="1371">
      <calculatedColumnFormula>IFERROR(IF(VLOOKUP($B5,'SR-Team Roping-Header'!$B$5:$N$24,4,FALSE)=" ",0,VLOOKUP($B5,'SR-Team Roping-Header'!$B$5:$N$24,4,FALSE)),0)+IFERROR(IF(VLOOKUP($B5,'SR-Team Roping-Heeler'!$B$5:$N$24,4,FALSE)=" ",0,VLOOKUP($B5,'SR-Team Roping-Heeler'!$B$5:$N$24,4,FALSE)),0)+IFERROR(IF(VLOOKUP($B5,'SR B-Calf Roping'!$B$5:$AI$24,10,FALSE)=" ",0,VLOOKUP($B5,'SR B-Calf Roping'!$B$5:$AI$24,10,FALSE)),0)+IFERROR(IF(VLOOKUP($B5,'SR B-Steer Wrestling'!$B$5:$AI$24,10,FALSE)=" ",0,VLOOKUP($B5,'SR B-Steer Wrestling'!$B$5:$AI$24,10,FALSE)),0)+IFERROR(IF(VLOOKUP($B5,'SR B-Chute Dogging'!$B$5:$AI$24,10,FALSE)=" ",0,VLOOKUP($B5,'SR B-Chute Dogging'!$B$5:$AI$24,10,FALSE)),0)</calculatedColumnFormula>
    </tableColumn>
    <tableColumn id="6" xr3:uid="{EDE62610-9D6A-4A07-A237-7426E3C74B62}" name="Points5" dataDxfId="1370">
      <calculatedColumnFormula>IF(F5&gt;0,F5," ")</calculatedColumnFormula>
    </tableColumn>
    <tableColumn id="44" xr3:uid="{E0A34562-5161-4430-A780-FC1E7FB708BB}" name="Place5" dataDxfId="1369">
      <calculatedColumnFormula>IF(F5=0," ",RANK(F5,F$5:F$24,0))</calculatedColumnFormula>
    </tableColumn>
    <tableColumn id="46" xr3:uid="{C57F753C-9AA5-4383-9889-EBA2F58A34A4}" name="Points43" dataDxfId="1368">
      <calculatedColumnFormula>IFERROR(IF(VLOOKUP($B5,'SR-Team Roping-Header'!$B$5:$N$24,5,FALSE)=" ",0,VLOOKUP($B5,'SR-Team Roping-Header'!$B$5:$N$24,5,FALSE)),0)+IFERROR(IF(VLOOKUP($B5,'SR-Team Roping-Heeler'!$B$5:$N$24,5,FALSE)=" ",0,VLOOKUP($B5,'SR-Team Roping-Heeler'!$B$5:$N$24,5,FALSE)),0)+IFERROR(IF(VLOOKUP($B5,'SR B-Calf Roping'!$B$5:$AI$24,14,FALSE)=" ",0,VLOOKUP($B5,'SR B-Calf Roping'!$B$5:$AI$24,14,FALSE)),0)+IFERROR(IF(VLOOKUP($B5,'SR B-Steer Wrestling'!$B$5:$AI$24,14,FALSE)=" ",0,VLOOKUP($B5,'SR B-Steer Wrestling'!$B$5:$AI$24,14,FALSE)),0)+IFERROR(IF(VLOOKUP($B5,'SR B-Chute Dogging'!$B$5:$AI$24,14,FALSE)=" ",0,VLOOKUP($B5,'SR B-Chute Dogging'!$B$5:$AI$24,14,FALSE)),0)</calculatedColumnFormula>
    </tableColumn>
    <tableColumn id="7" xr3:uid="{8837EB2F-F6B2-44A3-B70F-6658A1061242}" name="Points432" dataDxfId="1367">
      <calculatedColumnFormula>IF(I5&gt;0,I5," ")</calculatedColumnFormula>
    </tableColumn>
    <tableColumn id="47" xr3:uid="{3C603012-71E2-46B0-9AE3-A077E98AC0C0}" name="Place54" dataDxfId="1366">
      <calculatedColumnFormula>IF(I5=0," ",RANK(I5,I$5:I$24,0))</calculatedColumnFormula>
    </tableColumn>
    <tableColumn id="49" xr3:uid="{806B2F20-1088-495C-9238-1E9875D270A8}" name="Points44" dataDxfId="1365">
      <calculatedColumnFormula>IFERROR(IF(VLOOKUP($B5,'SR-Team Roping-Header'!$B$5:$N$24,6,FALSE)=" ",0,VLOOKUP($B5,'SR-Team Roping-Header'!$B$5:$N$24,6,FALSE)),0)+IFERROR(IF(VLOOKUP($B5,'SR-Team Roping-Heeler'!$B$5:$N$24,6,FALSE)=" ",0,VLOOKUP($B5,'SR-Team Roping-Heeler'!$B$5:$N$24,6,FALSE)),0)+IFERROR(IF(VLOOKUP($B5,'SR B-Calf Roping'!$B$5:$AI$24,18,FALSE)=" ",0,VLOOKUP($B5,'SR B-Calf Roping'!$B$5:$AI$24,18,FALSE)),0)+IFERROR(IF(VLOOKUP($B5,'SR B-Steer Wrestling'!$B$5:$AI$24,18,FALSE)=" ",0,VLOOKUP($B5,'SR B-Steer Wrestling'!$B$5:$AI$24,18,FALSE)),0)+IFERROR(IF(VLOOKUP($B5,'SR B-Chute Dogging'!$B$5:$AI$24,18,FALSE)=" ",0,VLOOKUP($B5,'SR B-Chute Dogging'!$B$5:$AI$24,18,FALSE)),0)</calculatedColumnFormula>
    </tableColumn>
    <tableColumn id="8" xr3:uid="{43D4D35C-9C47-4C61-97E0-E34DC3D4EFF0}" name="Points442" dataDxfId="1364">
      <calculatedColumnFormula>IF(L5&gt;0,L5," ")</calculatedColumnFormula>
    </tableColumn>
    <tableColumn id="50" xr3:uid="{6B1EF83A-C2E9-484F-9AEB-804C74AE293C}" name="Place55" dataDxfId="1363">
      <calculatedColumnFormula>IF(L5=0," ",RANK(L5,L$5:L$24,0))</calculatedColumnFormula>
    </tableColumn>
    <tableColumn id="52" xr3:uid="{AD229296-4304-449F-963B-0993DF5D6251}" name="Points45" dataDxfId="1362">
      <calculatedColumnFormula>IFERROR(IF(VLOOKUP($B5,'SR-Team Roping-Header'!$B$5:$N$24,7,FALSE)=" ",0,VLOOKUP($B5,'SR-Team Roping-Header'!$B$5:$N$24,7,FALSE)),0)+IFERROR(IF(VLOOKUP($B5,'SR-Team Roping-Heeler'!$B$5:$N$24,7,FALSE)=" ",0,VLOOKUP($B5,'SR-Team Roping-Heeler'!$B$5:$N$24,7,FALSE)),0)+IFERROR(IF(VLOOKUP($B5,'SR B-Calf Roping'!$B$5:$AI$24,22,FALSE)=" ",0,VLOOKUP($B5,'SR B-Calf Roping'!$B$5:$AI$24,22,FALSE)),0)+IFERROR(IF(VLOOKUP($B5,'SR B-Steer Wrestling'!$B$5:$AI$24,22,FALSE)=" ",0,VLOOKUP($B5,'SR B-Steer Wrestling'!$B$5:$AI$24,22,FALSE)),0)+IFERROR(IF(VLOOKUP($B5,'SR B-Chute Dogging'!$B$5:$AI$24,22,FALSE)=" ",0,VLOOKUP($B5,'SR B-Chute Dogging'!$B$5:$AI$24,22,FALSE)),0)</calculatedColumnFormula>
    </tableColumn>
    <tableColumn id="9" xr3:uid="{03F4C100-F3A8-48BD-8598-5BDE2F331BE3}" name="Points452" dataDxfId="1361">
      <calculatedColumnFormula>IF(O5&gt;0,O5," ")</calculatedColumnFormula>
    </tableColumn>
    <tableColumn id="53" xr3:uid="{5C885442-F9B3-470A-A919-1FF6C66CDDBA}" name="Place56" dataDxfId="1360">
      <calculatedColumnFormula>IF(O5=0," ",RANK(O5,O$5:O$24,0))</calculatedColumnFormula>
    </tableColumn>
    <tableColumn id="55" xr3:uid="{68335844-7C8F-43FA-A2D6-66A433C63C5A}" name="Points46" dataDxfId="1359">
      <calculatedColumnFormula>IFERROR(IF(VLOOKUP($B5,'SR-Team Roping-Header'!$B$5:$N$24,8,FALSE)=" ",0,VLOOKUP($B5,'SR-Team Roping-Header'!$B$5:$N$24,8,FALSE)),0)+IFERROR(IF(VLOOKUP($B5,'SR-Team Roping-Heeler'!$B$5:$N$24,8,FALSE)=" ",0,VLOOKUP($B5,'SR-Team Roping-Heeler'!$B$5:$N$24,8,FALSE)),0)+IFERROR(IF(VLOOKUP($B5,'SR B-Calf Roping'!$B$5:$AI$24,26,FALSE)=" ",0,VLOOKUP($B5,'SR B-Calf Roping'!$B$5:$AI$24,26,FALSE)),0)+IFERROR(IF(VLOOKUP($B5,'SR B-Steer Wrestling'!$B$5:$AI$24,26,FALSE)=" ",0,VLOOKUP($B5,'SR B-Steer Wrestling'!$B$5:$AI$24,26,FALSE)),0)+IFERROR(IF(VLOOKUP($B5,'SR B-Chute Dogging'!$B$5:$AI$24,26,FALSE)=" ",0,VLOOKUP($B5,'SR B-Chute Dogging'!$B$5:$AI$24,26,FALSE)),0)</calculatedColumnFormula>
    </tableColumn>
    <tableColumn id="10" xr3:uid="{D0989EDF-2915-4F0C-B5D6-1B20CDBC58D8}" name="Points462" dataDxfId="1358">
      <calculatedColumnFormula>IF(R5&gt;0,R5," ")</calculatedColumnFormula>
    </tableColumn>
    <tableColumn id="56" xr3:uid="{728BE68E-F5EC-4159-8222-678BB82174FF}" name="Place57" dataDxfId="1357">
      <calculatedColumnFormula>IF(R5=0," ",RANK(R5,R$5:R$24,0))</calculatedColumnFormula>
    </tableColumn>
    <tableColumn id="58" xr3:uid="{1343338D-5C08-44BC-9FE8-435E61687EF5}" name="Points47" dataDxfId="1356">
      <calculatedColumnFormula>IFERROR(IF(VLOOKUP($B5,'SR-Team Roping-Header'!$B$5:$N$24,9,FALSE)=" ",0,VLOOKUP($B5,'SR-Team Roping-Header'!$B$5:$N$24,9,FALSE)),0)+IFERROR(IF(VLOOKUP($B5,'SR-Team Roping-Heeler'!$B$5:$N$24,9,FALSE)=" ",0,VLOOKUP($B5,'SR-Team Roping-Heeler'!$B$5:$N$24,9,FALSE)),0)+IFERROR(IF(VLOOKUP($B5,'SR B-Calf Roping'!$B$5:$AI$24,30,FALSE)=" ",0,VLOOKUP($B5,'SR B-Calf Roping'!$B$5:$AI$24,30,FALSE)),0)+IFERROR(IF(VLOOKUP($B5,'SR B-Steer Wrestling'!$B$5:$AI$24,30,FALSE)=" ",0,VLOOKUP($B5,'SR B-Steer Wrestling'!$B$5:$AI$24,30,FALSE)),0)+IFERROR(IF(VLOOKUP($B5,'SR B-Chute Dogging'!$B$5:$AI$24,30,FALSE)=" ",0,VLOOKUP($B5,'SR B-Chute Dogging'!$B$5:$AI$24,30,FALSE)),0)</calculatedColumnFormula>
    </tableColumn>
    <tableColumn id="11" xr3:uid="{E73BE7F7-8418-4652-8B44-8C3B65FB1517}" name="Points472" dataDxfId="1355">
      <calculatedColumnFormula>IF(U5&gt;0,U5," ")</calculatedColumnFormula>
    </tableColumn>
    <tableColumn id="59" xr3:uid="{D8D8AD49-EB66-4D86-9D3B-7B03AAE6BAAA}" name="Place58" dataDxfId="1354">
      <calculatedColumnFormula>IF(U5=0," ",RANK(U5,U$5:U$24,0))</calculatedColumnFormula>
    </tableColumn>
    <tableColumn id="61" xr3:uid="{DF01BA5B-E6EE-4C01-B180-E01DA804F137}" name="Points48" dataDxfId="1353">
      <calculatedColumnFormula>IFERROR(IF(VLOOKUP($B5,'SR-Team Roping-Header'!$B$5:$N$24,10,FALSE)=" ",0,VLOOKUP($B5,'SR-Team Roping-Header'!$B$5:$N$24,10,FALSE)),0)+IFERROR(IF(VLOOKUP($B5,'SR-Team Roping-Heeler'!$B$5:$N$24,10,FALSE)=" ",0,VLOOKUP($B5,'SR-Team Roping-Heeler'!$B$5:$N$24,10,FALSE)),0)+IFERROR(IF(VLOOKUP($B5,'SR B-Calf Roping'!$B$5:$AI$24,34,FALSE)=" ",0,VLOOKUP($B5,'SR B-Calf Roping'!$B$5:$AI$24,34,FALSE)),0)+IFERROR(IF(VLOOKUP($B5,'SR B-Steer Wrestling'!$B$5:$AI$24,34,FALSE)=" ",0,VLOOKUP($B5,'SR B-Steer Wrestling'!$B$5:$AI$24,34,FALSE)),0)+IFERROR(IF(VLOOKUP($B5,'SR B-Chute Dogging'!$B$5:$AI$24,34,FALSE)=" ",0,VLOOKUP($B5,'SR B-Chute Dogging'!$B$5:$AI$24,34,FALSE)),0)</calculatedColumnFormula>
    </tableColumn>
    <tableColumn id="12" xr3:uid="{B4F571F9-10A0-40A8-8CE6-986D6D169786}" name="Points49" dataDxfId="1352">
      <calculatedColumnFormula>IF(X5&gt;0,X5," ")</calculatedColumnFormula>
    </tableColumn>
    <tableColumn id="62" xr3:uid="{0C2E07FE-F3D1-4C6F-8416-07E733503D11}" name="Place59" dataDxfId="1351">
      <calculatedColumnFormula>IF(X5=0," ",RANK(X5,X$5:X$24,0))</calculatedColumnFormula>
    </tableColumn>
    <tableColumn id="2" xr3:uid="{BCD3D306-17FC-4ACD-9031-B73C9FD8CFE6}" name="Points482" dataDxfId="1350">
      <calculatedColumnFormula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calculatedColumnFormula>
    </tableColumn>
    <tableColumn id="13" xr3:uid="{5086BACD-F020-4D54-9704-01301235EA62}" name="Points483" dataDxfId="1349">
      <calculatedColumnFormula>IF(AA5&gt;0,AA5," ")</calculatedColumnFormula>
    </tableColumn>
    <tableColumn id="3" xr3:uid="{C1415087-A304-4F7F-8B6A-3E7C8296B80F}" name="Place593" dataDxfId="1348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AD6DB41-9884-43BD-A932-71F922B348F0}" name="Table6220273233372141" displayName="Table6220273233372141" ref="B4:AL24" totalsRowShown="0" headerRowDxfId="1347" dataDxfId="1346" tableBorderDxfId="1345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BA7E4B89-F345-4BE0-9140-90D90FB8EB44}" name="Name" dataDxfId="1344"/>
    <tableColumn id="37" xr3:uid="{9933A107-C8F9-4549-B998-73B019EC83C1}" name="Non-Member" dataDxfId="1343"/>
    <tableColumn id="2" xr3:uid="{0298B4B4-F6E7-4FC1-B0D5-B445965FB996}" name="Time/Score" dataDxfId="1342" dataCellStyle="Comma"/>
    <tableColumn id="3" xr3:uid="{C31C94EC-073E-499F-A801-B6D356539A76}" name="Column2" dataDxfId="1341">
      <calculatedColumnFormula>IF(D5=0," ",_xlfn.RANK.AVG(D5,D$5:D$24,1)-COUNTIF(D$5:D$24,0))</calculatedColumnFormula>
    </tableColumn>
    <tableColumn id="4" xr3:uid="{FB0E46B9-4072-4C9E-97CC-EE20BD63AAFD}" name="Place" dataDxfId="1340">
      <calculatedColumnFormula>IF(D5=0," ",IF((RANK(D5,D$5:D$24,1)-COUNTIF(D$5:D$24,0)&gt;6)," ",RANK(D5,D$5:D$24,1)-COUNTIF(D$5:D$24,0)))</calculatedColumnFormula>
    </tableColumn>
    <tableColumn id="5" xr3:uid="{7FDDC1F4-15F9-48D4-927F-044526327327}" name="Points" dataDxfId="1339">
      <calculatedColumnFormula>IF(Table6220273233372141[[#This Row],[Non-Member]]="X"," ",IF(F5=" "," ",IFERROR(VLOOKUP(E5,Points!$A$2:$B$14,2,FALSE)," ")))</calculatedColumnFormula>
    </tableColumn>
    <tableColumn id="6" xr3:uid="{7D0AFF79-B5A2-430C-AD04-AAD94BEFE716}" name="Time/Score3" dataDxfId="1338" dataCellStyle="Comma"/>
    <tableColumn id="7" xr3:uid="{51A27970-ADF2-402B-8778-8CE4F1B0318E}" name="Time/Score4" dataDxfId="1337">
      <calculatedColumnFormula>IF(H5=0," ",_xlfn.RANK.AVG(H5,H$5:H$24,1)-COUNTIF(H$5:H$24,0))</calculatedColumnFormula>
    </tableColumn>
    <tableColumn id="8" xr3:uid="{35038EFE-0201-441E-9682-2E2DEE4C6DFC}" name="Place4" dataDxfId="1336">
      <calculatedColumnFormula>IF(H5=0," ",IF((RANK(H5,H$5:H$24,1)-COUNTIF(H$5:H$24,0)&gt;6)," ",RANK(H5,H$5:H$24,1)-COUNTIF(H$5:H$24,0)))</calculatedColumnFormula>
    </tableColumn>
    <tableColumn id="9" xr3:uid="{5CF2F176-D47D-474C-8D58-483DDBB30688}" name="Points5" dataDxfId="1335">
      <calculatedColumnFormula>IF(Table6220273233372141[[#This Row],[Non-Member]]="X"," ",IF(J5=" "," ",IFERROR(VLOOKUP(I5,Points!$A$2:$B$14,2,FALSE)," ")))</calculatedColumnFormula>
    </tableColumn>
    <tableColumn id="10" xr3:uid="{CB4E4405-400B-4A8E-82C5-2BE128235012}" name="Time/Score6" dataDxfId="1334" dataCellStyle="Comma"/>
    <tableColumn id="11" xr3:uid="{3C7A7F9B-4B31-4FBF-8737-062F701F8399}" name="Time/Score7" dataDxfId="1333">
      <calculatedColumnFormula>IF(L5=0," ",_xlfn.RANK.AVG(L5,L$5:L$24,1)-COUNTIF(L$5:L$24,0))</calculatedColumnFormula>
    </tableColumn>
    <tableColumn id="12" xr3:uid="{0AE574AA-FDF6-485A-BE3A-23E5FA7740E4}" name="Place7" dataDxfId="1332">
      <calculatedColumnFormula>IF(L5=0," ",IF((RANK(L5,L$5:L$24,1)-COUNTIF(L$5:L$24,0)&gt;6)," ",RANK(L5,L$5:L$24,1)-COUNTIF(L$5:L$24,0)))</calculatedColumnFormula>
    </tableColumn>
    <tableColumn id="13" xr3:uid="{93B7C576-B048-4CE7-A6E5-C3B58677F3EE}" name="Points8" dataDxfId="1331">
      <calculatedColumnFormula>IF(Table6220273233372141[[#This Row],[Non-Member]]="X"," ",IF(N5=" "," ",IFERROR(VLOOKUP(M5,Points!$A$2:$B$14,2,FALSE)," ")))</calculatedColumnFormula>
    </tableColumn>
    <tableColumn id="14" xr3:uid="{26C63055-3DEE-4932-B527-EFDEA6CC4B20}" name="Time/Score9" dataDxfId="1330" dataCellStyle="Comma"/>
    <tableColumn id="15" xr3:uid="{4C116736-779A-45F9-A2A7-58DB4B38A14D}" name="Time/Score10" dataDxfId="1329">
      <calculatedColumnFormula>IF(P5=0," ",_xlfn.RANK.AVG(P5,P$5:P$24,1)-COUNTIF(P$5:P$24,0))</calculatedColumnFormula>
    </tableColumn>
    <tableColumn id="16" xr3:uid="{E8B8027E-68A3-4E63-8AC1-7E901C6CB459}" name="Place10" dataDxfId="1328">
      <calculatedColumnFormula>IF(P5=0," ",IF((RANK(P5,P$5:P$24,1)-COUNTIF(P$5:P$24,0)&gt;6)," ",RANK(P5,P$5:P$24,1)-COUNTIF(P$5:P$24,0)))</calculatedColumnFormula>
    </tableColumn>
    <tableColumn id="17" xr3:uid="{8D1C8D29-8B0E-4C8F-9C4F-0D9DCBBC7776}" name="Points11" dataDxfId="1327">
      <calculatedColumnFormula>IF(Table6220273233372141[[#This Row],[Non-Member]]="X"," ",IF(R5=" "," ",IFERROR(VLOOKUP(Q5,Points!$A$2:$B$14,2,FALSE)," ")))</calculatedColumnFormula>
    </tableColumn>
    <tableColumn id="18" xr3:uid="{12B1EF1D-78C7-4900-ACBC-E5F3AB083AB5}" name="Time/Score12" dataDxfId="1326" dataCellStyle="Comma"/>
    <tableColumn id="19" xr3:uid="{06E1D3EE-0E1E-4AEA-A739-CDA760312708}" name="Time/Score13" dataDxfId="1325">
      <calculatedColumnFormula>IF(T5=0," ",_xlfn.RANK.AVG(T5,T$5:T$24,1)-COUNTIF(T$5:T$24,0))</calculatedColumnFormula>
    </tableColumn>
    <tableColumn id="20" xr3:uid="{F8F0E9A0-7CFA-4D89-856F-E5A68F8E2148}" name="Place13" dataDxfId="1324">
      <calculatedColumnFormula>IF(T5=0," ",IF((RANK(T5,T$5:T$24,1)-COUNTIF(T$5:T$24,0)&gt;6)," ",RANK(T5,T$5:T$24,1)-COUNTIF(T$5:T$24,0)))</calculatedColumnFormula>
    </tableColumn>
    <tableColumn id="21" xr3:uid="{ADF80573-3959-4D27-A64C-D07F83A289D7}" name="Points14" dataDxfId="1323">
      <calculatedColumnFormula>IF(Table6220273233372141[[#This Row],[Non-Member]]="X"," ",IF(V5=" "," ",IFERROR(VLOOKUP(U5,Points!$A$2:$B$14,2,FALSE)," ")))</calculatedColumnFormula>
    </tableColumn>
    <tableColumn id="22" xr3:uid="{D7C27138-F873-4356-9515-B7B15EDF7279}" name="Time/Score15" dataDxfId="1322" dataCellStyle="Comma"/>
    <tableColumn id="23" xr3:uid="{24469D98-E325-4C15-BC9A-0892B74E39C4}" name="Time/Score16" dataDxfId="1321">
      <calculatedColumnFormula>IF(X5=0," ",_xlfn.RANK.AVG(X5,X$5:X$24,1)-COUNTIF(X$5:X$24,0))</calculatedColumnFormula>
    </tableColumn>
    <tableColumn id="24" xr3:uid="{A39D7D89-FA67-4BFE-ADEB-5C3D523CEE81}" name="Place16" dataDxfId="1320">
      <calculatedColumnFormula>IF(X5=0," ",IF((RANK(X5,X$5:X$24,1)-COUNTIF(X$5:X$24,0)&gt;6)," ",RANK(X5,X$5:X$24,1)-COUNTIF(X$5:X$24,0)))</calculatedColumnFormula>
    </tableColumn>
    <tableColumn id="25" xr3:uid="{5B4C56A2-1E57-4F86-B5C3-46BEE66EF937}" name="Points17" dataDxfId="1319">
      <calculatedColumnFormula>IF(Table6220273233372141[[#This Row],[Non-Member]]="X"," ",IF(Z5=" "," ",IFERROR(VLOOKUP(Y5,Points!$A$2:$B$14,2,FALSE)," ")))</calculatedColumnFormula>
    </tableColumn>
    <tableColumn id="26" xr3:uid="{370C1E69-C5B2-4029-B231-35C7EE6457C9}" name="Time/Score18" dataDxfId="1318" dataCellStyle="Comma"/>
    <tableColumn id="27" xr3:uid="{AA2CC0CC-459D-4B77-948C-DC7BF269B37E}" name="Time/Score19" dataDxfId="1317">
      <calculatedColumnFormula>IF(AB5=0," ",_xlfn.RANK.AVG(AB5,AB$5:AB$24,1)-COUNTIF(AB$5:AB$24,0))</calculatedColumnFormula>
    </tableColumn>
    <tableColumn id="28" xr3:uid="{8E64DDAD-2508-41E2-93BB-FC0D55B04562}" name="Place19" dataDxfId="1316">
      <calculatedColumnFormula>IF(AB5=0," ",IF((RANK(AB5,AB$5:AB$24,1)-COUNTIF(AB$5:AB$24,0)&gt;6)," ",RANK(AB5,AB$5:AB$24,1)-COUNTIF(AB$5:AB$24,0)))</calculatedColumnFormula>
    </tableColumn>
    <tableColumn id="29" xr3:uid="{726F66CA-9FFC-407A-BFD0-BBE5CDC59071}" name="Points20" dataDxfId="1315">
      <calculatedColumnFormula>IF(Table6220273233372141[[#This Row],[Non-Member]]="X"," ",IF(AD5=" "," ",IFERROR(VLOOKUP(AC5,Points!$A$2:$B$14,2,FALSE)," ")))</calculatedColumnFormula>
    </tableColumn>
    <tableColumn id="30" xr3:uid="{E6096A09-134A-4793-BC00-C83FF9A94192}" name="Time/Score21" dataDxfId="1314" dataCellStyle="Comma">
      <calculatedColumnFormula>IF(OR(X5=0,AB5=0)," ",X5+AB5)</calculatedColumnFormula>
    </tableColumn>
    <tableColumn id="31" xr3:uid="{BD03224A-F52B-42FB-A40D-7FFE211E8251}" name="Time/Score22" dataDxfId="1313">
      <calculatedColumnFormula>IF(OR(AF5=0,AF5=" ")," ",_xlfn.RANK.AVG(AF5,AF$5:AF$24,1)-COUNTIF(AF$5:AF$24,0))</calculatedColumnFormula>
    </tableColumn>
    <tableColumn id="32" xr3:uid="{A6964806-7EA6-4AAF-9437-45305DB03DC3}" name="Place22" dataDxfId="1312">
      <calculatedColumnFormula>IF(OR(AF5=0,AF5=" ")," ",IF((RANK(AF5,AF$5:AF$24,1)-COUNTIF(AF$5:AF$24,0)&gt;6)," ",RANK(AF5,AF$5:AF$24,1)-COUNTIF(AF$5:AF$24,0)))</calculatedColumnFormula>
    </tableColumn>
    <tableColumn id="33" xr3:uid="{EF55CCA8-07A8-459A-8533-FC0C46ACA398}" name="Points23" dataDxfId="1311">
      <calculatedColumnFormula>IF(Table6220273233372141[[#This Row],[Non-Member]]="X"," ",IF(AH5=" "," ",IFERROR(VLOOKUP(AG5,Points!$A$2:$B$14,2,FALSE)," ")))</calculatedColumnFormula>
    </tableColumn>
    <tableColumn id="34" xr3:uid="{EBEA499A-CCE2-46CF-B1A5-D6CE12023541}" name="Points24" dataDxfId="1310">
      <calculatedColumnFormula>IF(Table6220273233372141[[#This Row],[Non-Member]]="X"," ",((IF(G5=" ",0,G5))+(IF(K5=" ",0,K5))+(IF(O5=" ",0,O5))+(IF(S5=" ",0,S5))+(IF(W5=" ",0,W5))+(IF(AA5=" ",0,AA5))+(IF(AE5=" ",0,AE5))+(IF(AI5=" ",0,AI5))))</calculatedColumnFormula>
    </tableColumn>
    <tableColumn id="35" xr3:uid="{148526E1-AC18-4227-9B23-B620A72AD10B}" name="Points25" dataDxfId="1309" dataCellStyle="Comma">
      <calculatedColumnFormula>IF(AJ5=0," ",AJ5)</calculatedColumnFormula>
    </tableColumn>
    <tableColumn id="36" xr3:uid="{1109079B-2846-421D-8004-D7FCFCDC8E9D}" name="Place26" dataDxfId="130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2690D67-8D12-4A9A-9FBC-283F4ADB6D26}" name="Table622027323337382242" displayName="Table622027323337382242" ref="B4:AL24" totalsRowShown="0" headerRowDxfId="1307" dataDxfId="1306" tableBorderDxfId="1305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E0559050-B9DB-4A19-BE29-8184C9896048}" name="Name" dataDxfId="1304"/>
    <tableColumn id="37" xr3:uid="{83AA93A3-CD1E-44EE-94E0-E08C5571FC31}" name="Non-Member" dataDxfId="1303"/>
    <tableColumn id="2" xr3:uid="{2CA999AD-D2C7-4D6E-819B-37232DD921C7}" name="Time/Score" dataDxfId="1302" dataCellStyle="Comma"/>
    <tableColumn id="3" xr3:uid="{3D5A0151-4018-4C99-BACD-54EF85247618}" name="Column2" dataDxfId="1301">
      <calculatedColumnFormula>IF(D5=0," ",_xlfn.RANK.AVG(D5,D$5:D$24,1)-COUNTIF(D$5:D$24,0))</calculatedColumnFormula>
    </tableColumn>
    <tableColumn id="4" xr3:uid="{7682A2FA-064E-40B2-A897-BBB0A230C90D}" name="Place" dataDxfId="1300">
      <calculatedColumnFormula>IF(D5=0," ",IF((RANK(D5,D$5:D$24,1)-COUNTIF(D$5:D$24,0)&gt;6)," ",RANK(D5,D$5:D$24,1)-COUNTIF(D$5:D$24,0)))</calculatedColumnFormula>
    </tableColumn>
    <tableColumn id="5" xr3:uid="{80DB3AFA-C4D0-423D-9EBD-72DF025F5A6A}" name="Points" dataDxfId="1299">
      <calculatedColumnFormula>IF(Table622027323337382242[[#This Row],[Non-Member]]="X"," ",IF(F5=" "," ",IFERROR(VLOOKUP(E5,Points!$A$2:$B$14,2,FALSE)," ")))</calculatedColumnFormula>
    </tableColumn>
    <tableColumn id="6" xr3:uid="{43D4A952-B2F2-413A-A67F-13B7A9B468F1}" name="Time/Score3" dataDxfId="1298" dataCellStyle="Comma"/>
    <tableColumn id="7" xr3:uid="{363640E0-9D4C-464A-83C3-89FEE5A102C3}" name="Time/Score4" dataDxfId="1297">
      <calculatedColumnFormula>IF(H5=0," ",_xlfn.RANK.AVG(H5,H$5:H$24,1)-COUNTIF(H$5:H$24,0))</calculatedColumnFormula>
    </tableColumn>
    <tableColumn id="8" xr3:uid="{2D6302F5-7BB8-45F4-B98D-59FA9B0282AE}" name="Place4" dataDxfId="1296">
      <calculatedColumnFormula>IF(H5=0," ",IF((RANK(H5,H$5:H$24,1)-COUNTIF(H$5:H$24,0)&gt;6)," ",RANK(H5,H$5:H$24,1)-COUNTIF(H$5:H$24,0)))</calculatedColumnFormula>
    </tableColumn>
    <tableColumn id="9" xr3:uid="{A2398ECC-E0F9-4372-83B8-90A870DBB705}" name="Points5" dataDxfId="1295">
      <calculatedColumnFormula>IF(Table622027323337382242[[#This Row],[Non-Member]]="X"," ",IF(J5=" "," ",IFERROR(VLOOKUP(I5,Points!$A$2:$B$14,2,FALSE)," ")))</calculatedColumnFormula>
    </tableColumn>
    <tableColumn id="10" xr3:uid="{675D844A-A9F4-48DE-90DC-A4BD9B9CDA76}" name="Time/Score6" dataDxfId="1294" dataCellStyle="Comma"/>
    <tableColumn id="11" xr3:uid="{25AF9301-14E3-42BA-B252-A743FD3D1059}" name="Time/Score7" dataDxfId="1293">
      <calculatedColumnFormula>IF(L5=0," ",_xlfn.RANK.AVG(L5,L$5:L$24,1)-COUNTIF(L$5:L$24,0))</calculatedColumnFormula>
    </tableColumn>
    <tableColumn id="12" xr3:uid="{B53A7983-31F9-4E03-96CC-EB5760AA3558}" name="Place7" dataDxfId="1292">
      <calculatedColumnFormula>IF(L5=0," ",IF((RANK(L5,L$5:L$24,1)-COUNTIF(L$5:L$24,0)&gt;6)," ",RANK(L5,L$5:L$24,1)-COUNTIF(L$5:L$24,0)))</calculatedColumnFormula>
    </tableColumn>
    <tableColumn id="13" xr3:uid="{5A441969-5B59-43A9-830E-25672A4E6939}" name="Points8" dataDxfId="1291">
      <calculatedColumnFormula>IF(Table622027323337382242[[#This Row],[Non-Member]]="X"," ",IF(N5=" "," ",IFERROR(VLOOKUP(M5,Points!$A$2:$B$14,2,FALSE)," ")))</calculatedColumnFormula>
    </tableColumn>
    <tableColumn id="14" xr3:uid="{84EBE0BC-0E04-4315-892E-00AF71180C98}" name="Time/Score9" dataDxfId="1290" dataCellStyle="Comma"/>
    <tableColumn id="15" xr3:uid="{B35ABC2B-D854-4B4C-AB70-282F5660FF70}" name="Time/Score10" dataDxfId="1289">
      <calculatedColumnFormula>IF(P5=0," ",_xlfn.RANK.AVG(P5,P$5:P$24,1)-COUNTIF(P$5:P$24,0))</calculatedColumnFormula>
    </tableColumn>
    <tableColumn id="16" xr3:uid="{2ED66C79-7BCB-465A-9E22-786C1AA6DFDD}" name="Place10" dataDxfId="1288">
      <calculatedColumnFormula>IF(P5=0," ",IF((RANK(P5,P$5:P$24,1)-COUNTIF(P$5:P$24,0)&gt;6)," ",RANK(P5,P$5:P$24,1)-COUNTIF(P$5:P$24,0)))</calculatedColumnFormula>
    </tableColumn>
    <tableColumn id="17" xr3:uid="{D2B93184-FDED-40EF-9604-74C1FB479CD0}" name="Points11" dataDxfId="1287">
      <calculatedColumnFormula>IF(Table622027323337382242[[#This Row],[Non-Member]]="X"," ",IF(R5=" "," ",IFERROR(VLOOKUP(Q5,Points!$A$2:$B$14,2,FALSE)," ")))</calculatedColumnFormula>
    </tableColumn>
    <tableColumn id="18" xr3:uid="{2A7DEA08-1AB1-4344-97EA-F14C3CC98DA0}" name="Time/Score12" dataDxfId="1286" dataCellStyle="Comma"/>
    <tableColumn id="19" xr3:uid="{29AF13B6-9EEE-408C-88F9-1D51B6A85532}" name="Time/Score13" dataDxfId="1285">
      <calculatedColumnFormula>IF(T5=0," ",_xlfn.RANK.AVG(T5,T$5:T$24,1)-COUNTIF(T$5:T$24,0))</calculatedColumnFormula>
    </tableColumn>
    <tableColumn id="20" xr3:uid="{71734F5D-107F-4FA2-917F-88DFA942B46F}" name="Place13" dataDxfId="1284">
      <calculatedColumnFormula>IF(T5=0," ",IF((RANK(T5,T$5:T$24,1)-COUNTIF(T$5:T$24,0)&gt;6)," ",RANK(T5,T$5:T$24,1)-COUNTIF(T$5:T$24,0)))</calculatedColumnFormula>
    </tableColumn>
    <tableColumn id="21" xr3:uid="{6BE15FE9-BE43-411E-9F8C-B09E24979D7C}" name="Points14" dataDxfId="1283">
      <calculatedColumnFormula>IF(Table622027323337382242[[#This Row],[Non-Member]]="X"," ",IF(V5=" "," ",IFERROR(VLOOKUP(U5,Points!$A$2:$B$14,2,FALSE)," ")))</calculatedColumnFormula>
    </tableColumn>
    <tableColumn id="22" xr3:uid="{53B580FC-A0C4-4B74-B1A6-BF0690C5C7E7}" name="Time/Score15" dataDxfId="1282" dataCellStyle="Comma"/>
    <tableColumn id="23" xr3:uid="{FFCB652B-C17A-4850-8F5B-328D4B49A901}" name="Time/Score16" dataDxfId="1281">
      <calculatedColumnFormula>IF(X5=0," ",_xlfn.RANK.AVG(X5,X$5:X$24,1)-COUNTIF(X$5:X$24,0))</calculatedColumnFormula>
    </tableColumn>
    <tableColumn id="24" xr3:uid="{4D32A4A9-BDB7-4E5B-9641-4A224999424B}" name="Place16" dataDxfId="1280">
      <calculatedColumnFormula>IF(X5=0," ",IF((RANK(X5,X$5:X$24,1)-COUNTIF(X$5:X$24,0)&gt;6)," ",RANK(X5,X$5:X$24,1)-COUNTIF(X$5:X$24,0)))</calculatedColumnFormula>
    </tableColumn>
    <tableColumn id="25" xr3:uid="{065566C1-CB7A-429D-83E1-55E196510AD4}" name="Points17" dataDxfId="1279">
      <calculatedColumnFormula>IF(Table622027323337382242[[#This Row],[Non-Member]]="X"," ",IF(Z5=" "," ",IFERROR(VLOOKUP(Y5,Points!$A$2:$B$14,2,FALSE)," ")))</calculatedColumnFormula>
    </tableColumn>
    <tableColumn id="26" xr3:uid="{A1B3DBDE-C050-483C-944E-3B20F23E603A}" name="Time/Score18" dataDxfId="1278" dataCellStyle="Comma"/>
    <tableColumn id="27" xr3:uid="{39DD5585-0D1A-462B-8A54-986678A54C5E}" name="Time/Score19" dataDxfId="1277">
      <calculatedColumnFormula>IF(AB5=0," ",_xlfn.RANK.AVG(AB5,AB$5:AB$24,1)-COUNTIF(AB$5:AB$24,0))</calculatedColumnFormula>
    </tableColumn>
    <tableColumn id="28" xr3:uid="{6EFFC1C1-2178-4867-8D46-4F1F083DFE99}" name="Place19" dataDxfId="1276">
      <calculatedColumnFormula>IF(AB5=0," ",IF((RANK(AB5,AB$5:AB$24,1)-COUNTIF(AB$5:AB$24,0)&gt;6)," ",RANK(AB5,AB$5:AB$24,1)-COUNTIF(AB$5:AB$24,0)))</calculatedColumnFormula>
    </tableColumn>
    <tableColumn id="29" xr3:uid="{1FA71948-0A45-49CC-B68E-65DE9C1D0468}" name="Points20" dataDxfId="1275">
      <calculatedColumnFormula>IF(Table622027323337382242[[#This Row],[Non-Member]]="X"," ",IF(AD5=" "," ",IFERROR(VLOOKUP(AC5,Points!$A$2:$B$14,2,FALSE)," ")))</calculatedColumnFormula>
    </tableColumn>
    <tableColumn id="30" xr3:uid="{BAE6EE4F-C4FE-4C67-B5DB-848789E00EF4}" name="Time/Score21" dataDxfId="1274" dataCellStyle="Comma">
      <calculatedColumnFormula>IF(OR(X5=0,AB5=0)," ",X5+AB5)</calculatedColumnFormula>
    </tableColumn>
    <tableColumn id="31" xr3:uid="{962778DD-EF59-43DD-BD61-574D31C153B5}" name="Time/Score22" dataDxfId="1273">
      <calculatedColumnFormula>IF(OR(AF5=0,AF5=" ")," ",_xlfn.RANK.AVG(AF5,AF$5:AF$24,1)-COUNTIF(AF$5:AF$24,0))</calculatedColumnFormula>
    </tableColumn>
    <tableColumn id="32" xr3:uid="{9537CB0B-95CA-4940-96B6-0BCD354A73E1}" name="Place22" dataDxfId="1272">
      <calculatedColumnFormula>IF(OR(AF5=0,AF5=" ")," ",IF((RANK(AF5,AF$5:AF$24,1)-COUNTIF(AF$5:AF$24,0)&gt;6)," ",RANK(AF5,AF$5:AF$24,1)-COUNTIF(AF$5:AF$24,0)))</calculatedColumnFormula>
    </tableColumn>
    <tableColumn id="33" xr3:uid="{594DB9B4-D082-4113-B097-69E0E215A5D3}" name="Points23" dataDxfId="1271">
      <calculatedColumnFormula>IF(Table622027323337382242[[#This Row],[Non-Member]]="X"," ",IF(AH5=" "," ",IFERROR(VLOOKUP(AG5,Points!$A$2:$B$14,2,FALSE)," ")))</calculatedColumnFormula>
    </tableColumn>
    <tableColumn id="34" xr3:uid="{328793C4-E50D-4489-8943-748EEE7DD91F}" name="Points24" dataDxfId="1270">
      <calculatedColumnFormula>IF(Table622027323337382242[[#This Row],[Non-Member]]="X"," ",((IF(G5=" ",0,G5))+(IF(K5=" ",0,K5))+(IF(O5=" ",0,O5))+(IF(S5=" ",0,S5))+(IF(W5=" ",0,W5))+(IF(AA5=" ",0,AA5))+(IF(AE5=" ",0,AE5))+(IF(AI5=" ",0,AI5))))</calculatedColumnFormula>
    </tableColumn>
    <tableColumn id="35" xr3:uid="{5E482313-E6D1-4402-9E73-0FA3215E03C9}" name="Points25" dataDxfId="1269" dataCellStyle="Comma">
      <calculatedColumnFormula>IF(AJ5=0," ",AJ5)</calculatedColumnFormula>
    </tableColumn>
    <tableColumn id="36" xr3:uid="{95C1209A-2502-463A-B4D1-2E00E2BBF89F}" name="Place26" dataDxfId="126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24DD827-F224-4909-A188-C5C6EA24D431}" name="Table62202732333738392343" displayName="Table62202732333738392343" ref="B4:AL24" totalsRowShown="0" headerRowDxfId="1267" dataDxfId="1266" tableBorderDxfId="1265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A4F5B836-223F-4A95-905D-181833A03D6F}" name="Name" dataDxfId="1264"/>
    <tableColumn id="37" xr3:uid="{638B5F8A-B771-486C-B2FF-AC2F8879A8B8}" name="Non-Member" dataDxfId="1263"/>
    <tableColumn id="2" xr3:uid="{5FCC0827-8215-4D91-975A-457A46AC709D}" name="Time/Score" dataDxfId="1262" dataCellStyle="Comma"/>
    <tableColumn id="3" xr3:uid="{4811FD5A-BBF6-4CA6-A514-678ACA2A200F}" name="Column2" dataDxfId="1261">
      <calculatedColumnFormula>IF(D5=0," ",_xlfn.RANK.AVG(D5,D$5:D$24,1)-COUNTIF(D$5:D$24,0))</calculatedColumnFormula>
    </tableColumn>
    <tableColumn id="4" xr3:uid="{E7755AB2-7563-4A43-9F28-1E5D4F5F6774}" name="Place" dataDxfId="1260">
      <calculatedColumnFormula>IF(D5=0," ",IF((RANK(D5,D$5:D$24,1)-COUNTIF(D$5:D$24,0)&gt;6)," ",RANK(D5,D$5:D$24,1)-COUNTIF(D$5:D$24,0)))</calculatedColumnFormula>
    </tableColumn>
    <tableColumn id="5" xr3:uid="{FCD1F6AB-4A72-4064-9A16-153B253C49CB}" name="Points" dataDxfId="1259">
      <calculatedColumnFormula>IF(Table62202732333738392343[[#This Row],[Non-Member]]="X"," ",IF(F5=" "," ",IFERROR(VLOOKUP(E5,Points!$A$2:$B$14,2,FALSE)," ")))</calculatedColumnFormula>
    </tableColumn>
    <tableColumn id="6" xr3:uid="{EDDBF7D1-8F97-40E9-B6E4-23D9748F4034}" name="Time/Score3" dataDxfId="1258" dataCellStyle="Comma"/>
    <tableColumn id="7" xr3:uid="{0CC56896-503F-46CB-978C-1ACF10D29BC9}" name="Time/Score4" dataDxfId="1257">
      <calculatedColumnFormula>IF(H5=0," ",_xlfn.RANK.AVG(H5,H$5:H$24,1)-COUNTIF(H$5:H$24,0))</calculatedColumnFormula>
    </tableColumn>
    <tableColumn id="8" xr3:uid="{3D228CC4-9C6F-4DDB-BA37-6DCD75AC04B2}" name="Place4" dataDxfId="1256">
      <calculatedColumnFormula>IF(H5=0," ",IF((RANK(H5,H$5:H$24,1)-COUNTIF(H$5:H$24,0)&gt;6)," ",RANK(H5,H$5:H$24,1)-COUNTIF(H$5:H$24,0)))</calculatedColumnFormula>
    </tableColumn>
    <tableColumn id="9" xr3:uid="{AC3BEF30-861D-4D68-BBC0-11BF0B53DC9C}" name="Points5" dataDxfId="1255">
      <calculatedColumnFormula>IF(Table62202732333738392343[[#This Row],[Non-Member]]="X"," ",IF(J5=" "," ",IFERROR(VLOOKUP(I5,Points!$A$2:$B$14,2,FALSE)," ")))</calculatedColumnFormula>
    </tableColumn>
    <tableColumn id="10" xr3:uid="{549CCC17-8B39-40A3-BFB9-575A82FF0761}" name="Time/Score6" dataDxfId="1254" dataCellStyle="Comma"/>
    <tableColumn id="11" xr3:uid="{A45900DB-5F4B-4A09-9FEA-4736CE25E896}" name="Time/Score7" dataDxfId="1253">
      <calculatedColumnFormula>IF(L5=0," ",_xlfn.RANK.AVG(L5,L$5:L$24,1)-COUNTIF(L$5:L$24,0))</calculatedColumnFormula>
    </tableColumn>
    <tableColumn id="12" xr3:uid="{7A391CCA-F687-45BE-933F-806064AA4DA6}" name="Place7" dataDxfId="1252">
      <calculatedColumnFormula>IF(L5=0," ",IF((RANK(L5,L$5:L$24,1)-COUNTIF(L$5:L$24,0)&gt;6)," ",RANK(L5,L$5:L$24,1)-COUNTIF(L$5:L$24,0)))</calculatedColumnFormula>
    </tableColumn>
    <tableColumn id="13" xr3:uid="{35D6028C-13DC-4FFE-A690-F9389AB6E3CA}" name="Points8" dataDxfId="1251">
      <calculatedColumnFormula>IF(Table62202732333738392343[[#This Row],[Non-Member]]="X"," ",IF(N5=" "," ",IFERROR(VLOOKUP(M5,Points!$A$2:$B$14,2,FALSE)," ")))</calculatedColumnFormula>
    </tableColumn>
    <tableColumn id="14" xr3:uid="{37935381-CDBF-4DED-9CA3-36B2E59817EB}" name="Time/Score9" dataDxfId="1250" dataCellStyle="Comma"/>
    <tableColumn id="15" xr3:uid="{7C6E2596-C080-46BA-AC77-A895D65DC6EF}" name="Time/Score10" dataDxfId="1249">
      <calculatedColumnFormula>IF(P5=0," ",_xlfn.RANK.AVG(P5,P$5:P$24,1)-COUNTIF(P$5:P$24,0))</calculatedColumnFormula>
    </tableColumn>
    <tableColumn id="16" xr3:uid="{7D00EA94-62D4-431B-8D88-F702CDECD2D4}" name="Place10" dataDxfId="1248">
      <calculatedColumnFormula>IF(P5=0," ",IF((RANK(P5,P$5:P$24,1)-COUNTIF(P$5:P$24,0)&gt;6)," ",RANK(P5,P$5:P$24,1)-COUNTIF(P$5:P$24,0)))</calculatedColumnFormula>
    </tableColumn>
    <tableColumn id="17" xr3:uid="{70BFE5E1-39D6-40CA-AF11-E19DAD1B07A2}" name="Points11" dataDxfId="1247">
      <calculatedColumnFormula>IF(Table62202732333738392343[[#This Row],[Non-Member]]="X"," ",IF(R5=" "," ",IFERROR(VLOOKUP(Q5,Points!$A$2:$B$14,2,FALSE)," ")))</calculatedColumnFormula>
    </tableColumn>
    <tableColumn id="18" xr3:uid="{19FFF87F-4229-4A88-BEF3-FF43D012092F}" name="Time/Score12" dataDxfId="1246" dataCellStyle="Comma"/>
    <tableColumn id="19" xr3:uid="{40ED4A42-970B-426C-A0A4-79DB4CDE2900}" name="Time/Score13" dataDxfId="1245">
      <calculatedColumnFormula>IF(T5=0," ",_xlfn.RANK.AVG(T5,T$5:T$24,1)-COUNTIF(T$5:T$24,0))</calculatedColumnFormula>
    </tableColumn>
    <tableColumn id="20" xr3:uid="{B4F8C428-DF77-46D7-8AC3-2B1E74E2283E}" name="Place13" dataDxfId="1244">
      <calculatedColumnFormula>IF(T5=0," ",IF((RANK(T5,T$5:T$24,1)-COUNTIF(T$5:T$24,0)&gt;6)," ",RANK(T5,T$5:T$24,1)-COUNTIF(T$5:T$24,0)))</calculatedColumnFormula>
    </tableColumn>
    <tableColumn id="21" xr3:uid="{052C5392-50A0-463D-B1C7-41FB40CD991E}" name="Points14" dataDxfId="1243">
      <calculatedColumnFormula>IF(Table62202732333738392343[[#This Row],[Non-Member]]="X"," ",IF(V5=" "," ",IFERROR(VLOOKUP(U5,Points!$A$2:$B$14,2,FALSE)," ")))</calculatedColumnFormula>
    </tableColumn>
    <tableColumn id="22" xr3:uid="{C15CB89C-8124-44C2-AD0C-C505D58DC790}" name="Time/Score15" dataDxfId="1242" dataCellStyle="Comma"/>
    <tableColumn id="23" xr3:uid="{2AE503DC-7325-48FB-834D-FBBD56821FF7}" name="Time/Score16" dataDxfId="1241">
      <calculatedColumnFormula>IF(X5=0," ",_xlfn.RANK.AVG(X5,X$5:X$24,1)-COUNTIF(X$5:X$24,0))</calculatedColumnFormula>
    </tableColumn>
    <tableColumn id="24" xr3:uid="{9F35A941-8138-4508-BE4A-81AC06BF5BAC}" name="Place16" dataDxfId="1240">
      <calculatedColumnFormula>IF(X5=0," ",IF((RANK(X5,X$5:X$24,1)-COUNTIF(X$5:X$24,0)&gt;6)," ",RANK(X5,X$5:X$24,1)-COUNTIF(X$5:X$24,0)))</calculatedColumnFormula>
    </tableColumn>
    <tableColumn id="25" xr3:uid="{07F47647-C2C1-4922-B57F-D38B86DB5AE6}" name="Points17" dataDxfId="1239">
      <calculatedColumnFormula>IF(Table62202732333738392343[[#This Row],[Non-Member]]="X"," ",IF(Z5=" "," ",IFERROR(VLOOKUP(Y5,Points!$A$2:$B$14,2,FALSE)," ")))</calculatedColumnFormula>
    </tableColumn>
    <tableColumn id="26" xr3:uid="{3689EF65-0FA5-4E01-A850-FF83B9BB2693}" name="Time/Score18" dataDxfId="1238" dataCellStyle="Comma"/>
    <tableColumn id="27" xr3:uid="{7EF0E3B2-0A60-41F7-A4DB-6466AD6D0704}" name="Time/Score19" dataDxfId="1237">
      <calculatedColumnFormula>IF(AB5=0," ",_xlfn.RANK.AVG(AB5,AB$5:AB$24,1)-COUNTIF(AB$5:AB$24,0))</calculatedColumnFormula>
    </tableColumn>
    <tableColumn id="28" xr3:uid="{DDFF79D9-198D-45DC-858D-1C6E72E88833}" name="Place19" dataDxfId="1236">
      <calculatedColumnFormula>IF(AB5=0," ",IF((RANK(AB5,AB$5:AB$24,1)-COUNTIF(AB$5:AB$24,0)&gt;6)," ",RANK(AB5,AB$5:AB$24,1)-COUNTIF(AB$5:AB$24,0)))</calculatedColumnFormula>
    </tableColumn>
    <tableColumn id="29" xr3:uid="{E11E152B-55D7-4E5E-82D6-7F68044AAD90}" name="Points20" dataDxfId="1235">
      <calculatedColumnFormula>IF(Table62202732333738392343[[#This Row],[Non-Member]]="X"," ",IF(AD5=" "," ",IFERROR(VLOOKUP(AC5,Points!$A$2:$B$14,2,FALSE)," ")))</calculatedColumnFormula>
    </tableColumn>
    <tableColumn id="30" xr3:uid="{00E4F62A-C22F-4F09-B9ED-5CB791FD4A66}" name="Time/Score21" dataDxfId="1234" dataCellStyle="Comma">
      <calculatedColumnFormula>IF(OR(X5=0,AB5=0)," ",X5+AB5)</calculatedColumnFormula>
    </tableColumn>
    <tableColumn id="31" xr3:uid="{8A317E03-9350-4864-8CC0-636742EE2C37}" name="Time/Score22" dataDxfId="1233">
      <calculatedColumnFormula>IF(OR(AF5=0,AF5=" ")," ",_xlfn.RANK.AVG(AF5,AF$5:AF$24,1)-COUNTIF(AF$5:AF$24,0))</calculatedColumnFormula>
    </tableColumn>
    <tableColumn id="32" xr3:uid="{DD5B541D-61B4-4CCB-8C18-B7E629EC53B8}" name="Place22" dataDxfId="1232">
      <calculatedColumnFormula>IF(OR(AF5=0,AF5=" ")," ",IF((RANK(AF5,AF$5:AF$24,1)-COUNTIF(AF$5:AF$24,0)&gt;6)," ",RANK(AF5,AF$5:AF$24,1)-COUNTIF(AF$5:AF$24,0)))</calculatedColumnFormula>
    </tableColumn>
    <tableColumn id="33" xr3:uid="{D395E00E-BAE9-4606-AD00-CBFD7A873CFB}" name="Points23" dataDxfId="1231">
      <calculatedColumnFormula>IF(Table62202732333738392343[[#This Row],[Non-Member]]="X"," ",IF(AH5=" "," ",IFERROR(VLOOKUP(AG5,Points!$A$2:$B$14,2,FALSE)," ")))</calculatedColumnFormula>
    </tableColumn>
    <tableColumn id="34" xr3:uid="{D4420E8F-2B56-4734-98B8-CD8226315F24}" name="Points24" dataDxfId="1230">
      <calculatedColumnFormula>IF(Table62202732333738392343[[#This Row],[Non-Member]]="X"," ",((IF(G5=" ",0,G5))+(IF(K5=" ",0,K5))+(IF(O5=" ",0,O5))+(IF(S5=" ",0,S5))+(IF(W5=" ",0,W5))+(IF(AA5=" ",0,AA5))+(IF(AE5=" ",0,AE5))+(IF(AI5=" ",0,AI5))))</calculatedColumnFormula>
    </tableColumn>
    <tableColumn id="35" xr3:uid="{976E3F09-AF51-4ECA-828E-AC0C60D11E00}" name="Points25" dataDxfId="1229" dataCellStyle="Comma">
      <calculatedColumnFormula>IF(AJ5=0," ",AJ5)</calculatedColumnFormula>
    </tableColumn>
    <tableColumn id="36" xr3:uid="{806F56B5-9EEC-4A93-9C60-2925307A5396}" name="Place26" dataDxfId="122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F51540D-0193-4797-A5B2-B3C3C2C3573B}" name="Table6220273233373839232444" displayName="Table6220273233373839232444" ref="B4:AL24" totalsRowShown="0" headerRowDxfId="1227" dataDxfId="1226" tableBorderDxfId="1225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C53DD085-A538-47FE-B5B9-D20C00D92085}" name="Name" dataDxfId="1224"/>
    <tableColumn id="37" xr3:uid="{34D0DD60-5D0F-4B5A-BE25-63C82C172C5D}" name="Non-Member" dataDxfId="1223"/>
    <tableColumn id="2" xr3:uid="{3C93D0E7-67CD-4F5B-93CD-7B2D4F745BAE}" name="Column1" dataDxfId="1222" dataCellStyle="Comma"/>
    <tableColumn id="3" xr3:uid="{2E1F5324-CF6C-4FBE-8631-DF7E0F702E46}" name="Column2" dataDxfId="1221">
      <calculatedColumnFormula>IF(D5=0," ",_xlfn.RANK.AVG(D5,D$5:D$24,1)-COUNTIF(D$5:D$24,0))</calculatedColumnFormula>
    </tableColumn>
    <tableColumn id="4" xr3:uid="{306DC690-AE18-4C3C-A785-F24D71E90C7F}" name="Place" dataDxfId="1220">
      <calculatedColumnFormula>IF(D5=0," ",IF((RANK(D5,D$5:D$24,1)-COUNTIF(D$5:D$24,0)&gt;6)," ",RANK(D5,D$5:D$24,1)-COUNTIF(D$5:D$24,0)))</calculatedColumnFormula>
    </tableColumn>
    <tableColumn id="5" xr3:uid="{2417B42C-6422-444B-BC0C-E18803257D38}" name="Points" dataDxfId="1219">
      <calculatedColumnFormula>IF(Table6220273233373839232444[[#This Row],[Non-Member]]="X"," ",IF(F5=" "," ",IFERROR(VLOOKUP(E5,Points!$A$2:$B$14,2,FALSE)," ")))</calculatedColumnFormula>
    </tableColumn>
    <tableColumn id="6" xr3:uid="{446A200D-368E-498B-9EA4-44B895D36429}" name="Time/Score3" dataDxfId="1218" dataCellStyle="Comma"/>
    <tableColumn id="7" xr3:uid="{FE40B573-2D0F-41DD-B20E-F41F869E9179}" name="Time/Score4" dataDxfId="1217">
      <calculatedColumnFormula>IF(H5=0," ",_xlfn.RANK.AVG(H5,H$5:H$24,1)-COUNTIF(H$5:H$24,0))</calculatedColumnFormula>
    </tableColumn>
    <tableColumn id="8" xr3:uid="{43221EEC-4DB4-4506-90C3-2718FA91754A}" name="Place4" dataDxfId="1216">
      <calculatedColumnFormula>IF(H5=0," ",IF((RANK(H5,H$5:H$24,1)-COUNTIF(H$5:H$24,0)&gt;6)," ",RANK(H5,H$5:H$24,1)-COUNTIF(H$5:H$24,0)))</calculatedColumnFormula>
    </tableColumn>
    <tableColumn id="9" xr3:uid="{C82B8C72-4D21-4401-B987-329DA5153E2D}" name="Points5" dataDxfId="1215">
      <calculatedColumnFormula>IF(Table6220273233373839232444[[#This Row],[Non-Member]]="X"," ",IF(J5=" "," ",IFERROR(VLOOKUP(I5,Points!$A$2:$B$14,2,FALSE)," ")))</calculatedColumnFormula>
    </tableColumn>
    <tableColumn id="10" xr3:uid="{1F7D8613-5B1B-408C-B1D0-E0D82A7E566D}" name="Time/Score6" dataDxfId="1214" dataCellStyle="Comma"/>
    <tableColumn id="11" xr3:uid="{D6F1B5FC-16A5-43F6-BF3E-58DE2A0DB5C0}" name="Time/Score7" dataDxfId="1213">
      <calculatedColumnFormula>IF(L5=0," ",_xlfn.RANK.AVG(L5,L$5:L$24,1)-COUNTIF(L$5:L$24,0))</calculatedColumnFormula>
    </tableColumn>
    <tableColumn id="12" xr3:uid="{2E0701C2-0CA3-417A-8DBE-6EACB00D8DC8}" name="Place7" dataDxfId="1212">
      <calculatedColumnFormula>IF(L5=0," ",IF((RANK(L5,L$5:L$24,1)-COUNTIF(L$5:L$24,0)&gt;6)," ",RANK(L5,L$5:L$24,1)-COUNTIF(L$5:L$24,0)))</calculatedColumnFormula>
    </tableColumn>
    <tableColumn id="13" xr3:uid="{85606876-D27C-4CC0-AD40-286C28BDD0FB}" name="Points8" dataDxfId="1211">
      <calculatedColumnFormula>IF(Table6220273233373839232444[[#This Row],[Non-Member]]="X"," ",IF(N5=" "," ",IFERROR(VLOOKUP(M5,Points!$A$2:$B$14,2,FALSE)," ")))</calculatedColumnFormula>
    </tableColumn>
    <tableColumn id="14" xr3:uid="{88191476-B2C8-424E-8A35-DAB8E9889A84}" name="Time/Score9" dataDxfId="1210" dataCellStyle="Comma"/>
    <tableColumn id="15" xr3:uid="{920ABC94-8F02-4007-8CBE-67AF1DC9A31E}" name="Time/Score10" dataDxfId="1209">
      <calculatedColumnFormula>IF(P5=0," ",_xlfn.RANK.AVG(P5,P$5:P$24,1)-COUNTIF(P$5:P$24,0))</calculatedColumnFormula>
    </tableColumn>
    <tableColumn id="16" xr3:uid="{37DD521F-67FB-466C-882D-C3ACB008B8E1}" name="Place10" dataDxfId="1208">
      <calculatedColumnFormula>IF(P5=0," ",IF((RANK(P5,P$5:P$24,1)-COUNTIF(P$5:P$24,0)&gt;6)," ",RANK(P5,P$5:P$24,1)-COUNTIF(P$5:P$24,0)))</calculatedColumnFormula>
    </tableColumn>
    <tableColumn id="17" xr3:uid="{54E53455-C6A1-4F02-8624-4C87F3C3B23D}" name="Points11" dataDxfId="1207">
      <calculatedColumnFormula>IF(Table6220273233373839232444[[#This Row],[Non-Member]]="X"," ",IF(R5=" "," ",IFERROR(VLOOKUP(Q5,Points!$A$2:$B$14,2,FALSE)," ")))</calculatedColumnFormula>
    </tableColumn>
    <tableColumn id="18" xr3:uid="{0E38DD1C-1390-4660-8107-F93B01FC608C}" name="Time/Score12" dataDxfId="1206" dataCellStyle="Comma"/>
    <tableColumn id="19" xr3:uid="{C0F1B746-237B-4F85-BD24-C466B0FA32E5}" name="Time/Score13" dataDxfId="1205">
      <calculatedColumnFormula>IF(T5=0," ",_xlfn.RANK.AVG(T5,T$5:T$24,1)-COUNTIF(T$5:T$24,0))</calculatedColumnFormula>
    </tableColumn>
    <tableColumn id="20" xr3:uid="{85A4A4B8-3C5F-4005-8396-DB8B2800FEED}" name="Place13" dataDxfId="1204">
      <calculatedColumnFormula>IF(T5=0," ",IF((RANK(T5,T$5:T$24,1)-COUNTIF(T$5:T$24,0)&gt;6)," ",RANK(T5,T$5:T$24,1)-COUNTIF(T$5:T$24,0)))</calculatedColumnFormula>
    </tableColumn>
    <tableColumn id="21" xr3:uid="{F8A99523-159A-472B-9CEC-C1568AB64DCB}" name="Points14" dataDxfId="1203">
      <calculatedColumnFormula>IF(Table6220273233373839232444[[#This Row],[Non-Member]]="X"," ",IF(V5=" "," ",IFERROR(VLOOKUP(U5,Points!$A$2:$B$14,2,FALSE)," ")))</calculatedColumnFormula>
    </tableColumn>
    <tableColumn id="22" xr3:uid="{B67E027E-8D8D-48FD-9025-77211C71755E}" name="Time/Score15" dataDxfId="1202" dataCellStyle="Comma"/>
    <tableColumn id="23" xr3:uid="{F7A6BED7-F340-4C64-AF5C-DF7CEC0A3506}" name="Time/Score16" dataDxfId="1201">
      <calculatedColumnFormula>IF(X5=0," ",_xlfn.RANK.AVG(X5,X$5:X$24,1)-COUNTIF(X$5:X$24,0))</calculatedColumnFormula>
    </tableColumn>
    <tableColumn id="24" xr3:uid="{89141E86-DB27-4746-94D2-DAC356EE4D51}" name="Place16" dataDxfId="1200">
      <calculatedColumnFormula>IF(X5=0," ",IF((RANK(X5,X$5:X$24,1)-COUNTIF(X$5:X$24,0)&gt;6)," ",RANK(X5,X$5:X$24,1)-COUNTIF(X$5:X$24,0)))</calculatedColumnFormula>
    </tableColumn>
    <tableColumn id="25" xr3:uid="{B8986595-136C-4F17-83BB-639C2DC2069A}" name="Points17" dataDxfId="1199">
      <calculatedColumnFormula>IF(Table6220273233373839232444[[#This Row],[Non-Member]]="X"," ",IF(Z5=" "," ",IFERROR(VLOOKUP(Y5,Points!$A$2:$B$14,2,FALSE)," ")))</calculatedColumnFormula>
    </tableColumn>
    <tableColumn id="26" xr3:uid="{CEC5D4AD-1385-4300-AF63-739AEEF4C9E6}" name="Time/Score18" dataDxfId="1198" dataCellStyle="Comma"/>
    <tableColumn id="27" xr3:uid="{02F4A2FD-2940-4A9D-9AEF-2C2C60BF8BD8}" name="Time/Score19" dataDxfId="1197">
      <calculatedColumnFormula>IF(AB5=0," ",_xlfn.RANK.AVG(AB5,AB$5:AB$24,1)-COUNTIF(AB$5:AB$24,0))</calculatedColumnFormula>
    </tableColumn>
    <tableColumn id="28" xr3:uid="{85348679-FFB5-419D-A47C-EBA59869B316}" name="Place19" dataDxfId="1196">
      <calculatedColumnFormula>IF(AB5=0," ",IF((RANK(AB5,AB$5:AB$24,1)-COUNTIF(AB$5:AB$24,0)&gt;6)," ",RANK(AB5,AB$5:AB$24,1)-COUNTIF(AB$5:AB$24,0)))</calculatedColumnFormula>
    </tableColumn>
    <tableColumn id="29" xr3:uid="{92F6649B-2A11-40F2-B2D2-56B9CAC97CA9}" name="Points20" dataDxfId="1195">
      <calculatedColumnFormula>IF(Table6220273233373839232444[[#This Row],[Non-Member]]="X"," ",IF(AD5=" "," ",IFERROR(VLOOKUP(AC5,Points!$A$2:$B$14,2,FALSE)," ")))</calculatedColumnFormula>
    </tableColumn>
    <tableColumn id="30" xr3:uid="{E1A6218E-7D63-48CE-844C-8484D9F649F5}" name="Time/Score21" dataDxfId="1194" dataCellStyle="Comma">
      <calculatedColumnFormula>IF(OR(X5=0,AB5=0)," ",X5+AB5)</calculatedColumnFormula>
    </tableColumn>
    <tableColumn id="31" xr3:uid="{BDFB6ECC-94A7-42B9-B299-95257DAF9A76}" name="Time/Score22" dataDxfId="1193">
      <calculatedColumnFormula>IF(OR(AF5=0,AF5=" ")," ",_xlfn.RANK.AVG(AF5,AF$5:AF$24,1)-COUNTIF(AF$5:AF$24,0))</calculatedColumnFormula>
    </tableColumn>
    <tableColumn id="32" xr3:uid="{BDFA4A27-25D2-439B-9EE5-D8E8E18D1821}" name="Place22" dataDxfId="1192">
      <calculatedColumnFormula>IF(OR(AF5=0,AF5=" ")," ",IF((RANK(AF5,AF$5:AF$24,1)-COUNTIF(AF$5:AF$24,0)&gt;6)," ",RANK(AF5,AF$5:AF$24,1)-COUNTIF(AF$5:AF$24,0)))</calculatedColumnFormula>
    </tableColumn>
    <tableColumn id="33" xr3:uid="{B0B45997-22AB-4E6D-B15D-B5B424599214}" name="Points23" dataDxfId="1191">
      <calculatedColumnFormula>IF(Table6220273233373839232444[[#This Row],[Non-Member]]="X"," ",IF(AH5=" "," ",IFERROR(VLOOKUP(AG5,Points!$A$2:$B$14,2,FALSE)," ")))</calculatedColumnFormula>
    </tableColumn>
    <tableColumn id="34" xr3:uid="{E667E3AF-3D5C-4E51-93E3-F9E0685B7807}" name="Points24" dataDxfId="1190">
      <calculatedColumnFormula>IF(Table6220273233373839232444[[#This Row],[Non-Member]]="X"," ",((IF(G5=" ",0,G5))+(IF(K5=" ",0,K5))+(IF(O5=" ",0,O5))+(IF(S5=" ",0,S5))+(IF(W5=" ",0,W5))+(IF(AA5=" ",0,AA5))+(IF(AE5=" ",0,AE5))+(IF(AI5=" ",0,AI5))))</calculatedColumnFormula>
    </tableColumn>
    <tableColumn id="35" xr3:uid="{00632689-59ED-4FCF-B268-8E0924D93694}" name="Points25" dataDxfId="1189" dataCellStyle="Comma">
      <calculatedColumnFormula>IF(AJ5=0," ",AJ5)</calculatedColumnFormula>
    </tableColumn>
    <tableColumn id="36" xr3:uid="{7F8E0AAB-C253-49C8-83C7-3B1CEE567335}" name="Place26" dataDxfId="118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656E70C-7202-4450-B4B1-B737A5AAB887}" name="Table63456891011233444402545" displayName="Table63456891011233444402545" ref="B4:AC24" totalsRowShown="0" headerRowDxfId="1187" dataDxfId="1186" tableBorderDxfId="1185">
  <sortState xmlns:xlrd2="http://schemas.microsoft.com/office/spreadsheetml/2017/richdata2" ref="B5:AC24">
    <sortCondition ref="AC5:AC24"/>
    <sortCondition ref="B5:B24"/>
  </sortState>
  <tableColumns count="28">
    <tableColumn id="1" xr3:uid="{176FC224-EF68-442F-BD16-F5CE69C903A0}" name="Name" dataDxfId="1184"/>
    <tableColumn id="39" xr3:uid="{B7F592AE-7E55-4042-9F8D-D865F8AE53EC}" name="Points" dataDxfId="1183">
      <calculatedColumnFormula>IFERROR(IF(VLOOKUP($B5,'JR G-Breakaway'!$B$5:$AI$24,6,FALSE)=" ",0,VLOOKUP($B5,'JR G-Breakaway'!$B$5:$AI$24,6,FALSE)),0)+IFERROR(IF(VLOOKUP($B5,'JR G-Barrels'!$B$5:$AI$24,6,FALSE)=" ",0,VLOOKUP($B5,'JR G-Barrels'!$B$5:$AI$24,6,FALSE)),0)+IFERROR(IF(VLOOKUP($B5,'JR G-Poles'!$B$5:$AI$24,6,FALSE)=" ",0,VLOOKUP($B5,'JR G-Poles'!$B$5:$AI$24,6,FALSE)),0)+IFERROR(IF(VLOOKUP($B5,'JR G-Goats'!$B$5:$AI$24,6,FALSE)=" ",0,VLOOKUP($B5,'JR G-Goats'!$B$5:$AI$24,6,FALSE)),0)+IFERROR(IF(VLOOKUP($B5,'JR-Team Roping-Header'!$B$5:$N$24,3,FALSE)=" ",0,VLOOKUP($B5,'JR-Team Roping-Header'!$B$5:$N$24,3,FALSE)),0)+IFERROR(IF(VLOOKUP($B5,'JR-Team Roping-Heeler'!$B$5:$N$24,3,FALSE)=" ",0,VLOOKUP($B5,'JR-Team Roping-Heeler'!$B$5:$N$24,3,FALSE)),0)</calculatedColumnFormula>
    </tableColumn>
    <tableColumn id="4" xr3:uid="{0E9A3591-8D77-4839-AC9D-4D572C3C50C6}" name="Column1" dataDxfId="1182">
      <calculatedColumnFormula>IF(C5&gt;0,C5," ")</calculatedColumnFormula>
    </tableColumn>
    <tableColumn id="5" xr3:uid="{CDFA7D82-3ABD-4E7A-8E97-BF53D24A2FA0}" name="Place" dataDxfId="1181">
      <calculatedColumnFormula>IF(C5=0," ",RANK(C5,C$5:C$24,0))</calculatedColumnFormula>
    </tableColumn>
    <tableColumn id="43" xr3:uid="{D260C924-7D6A-4B3E-B3E2-C0AD81D007FF}" name="Points4" dataDxfId="1180">
      <calculatedColumnFormula>IFERROR(IF(VLOOKUP($B5,'JR G-Breakaway'!$B$5:$AI$24,10,FALSE)=" ",0,VLOOKUP($B5,'JR G-Breakaway'!$B$5:$AI$24,10,FALSE)),0)+IFERROR(IF(VLOOKUP($B5,'JR G-Barrels'!$B$5:$AI$24,10,FALSE)=" ",0,VLOOKUP($B5,'JR G-Barrels'!$B$5:$AI$24,10,FALSE)),0)+IFERROR(IF(VLOOKUP($B5,'JR G-Poles'!$B$5:$AI$24,10,FALSE)=" ",0,VLOOKUP($B5,'JR G-Poles'!$B$5:$AI$24,10,FALSE)),0)+IFERROR(IF(VLOOKUP($B5,'JR G-Goats'!$B$5:$AI$24,10,FALSE)=" ",0,VLOOKUP($B5,'JR G-Goats'!$B$5:$AI$24,10,FALSE)),0)+IFERROR(IF(VLOOKUP($B5,'JR-Team Roping-Header'!$B$5:$N$24,4,FALSE)=" ",0,VLOOKUP($B5,'JR-Team Roping-Header'!$B$5:$N$24,4,FALSE)),0)+IFERROR(IF(VLOOKUP($B5,'JR-Team Roping-Heeler'!$B$5:$N$24,4,FALSE)=" ",0,VLOOKUP($B5,'JR-Team Roping-Heeler'!$B$5:$N$24,4,FALSE)),0)</calculatedColumnFormula>
    </tableColumn>
    <tableColumn id="6" xr3:uid="{A3BCC90A-8D2A-444B-A308-868BD6105339}" name="Points5" dataDxfId="1179">
      <calculatedColumnFormula>IF(F5&gt;0,F5," ")</calculatedColumnFormula>
    </tableColumn>
    <tableColumn id="44" xr3:uid="{92A282F7-AACF-402C-A45D-2832FB2FF042}" name="Place5" dataDxfId="1178">
      <calculatedColumnFormula>IF(F5=0," ",RANK(F5,F$5:F$24,0))</calculatedColumnFormula>
    </tableColumn>
    <tableColumn id="46" xr3:uid="{054BE6F3-0B9E-4E5C-9761-4DBBEA3FB5F4}" name="Points43" dataDxfId="1177">
      <calculatedColumnFormula>IFERROR(IF(VLOOKUP($B5,'JR G-Breakaway'!$B$5:$AI$24,14,FALSE)=" ",0,VLOOKUP($B5,'JR G-Breakaway'!$B$5:$AI$24,14,FALSE)),0)+IFERROR(IF(VLOOKUP($B5,'JR G-Barrels'!$B$5:$AI$24,14,FALSE)=" ",0,VLOOKUP($B5,'JR G-Barrels'!$B$5:$AI$24,14,FALSE)),0)+IFERROR(IF(VLOOKUP($B5,'JR G-Poles'!$B$5:$AI$24,14,FALSE)=" ",0,VLOOKUP($B5,'JR G-Poles'!$B$5:$AI$24,14,FALSE)),0)+IFERROR(IF(VLOOKUP($B5,'JR G-Goats'!$B$5:$AI$24,14,FALSE)=" ",0,VLOOKUP($B5,'JR G-Goats'!$B$5:$AI$24,14,FALSE)),0)+IFERROR(IF(VLOOKUP($B5,'JR-Team Roping-Header'!$B$5:$N$24,5,FALSE)=" ",0,VLOOKUP($B5,'JR-Team Roping-Header'!$B$5:$N$24,5,FALSE)),0)+IFERROR(IF(VLOOKUP($B5,'JR-Team Roping-Heeler'!$B$5:$N$24,5,FALSE)=" ",0,VLOOKUP($B5,'JR-Team Roping-Heeler'!$B$5:$N$24,5,FALSE)),0)</calculatedColumnFormula>
    </tableColumn>
    <tableColumn id="7" xr3:uid="{6C8FAE78-6425-4555-8DD9-60E269ADDD87}" name="Points432" dataDxfId="1176">
      <calculatedColumnFormula>IF(I5&gt;0,I5," ")</calculatedColumnFormula>
    </tableColumn>
    <tableColumn id="47" xr3:uid="{EB58F016-EA73-4834-A12F-F37ADD9C75C5}" name="Place54" dataDxfId="1175">
      <calculatedColumnFormula>IF(I5=0," ",RANK(I5,I$5:I$24,0))</calculatedColumnFormula>
    </tableColumn>
    <tableColumn id="49" xr3:uid="{FF7A57CD-BA43-40EE-ADA1-4E553CA666D3}" name="Points44" dataDxfId="1174">
      <calculatedColumnFormula>IFERROR(IF(VLOOKUP($B5,'JR G-Breakaway'!$B$5:$AI$24,18,FALSE)=" ",0,VLOOKUP($B5,'JR G-Breakaway'!$B$5:$AI$24,18,FALSE)),0)+IFERROR(IF(VLOOKUP($B5,'JR G-Barrels'!$B$5:$AI$24,18,FALSE)=" ",0,VLOOKUP($B5,'JR G-Barrels'!$B$5:$AI$24,18,FALSE)),0)+IFERROR(IF(VLOOKUP($B5,'JR G-Poles'!$B$5:$AI$24,18,FALSE)=" ",0,VLOOKUP($B5,'JR G-Poles'!$B$5:$AI$24,18,FALSE)),0)+IFERROR(IF(VLOOKUP($B5,'JR G-Goats'!$B$5:$AI$24,18,FALSE)=" ",0,VLOOKUP($B5,'JR G-Goats'!$B$5:$AI$24,18,FALSE)),0)+IFERROR(IF(VLOOKUP($B5,'JR-Team Roping-Header'!$B$5:$N$24,6,FALSE)=" ",0,VLOOKUP($B5,'JR-Team Roping-Header'!$B$5:$N$24,6,FALSE)),0)+IFERROR(IF(VLOOKUP($B5,'JR-Team Roping-Heeler'!$B$5:$N$24,6,FALSE)=" ",0,VLOOKUP($B5,'JR-Team Roping-Heeler'!$B$5:$N$24,6,FALSE)),0)</calculatedColumnFormula>
    </tableColumn>
    <tableColumn id="8" xr3:uid="{BE21FB2C-23EE-44CB-912C-EBD92BB5CD90}" name="Points442" dataDxfId="1173">
      <calculatedColumnFormula>IF(L5&gt;0,L5," ")</calculatedColumnFormula>
    </tableColumn>
    <tableColumn id="50" xr3:uid="{CFAFEAE9-4889-48EE-AC07-6DD5188EA314}" name="Place55" dataDxfId="1172">
      <calculatedColumnFormula>IF(L5=0," ",RANK(L5,L$5:L$24,0))</calculatedColumnFormula>
    </tableColumn>
    <tableColumn id="52" xr3:uid="{0694ECFF-7D7F-4622-87E1-8A2C72F8A60C}" name="Points45" dataDxfId="1171">
      <calculatedColumnFormula>IFERROR(IF(VLOOKUP($B5,'JR G-Breakaway'!$B$5:$AI$24,22,FALSE)=" ",0,VLOOKUP($B5,'JR G-Breakaway'!$B$5:$AI$24,22,FALSE)),0)+IFERROR(IF(VLOOKUP($B5,'JR G-Barrels'!$B$5:$AI$24,22,FALSE)=" ",0,VLOOKUP($B5,'JR G-Barrels'!$B$5:$AI$24,22,FALSE)),0)+IFERROR(IF(VLOOKUP($B5,'JR G-Poles'!$B$5:$AI$24,22,FALSE)=" ",0,VLOOKUP($B5,'JR G-Poles'!$B$5:$AI$24,22,FALSE)),0)+IFERROR(IF(VLOOKUP($B5,'JR G-Goats'!$B$5:$AI$24,22,FALSE)=" ",0,VLOOKUP($B5,'JR G-Goats'!$B$5:$AI$24,22,FALSE)),0)+IFERROR(IF(VLOOKUP($B5,'JR-Team Roping-Header'!$B$5:$N$24,7,FALSE)=" ",0,VLOOKUP($B5,'JR-Team Roping-Header'!$B$5:$N$24,7,FALSE)),0)+IFERROR(IF(VLOOKUP($B5,'JR-Team Roping-Heeler'!$B$5:$N$24,7,FALSE)=" ",0,VLOOKUP($B5,'JR-Team Roping-Heeler'!$B$5:$N$24,7,FALSE)),0)</calculatedColumnFormula>
    </tableColumn>
    <tableColumn id="9" xr3:uid="{5B2819C7-5179-4528-880E-041B8D7EB0FF}" name="Points452" dataDxfId="1170">
      <calculatedColumnFormula>IF(O5&gt;0,O5," ")</calculatedColumnFormula>
    </tableColumn>
    <tableColumn id="53" xr3:uid="{5D51026C-42A4-4B75-93CB-9DC3C6ECFC4E}" name="Place56" dataDxfId="1169">
      <calculatedColumnFormula>IF(O5=0," ",RANK(O5,O$5:O$24,0))</calculatedColumnFormula>
    </tableColumn>
    <tableColumn id="55" xr3:uid="{44B32E94-9ECF-4941-909F-3DC97FD81A0D}" name="Points46" dataDxfId="1168">
      <calculatedColumnFormula>IFERROR(IF(VLOOKUP($B5,'JR G-Breakaway'!$B$5:$AI$24,26,FALSE)=" ",0,VLOOKUP($B5,'JR G-Breakaway'!$B$5:$AI$24,26,FALSE)),0)+IFERROR(IF(VLOOKUP($B5,'JR G-Barrels'!$B$5:$AI$24,26,FALSE)=" ",0,VLOOKUP($B5,'JR G-Barrels'!$B$5:$AI$24,26,FALSE)),0)+IFERROR(IF(VLOOKUP($B5,'JR G-Poles'!$B$5:$AI$24,26,FALSE)=" ",0,VLOOKUP($B5,'JR G-Poles'!$B$5:$AI$24,26,FALSE)),0)+IFERROR(IF(VLOOKUP($B5,'JR G-Goats'!$B$5:$AI$24,26,FALSE)=" ",0,VLOOKUP($B5,'JR G-Goats'!$B$5:$AI$24,26,FALSE)),0)+IFERROR(IF(VLOOKUP($B5,'JR-Team Roping-Header'!$B$5:$N$24,8,FALSE)=" ",0,VLOOKUP($B5,'JR-Team Roping-Header'!$B$5:$N$24,8,FALSE)),0)+IFERROR(IF(VLOOKUP($B5,'JR-Team Roping-Heeler'!$B$5:$N$24,8,FALSE)=" ",0,VLOOKUP($B5,'JR-Team Roping-Heeler'!$B$5:$N$24,8,FALSE)),0)</calculatedColumnFormula>
    </tableColumn>
    <tableColumn id="10" xr3:uid="{76E45C93-57DD-4E18-B0B2-2F798DAB39ED}" name="Points462" dataDxfId="1167">
      <calculatedColumnFormula>IF(R5&gt;0,R5," ")</calculatedColumnFormula>
    </tableColumn>
    <tableColumn id="56" xr3:uid="{48A0807D-D506-4F35-96B6-CF06E822F23C}" name="Place57" dataDxfId="1166">
      <calculatedColumnFormula>IF(R5=0," ",RANK(R5,R$5:R$24,0))</calculatedColumnFormula>
    </tableColumn>
    <tableColumn id="58" xr3:uid="{3AE3D9C7-7050-4F45-B08D-C921A4675A95}" name="Points47" dataDxfId="1165">
      <calculatedColumnFormula>IFERROR(IF(VLOOKUP($B5,'JR G-Breakaway'!$B$5:$AI$24,30,FALSE)=" ",0,VLOOKUP($B5,'JR G-Breakaway'!$B$5:$AI$24,30,FALSE)),0)+IFERROR(IF(VLOOKUP($B5,'JR G-Barrels'!$B$5:$AI$24,30,FALSE)=" ",0,VLOOKUP($B5,'JR G-Barrels'!$B$5:$AI$24,30,FALSE)),0)+IFERROR(IF(VLOOKUP($B5,'JR G-Poles'!$B$5:$AI$24,30,FALSE)=" ",0,VLOOKUP($B5,'JR G-Poles'!$B$5:$AI$24,30,FALSE)),0)+IFERROR(IF(VLOOKUP($B5,'JR G-Goats'!$B$5:$AI$24,30,FALSE)=" ",0,VLOOKUP($B5,'JR G-Goats'!$B$5:$AI$24,30,FALSE)),0)+IFERROR(IF(VLOOKUP($B5,'JR-Team Roping-Header'!$B$5:$N$24,9,FALSE)=" ",0,VLOOKUP($B5,'JR-Team Roping-Header'!$B$5:$N$24,9,FALSE)),0)+IFERROR(IF(VLOOKUP($B5,'JR-Team Roping-Heeler'!$B$5:$N$24,9,FALSE)=" ",0,VLOOKUP($B5,'JR-Team Roping-Heeler'!$B$5:$N$24,9,FALSE)),0)</calculatedColumnFormula>
    </tableColumn>
    <tableColumn id="11" xr3:uid="{A7D9BE3A-3773-4ACB-BC78-8E5191B0C484}" name="Points472" dataDxfId="1164">
      <calculatedColumnFormula>IF(U5&gt;0,U5," ")</calculatedColumnFormula>
    </tableColumn>
    <tableColumn id="59" xr3:uid="{9D064B02-AEF6-4969-8A00-2B808269BFC1}" name="Place58" dataDxfId="1163">
      <calculatedColumnFormula>IF(U5=0," ",RANK(U5,U$5:U$24,0))</calculatedColumnFormula>
    </tableColumn>
    <tableColumn id="61" xr3:uid="{423C7300-070E-4103-8ED8-E66C764F16E1}" name="Points48" dataDxfId="1162">
      <calculatedColumnFormula>IFERROR(IF(VLOOKUP($B5,'JR G-Breakaway'!$B$5:$AI$24,34,FALSE)=" ",0,VLOOKUP($B5,'JR G-Breakaway'!$B$5:$AI$24,34,FALSE)),0)+IFERROR(IF(VLOOKUP($B5,'JR G-Barrels'!$B$5:$AI$24,34,FALSE)=" ",0,VLOOKUP($B5,'JR G-Barrels'!$B$5:$AI$24,34,FALSE)),0)+IFERROR(IF(VLOOKUP($B5,'JR G-Poles'!$B$5:$AI$24,34,FALSE)=" ",0,VLOOKUP($B5,'JR G-Poles'!$B$5:$AI$24,34,FALSE)),0)+IFERROR(IF(VLOOKUP($B5,'JR G-Goats'!$B$5:$AI$24,34,FALSE)=" ",0,VLOOKUP($B5,'JR G-Goats'!$B$5:$AI$24,34,FALSE)),0)+IFERROR(IF(VLOOKUP($B5,'JR-Team Roping-Header'!$B$5:$N$24,10,FALSE)=" ",0,VLOOKUP($B5,'JR-Team Roping-Header'!$B$5:$N$24,10,FALSE)),0)+IFERROR(IF(VLOOKUP($B5,'JR-Team Roping-Heeler'!$B$5:$N$24,10,FALSE)=" ",0,VLOOKUP($B5,'JR-Team Roping-Heeler'!$B$5:$N$24,10,FALSE)),0)</calculatedColumnFormula>
    </tableColumn>
    <tableColumn id="12" xr3:uid="{79FF6530-579F-48B4-AA9E-B0F2DBB6ABF6}" name="Points49" dataDxfId="1161">
      <calculatedColumnFormula>IF(X5&gt;0,X5," ")</calculatedColumnFormula>
    </tableColumn>
    <tableColumn id="62" xr3:uid="{7FE4DAB3-2573-463B-9CD8-559C0BD53AF5}" name="Place59" dataDxfId="1160">
      <calculatedColumnFormula>IF(X5=0," ",RANK(X5,X$5:X$24,0))</calculatedColumnFormula>
    </tableColumn>
    <tableColumn id="2" xr3:uid="{BADBF545-8AE9-4DFB-9886-AE205E4DA758}" name="Points482" dataDxfId="1159">
      <calculatedColumnFormula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calculatedColumnFormula>
    </tableColumn>
    <tableColumn id="13" xr3:uid="{58764CF3-94E8-4EA1-BF18-CE52AEA81182}" name="Points483" dataDxfId="1158">
      <calculatedColumnFormula>IF(AA5&gt;0,AA5," ")</calculatedColumnFormula>
    </tableColumn>
    <tableColumn id="3" xr3:uid="{922E72A5-2CCC-4AE7-95C5-13AFB65FF63F}" name="Place593" dataDxfId="1157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B619321-3E4B-42DC-9C7A-FC7C8EA11A3A}" name="Table62202732333738224248" displayName="Table62202732333738224248" ref="B4:AL24" totalsRowShown="0" headerRowDxfId="1797" dataDxfId="1796" tableBorderDxfId="1795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7D3CBE32-A311-45B9-8059-F00481526B66}" name="Name" dataDxfId="1794"/>
    <tableColumn id="37" xr3:uid="{76BBFDDF-D15C-4F01-9EE5-DD22CDB0E3DC}" name="Non-Member" dataDxfId="1793"/>
    <tableColumn id="2" xr3:uid="{D6635236-95C4-44C5-9587-0528D8DF1919}" name="Time/Score" dataDxfId="1792" dataCellStyle="Comma"/>
    <tableColumn id="3" xr3:uid="{A479A845-DF1C-4EA6-B2A6-2FD43C8358A4}" name="Column2" dataDxfId="1791">
      <calculatedColumnFormula>IF(D5=0," ",_xlfn.RANK.AVG(D5,D$5:D$24,1)-COUNTIF(D$5:D$24,0))</calculatedColumnFormula>
    </tableColumn>
    <tableColumn id="4" xr3:uid="{9EF2780A-B96C-406F-9297-4F45098AA3B1}" name="Place" dataDxfId="1790">
      <calculatedColumnFormula>IF(D5=0," ",IF((RANK(D5,D$5:D$24,1)-COUNTIF(D$5:D$24,0)&gt;6)," ",RANK(D5,D$5:D$24,1)-COUNTIF(D$5:D$24,0)))</calculatedColumnFormula>
    </tableColumn>
    <tableColumn id="5" xr3:uid="{3B6E5C07-738C-4A3E-B049-4CE4F85920D5}" name="Points" dataDxfId="1789">
      <calculatedColumnFormula>IF(Table62202732333738224248[[#This Row],[Non-Member]]="X"," ",IF(F5=" "," ",IFERROR(VLOOKUP(E5,Points!$A$2:$B$14,2,FALSE)," ")))</calculatedColumnFormula>
    </tableColumn>
    <tableColumn id="6" xr3:uid="{CA279C50-14AC-43D7-A72D-49DDF383EAAA}" name="Time/Score3" dataDxfId="1788" dataCellStyle="Comma"/>
    <tableColumn id="7" xr3:uid="{D73DE3C7-1F0F-443B-B334-3F4BE62EFC82}" name="Time/Score4" dataDxfId="1787">
      <calculatedColumnFormula>IF(H5=0," ",_xlfn.RANK.AVG(H5,H$5:H$24,1)-COUNTIF(H$5:H$24,0))</calculatedColumnFormula>
    </tableColumn>
    <tableColumn id="8" xr3:uid="{1F5C3D5D-16F0-40C3-A29D-748AD5CC27A7}" name="Place4" dataDxfId="1786">
      <calculatedColumnFormula>IF(H5=0," ",IF((RANK(H5,H$5:H$24,1)-COUNTIF(H$5:H$24,0)&gt;6)," ",RANK(H5,H$5:H$24,1)-COUNTIF(H$5:H$24,0)))</calculatedColumnFormula>
    </tableColumn>
    <tableColumn id="9" xr3:uid="{9EE05CBD-DBBC-4A9E-A7C3-ED708C77128D}" name="Points5" dataDxfId="1785">
      <calculatedColumnFormula>IF(Table62202732333738224248[[#This Row],[Non-Member]]="X"," ",IF(J5=" "," ",IFERROR(VLOOKUP(I5,Points!$A$2:$B$14,2,FALSE)," ")))</calculatedColumnFormula>
    </tableColumn>
    <tableColumn id="10" xr3:uid="{96564A94-B730-459E-AF84-7EDD9BCA930C}" name="Time/Score6" dataDxfId="1784" dataCellStyle="Comma"/>
    <tableColumn id="11" xr3:uid="{41ECD4C6-97D0-40C4-8E92-09C5FBC46ED1}" name="Time/Score7" dataDxfId="1783">
      <calculatedColumnFormula>IF(L5=0," ",_xlfn.RANK.AVG(L5,L$5:L$24,1)-COUNTIF(L$5:L$24,0))</calculatedColumnFormula>
    </tableColumn>
    <tableColumn id="12" xr3:uid="{D2735018-B91D-4664-8A3B-F626C20F7827}" name="Place7" dataDxfId="1782">
      <calculatedColumnFormula>IF(L5=0," ",IF((RANK(L5,L$5:L$24,1)-COUNTIF(L$5:L$24,0)&gt;6)," ",RANK(L5,L$5:L$24,1)-COUNTIF(L$5:L$24,0)))</calculatedColumnFormula>
    </tableColumn>
    <tableColumn id="13" xr3:uid="{44CEC19B-D543-411F-9779-C2785FE169BC}" name="Points8" dataDxfId="1781">
      <calculatedColumnFormula>IF(Table62202732333738224248[[#This Row],[Non-Member]]="X"," ",IF(N5=" "," ",IFERROR(VLOOKUP(M5,Points!$A$2:$B$14,2,FALSE)," ")))</calculatedColumnFormula>
    </tableColumn>
    <tableColumn id="14" xr3:uid="{AAEA3F34-2A56-4B20-B9FF-930A38F330E6}" name="Time/Score9" dataDxfId="1780" dataCellStyle="Comma"/>
    <tableColumn id="15" xr3:uid="{4B502C4B-F283-4CC7-940C-C7888E45EB10}" name="Time/Score10" dataDxfId="1779">
      <calculatedColumnFormula>IF(P5=0," ",_xlfn.RANK.AVG(P5,P$5:P$24,1)-COUNTIF(P$5:P$24,0))</calculatedColumnFormula>
    </tableColumn>
    <tableColumn id="16" xr3:uid="{AE6B542C-9294-4774-BCD9-14B50B841997}" name="Place10" dataDxfId="1778">
      <calculatedColumnFormula>IF(P5=0," ",IF((RANK(P5,P$5:P$24,1)-COUNTIF(P$5:P$24,0)&gt;6)," ",RANK(P5,P$5:P$24,1)-COUNTIF(P$5:P$24,0)))</calculatedColumnFormula>
    </tableColumn>
    <tableColumn id="17" xr3:uid="{BC4CF981-0E39-4636-93BA-AC33C96A9DD5}" name="Points11" dataDxfId="1777">
      <calculatedColumnFormula>IF(Table62202732333738224248[[#This Row],[Non-Member]]="X"," ",IF(R5=" "," ",IFERROR(VLOOKUP(Q5,Points!$A$2:$B$14,2,FALSE)," ")))</calculatedColumnFormula>
    </tableColumn>
    <tableColumn id="18" xr3:uid="{519D29E2-A37B-4D67-BF0B-0F77E13628BA}" name="Time/Score12" dataDxfId="1776" dataCellStyle="Comma"/>
    <tableColumn id="19" xr3:uid="{15EFB0D4-AE7A-4FDF-976E-29350E230FAA}" name="Time/Score13" dataDxfId="1775">
      <calculatedColumnFormula>IF(T5=0," ",_xlfn.RANK.AVG(T5,T$5:T$24,1)-COUNTIF(T$5:T$24,0))</calculatedColumnFormula>
    </tableColumn>
    <tableColumn id="20" xr3:uid="{4AB511B2-2D59-4E9D-A480-958AD72474F9}" name="Place13" dataDxfId="1774">
      <calculatedColumnFormula>IF(T5=0," ",IF((RANK(T5,T$5:T$24,1)-COUNTIF(T$5:T$24,0)&gt;6)," ",RANK(T5,T$5:T$24,1)-COUNTIF(T$5:T$24,0)))</calculatedColumnFormula>
    </tableColumn>
    <tableColumn id="21" xr3:uid="{65B0CAF8-E810-4FCA-A159-80DBB6A031D0}" name="Points14" dataDxfId="1773">
      <calculatedColumnFormula>IF(Table62202732333738224248[[#This Row],[Non-Member]]="X"," ",IF(V5=" "," ",IFERROR(VLOOKUP(U5,Points!$A$2:$B$14,2,FALSE)," ")))</calculatedColumnFormula>
    </tableColumn>
    <tableColumn id="22" xr3:uid="{BCD35510-6FBA-40BE-B98C-963CC6F8D46B}" name="Time/Score15" dataDxfId="1772" dataCellStyle="Comma"/>
    <tableColumn id="23" xr3:uid="{543111DF-A123-4DD3-8E2A-F15154F91DF8}" name="Time/Score16" dataDxfId="1771">
      <calculatedColumnFormula>IF(X5=0," ",_xlfn.RANK.AVG(X5,X$5:X$24,1)-COUNTIF(X$5:X$24,0))</calculatedColumnFormula>
    </tableColumn>
    <tableColumn id="24" xr3:uid="{D1B67BA8-F5F1-4E40-BC2D-193BA6923F4C}" name="Place16" dataDxfId="1770">
      <calculatedColumnFormula>IF(X5=0," ",IF((RANK(X5,X$5:X$24,1)-COUNTIF(X$5:X$24,0)&gt;6)," ",RANK(X5,X$5:X$24,1)-COUNTIF(X$5:X$24,0)))</calculatedColumnFormula>
    </tableColumn>
    <tableColumn id="25" xr3:uid="{66D89829-D238-4348-A770-906299CD079D}" name="Points17" dataDxfId="1769">
      <calculatedColumnFormula>IF(Table62202732333738224248[[#This Row],[Non-Member]]="X"," ",IF(Z5=" "," ",IFERROR(VLOOKUP(Y5,Points!$A$2:$B$14,2,FALSE)," ")))</calculatedColumnFormula>
    </tableColumn>
    <tableColumn id="26" xr3:uid="{6E9C4285-177D-48E3-81D7-F958E9A12143}" name="Time/Score18" dataDxfId="1768" dataCellStyle="Comma"/>
    <tableColumn id="27" xr3:uid="{423FB11F-CBE1-4F93-8086-CC1CCEE5EA1F}" name="Time/Score19" dataDxfId="1767">
      <calculatedColumnFormula>IF(AB5=0," ",_xlfn.RANK.AVG(AB5,AB$5:AB$24,1)-COUNTIF(AB$5:AB$24,0))</calculatedColumnFormula>
    </tableColumn>
    <tableColumn id="28" xr3:uid="{A11C8439-F2CE-45C0-B0C4-3BC416642639}" name="Place19" dataDxfId="1766">
      <calculatedColumnFormula>IF(AB5=0," ",IF((RANK(AB5,AB$5:AB$24,1)-COUNTIF(AB$5:AB$24,0)&gt;6)," ",RANK(AB5,AB$5:AB$24,1)-COUNTIF(AB$5:AB$24,0)))</calculatedColumnFormula>
    </tableColumn>
    <tableColumn id="29" xr3:uid="{CD0DEBC4-9EE9-4F1E-B9C6-C869FCDB54EB}" name="Points20" dataDxfId="1765">
      <calculatedColumnFormula>IF(Table62202732333738224248[[#This Row],[Non-Member]]="X"," ",IF(AD5=" "," ",IFERROR(VLOOKUP(AC5,Points!$A$2:$B$14,2,FALSE)," ")))</calculatedColumnFormula>
    </tableColumn>
    <tableColumn id="30" xr3:uid="{92CDE5D9-E1F7-49BB-A16B-E99E6590AA96}" name="Time/Score21" dataDxfId="1764" dataCellStyle="Comma">
      <calculatedColumnFormula>IF(OR(X5=0,AB5=0)," ",X5+AB5)</calculatedColumnFormula>
    </tableColumn>
    <tableColumn id="31" xr3:uid="{A4D0DA96-821C-456F-A071-A1829989AD88}" name="Time/Score22" dataDxfId="1763">
      <calculatedColumnFormula>IF(OR(AF5=0,AF5=" ")," ",_xlfn.RANK.AVG(AF5,AF$5:AF$24,1)-COUNTIF(AF$5:AF$24,0))</calculatedColumnFormula>
    </tableColumn>
    <tableColumn id="32" xr3:uid="{7C816F4D-C3DE-47C1-B5EE-CB87E440F35A}" name="Place22" dataDxfId="1762">
      <calculatedColumnFormula>IF(OR(AF5=0,AF5=" ")," ",IF((RANK(AF5,AF$5:AF$24,1)-COUNTIF(AF$5:AF$24,0)&gt;6)," ",RANK(AF5,AF$5:AF$24,1)-COUNTIF(AF$5:AF$24,0)))</calculatedColumnFormula>
    </tableColumn>
    <tableColumn id="33" xr3:uid="{5060E891-A276-4E64-992A-908E6E78791E}" name="Points23" dataDxfId="1761">
      <calculatedColumnFormula>IF(Table62202732333738224248[[#This Row],[Non-Member]]="X"," ",IF(AH5=" "," ",IFERROR(VLOOKUP(AG5,Points!$A$2:$B$14,2,FALSE)," ")))</calculatedColumnFormula>
    </tableColumn>
    <tableColumn id="34" xr3:uid="{608F6AEB-BA10-442B-AEC6-74E6DD4C7269}" name="Points24" dataDxfId="1760">
      <calculatedColumnFormula>IF(Table62202732333738224248[[#This Row],[Non-Member]]="X"," ",((IF(G5=" ",0,G5))+(IF(K5=" ",0,K5))+(IF(O5=" ",0,O5))+(IF(S5=" ",0,S5))+(IF(W5=" ",0,W5))+(IF(AA5=" ",0,AA5))+(IF(AE5=" ",0,AE5))+(IF(AI5=" ",0,AI5))))</calculatedColumnFormula>
    </tableColumn>
    <tableColumn id="35" xr3:uid="{ACB4BBFC-7C51-4604-BC84-B093F43179C2}" name="Points25" dataDxfId="1759" dataCellStyle="Comma">
      <calculatedColumnFormula>IF(AJ5=0," ",AJ5)</calculatedColumnFormula>
    </tableColumn>
    <tableColumn id="36" xr3:uid="{7A96D7B4-5169-4CA1-AC75-1D96BA3D2D58}" name="Place26" dataDxfId="175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AD49A26-5B95-4574-BAF2-715C011EA24F}" name="Table6220273233341718193051210" displayName="Table6220273233341718193051210" ref="B4:AH28" totalsRowShown="0" headerRowDxfId="1156" dataDxfId="1155" tableBorderDxfId="1154">
  <autoFilter ref="B4:AH28" xr:uid="{89B1FF52-34AE-480D-BF76-50E05053D0D8}"/>
  <sortState xmlns:xlrd2="http://schemas.microsoft.com/office/spreadsheetml/2017/richdata2" ref="B5:AH28">
    <sortCondition ref="I5:I28"/>
    <sortCondition ref="B5:B28"/>
  </sortState>
  <tableColumns count="33">
    <tableColumn id="1" xr3:uid="{037E4C61-3FC3-4B48-95EE-C435D14957B0}" name="Name" dataDxfId="1153"/>
    <tableColumn id="2" xr3:uid="{FCA0C626-9FBD-40DD-B9D1-D75052A0CC2D}" name="Time/Score" dataDxfId="1152" dataCellStyle="Comma"/>
    <tableColumn id="3" xr3:uid="{373DE00C-5D1E-44F0-9AB4-626903EAE625}" name="Column2" dataDxfId="1151">
      <calculatedColumnFormula>IF(C5=0," ",_xlfn.RANK.AVG(C5,C$5:C$28,1)-COUNTIF(C$5:C$28,0))</calculatedColumnFormula>
    </tableColumn>
    <tableColumn id="4" xr3:uid="{41A8D392-C076-40FD-B44A-38FAFF3B8F1C}" name="Place" dataDxfId="1150">
      <calculatedColumnFormula>IF(C5=0," ",IF((RANK(C5,C$5:C$28,1)-COUNTIF(C$5:C$28,0)&gt;6)," ",RANK(C5,C$5:C$28,1)-COUNTIF(C$5:C$28,0)))</calculatedColumnFormula>
    </tableColumn>
    <tableColumn id="5" xr3:uid="{4807C14F-1DA6-4EAE-8F6C-AD80D7F08D02}" name="Points" dataDxfId="1149">
      <calculatedColumnFormula>IF(E5=" "," ",IFERROR(VLOOKUP(D5,Points!$A$2:$B$14,2,FALSE)," "))</calculatedColumnFormula>
    </tableColumn>
    <tableColumn id="6" xr3:uid="{F970051B-9BD6-49A4-B226-197EF75A0FCB}" name="Time/Score3" dataDxfId="1148" dataCellStyle="Comma"/>
    <tableColumn id="7" xr3:uid="{5FA1AF4F-5B52-4238-B36E-A209E2692369}" name="Time/Score4" dataDxfId="1147">
      <calculatedColumnFormula>IF(G5=0," ",_xlfn.RANK.AVG(G5,G$5:G$28,1)-COUNTIF(G$5:G$28,0))</calculatedColumnFormula>
    </tableColumn>
    <tableColumn id="8" xr3:uid="{8AE37D58-41C8-4ADF-8FBC-C6468282AFE9}" name="Place4" dataDxfId="1146">
      <calculatedColumnFormula>IF(G5=0," ",IF((RANK(G5,G$5:G$28,1)-COUNTIF(G$5:G$28,0)&gt;6)," ",RANK(G5,G$5:G$28,1)-COUNTIF(G$5:G$28,0)))</calculatedColumnFormula>
    </tableColumn>
    <tableColumn id="9" xr3:uid="{21752428-4852-47F8-BBC8-323198E1C9A0}" name="Points5" dataDxfId="1145">
      <calculatedColumnFormula>IF(I5=" "," ",IFERROR(VLOOKUP(H5,Points!$A$2:$B$14,2,FALSE)," "))</calculatedColumnFormula>
    </tableColumn>
    <tableColumn id="10" xr3:uid="{5289D89A-3CF0-49FB-BD91-ED49BE6D9C6B}" name="Time/Score6" dataDxfId="1144" dataCellStyle="Comma"/>
    <tableColumn id="11" xr3:uid="{F29ED22D-52B8-4425-AB4B-967B2F77BA72}" name="Time/Score7" dataDxfId="1143">
      <calculatedColumnFormula>IF(K5=0," ",_xlfn.RANK.AVG(K5,K$5:K$28,1)-COUNTIF(K$5:K$28,0))</calculatedColumnFormula>
    </tableColumn>
    <tableColumn id="12" xr3:uid="{1158DE70-1E55-44D1-9B4B-404C57B002A6}" name="Place7" dataDxfId="1142">
      <calculatedColumnFormula>IF(K5=0," ",IF((RANK(K5,K$5:K$28,1)-COUNTIF(K$5:K$28,0)&gt;6)," ",RANK(K5,K$5:K$28,1)-COUNTIF(K$5:K$28,0)))</calculatedColumnFormula>
    </tableColumn>
    <tableColumn id="13" xr3:uid="{2F567C24-805B-4EC0-8B0E-9E5CD06E65B1}" name="Points8" dataDxfId="1141">
      <calculatedColumnFormula>IF(M5=" "," ",IFERROR(VLOOKUP(L5,Points!$A$2:$B$14,2,FALSE)," "))</calculatedColumnFormula>
    </tableColumn>
    <tableColumn id="14" xr3:uid="{3FE298B8-E4E3-41AB-B036-8EDCD3C6C22C}" name="Time/Score9" dataDxfId="1140" dataCellStyle="Comma"/>
    <tableColumn id="15" xr3:uid="{5EED0C7C-A944-4452-8757-D3A3D4ECE871}" name="Time/Score10" dataDxfId="1139">
      <calculatedColumnFormula>IF(O5=0," ",_xlfn.RANK.AVG(O5,O$5:O$28,1)-COUNTIF(O$5:O$28,0))</calculatedColumnFormula>
    </tableColumn>
    <tableColumn id="16" xr3:uid="{43D355B2-4661-4EC3-B324-3D5A1332067E}" name="Place10" dataDxfId="1138">
      <calculatedColumnFormula>IF(O5=0," ",IF((RANK(O5,O$5:O$28,1)-COUNTIF(O$5:O$28,0)&gt;6)," ",RANK(O5,O$5:O$28,1)-COUNTIF(O$5:O$28,0)))</calculatedColumnFormula>
    </tableColumn>
    <tableColumn id="17" xr3:uid="{766979D2-5529-411C-BBC2-782EEF46EEB9}" name="Points11" dataDxfId="1137">
      <calculatedColumnFormula>IF(Q5=" "," ",IFERROR(VLOOKUP(P5,Points!$A$2:$B$14,2,FALSE)," "))</calculatedColumnFormula>
    </tableColumn>
    <tableColumn id="18" xr3:uid="{35E89A28-3CD2-4C5B-ADC4-C002A5739D6A}" name="Time/Score12" dataDxfId="1136" dataCellStyle="Comma"/>
    <tableColumn id="19" xr3:uid="{78469E15-BD96-4E00-9E4D-E7835C49D34E}" name="Time/Score13" dataDxfId="1135">
      <calculatedColumnFormula>IF(S5=0," ",_xlfn.RANK.AVG(S5,S$5:S$28,1)-COUNTIF(S$5:S$28,0))</calculatedColumnFormula>
    </tableColumn>
    <tableColumn id="20" xr3:uid="{85C7132E-CC03-4240-92F7-29B94403FDF5}" name="Place13" dataDxfId="1134">
      <calculatedColumnFormula>IF(S5=0," ",IF((RANK(S5,S$5:S$28,1)-COUNTIF(S$5:S$28,0)&gt;6)," ",RANK(S5,S$5:S$28,1)-COUNTIF(S$5:S$28,0)))</calculatedColumnFormula>
    </tableColumn>
    <tableColumn id="21" xr3:uid="{728B2427-C780-4118-BC01-1E756ADC7298}" name="Points14" dataDxfId="1133">
      <calculatedColumnFormula>IF(U5=" "," ",IFERROR(VLOOKUP(T5,Points!$A$2:$B$14,2,FALSE)," "))</calculatedColumnFormula>
    </tableColumn>
    <tableColumn id="22" xr3:uid="{B55E329B-22D0-4AD9-90DE-18A772956F24}" name="Time/Score15" dataDxfId="1132" dataCellStyle="Comma"/>
    <tableColumn id="23" xr3:uid="{BF1043DE-FF1B-4EA7-9441-46EBE80F01AA}" name="Time/Score16" dataDxfId="1131">
      <calculatedColumnFormula>IF(W5=0," ",_xlfn.RANK.AVG(W5,W$5:W$28,1)-COUNTIF(W$5:W$28,0))</calculatedColumnFormula>
    </tableColumn>
    <tableColumn id="24" xr3:uid="{CEFE28A4-BD4A-4E0E-8563-78AB4A42ED04}" name="Place16" dataDxfId="1130">
      <calculatedColumnFormula>IF(W5=0," ",IF((RANK(W5,W$5:W$28,1)-COUNTIF(W$5:W$28,0)&gt;6)," ",RANK(W5,W$5:W$28,1)-COUNTIF(W$5:W$28,0)))</calculatedColumnFormula>
    </tableColumn>
    <tableColumn id="25" xr3:uid="{2A54C009-9D12-4B99-AEB4-970CCD989B42}" name="Points17" dataDxfId="1129">
      <calculatedColumnFormula>IF(Y5=" "," ",IFERROR(VLOOKUP(X5,Points!$A$2:$B$14,2,FALSE)," "))</calculatedColumnFormula>
    </tableColumn>
    <tableColumn id="26" xr3:uid="{C54AF0F7-5857-487C-B89A-C1127D745289}" name="Time/Score18" dataDxfId="1128" dataCellStyle="Comma"/>
    <tableColumn id="27" xr3:uid="{AB275F38-3359-4CE3-BC03-C21C36E43C7B}" name="Time/Score19" dataDxfId="1127">
      <calculatedColumnFormula>IF(AA5=0," ",_xlfn.RANK.AVG(AA5,AA$5:AA$28,1)-COUNTIF(AA$5:AA$28,0))</calculatedColumnFormula>
    </tableColumn>
    <tableColumn id="28" xr3:uid="{24F8AC5D-29FC-47AF-8EE9-61054437AC6C}" name="Place19" dataDxfId="1126">
      <calculatedColumnFormula>IF(AA5=0," ",IF((RANK(AA5,AA$5:AA$28,1)-COUNTIF(AA$5:AA$28,0)&gt;6)," ",RANK(AA5,AA$5:AA$28,1)-COUNTIF(AA$5:AA$28,0)))</calculatedColumnFormula>
    </tableColumn>
    <tableColumn id="29" xr3:uid="{50C81297-2B97-45CE-961E-D86C5084746A}" name="Points20" dataDxfId="1125">
      <calculatedColumnFormula>IF(AC5=" "," ",IFERROR(VLOOKUP(AB5,Points!$A$2:$B$14,2,FALSE)," "))</calculatedColumnFormula>
    </tableColumn>
    <tableColumn id="30" xr3:uid="{03BA602D-2D91-4502-AFD3-D574E4520A58}" name="Time/Score21" dataDxfId="1124" dataCellStyle="Comma">
      <calculatedColumnFormula>IF(OR(W5=0,AA5=0)," ",W5+AA5)</calculatedColumnFormula>
    </tableColumn>
    <tableColumn id="31" xr3:uid="{70807400-819C-4BFF-B97C-A11062C97135}" name="Time/Score22" dataDxfId="1123">
      <calculatedColumnFormula>IF(OR(AE5=0,AE5=" ")," ",_xlfn.RANK.AVG(AE5,AE$5:AE$28,1)-COUNTIF(AE$5:AE$28,0))</calculatedColumnFormula>
    </tableColumn>
    <tableColumn id="32" xr3:uid="{07434357-E1A3-472C-A6B4-112665FF298B}" name="Place22" dataDxfId="1122">
      <calculatedColumnFormula>IF(OR(AE5=0,AE5=" ")," ",IF((RANK(AE5,AE$5:AE$28,1)-COUNTIF(AE$5:AE$28,0)&gt;6)," ",RANK(AE5,AE$5:AE$28,1)-COUNTIF(AE$5:AE$28,0)))</calculatedColumnFormula>
    </tableColumn>
    <tableColumn id="33" xr3:uid="{2DBA2904-F1D9-4FF9-AD86-327157E9DF45}" name="Points23" dataDxfId="1121">
      <calculatedColumnFormula>IF(AG5=" "," ",IFERROR(VLOOKUP(AG5,Points!$A$2:$B$14,2,FALSE)," "))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0D3C110-C5AC-4315-998B-CC9AD9C80A48}" name="Table622027323334171819305148" displayName="Table622027323334171819305148" ref="B4:N24" totalsRowShown="0" headerRowDxfId="1120" dataDxfId="1119" tableBorderDxfId="1118">
  <autoFilter ref="B4:N24" xr:uid="{89B1FF52-34AE-480D-BF76-50E05053D0D8}"/>
  <sortState xmlns:xlrd2="http://schemas.microsoft.com/office/spreadsheetml/2017/richdata2" ref="B5:N24">
    <sortCondition ref="N5:N24"/>
    <sortCondition ref="B5:B24"/>
  </sortState>
  <tableColumns count="13">
    <tableColumn id="1" xr3:uid="{B350C82E-F348-45CD-B7BC-884293BB3545}" name="Name" dataDxfId="1117"/>
    <tableColumn id="37" xr3:uid="{3CE8BEC0-51B9-496E-9FB0-B705BE0DF27A}" name="Non-Member" dataDxfId="1116"/>
    <tableColumn id="5" xr3:uid="{592AA70C-F99B-49E6-8746-706ED9A36E3B}" name="Points" dataDxfId="1115"/>
    <tableColumn id="9" xr3:uid="{86D69008-18EE-4017-B1BB-3CFE09F9E6DD}" name="Points5" dataDxfId="1114"/>
    <tableColumn id="13" xr3:uid="{6D96EB08-E0BA-415C-AC84-80EE8818EEDE}" name="Points8" dataDxfId="1113"/>
    <tableColumn id="17" xr3:uid="{3F2458C7-9851-4655-AA92-3D501ACE78B1}" name="Points11" dataDxfId="1112"/>
    <tableColumn id="21" xr3:uid="{34968184-BA90-4157-8BDF-307BE7AFDDB5}" name="Points14" dataDxfId="1111"/>
    <tableColumn id="25" xr3:uid="{F53F1EAB-6C2B-42FB-9FA6-DE71CE2713F1}" name="Points17" dataDxfId="1110"/>
    <tableColumn id="29" xr3:uid="{ED10737E-261D-46C5-BE1B-6F6C848D65C5}" name="Points20" dataDxfId="1109"/>
    <tableColumn id="33" xr3:uid="{190A2B4F-EAFF-4F64-B08B-532370CAA9C3}" name="Points23" dataDxfId="1108"/>
    <tableColumn id="34" xr3:uid="{1037C357-415B-46FE-9C8D-4A32B01A5EF8}" name="Points24" dataDxfId="1107">
      <calculatedColumnFormula>IF(Table622027323334171819305148[[#This Row],[Non-Member]]="X"," ",((IF(D5=" ",0,D5))+(IF(E5=" ",0,E5))+(IF(F5=" ",0,F5))+(IF(G5=" ",0,G5))+(IF(H5=" ",0,H5))+(IF(I5=" ",0,I5))+(IF(J5=" ",0,J5))+(IF(K5=" ",0,K5))))</calculatedColumnFormula>
    </tableColumn>
    <tableColumn id="35" xr3:uid="{E9ACE237-AABA-4032-8059-7D29DF2267DE}" name="Points25" dataDxfId="1106" dataCellStyle="Comma">
      <calculatedColumnFormula>IF(L5=0," ",L5)</calculatedColumnFormula>
    </tableColumn>
    <tableColumn id="36" xr3:uid="{72719305-A0AB-49A3-A244-4E2E2382A2DF}" name="Place26" dataDxfId="1105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369EA0C-C975-4854-90C2-68B9F6607941}" name="Table62202732333417181930" displayName="Table62202732333417181930" ref="B4:AL24" totalsRowShown="0" headerRowDxfId="1104" dataDxfId="1103" tableBorderDxfId="1102">
  <autoFilter ref="B4:AL24" xr:uid="{89B1FF52-34AE-480D-BF76-50E05053D0D8}"/>
  <sortState xmlns:xlrd2="http://schemas.microsoft.com/office/spreadsheetml/2017/richdata2" ref="B5:AL24">
    <sortCondition ref="AL4:AL24"/>
  </sortState>
  <tableColumns count="37">
    <tableColumn id="1" xr3:uid="{AA1D365E-3822-4396-A93C-E87CD9D9B30E}" name="Name" dataDxfId="1101"/>
    <tableColumn id="37" xr3:uid="{37C503F4-891A-483E-8404-0AAA805EDE8A}" name="Non-Member" dataDxfId="1100"/>
    <tableColumn id="2" xr3:uid="{F942F784-69B6-4914-BC96-E43122F7D54D}" name="Time/Score" dataDxfId="1099" dataCellStyle="Comma"/>
    <tableColumn id="3" xr3:uid="{CB260094-8568-4262-8284-E77A844EB8B3}" name="Column2" dataDxfId="1098">
      <calculatedColumnFormula>IF(D5=0," ",_xlfn.RANK.AVG(D5,D$5:D$24,1)-COUNTIF(D$5:D$24,0))</calculatedColumnFormula>
    </tableColumn>
    <tableColumn id="4" xr3:uid="{17608EC8-AE07-48B2-B0C0-FF1C2A5CAE70}" name="Place" dataDxfId="1097">
      <calculatedColumnFormula>IF(D5=0," ",IF((RANK(D5,D$5:D$24,1)-COUNTIF(D$5:D$24,0)&gt;6)," ",RANK(D5,D$5:D$24,1)-COUNTIF(D$5:D$24,0)))</calculatedColumnFormula>
    </tableColumn>
    <tableColumn id="5" xr3:uid="{61182498-6005-47C3-87F1-24E9898691C0}" name="Points" dataDxfId="1096">
      <calculatedColumnFormula>IF(Table62202732333417181930[[#This Row],[Non-Member]]="X"," ",IF(F5=" "," ",IFERROR(VLOOKUP(E5,Points!$A$2:$B$14,2,FALSE)," ")))</calculatedColumnFormula>
    </tableColumn>
    <tableColumn id="6" xr3:uid="{42569039-2871-462E-B2D3-A874F1BF024D}" name="Time/Score3" dataDxfId="1095" dataCellStyle="Comma"/>
    <tableColumn id="7" xr3:uid="{42E60E78-3EEC-4AAE-A112-3B8404DD877B}" name="Time/Score4" dataDxfId="1094">
      <calculatedColumnFormula>IF(H5=0," ",_xlfn.RANK.AVG(H5,H$5:H$24,1)-COUNTIF(H$5:H$24,0))</calculatedColumnFormula>
    </tableColumn>
    <tableColumn id="8" xr3:uid="{2FFF4D62-DC4E-4CB8-8253-EC8BC47FAA9F}" name="Place4" dataDxfId="1093">
      <calculatedColumnFormula>IF(H5=0," ",IF((RANK(H5,H$5:H$24,1)-COUNTIF(H$5:H$24,0)&gt;6)," ",RANK(H5,H$5:H$24,1)-COUNTIF(H$5:H$24,0)))</calculatedColumnFormula>
    </tableColumn>
    <tableColumn id="9" xr3:uid="{C0007DB8-202F-4466-95E1-49F51A45CEF3}" name="Points5" dataDxfId="1092">
      <calculatedColumnFormula>IF(Table62202732333417181930[[#This Row],[Non-Member]]="X"," ",IF(J5=" "," ",IFERROR(VLOOKUP(I5,Points!$A$2:$B$14,2,FALSE)," ")))</calculatedColumnFormula>
    </tableColumn>
    <tableColumn id="10" xr3:uid="{3A63A4A7-8CCC-4A19-91D7-A929C8F3BDA1}" name="Time/Score6" dataDxfId="1091" dataCellStyle="Comma"/>
    <tableColumn id="11" xr3:uid="{57EE5A38-6CC1-4D30-9313-97C91BD051ED}" name="Time/Score7" dataDxfId="1090">
      <calculatedColumnFormula>IF(L5=0," ",_xlfn.RANK.AVG(L5,L$5:L$24,1)-COUNTIF(L$5:L$24,0))</calculatedColumnFormula>
    </tableColumn>
    <tableColumn id="12" xr3:uid="{B4F0DE43-67C5-4854-88FD-A1C6A1747A28}" name="Place7" dataDxfId="1089">
      <calculatedColumnFormula>IF(L5=0," ",IF((RANK(L5,L$5:L$24,1)-COUNTIF(L$5:L$24,0)&gt;6)," ",RANK(L5,L$5:L$24,1)-COUNTIF(L$5:L$24,0)))</calculatedColumnFormula>
    </tableColumn>
    <tableColumn id="13" xr3:uid="{3709419A-CFE0-4DA5-B8AE-E6B399791BB1}" name="Points8" dataDxfId="1088">
      <calculatedColumnFormula>IF(Table62202732333417181930[[#This Row],[Non-Member]]="X"," ",IF(N5=" "," ",IFERROR(VLOOKUP(M5,Points!$A$2:$B$14,2,FALSE)," ")))</calculatedColumnFormula>
    </tableColumn>
    <tableColumn id="14" xr3:uid="{E6D6DD0A-4B2E-4835-8368-8F24E76B2B3A}" name="Time/Score9" dataDxfId="1087" dataCellStyle="Comma"/>
    <tableColumn id="15" xr3:uid="{9513BD27-4273-4D55-B98E-BBE4970599B1}" name="Time/Score10" dataDxfId="1086">
      <calculatedColumnFormula>IF(P5=0," ",_xlfn.RANK.AVG(P5,P$5:P$24,1)-COUNTIF(P$5:P$24,0))</calculatedColumnFormula>
    </tableColumn>
    <tableColumn id="16" xr3:uid="{7047AA85-4DF7-41D5-AD27-16E9977C19AD}" name="Place10" dataDxfId="1085">
      <calculatedColumnFormula>IF(P5=0," ",IF((RANK(P5,P$5:P$24,1)-COUNTIF(P$5:P$24,0)&gt;6)," ",RANK(P5,P$5:P$24,1)-COUNTIF(P$5:P$24,0)))</calculatedColumnFormula>
    </tableColumn>
    <tableColumn id="17" xr3:uid="{BFF5FB01-BC88-4FD0-8798-10B1B2C0F8E1}" name="Points11" dataDxfId="1084">
      <calculatedColumnFormula>IF(Table62202732333417181930[[#This Row],[Non-Member]]="X"," ",IF(R5=" "," ",IFERROR(VLOOKUP(Q5,Points!$A$2:$B$14,2,FALSE)," ")))</calculatedColumnFormula>
    </tableColumn>
    <tableColumn id="18" xr3:uid="{5890A2CE-E768-4426-AB92-108879C650B0}" name="Time/Score12" dataDxfId="1083" dataCellStyle="Comma"/>
    <tableColumn id="19" xr3:uid="{B717DE7C-8660-4942-8689-AE45BD00D29B}" name="Time/Score13" dataDxfId="1082">
      <calculatedColumnFormula>IF(T5=0," ",_xlfn.RANK.AVG(T5,T$5:T$24,1)-COUNTIF(T$5:T$24,0))</calculatedColumnFormula>
    </tableColumn>
    <tableColumn id="20" xr3:uid="{E0BD41F2-5E1E-4E3B-9DF7-8F41E3817933}" name="Place13" dataDxfId="1081">
      <calculatedColumnFormula>IF(T5=0," ",IF((RANK(T5,T$5:T$24,1)-COUNTIF(T$5:T$24,0)&gt;6)," ",RANK(T5,T$5:T$24,1)-COUNTIF(T$5:T$24,0)))</calculatedColumnFormula>
    </tableColumn>
    <tableColumn id="21" xr3:uid="{48120795-E3A1-443A-B3A6-B9C7D11ECC97}" name="Points14" dataDxfId="1080">
      <calculatedColumnFormula>IF(Table62202732333417181930[[#This Row],[Non-Member]]="X"," ",IF(V5=" "," ",IFERROR(VLOOKUP(U5,Points!$A$2:$B$14,2,FALSE)," ")))</calculatedColumnFormula>
    </tableColumn>
    <tableColumn id="22" xr3:uid="{E9C1F10A-DF22-45D9-9CE0-30F5B11A17AE}" name="Time/Score15" dataDxfId="1079" dataCellStyle="Comma"/>
    <tableColumn id="23" xr3:uid="{B005A587-0FE2-435B-9497-38BC0CB782AE}" name="Time/Score16" dataDxfId="1078">
      <calculatedColumnFormula>IF(X5=0," ",_xlfn.RANK.AVG(X5,X$5:X$24,1)-COUNTIF(X$5:X$24,0))</calculatedColumnFormula>
    </tableColumn>
    <tableColumn id="24" xr3:uid="{DF08992C-6A92-4B92-8A1C-094B8B3A9E47}" name="Place16" dataDxfId="1077">
      <calculatedColumnFormula>IF(X5=0," ",IF((RANK(X5,X$5:X$24,1)-COUNTIF(X$5:X$24,0)&gt;6)," ",RANK(X5,X$5:X$24,1)-COUNTIF(X$5:X$24,0)))</calculatedColumnFormula>
    </tableColumn>
    <tableColumn id="25" xr3:uid="{9DCFD616-B9A1-42B4-98E3-95682FE5938F}" name="Points17" dataDxfId="1076">
      <calculatedColumnFormula>IF(Table62202732333417181930[[#This Row],[Non-Member]]="X"," ",IF(Z5=" "," ",IFERROR(VLOOKUP(Y5,Points!$A$2:$B$14,2,FALSE)," ")))</calculatedColumnFormula>
    </tableColumn>
    <tableColumn id="26" xr3:uid="{336D5080-5415-460C-B358-F65EB50E15DB}" name="Time/Score18" dataDxfId="1075" dataCellStyle="Comma"/>
    <tableColumn id="27" xr3:uid="{93AC5332-867C-4F5A-ADB8-3FD8BDCCF754}" name="Time/Score19" dataDxfId="1074">
      <calculatedColumnFormula>IF(AB5=0," ",_xlfn.RANK.AVG(AB5,AB$5:AB$24,1)-COUNTIF(AB$5:AB$24,0))</calculatedColumnFormula>
    </tableColumn>
    <tableColumn id="28" xr3:uid="{C7FE7E36-BC6D-41EB-BBC4-EE21D14B37D8}" name="Place19" dataDxfId="1073">
      <calculatedColumnFormula>IF(AB5=0," ",IF((RANK(AB5,AB$5:AB$24,1)-COUNTIF(AB$5:AB$24,0)&gt;6)," ",RANK(AB5,AB$5:AB$24,1)-COUNTIF(AB$5:AB$24,0)))</calculatedColumnFormula>
    </tableColumn>
    <tableColumn id="29" xr3:uid="{F08F02FC-9BC9-4F86-991B-2AC7E123C1D5}" name="Points20" dataDxfId="1072">
      <calculatedColumnFormula>IF(Table62202732333417181930[[#This Row],[Non-Member]]="X"," ",IF(AD5=" "," ",IFERROR(VLOOKUP(AC5,Points!$A$2:$B$14,2,FALSE)," ")))</calculatedColumnFormula>
    </tableColumn>
    <tableColumn id="30" xr3:uid="{CAA036CE-0A15-465B-98D8-6CDB66A09A09}" name="Time/Score21" dataDxfId="1071" dataCellStyle="Comma"/>
    <tableColumn id="31" xr3:uid="{3403BB21-5A2F-4E75-B1FB-00B551FDBCA7}" name="Time/Score22" dataDxfId="1070">
      <calculatedColumnFormula>IF(AF5=0," ",_xlfn.RANK.AVG(AF5,AF$5:AF$24,1)-COUNTIF(AF$5:AF$24,0))</calculatedColumnFormula>
    </tableColumn>
    <tableColumn id="32" xr3:uid="{425D0B8F-EE7D-4EF0-8115-F95DED8B4450}" name="Place22" dataDxfId="1069">
      <calculatedColumnFormula>IF(AF5=0," ",IF((RANK(AF5,AF$5:AF$24,1)-COUNTIF(AF$5:AF$24,0)&gt;6)," ",RANK(AF5,AF$5:AF$24,1)-COUNTIF(AF$5:AF$24,0)))</calculatedColumnFormula>
    </tableColumn>
    <tableColumn id="33" xr3:uid="{1396916B-5EBD-44C3-AA99-BD62C5C008ED}" name="Points23" dataDxfId="1068">
      <calculatedColumnFormula>IF(Table62202732333417181930[[#This Row],[Non-Member]]="X"," ",IF(AH5=" "," ",IFERROR(VLOOKUP(AG5,Points!$A$2:$B$14,2,FALSE)," ")))</calculatedColumnFormula>
    </tableColumn>
    <tableColumn id="34" xr3:uid="{0D487ACE-AD35-4962-B256-F11573A18F3F}" name="Points24" dataDxfId="1067">
      <calculatedColumnFormula>IF(Table62202732333417181930[[#This Row],[Non-Member]]="X"," ",((IF(G5=" ",0,G5))+(IF(K5=" ",0,K5))+(IF(O5=" ",0,O5))+(IF(S5=" ",0,S5))+(IF(W5=" ",0,W5))+(IF(AA5=" ",0,AA5))+(IF(AE5=" ",0,AE5))+(IF(AI5=" ",0,AI5))))</calculatedColumnFormula>
    </tableColumn>
    <tableColumn id="35" xr3:uid="{088B981A-09C3-4733-8656-F19D936D5F2A}" name="Points25" dataDxfId="1066" dataCellStyle="Comma">
      <calculatedColumnFormula>IF(AJ5=0," ",AJ5)</calculatedColumnFormula>
    </tableColumn>
    <tableColumn id="36" xr3:uid="{964105DA-26E0-4D4E-A679-B6700E8C8A11}" name="Place26" dataDxfId="106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5106C5D-0FE7-496D-8FAD-515D82C3D3FA}" name="Table6220273233341718193051479" displayName="Table6220273233341718193051479" ref="B4:N24" totalsRowShown="0" headerRowDxfId="1064" dataDxfId="1063" tableBorderDxfId="1062">
  <autoFilter ref="B4:N24" xr:uid="{89B1FF52-34AE-480D-BF76-50E05053D0D8}"/>
  <sortState xmlns:xlrd2="http://schemas.microsoft.com/office/spreadsheetml/2017/richdata2" ref="B5:N24">
    <sortCondition ref="N5:N24"/>
    <sortCondition ref="B5:B24"/>
  </sortState>
  <tableColumns count="13">
    <tableColumn id="1" xr3:uid="{9C0DC13C-8683-49CC-BB0D-E64D7F7399CD}" name="Name" dataDxfId="1061"/>
    <tableColumn id="37" xr3:uid="{047CF2F5-A581-46F8-B129-849AA60D26FE}" name="Non-Member" dataDxfId="1060"/>
    <tableColumn id="5" xr3:uid="{D7FC0769-2CE6-4A24-8766-6054DF49DEA2}" name="Points" dataDxfId="1059"/>
    <tableColumn id="9" xr3:uid="{1EB19F5D-C92C-446E-8198-018632D33554}" name="Points5" dataDxfId="1058"/>
    <tableColumn id="13" xr3:uid="{C417DE70-FF14-4078-9D19-BEA6B58325A6}" name="Points8" dataDxfId="1057"/>
    <tableColumn id="17" xr3:uid="{3F7A4FE3-0838-4E35-AF4C-88FE3AB2CCEE}" name="Points11" dataDxfId="1056"/>
    <tableColumn id="21" xr3:uid="{4150F791-A8B7-4684-8301-662CE7E80D04}" name="Points14" dataDxfId="1055"/>
    <tableColumn id="25" xr3:uid="{D08C6742-BDEA-4899-AE38-16C870305CBC}" name="Points17" dataDxfId="1054"/>
    <tableColumn id="29" xr3:uid="{E97845BE-8B14-45D0-B84A-95B4B0F6DD8B}" name="Points20" dataDxfId="1053"/>
    <tableColumn id="33" xr3:uid="{BCC18A2A-601C-4813-AC6F-7FA45A12AEB0}" name="Points23" dataDxfId="1052"/>
    <tableColumn id="34" xr3:uid="{EC947275-3010-4057-AC89-F8097BB3121A}" name="Points24" dataDxfId="1051">
      <calculatedColumnFormula>IF(Table6220273233341718193051479[[#This Row],[Non-Member]]="X"," ",((IF(D5=" ",0,D5))+(IF(E5=" ",0,E5))+(IF(F5=" ",0,F5))+(IF(G5=" ",0,G5))+(IF(H5=" ",0,H5))+(IF(I5=" ",0,I5))+(IF(J5=" ",0,J5))+(IF(K5=" ",0,K5))))</calculatedColumnFormula>
    </tableColumn>
    <tableColumn id="35" xr3:uid="{DE79B6F4-1DB1-42D4-809A-39FFC106EC9E}" name="Points25" dataDxfId="1050" dataCellStyle="Comma">
      <calculatedColumnFormula>IF(L5=0," ",L5)</calculatedColumnFormula>
    </tableColumn>
    <tableColumn id="36" xr3:uid="{825E354A-D9DF-4DF7-9AB9-CFA78FF8A6B5}" name="Place26" dataDxfId="1049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3192FD9-1F48-42C6-92E9-7926F855F0E1}" name="Table6220273233341718193046" displayName="Table6220273233341718193046" ref="B4:AL24" totalsRowShown="0" headerRowDxfId="1048" dataDxfId="1047" tableBorderDxfId="1046">
  <autoFilter ref="B4:AL24" xr:uid="{89B1FF52-34AE-480D-BF76-50E05053D0D8}"/>
  <sortState xmlns:xlrd2="http://schemas.microsoft.com/office/spreadsheetml/2017/richdata2" ref="B5:AL24">
    <sortCondition ref="AL4:AL24"/>
  </sortState>
  <tableColumns count="37">
    <tableColumn id="1" xr3:uid="{4B3190FB-F1A5-4C25-B8B0-CD97927008E6}" name="Name" dataDxfId="1045"/>
    <tableColumn id="37" xr3:uid="{C8ED8156-D54C-459E-98D6-D6AEFC39F3A8}" name="Non-Member" dataDxfId="1044"/>
    <tableColumn id="2" xr3:uid="{5B3458AA-F4B0-4986-A293-0D9333FE4072}" name="Time/Score" dataDxfId="1043" dataCellStyle="Comma"/>
    <tableColumn id="3" xr3:uid="{62A70874-87EF-4557-A236-3075B94A3D97}" name="Column2" dataDxfId="1042">
      <calculatedColumnFormula>IF(D5=0," ",_xlfn.RANK.AVG(D5,D$5:D$24,1)-COUNTIF(D$5:D$24,0))</calculatedColumnFormula>
    </tableColumn>
    <tableColumn id="4" xr3:uid="{5506799A-6619-472E-B45D-32EDD03EB348}" name="Place" dataDxfId="1041">
      <calculatedColumnFormula>IF(D5=0," ",IF((RANK(D5,D$5:D$24,1)-COUNTIF(D$5:D$24,0)&gt;6)," ",RANK(D5,D$5:D$24,1)-COUNTIF(D$5:D$24,0)))</calculatedColumnFormula>
    </tableColumn>
    <tableColumn id="5" xr3:uid="{5B66F4CB-5B9F-40C3-8988-AB847729800B}" name="Points" dataDxfId="1040">
      <calculatedColumnFormula>IF(Table6220273233341718193046[[#This Row],[Non-Member]]="X"," ",IF(F5=" "," ",IFERROR(VLOOKUP(E5,Points!$A$2:$B$14,2,FALSE)," ")))</calculatedColumnFormula>
    </tableColumn>
    <tableColumn id="6" xr3:uid="{1FC1CC8E-81DE-4E2F-9AC7-B5D7AD2E748A}" name="Time/Score3" dataDxfId="1039" dataCellStyle="Comma"/>
    <tableColumn id="7" xr3:uid="{B0B5C986-CC42-48B8-A569-07052336A0B1}" name="Time/Score4" dataDxfId="1038">
      <calculatedColumnFormula>IF(H5=0," ",_xlfn.RANK.AVG(H5,H$5:H$24,1)-COUNTIF(H$5:H$24,0))</calculatedColumnFormula>
    </tableColumn>
    <tableColumn id="8" xr3:uid="{5D95A8CF-9A86-4C36-96E2-0E71C5A4B7B8}" name="Place4" dataDxfId="1037">
      <calculatedColumnFormula>IF(H5=0," ",IF((RANK(H5,H$5:H$24,1)-COUNTIF(H$5:H$24,0)&gt;6)," ",RANK(H5,H$5:H$24,1)-COUNTIF(H$5:H$24,0)))</calculatedColumnFormula>
    </tableColumn>
    <tableColumn id="9" xr3:uid="{C626964A-A7BA-46DB-A26B-F8DCCBDC5093}" name="Points5" dataDxfId="1036">
      <calculatedColumnFormula>IF(Table6220273233341718193046[[#This Row],[Non-Member]]="X"," ",IF(J5=" "," ",IFERROR(VLOOKUP(I5,Points!$A$2:$B$14,2,FALSE)," ")))</calculatedColumnFormula>
    </tableColumn>
    <tableColumn id="10" xr3:uid="{B2B448E8-D9C7-47CD-BB09-C39B75D9B6F4}" name="Time/Score6" dataDxfId="1035" dataCellStyle="Comma"/>
    <tableColumn id="11" xr3:uid="{2053C2B4-5399-4673-8584-6145F5D4BF1C}" name="Time/Score7" dataDxfId="1034">
      <calculatedColumnFormula>IF(L5=0," ",_xlfn.RANK.AVG(L5,L$5:L$24,1)-COUNTIF(L$5:L$24,0))</calculatedColumnFormula>
    </tableColumn>
    <tableColumn id="12" xr3:uid="{FD190DA7-B3A8-4720-B4EB-58716718D70A}" name="Place7" dataDxfId="1033">
      <calculatedColumnFormula>IF(L5=0," ",IF((RANK(L5,L$5:L$24,1)-COUNTIF(L$5:L$24,0)&gt;6)," ",RANK(L5,L$5:L$24,1)-COUNTIF(L$5:L$24,0)))</calculatedColumnFormula>
    </tableColumn>
    <tableColumn id="13" xr3:uid="{26F18495-B229-40D5-9C39-4C7BA0EF8DDC}" name="Points8" dataDxfId="1032">
      <calculatedColumnFormula>IF(Table6220273233341718193046[[#This Row],[Non-Member]]="X"," ",IF(N5=" "," ",IFERROR(VLOOKUP(M5,Points!$A$2:$B$14,2,FALSE)," ")))</calculatedColumnFormula>
    </tableColumn>
    <tableColumn id="14" xr3:uid="{BDFB795A-684B-430A-A16D-373F26DAFDC8}" name="Time/Score9" dataDxfId="1031" dataCellStyle="Comma"/>
    <tableColumn id="15" xr3:uid="{194477BB-2025-45C9-A751-DB2D72861305}" name="Time/Score10" dataDxfId="1030">
      <calculatedColumnFormula>IF(P5=0," ",_xlfn.RANK.AVG(P5,P$5:P$24,1)-COUNTIF(P$5:P$24,0))</calculatedColumnFormula>
    </tableColumn>
    <tableColumn id="16" xr3:uid="{86794148-2B65-49FF-BD56-9B4B14585FD6}" name="Place10" dataDxfId="1029">
      <calculatedColumnFormula>IF(P5=0," ",IF((RANK(P5,P$5:P$24,1)-COUNTIF(P$5:P$24,0)&gt;6)," ",RANK(P5,P$5:P$24,1)-COUNTIF(P$5:P$24,0)))</calculatedColumnFormula>
    </tableColumn>
    <tableColumn id="17" xr3:uid="{F5F3CA77-0928-4F05-A434-8A546C7DE842}" name="Points11" dataDxfId="1028">
      <calculatedColumnFormula>IF(Table6220273233341718193046[[#This Row],[Non-Member]]="X"," ",IF(R5=" "," ",IFERROR(VLOOKUP(Q5,Points!$A$2:$B$14,2,FALSE)," ")))</calculatedColumnFormula>
    </tableColumn>
    <tableColumn id="18" xr3:uid="{C86E8022-22E0-4E26-A783-BFA775118BBE}" name="Time/Score12" dataDxfId="1027" dataCellStyle="Comma"/>
    <tableColumn id="19" xr3:uid="{CBB89997-E236-45AF-A22B-DE3042A7471B}" name="Time/Score13" dataDxfId="1026">
      <calculatedColumnFormula>IF(T5=0," ",_xlfn.RANK.AVG(T5,T$5:T$24,1)-COUNTIF(T$5:T$24,0))</calculatedColumnFormula>
    </tableColumn>
    <tableColumn id="20" xr3:uid="{A22787AE-7C9D-4542-88EB-6879907E8C66}" name="Place13" dataDxfId="1025">
      <calculatedColumnFormula>IF(T5=0," ",IF((RANK(T5,T$5:T$24,1)-COUNTIF(T$5:T$24,0)&gt;6)," ",RANK(T5,T$5:T$24,1)-COUNTIF(T$5:T$24,0)))</calculatedColumnFormula>
    </tableColumn>
    <tableColumn id="21" xr3:uid="{5617CBC7-8B67-48F7-91D5-FC9B06D7A6E9}" name="Points14" dataDxfId="1024">
      <calculatedColumnFormula>IF(Table6220273233341718193046[[#This Row],[Non-Member]]="X"," ",IF(V5=" "," ",IFERROR(VLOOKUP(U5,Points!$A$2:$B$14,2,FALSE)," ")))</calculatedColumnFormula>
    </tableColumn>
    <tableColumn id="22" xr3:uid="{BFF579C4-7296-4B4B-B346-D1F822A1497B}" name="Time/Score15" dataDxfId="1023" dataCellStyle="Comma"/>
    <tableColumn id="23" xr3:uid="{088901E6-369B-4195-8A91-A8BEC2CDF859}" name="Time/Score16" dataDxfId="1022">
      <calculatedColumnFormula>IF(X5=0," ",_xlfn.RANK.AVG(X5,X$5:X$24,1)-COUNTIF(X$5:X$24,0))</calculatedColumnFormula>
    </tableColumn>
    <tableColumn id="24" xr3:uid="{7AF1E7F9-2F9A-44C0-8C0D-0ACA37B8F90E}" name="Place16" dataDxfId="1021">
      <calculatedColumnFormula>IF(X5=0," ",IF((RANK(X5,X$5:X$24,1)-COUNTIF(X$5:X$24,0)&gt;6)," ",RANK(X5,X$5:X$24,1)-COUNTIF(X$5:X$24,0)))</calculatedColumnFormula>
    </tableColumn>
    <tableColumn id="25" xr3:uid="{372811A4-F9D9-4173-8373-E3C6D5F91AC6}" name="Points17" dataDxfId="1020">
      <calculatedColumnFormula>IF(Table6220273233341718193046[[#This Row],[Non-Member]]="X"," ",IF(Z5=" "," ",IFERROR(VLOOKUP(Y5,Points!$A$2:$B$14,2,FALSE)," ")))</calculatedColumnFormula>
    </tableColumn>
    <tableColumn id="26" xr3:uid="{01E0D22B-6347-4854-AABE-3932F99F2878}" name="Time/Score18" dataDxfId="1019" dataCellStyle="Comma"/>
    <tableColumn id="27" xr3:uid="{5D42EDB8-376F-4635-9D67-966CC531C645}" name="Time/Score19" dataDxfId="1018">
      <calculatedColumnFormula>IF(AB5=0," ",_xlfn.RANK.AVG(AB5,AB$5:AB$24,1)-COUNTIF(AB$5:AB$24,0))</calculatedColumnFormula>
    </tableColumn>
    <tableColumn id="28" xr3:uid="{31287C1B-BF85-4C36-8895-2EEB92BA3646}" name="Place19" dataDxfId="1017">
      <calculatedColumnFormula>IF(AB5=0," ",IF((RANK(AB5,AB$5:AB$24,1)-COUNTIF(AB$5:AB$24,0)&gt;6)," ",RANK(AB5,AB$5:AB$24,1)-COUNTIF(AB$5:AB$24,0)))</calculatedColumnFormula>
    </tableColumn>
    <tableColumn id="29" xr3:uid="{72BA168B-C944-47BD-907F-A7C7541869B0}" name="Points20" dataDxfId="1016">
      <calculatedColumnFormula>IF(Table6220273233341718193046[[#This Row],[Non-Member]]="X"," ",IF(AD5=" "," ",IFERROR(VLOOKUP(AC5,Points!$A$2:$B$14,2,FALSE)," ")))</calculatedColumnFormula>
    </tableColumn>
    <tableColumn id="30" xr3:uid="{6470E0A2-0541-4109-91DE-484262A772FA}" name="Time/Score21" dataDxfId="1015" dataCellStyle="Comma"/>
    <tableColumn id="31" xr3:uid="{7F3FFAFF-ADB6-4F0F-A68B-A85F3C9D4A34}" name="Time/Score22" dataDxfId="1014">
      <calculatedColumnFormula>IF(AF5=0," ",_xlfn.RANK.AVG(AF5,AF$5:AF$24,1)-COUNTIF(AF$5:AF$24,0))</calculatedColumnFormula>
    </tableColumn>
    <tableColumn id="32" xr3:uid="{8AB9EFC1-5763-402F-AB8E-6D484EC49668}" name="Place22" dataDxfId="1013">
      <calculatedColumnFormula>IF(AF5=0," ",IF((RANK(AF5,AF$5:AF$24,1)-COUNTIF(AF$5:AF$24,0)&gt;6)," ",RANK(AF5,AF$5:AF$24,1)-COUNTIF(AF$5:AF$24,0)))</calculatedColumnFormula>
    </tableColumn>
    <tableColumn id="33" xr3:uid="{CBB0D387-DFFF-4B43-94C8-C2A4FC767740}" name="Points23" dataDxfId="1012">
      <calculatedColumnFormula>IF(Table6220273233341718193046[[#This Row],[Non-Member]]="X"," ",IF(AH5=" "," ",IFERROR(VLOOKUP(AG5,Points!$A$2:$B$14,2,FALSE)," ")))</calculatedColumnFormula>
    </tableColumn>
    <tableColumn id="34" xr3:uid="{F43A93CA-C4E2-4E13-AB86-472570825B2D}" name="Points24" dataDxfId="1011">
      <calculatedColumnFormula>IF(Table6220273233341718193046[[#This Row],[Non-Member]]="X"," ",((IF(G5=" ",0,G5))+(IF(K5=" ",0,K5))+(IF(O5=" ",0,O5))+(IF(S5=" ",0,S5))+(IF(W5=" ",0,W5))+(IF(AA5=" ",0,AA5))+(IF(AE5=" ",0,AE5))+(IF(AI5=" ",0,AI5))))</calculatedColumnFormula>
    </tableColumn>
    <tableColumn id="35" xr3:uid="{01C15D9F-DD86-4347-A16F-E45B89A05BA5}" name="Points25" dataDxfId="1010" dataCellStyle="Comma">
      <calculatedColumnFormula>IF(AJ5=0," ",AJ5)</calculatedColumnFormula>
    </tableColumn>
    <tableColumn id="36" xr3:uid="{E9224047-5BEA-40D1-8DB2-9CDC49478057}" name="Place26" dataDxfId="100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3DBFAE9-143E-456B-90F9-55E2991021FE}" name="Table622027321526" displayName="Table622027321526" ref="B4:AL24" totalsRowShown="0" headerRowDxfId="1008" dataDxfId="1007" tableBorderDxfId="1006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59803C00-4931-4200-817F-EDF2BF44221A}" name="Name" dataDxfId="1005"/>
    <tableColumn id="37" xr3:uid="{37979FA0-9C79-4B1C-A529-7BEA9ADCB6CB}" name="Non-Member" dataDxfId="1004"/>
    <tableColumn id="2" xr3:uid="{E2CC2979-749B-4613-BE1F-B7C36F5805A5}" name="Time/Score" dataDxfId="1003"/>
    <tableColumn id="3" xr3:uid="{01C27FF0-339D-4E92-8A2D-54A13FFEB492}" name="Column2" dataDxfId="1002">
      <calculatedColumnFormula>IF(D5=0," ",_xlfn.RANK.AVG(D5,D$5:D$24,0))</calculatedColumnFormula>
    </tableColumn>
    <tableColumn id="4" xr3:uid="{F07FF125-71BE-41E5-901F-B696464F51F1}" name="Place" dataDxfId="1001">
      <calculatedColumnFormula>IF(D5=0," ",IF((RANK(D5,D$5:D$24,0)&gt;6)," ",RANK(D5,D$5:D$24,0)))</calculatedColumnFormula>
    </tableColumn>
    <tableColumn id="5" xr3:uid="{C619B50F-7A57-4450-94AE-26882F993473}" name="Points" dataDxfId="1000">
      <calculatedColumnFormula>IF(Table622027321526[[#This Row],[Non-Member]]="X"," ",IF(F5=" "," ",IFERROR(VLOOKUP(E5,Points!$A$2:$B$14,2,FALSE)," ")))</calculatedColumnFormula>
    </tableColumn>
    <tableColumn id="6" xr3:uid="{2493CE0D-1B38-4AF5-B4EE-6C5AC0D6F3B4}" name="Time/Score3" dataDxfId="999"/>
    <tableColumn id="7" xr3:uid="{E80A3B17-7B9C-494C-B9E4-370C4A336010}" name="Time/Score4" dataDxfId="998">
      <calculatedColumnFormula>IF(H5=0," ",_xlfn.RANK.AVG(H5,H$5:H$24,0))</calculatedColumnFormula>
    </tableColumn>
    <tableColumn id="8" xr3:uid="{4AB86DAF-173E-4EBC-A203-310766D92544}" name="Place4" dataDxfId="997">
      <calculatedColumnFormula>IF(H5=0," ",IF((RANK(H5,H$5:H$24,0)&gt;6)," ",RANK(H5,H$5:H$24,0)))</calculatedColumnFormula>
    </tableColumn>
    <tableColumn id="9" xr3:uid="{F1B59D36-36D3-4F37-9790-7A99C6267C17}" name="Points5" dataDxfId="996">
      <calculatedColumnFormula>IF(Table622027321526[[#This Row],[Non-Member]]="X"," ",IF(J5=" "," ",IFERROR(VLOOKUP(I5,Points!$A$2:$B$14,2,FALSE)," ")))</calculatedColumnFormula>
    </tableColumn>
    <tableColumn id="10" xr3:uid="{F60A6011-CFA3-42E0-8630-542BA3FB5463}" name="Time/Score6" dataDxfId="995"/>
    <tableColumn id="11" xr3:uid="{03B3ABD6-3650-4B26-9D6A-1C55C324702D}" name="Time/Score7" dataDxfId="994">
      <calculatedColumnFormula>IF(L5=0," ",_xlfn.RANK.AVG(L5,L$5:L$24,0))</calculatedColumnFormula>
    </tableColumn>
    <tableColumn id="12" xr3:uid="{4FFC0B90-C9C7-4F1F-983B-A91A6673F137}" name="Place7" dataDxfId="993">
      <calculatedColumnFormula>IF(L5=0," ",IF((RANK(L5,L$5:L$24,0)&gt;6)," ",RANK(L5,L$5:L$24,0)))</calculatedColumnFormula>
    </tableColumn>
    <tableColumn id="13" xr3:uid="{60E84C07-FE12-420E-92BB-72CA9B12A022}" name="Points8" dataDxfId="992">
      <calculatedColumnFormula>IF(Table622027321526[[#This Row],[Non-Member]]="X"," ",IF(N5=" "," ",IFERROR(VLOOKUP(M5,Points!$A$2:$B$14,2,FALSE)," ")))</calculatedColumnFormula>
    </tableColumn>
    <tableColumn id="14" xr3:uid="{A6A0D635-443E-4C3F-A5F8-0CCC0D373FA0}" name="Time/Score9" dataDxfId="991"/>
    <tableColumn id="15" xr3:uid="{8A3079C6-4B8C-436C-AE6E-46C86DAD5A72}" name="Time/Score10" dataDxfId="990">
      <calculatedColumnFormula>IF(P5=0," ",_xlfn.RANK.AVG(P5,P$5:P$24,0))</calculatedColumnFormula>
    </tableColumn>
    <tableColumn id="16" xr3:uid="{20BDA286-4727-44CF-A6E0-AF7C21B45DC8}" name="Place10" dataDxfId="989">
      <calculatedColumnFormula>IF(P5=0," ",IF((RANK(P5,P$5:P$24,0)&gt;6)," ",RANK(P5,P$5:P$24,0)))</calculatedColumnFormula>
    </tableColumn>
    <tableColumn id="17" xr3:uid="{1C5A9731-6643-40B7-8BC9-AD611E8C9217}" name="Points11" dataDxfId="988">
      <calculatedColumnFormula>IF(Table622027321526[[#This Row],[Non-Member]]="X"," ",IF(R5=" "," ",IFERROR(VLOOKUP(Q5,Points!$A$2:$B$14,2,FALSE)," ")))</calculatedColumnFormula>
    </tableColumn>
    <tableColumn id="18" xr3:uid="{649E2B70-86B7-477F-8877-5B7DBEF0C052}" name="Time/Score12" dataDxfId="987"/>
    <tableColumn id="19" xr3:uid="{315FDB84-BD02-4130-B682-2A6542478B3B}" name="Time/Score13" dataDxfId="986">
      <calculatedColumnFormula>IF(T5=0," ",_xlfn.RANK.AVG(T5,T$5:T$24,0))</calculatedColumnFormula>
    </tableColumn>
    <tableColumn id="20" xr3:uid="{72CC01DD-57F3-4064-8FA5-BE1FCDD37000}" name="Place13" dataDxfId="985">
      <calculatedColumnFormula>IF(T5=0," ",IF((RANK(T5,T$5:T$24,0)&gt;6)," ",RANK(T5,T$5:T$24,0)))</calculatedColumnFormula>
    </tableColumn>
    <tableColumn id="21" xr3:uid="{E75ED0BD-F4BE-42C3-A169-2DAD15E043EC}" name="Points14" dataDxfId="984">
      <calculatedColumnFormula>IF(Table622027321526[[#This Row],[Non-Member]]="X"," ",IF(V5=" "," ",IFERROR(VLOOKUP(U5,Points!$A$2:$B$14,2,FALSE)," ")))</calculatedColumnFormula>
    </tableColumn>
    <tableColumn id="22" xr3:uid="{EE8A0EF5-84E3-4675-BBF8-4591729A4A8D}" name="Time/Score15" dataDxfId="983"/>
    <tableColumn id="23" xr3:uid="{E46A136C-F3A1-4547-87C7-604375871122}" name="Time/Score16" dataDxfId="982">
      <calculatedColumnFormula>IF(X5=0," ",_xlfn.RANK.AVG(X5,X$5:X$24,0))</calculatedColumnFormula>
    </tableColumn>
    <tableColumn id="24" xr3:uid="{EC1D14D8-3770-4D77-8630-E0C386015790}" name="Place16" dataDxfId="981">
      <calculatedColumnFormula>IF(X5=0," ",IF((RANK(X5,X$5:X$24,0)&gt;6)," ",RANK(X5,X$5:X$24,0)))</calculatedColumnFormula>
    </tableColumn>
    <tableColumn id="25" xr3:uid="{F00B1434-1025-49CD-A3B0-63A4CF084493}" name="Points17" dataDxfId="980">
      <calculatedColumnFormula>IF(Table622027321526[[#This Row],[Non-Member]]="X"," ",IF(Z5=" "," ",IFERROR(VLOOKUP(Y5,Points!$A$2:$B$14,2,FALSE)," ")))</calculatedColumnFormula>
    </tableColumn>
    <tableColumn id="26" xr3:uid="{81ACB15D-D7DB-4645-9C9B-5AB05C33EEAE}" name="Time/Score18" dataDxfId="979"/>
    <tableColumn id="27" xr3:uid="{7B9D4E17-DEB7-4334-8779-DB6F3A759845}" name="Time/Score19" dataDxfId="978">
      <calculatedColumnFormula>IF(AB5=0," ",_xlfn.RANK.AVG(AB5,AB$5:AB$24,0))</calculatedColumnFormula>
    </tableColumn>
    <tableColumn id="28" xr3:uid="{F99F258E-C204-4058-A841-336F0BA81BE7}" name="Place19" dataDxfId="977">
      <calculatedColumnFormula>IF(AB5=0," ",IF((RANK(AB5,AB$5:AB$24,0)&gt;6)," ",RANK(AB5,AB$5:AB$24,0)))</calculatedColumnFormula>
    </tableColumn>
    <tableColumn id="29" xr3:uid="{229166BE-3131-4C10-85AD-F61B8B358CA1}" name="Points20" dataDxfId="976">
      <calculatedColumnFormula>IF(Table622027321526[[#This Row],[Non-Member]]="X"," ",IF(AD5=" "," ",IFERROR(VLOOKUP(AC5,Points!$A$2:$B$14,2,FALSE)," ")))</calculatedColumnFormula>
    </tableColumn>
    <tableColumn id="30" xr3:uid="{02D222F5-DE89-4223-BB6C-F7B4360D7F9D}" name="Time/Score21" dataDxfId="975">
      <calculatedColumnFormula>IF(X5+AB5=0," ",X5+AB5)</calculatedColumnFormula>
    </tableColumn>
    <tableColumn id="31" xr3:uid="{FB91BB8D-F81A-4232-B11F-6ABAB7CE77FB}" name="Time/Score22" dataDxfId="974">
      <calculatedColumnFormula>IF(AF5=0," ",_xlfn.RANK.AVG(AF5,IF(AF$5:AF$24&gt;0,AF$5:AF$24,0),0))</calculatedColumnFormula>
    </tableColumn>
    <tableColumn id="32" xr3:uid="{D2191102-5A9C-4E0D-A610-72582ACEACF4}" name="Place22" dataDxfId="973">
      <calculatedColumnFormula>IFERROR(IF(RANK(AF5,AF$5:AF$24,0)&gt;6," ",(IF(AF5,RANK(AF5,AF$5:AF$24,0)," ")))," ")</calculatedColumnFormula>
    </tableColumn>
    <tableColumn id="33" xr3:uid="{69B75D16-ABC3-4043-AB09-12DF2E52C313}" name="Points23" dataDxfId="972">
      <calculatedColumnFormula>IF(Table622027321526[[#This Row],[Non-Member]]="X"," ",IF(AH5=" "," ",IFERROR(VLOOKUP(AG5,Points!$A$2:$B$14,2,FALSE)," ")))</calculatedColumnFormula>
    </tableColumn>
    <tableColumn id="34" xr3:uid="{B21CAC8C-F506-418C-AB86-36BCC8F5497B}" name="Points24" dataDxfId="971">
      <calculatedColumnFormula>IF(Table622027321526[[#This Row],[Non-Member]]="X"," ",((IF(G5=" ",0,G5))+(IF(K5=" ",0,K5))+(IF(O5=" ",0,O5))+(IF(S5=" ",0,S5))+(IF(W5=" ",0,W5))+(IF(AA5=" ",0,AA5))+(IF(AE5=" ",0,AE5))+(IF(AI5=" ",0,AI5))))</calculatedColumnFormula>
    </tableColumn>
    <tableColumn id="35" xr3:uid="{7C61C0BB-CE08-44C9-A33A-B88BD1E3E77B}" name="Points25" dataDxfId="970" dataCellStyle="Comma">
      <calculatedColumnFormula>IF(AJ5=0," ",AJ5)</calculatedColumnFormula>
    </tableColumn>
    <tableColumn id="36" xr3:uid="{39F82AE6-93F4-49BB-9D1C-354C737A1233}" name="Place26" dataDxfId="96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DACDFFF-D49C-45C3-9053-FD3A112B604D}" name="Table62202732331627" displayName="Table62202732331627" ref="B4:AL24" totalsRowShown="0" headerRowDxfId="968" dataDxfId="967" tableBorderDxfId="966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F6043C02-B158-47EA-8D30-D3034400B2FF}" name="Name" dataDxfId="965"/>
    <tableColumn id="37" xr3:uid="{B154EDC0-E6A2-440C-B4F4-12EA60370049}" name="Non-Member" dataDxfId="964"/>
    <tableColumn id="2" xr3:uid="{E0506834-AA46-4AB5-B02E-4DB5A9519B28}" name="Time/Score" dataDxfId="963" dataCellStyle="Comma"/>
    <tableColumn id="3" xr3:uid="{5D655D14-0548-445D-A9D8-BD45D9A9037D}" name="Column2" dataDxfId="962">
      <calculatedColumnFormula>IF(D5=0," ",_xlfn.RANK.AVG(D5,D$5:D$24,1)-COUNTIF(D$5:D$24,0))</calculatedColumnFormula>
    </tableColumn>
    <tableColumn id="4" xr3:uid="{8A09A711-74E2-4C12-A916-C33636239584}" name="Place" dataDxfId="961">
      <calculatedColumnFormula>IF(D5=0," ",IF((RANK(D5,D$5:D$24,1)-COUNTIF(D$5:D$24,0)&gt;6)," ",RANK(D5,D$5:D$24,1)-COUNTIF(D$5:D$24,0)))</calculatedColumnFormula>
    </tableColumn>
    <tableColumn id="5" xr3:uid="{B8D79718-ABDC-444C-BF7A-8A2AB933E2AF}" name="Points" dataDxfId="960">
      <calculatedColumnFormula>IF(Table62202732331627[[#This Row],[Non-Member]]="X"," ",IF(F5=" "," ",IFERROR(VLOOKUP(E5,Points!$A$2:$B$14,2,FALSE)," ")))</calculatedColumnFormula>
    </tableColumn>
    <tableColumn id="6" xr3:uid="{BCD8603C-1057-4013-B432-4A70798FA1F7}" name="Time/Score3" dataDxfId="959" dataCellStyle="Comma"/>
    <tableColumn id="7" xr3:uid="{40EA2B5A-76E1-4221-B23F-719B01AFFE51}" name="Time/Score4" dataDxfId="958">
      <calculatedColumnFormula>IF(H5=0," ",_xlfn.RANK.AVG(H5,H$5:H$24,1)-COUNTIF(H$5:H$24,0))</calculatedColumnFormula>
    </tableColumn>
    <tableColumn id="8" xr3:uid="{86011C9D-5586-4F88-8A83-3FBC77A00343}" name="Place4" dataDxfId="957">
      <calculatedColumnFormula>IF(H5=0," ",IF((RANK(H5,H$5:H$24,1)-COUNTIF(H$5:H$24,0)&gt;6)," ",RANK(H5,H$5:H$24,1)-COUNTIF(H$5:H$24,0)))</calculatedColumnFormula>
    </tableColumn>
    <tableColumn id="9" xr3:uid="{FB39D133-8D40-48A3-A591-E0B22749B443}" name="Points5" dataDxfId="956">
      <calculatedColumnFormula>IF(Table62202732331627[[#This Row],[Non-Member]]="X"," ",IF(J5=" "," ",IFERROR(VLOOKUP(I5,Points!$A$2:$B$14,2,FALSE)," ")))</calculatedColumnFormula>
    </tableColumn>
    <tableColumn id="10" xr3:uid="{8376042E-8012-476F-8AC8-665A5B8F54DE}" name="Time/Score6" dataDxfId="955" dataCellStyle="Comma"/>
    <tableColumn id="11" xr3:uid="{23CE0CCF-DA4A-40B1-B897-7D29FE20833C}" name="Time/Score7" dataDxfId="954">
      <calculatedColumnFormula>IF(L5=0," ",_xlfn.RANK.AVG(L5,L$5:L$24,1)-COUNTIF(L$5:L$24,0))</calculatedColumnFormula>
    </tableColumn>
    <tableColumn id="12" xr3:uid="{B8614D63-9285-4B72-9369-386E05CCB8A2}" name="Place7" dataDxfId="953">
      <calculatedColumnFormula>IF(L5=0," ",IF((RANK(L5,L$5:L$24,1)-COUNTIF(L$5:L$24,0)&gt;6)," ",RANK(L5,L$5:L$24,1)-COUNTIF(L$5:L$24,0)))</calculatedColumnFormula>
    </tableColumn>
    <tableColumn id="13" xr3:uid="{2A8ADF56-4798-40C8-95BE-9434D51E5E77}" name="Points8" dataDxfId="952">
      <calculatedColumnFormula>IF(Table62202732331627[[#This Row],[Non-Member]]="X"," ",IF(N5=" "," ",IFERROR(VLOOKUP(M5,Points!$A$2:$B$14,2,FALSE)," ")))</calculatedColumnFormula>
    </tableColumn>
    <tableColumn id="14" xr3:uid="{5F46151C-ECBE-4DEE-90A1-BA88E71146E0}" name="Time/Score9" dataDxfId="951" dataCellStyle="Comma"/>
    <tableColumn id="15" xr3:uid="{E0C2ECED-447C-4289-B08F-075490FDD421}" name="Time/Score10" dataDxfId="950">
      <calculatedColumnFormula>IF(P5=0," ",_xlfn.RANK.AVG(P5,P$5:P$24,1)-COUNTIF(P$5:P$24,0))</calculatedColumnFormula>
    </tableColumn>
    <tableColumn id="16" xr3:uid="{2ED5B6CB-C075-45BC-AB63-2802487C4539}" name="Place10" dataDxfId="949">
      <calculatedColumnFormula>IF(P5=0," ",IF((RANK(P5,P$5:P$24,1)-COUNTIF(P$5:P$24,0)&gt;6)," ",RANK(P5,P$5:P$24,1)-COUNTIF(P$5:P$24,0)))</calculatedColumnFormula>
    </tableColumn>
    <tableColumn id="17" xr3:uid="{4892D942-9FD7-480A-AB86-0A71042D011E}" name="Points11" dataDxfId="948">
      <calculatedColumnFormula>IF(Table62202732331627[[#This Row],[Non-Member]]="X"," ",IF(R5=" "," ",IFERROR(VLOOKUP(Q5,Points!$A$2:$B$14,2,FALSE)," ")))</calculatedColumnFormula>
    </tableColumn>
    <tableColumn id="18" xr3:uid="{F447FC1A-7C0E-4777-B374-FB3A42F0FE97}" name="Time/Score12" dataDxfId="947" dataCellStyle="Comma"/>
    <tableColumn id="19" xr3:uid="{C9265D61-71A2-4193-B2BC-825F0718930F}" name="Time/Score13" dataDxfId="946">
      <calculatedColumnFormula>IF(T5=0," ",_xlfn.RANK.AVG(T5,T$5:T$24,1)-COUNTIF(T$5:T$24,0))</calculatedColumnFormula>
    </tableColumn>
    <tableColumn id="20" xr3:uid="{BBE407C1-BFE8-4881-828D-4CC5570219E5}" name="Place13" dataDxfId="945">
      <calculatedColumnFormula>IF(T5=0," ",IF((RANK(T5,T$5:T$24,1)-COUNTIF(T$5:T$24,0)&gt;6)," ",RANK(T5,T$5:T$24,1)-COUNTIF(T$5:T$24,0)))</calculatedColumnFormula>
    </tableColumn>
    <tableColumn id="21" xr3:uid="{C75A0AC4-F110-4F22-8703-9DCB198C7D8E}" name="Points14" dataDxfId="944">
      <calculatedColumnFormula>IF(Table62202732331627[[#This Row],[Non-Member]]="X"," ",IF(V5=" "," ",IFERROR(VLOOKUP(U5,Points!$A$2:$B$14,2,FALSE)," ")))</calculatedColumnFormula>
    </tableColumn>
    <tableColumn id="22" xr3:uid="{7347E807-F112-467A-AB36-FC5B7179128F}" name="Time/Score15" dataDxfId="943" dataCellStyle="Comma"/>
    <tableColumn id="23" xr3:uid="{B9848984-F7B2-41A6-92C1-A72612759844}" name="Time/Score16" dataDxfId="942">
      <calculatedColumnFormula>IF(X5=0," ",_xlfn.RANK.AVG(X5,X$5:X$24,1)-COUNTIF(X$5:X$24,0))</calculatedColumnFormula>
    </tableColumn>
    <tableColumn id="24" xr3:uid="{256614AD-44F2-44C3-BFE2-8162FDC22908}" name="Place16" dataDxfId="941">
      <calculatedColumnFormula>IF(X5=0," ",IF((RANK(X5,X$5:X$24,1)-COUNTIF(X$5:X$24,0)&gt;6)," ",RANK(X5,X$5:X$24,1)-COUNTIF(X$5:X$24,0)))</calculatedColumnFormula>
    </tableColumn>
    <tableColumn id="25" xr3:uid="{76EEB90D-7D9C-473E-9A69-4F037BA3C0EC}" name="Points17" dataDxfId="940">
      <calculatedColumnFormula>IF(Table62202732331627[[#This Row],[Non-Member]]="X"," ",IF(Z5=" "," ",IFERROR(VLOOKUP(Y5,Points!$A$2:$B$14,2,FALSE)," ")))</calculatedColumnFormula>
    </tableColumn>
    <tableColumn id="26" xr3:uid="{0A19DB2E-10D1-4891-8342-2B950AD1A073}" name="Time/Score18" dataDxfId="939" dataCellStyle="Comma"/>
    <tableColumn id="27" xr3:uid="{687B831A-6BE8-4F27-B7CD-197276FB5579}" name="Time/Score19" dataDxfId="938">
      <calculatedColumnFormula>IF(AB5=0," ",_xlfn.RANK.AVG(AB5,AB$5:AB$24,1)-COUNTIF(AB$5:AB$24,0))</calculatedColumnFormula>
    </tableColumn>
    <tableColumn id="28" xr3:uid="{B37A440C-C28D-47E6-9CB7-4CF253F7E5BD}" name="Place19" dataDxfId="937">
      <calculatedColumnFormula>IF(AB5=0," ",IF((RANK(AB5,AB$5:AB$24,1)-COUNTIF(AB$5:AB$24,0)&gt;6)," ",RANK(AB5,AB$5:AB$24,1)-COUNTIF(AB$5:AB$24,0)))</calculatedColumnFormula>
    </tableColumn>
    <tableColumn id="29" xr3:uid="{2A140F09-991A-4B80-A1EE-CE51BFD85528}" name="Points20" dataDxfId="936">
      <calculatedColumnFormula>IF(Table62202732331627[[#This Row],[Non-Member]]="X"," ",IF(AD5=" "," ",IFERROR(VLOOKUP(AC5,Points!$A$2:$B$14,2,FALSE)," ")))</calculatedColumnFormula>
    </tableColumn>
    <tableColumn id="30" xr3:uid="{3629ACA9-7D02-49C1-9D59-02133BF756FC}" name="Time/Score21" dataDxfId="935" dataCellStyle="Comma">
      <calculatedColumnFormula>IF(OR(X5=0,AB5=0)," ",X5+AB5)</calculatedColumnFormula>
    </tableColumn>
    <tableColumn id="31" xr3:uid="{830BC0D7-1AA7-4798-8789-872D2E7F4F20}" name="Time/Score22" dataDxfId="934">
      <calculatedColumnFormula>IF(OR(AF5=0,AF5=" ")," ",_xlfn.RANK.AVG(AF5,AF$5:AF$24,1)-COUNTIF(AF$5:AF$24,0))</calculatedColumnFormula>
    </tableColumn>
    <tableColumn id="32" xr3:uid="{24F3D034-859D-4C63-BF05-7F9DBB4B403D}" name="Place22" dataDxfId="933">
      <calculatedColumnFormula>IF(OR(AF5=0,AF5=" ")," ",IF((RANK(AF5,AF$5:AF$24,1)-COUNTIF(AF$5:AF$24,0)&gt;6)," ",RANK(AF5,AF$5:AF$24,1)-COUNTIF(AF$5:AF$24,0)))</calculatedColumnFormula>
    </tableColumn>
    <tableColumn id="33" xr3:uid="{99BF0353-2F8A-4AAA-9E62-241F7556BE45}" name="Points23" dataDxfId="932">
      <calculatedColumnFormula>IF(Table62202732331627[[#This Row],[Non-Member]]="X"," ",IF(AH5=" "," ",IFERROR(VLOOKUP(AG5,Points!$A$2:$B$14,2,FALSE)," ")))</calculatedColumnFormula>
    </tableColumn>
    <tableColumn id="34" xr3:uid="{F33E3AFB-4098-4984-9D28-ACF5916FD3C3}" name="Points24" dataDxfId="931">
      <calculatedColumnFormula>IF(Table62202732331627[[#This Row],[Non-Member]]="X"," ",((IF(G5=" ",0,G5))+(IF(K5=" ",0,K5))+(IF(O5=" ",0,O5))+(IF(S5=" ",0,S5))+(IF(W5=" ",0,W5))+(IF(AA5=" ",0,AA5))+(IF(AE5=" ",0,AE5))+(IF(AI5=" ",0,AI5))))</calculatedColumnFormula>
    </tableColumn>
    <tableColumn id="35" xr3:uid="{70E72CFC-A53F-42A6-BBC7-705A2D569449}" name="Points25" dataDxfId="930" dataCellStyle="Comma">
      <calculatedColumnFormula>IF(AJ5=0," ",AJ5)</calculatedColumnFormula>
    </tableColumn>
    <tableColumn id="36" xr3:uid="{3BB8F0E9-FABB-4605-9E93-83B2440190F1}" name="Place26" dataDxfId="92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C738E09-4632-47E5-AB7E-1AAFE42C4C31}" name="Table6220273233341728" displayName="Table6220273233341728" ref="B4:AL24" totalsRowShown="0" headerRowDxfId="928" dataDxfId="927" tableBorderDxfId="926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0303D147-ADA4-4B38-9735-93A3C6AAFAAD}" name="Name" dataDxfId="925"/>
    <tableColumn id="37" xr3:uid="{45DDFDC4-45A1-4A06-ACE6-05A71FD024DB}" name="Non-Member" dataDxfId="924"/>
    <tableColumn id="2" xr3:uid="{FD61647E-856E-4947-B214-96F7D758FFBC}" name="Time/Score" dataDxfId="923" dataCellStyle="Comma"/>
    <tableColumn id="3" xr3:uid="{4C045938-524C-4790-AD3A-172572088300}" name="Column2" dataDxfId="922">
      <calculatedColumnFormula>IF(D5=0," ",_xlfn.RANK.AVG(D5,D$5:D$24,1)-COUNTIF(D$5:D$24,0))</calculatedColumnFormula>
    </tableColumn>
    <tableColumn id="4" xr3:uid="{74D9CB1E-E5FD-4908-803A-FDA52985CAB0}" name="Place" dataDxfId="921">
      <calculatedColumnFormula>IF(D5=0," ",IF((RANK(D5,D$5:D$24,1)-COUNTIF(D$5:D$24,0)&gt;6)," ",RANK(D5,D$5:D$24,1)-COUNTIF(D$5:D$24,0)))</calculatedColumnFormula>
    </tableColumn>
    <tableColumn id="5" xr3:uid="{0C9D7CA9-BB32-4B12-958D-AED37D68638D}" name="Points" dataDxfId="920">
      <calculatedColumnFormula>IF(Table6220273233341728[[#This Row],[Non-Member]]="X"," ",IF(F5=" "," ",IFERROR(VLOOKUP(E5,Points!$A$2:$B$14,2,FALSE)," ")))</calculatedColumnFormula>
    </tableColumn>
    <tableColumn id="6" xr3:uid="{E0D8E443-D024-49B1-8A88-6DF541129702}" name="Time/Score3" dataDxfId="919" dataCellStyle="Comma"/>
    <tableColumn id="7" xr3:uid="{BEBC6EA1-2C80-4C19-BF12-11640B753261}" name="Time/Score4" dataDxfId="918">
      <calculatedColumnFormula>IF(H5=0," ",_xlfn.RANK.AVG(H5,H$5:H$24,1)-COUNTIF(H$5:H$24,0))</calculatedColumnFormula>
    </tableColumn>
    <tableColumn id="8" xr3:uid="{4A3E367A-0850-4D17-8BEC-9DEF6A9F6A34}" name="Place4" dataDxfId="917">
      <calculatedColumnFormula>IF(H5=0," ",IF((RANK(H5,H$5:H$24,1)-COUNTIF(H$5:H$24,0)&gt;6)," ",RANK(H5,H$5:H$24,1)-COUNTIF(H$5:H$24,0)))</calculatedColumnFormula>
    </tableColumn>
    <tableColumn id="9" xr3:uid="{0A89967B-1EA0-48A6-A995-9FDF1AAF2338}" name="Points5" dataDxfId="916">
      <calculatedColumnFormula>IF(Table6220273233341728[[#This Row],[Non-Member]]="X"," ",IF(J5=" "," ",IFERROR(VLOOKUP(I5,Points!$A$2:$B$14,2,FALSE)," ")))</calculatedColumnFormula>
    </tableColumn>
    <tableColumn id="10" xr3:uid="{354925DB-CEBA-4990-942D-8FAA065D20AC}" name="Time/Score6" dataDxfId="915" dataCellStyle="Comma"/>
    <tableColumn id="11" xr3:uid="{02E94DB7-1B73-4830-9E45-38E23301E6B9}" name="Time/Score7" dataDxfId="914">
      <calculatedColumnFormula>IF(L5=0," ",_xlfn.RANK.AVG(L5,L$5:L$24,1)-COUNTIF(L$5:L$24,0))</calculatedColumnFormula>
    </tableColumn>
    <tableColumn id="12" xr3:uid="{331F8A61-6562-48DF-9A7D-E36051A262AE}" name="Place7" dataDxfId="913">
      <calculatedColumnFormula>IF(L5=0," ",IF((RANK(L5,L$5:L$24,1)-COUNTIF(L$5:L$24,0)&gt;6)," ",RANK(L5,L$5:L$24,1)-COUNTIF(L$5:L$24,0)))</calculatedColumnFormula>
    </tableColumn>
    <tableColumn id="13" xr3:uid="{39CF83F7-8EFB-4157-A648-C4C421253257}" name="Points8" dataDxfId="912">
      <calculatedColumnFormula>IF(Table6220273233341728[[#This Row],[Non-Member]]="X"," ",IF(N5=" "," ",IFERROR(VLOOKUP(M5,Points!$A$2:$B$14,2,FALSE)," ")))</calculatedColumnFormula>
    </tableColumn>
    <tableColumn id="14" xr3:uid="{689C6382-7751-4EA3-AE48-CEFADB7F7778}" name="Time/Score9" dataDxfId="911" dataCellStyle="Comma"/>
    <tableColumn id="15" xr3:uid="{811CB336-5888-452A-93E9-971E68FC8B58}" name="Time/Score10" dataDxfId="910">
      <calculatedColumnFormula>IF(P5=0," ",_xlfn.RANK.AVG(P5,P$5:P$24,1)-COUNTIF(P$5:P$24,0))</calculatedColumnFormula>
    </tableColumn>
    <tableColumn id="16" xr3:uid="{ADC8FE16-0B63-4515-B080-60312D1BB01E}" name="Place10" dataDxfId="909">
      <calculatedColumnFormula>IF(P5=0," ",IF((RANK(P5,P$5:P$24,1)-COUNTIF(P$5:P$24,0)&gt;6)," ",RANK(P5,P$5:P$24,1)-COUNTIF(P$5:P$24,0)))</calculatedColumnFormula>
    </tableColumn>
    <tableColumn id="17" xr3:uid="{D2997295-BC61-494F-B20F-13A02C203F96}" name="Points11" dataDxfId="908">
      <calculatedColumnFormula>IF(Table6220273233341728[[#This Row],[Non-Member]]="X"," ",IF(R5=" "," ",IFERROR(VLOOKUP(Q5,Points!$A$2:$B$14,2,FALSE)," ")))</calculatedColumnFormula>
    </tableColumn>
    <tableColumn id="18" xr3:uid="{8BC741D1-C84C-4254-813F-F43719FA653C}" name="Time/Score12" dataDxfId="907" dataCellStyle="Comma"/>
    <tableColumn id="19" xr3:uid="{44CA0DA2-CB00-4BDD-954D-243F7F520994}" name="Time/Score13" dataDxfId="906">
      <calculatedColumnFormula>IF(T5=0," ",_xlfn.RANK.AVG(T5,T$5:T$24,1)-COUNTIF(T$5:T$24,0))</calculatedColumnFormula>
    </tableColumn>
    <tableColumn id="20" xr3:uid="{2D6B7815-C346-4E1A-A3D4-9B85BDDED574}" name="Place13" dataDxfId="905">
      <calculatedColumnFormula>IF(T5=0," ",IF((RANK(T5,T$5:T$24,1)-COUNTIF(T$5:T$24,0)&gt;6)," ",RANK(T5,T$5:T$24,1)-COUNTIF(T$5:T$24,0)))</calculatedColumnFormula>
    </tableColumn>
    <tableColumn id="21" xr3:uid="{FB88205D-D5B3-4E16-9FDD-EFC8D9F3E8E2}" name="Points14" dataDxfId="904">
      <calculatedColumnFormula>IF(Table6220273233341728[[#This Row],[Non-Member]]="X"," ",IF(V5=" "," ",IFERROR(VLOOKUP(U5,Points!$A$2:$B$14,2,FALSE)," ")))</calculatedColumnFormula>
    </tableColumn>
    <tableColumn id="22" xr3:uid="{5095EF9A-891A-4890-97B9-2D20E1995432}" name="Time/Score15" dataDxfId="903" dataCellStyle="Comma"/>
    <tableColumn id="23" xr3:uid="{71237C62-7C95-49D0-BE5D-C562FED6A962}" name="Time/Score16" dataDxfId="902">
      <calculatedColumnFormula>IF(X5=0," ",_xlfn.RANK.AVG(X5,X$5:X$24,1)-COUNTIF(X$5:X$24,0))</calculatedColumnFormula>
    </tableColumn>
    <tableColumn id="24" xr3:uid="{1B695759-0219-4142-9844-699288408341}" name="Place16" dataDxfId="901">
      <calculatedColumnFormula>IF(X5=0," ",IF((RANK(X5,X$5:X$24,1)-COUNTIF(X$5:X$24,0)&gt;6)," ",RANK(X5,X$5:X$24,1)-COUNTIF(X$5:X$24,0)))</calculatedColumnFormula>
    </tableColumn>
    <tableColumn id="25" xr3:uid="{65B3B2B3-B312-4786-BF3D-4C43AF8033F8}" name="Points17" dataDxfId="900">
      <calculatedColumnFormula>IF(Table6220273233341728[[#This Row],[Non-Member]]="X"," ",IF(Z5=" "," ",IFERROR(VLOOKUP(Y5,Points!$A$2:$B$14,2,FALSE)," ")))</calculatedColumnFormula>
    </tableColumn>
    <tableColumn id="26" xr3:uid="{2602B186-AC31-419A-B699-FB766A763966}" name="Time/Score18" dataDxfId="899" dataCellStyle="Comma"/>
    <tableColumn id="27" xr3:uid="{D94AF1F2-3893-44BF-9010-3A9739BA2678}" name="Time/Score19" dataDxfId="898">
      <calculatedColumnFormula>IF(AB5=0," ",_xlfn.RANK.AVG(AB5,AB$5:AB$24,1)-COUNTIF(AB$5:AB$24,0))</calculatedColumnFormula>
    </tableColumn>
    <tableColumn id="28" xr3:uid="{2D1E10D7-C838-4353-84BE-A89E8D239FFE}" name="Place19" dataDxfId="897">
      <calculatedColumnFormula>IF(AB5=0," ",IF((RANK(AB5,AB$5:AB$24,1)-COUNTIF(AB$5:AB$24,0)&gt;6)," ",RANK(AB5,AB$5:AB$24,1)-COUNTIF(AB$5:AB$24,0)))</calculatedColumnFormula>
    </tableColumn>
    <tableColumn id="29" xr3:uid="{9B95403C-EFF8-423F-BCA8-312AC9F66156}" name="Points20" dataDxfId="896">
      <calculatedColumnFormula>IF(Table6220273233341728[[#This Row],[Non-Member]]="X"," ",IF(AD5=" "," ",IFERROR(VLOOKUP(AC5,Points!$A$2:$B$14,2,FALSE)," ")))</calculatedColumnFormula>
    </tableColumn>
    <tableColumn id="30" xr3:uid="{398AFBDE-930D-4108-9840-80CA1394B975}" name="Time/Score21" dataDxfId="895" dataCellStyle="Comma">
      <calculatedColumnFormula>IF(OR(X5=0,AB5=0)," ",X5+AB5)</calculatedColumnFormula>
    </tableColumn>
    <tableColumn id="31" xr3:uid="{D054DA16-726B-4A0E-9C7D-87849B952472}" name="Time/Score22" dataDxfId="894">
      <calculatedColumnFormula>IF(OR(AF5=0,AF5=" ")," ",_xlfn.RANK.AVG(AF5,AF$5:AF$24,1)-COUNTIF(AF$5:AF$24,0))</calculatedColumnFormula>
    </tableColumn>
    <tableColumn id="32" xr3:uid="{73CAB90F-273A-4BB2-831C-D36798D13769}" name="Place22" dataDxfId="893">
      <calculatedColumnFormula>IF(OR(AF5=0,AF5=" ")," ",IF((RANK(AF5,AF$5:AF$24,1)-COUNTIF(AF$5:AF$24,0)&gt;6)," ",RANK(AF5,AF$5:AF$24,1)-COUNTIF(AF$5:AF$24,0)))</calculatedColumnFormula>
    </tableColumn>
    <tableColumn id="33" xr3:uid="{E9FB9D3D-8101-4D08-9319-7816E32559ED}" name="Points23" dataDxfId="892">
      <calculatedColumnFormula>IF(Table6220273233341728[[#This Row],[Non-Member]]="X"," ",IF(AH5=" "," ",IFERROR(VLOOKUP(AG5,Points!$A$2:$B$14,2,FALSE)," ")))</calculatedColumnFormula>
    </tableColumn>
    <tableColumn id="34" xr3:uid="{352742C3-4D51-4589-8B96-C25356302C4A}" name="Points24" dataDxfId="891">
      <calculatedColumnFormula>IF(Table6220273233341728[[#This Row],[Non-Member]]="X"," ",((IF(G5=" ",0,G5))+(IF(K5=" ",0,K5))+(IF(O5=" ",0,O5))+(IF(S5=" ",0,S5))+(IF(W5=" ",0,W5))+(IF(AA5=" ",0,AA5))+(IF(AE5=" ",0,AE5))+(IF(AI5=" ",0,AI5))))</calculatedColumnFormula>
    </tableColumn>
    <tableColumn id="35" xr3:uid="{8B7EE16A-BFB2-4C3C-BE6D-371243019CEF}" name="Points25" dataDxfId="890" dataCellStyle="Comma">
      <calculatedColumnFormula>IF(AJ5=0," ",AJ5)</calculatedColumnFormula>
    </tableColumn>
    <tableColumn id="36" xr3:uid="{A30DA290-9C41-46F1-A6B9-44CF49EB357D}" name="Place26" dataDxfId="88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9B83AE9-9D3B-413E-A27E-8373EC2B27D1}" name="Table622027323334171829" displayName="Table622027323334171829" ref="B4:AL24" totalsRowShown="0" headerRowDxfId="888" dataDxfId="887" tableBorderDxfId="886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1B730FC4-A7F6-451F-92C4-1D8F6F833C8F}" name="Name" dataDxfId="885"/>
    <tableColumn id="37" xr3:uid="{4859AEE5-4BF8-4F34-8355-FFE8753171CA}" name="Non-Member" dataDxfId="884"/>
    <tableColumn id="2" xr3:uid="{23E12901-2EBE-4BFC-8177-A4DCEE79ED63}" name="Time/Score" dataDxfId="883" dataCellStyle="Comma"/>
    <tableColumn id="3" xr3:uid="{DBF3DEF8-15A0-41E5-84B5-CA9E945FA3ED}" name="Column2" dataDxfId="882">
      <calculatedColumnFormula>IF(D5=0," ",_xlfn.RANK.AVG(D5,D$5:D$24,1)-COUNTIF(D$5:D$24,0))</calculatedColumnFormula>
    </tableColumn>
    <tableColumn id="4" xr3:uid="{2A350613-1C56-4C0C-AEC0-5ABE372D33C7}" name="Place" dataDxfId="881">
      <calculatedColumnFormula>IF(D5=0," ",IF((RANK(D5,D$5:D$24,1)-COUNTIF(D$5:D$24,0)&gt;6)," ",RANK(D5,D$5:D$24,1)-COUNTIF(D$5:D$24,0)))</calculatedColumnFormula>
    </tableColumn>
    <tableColumn id="5" xr3:uid="{5154DACB-9B01-4925-9EAF-DBA4023CB59C}" name="Points" dataDxfId="880">
      <calculatedColumnFormula>IF(Table622027323334171829[[#This Row],[Non-Member]]="X"," ",IF(F5=" "," ",IFERROR(VLOOKUP(E5,Points!$A$2:$B$14,2,FALSE)," ")))</calculatedColumnFormula>
    </tableColumn>
    <tableColumn id="6" xr3:uid="{4608BBE3-45CD-40BF-89EE-3211674A01D5}" name="Time/Score3" dataDxfId="879" dataCellStyle="Comma"/>
    <tableColumn id="7" xr3:uid="{63F89D8A-2A5A-4743-BAB8-B51EDA55FD32}" name="Time/Score4" dataDxfId="878">
      <calculatedColumnFormula>IF(H5=0," ",_xlfn.RANK.AVG(H5,H$5:H$24,1)-COUNTIF(H$5:H$24,0))</calculatedColumnFormula>
    </tableColumn>
    <tableColumn id="8" xr3:uid="{5710FC94-A073-4C22-A54B-445A995B0532}" name="Place4" dataDxfId="877">
      <calculatedColumnFormula>IF(H5=0," ",IF((RANK(H5,H$5:H$24,1)-COUNTIF(H$5:H$24,0)&gt;6)," ",RANK(H5,H$5:H$24,1)-COUNTIF(H$5:H$24,0)))</calculatedColumnFormula>
    </tableColumn>
    <tableColumn id="9" xr3:uid="{D89C5BFB-FB3F-4D6C-9277-6055E82C2170}" name="Points5" dataDxfId="876">
      <calculatedColumnFormula>IF(Table622027323334171829[[#This Row],[Non-Member]]="X"," ",IF(J5=" "," ",IFERROR(VLOOKUP(I5,Points!$A$2:$B$14,2,FALSE)," ")))</calculatedColumnFormula>
    </tableColumn>
    <tableColumn id="10" xr3:uid="{01E70F85-1B26-4AD7-8644-35B0E5D79FC6}" name="Time/Score6" dataDxfId="875" dataCellStyle="Comma"/>
    <tableColumn id="11" xr3:uid="{E0326EED-226A-4F20-B67F-57829796242E}" name="Time/Score7" dataDxfId="874">
      <calculatedColumnFormula>IF(L5=0," ",_xlfn.RANK.AVG(L5,L$5:L$24,1)-COUNTIF(L$5:L$24,0))</calculatedColumnFormula>
    </tableColumn>
    <tableColumn id="12" xr3:uid="{DCBF0D7E-EEAF-4441-8CA3-BD7DEF88BD96}" name="Place7" dataDxfId="873">
      <calculatedColumnFormula>IF(L5=0," ",IF((RANK(L5,L$5:L$24,1)-COUNTIF(L$5:L$24,0)&gt;6)," ",RANK(L5,L$5:L$24,1)-COUNTIF(L$5:L$24,0)))</calculatedColumnFormula>
    </tableColumn>
    <tableColumn id="13" xr3:uid="{A295418F-15DA-422E-B2F2-F26A2B2768DF}" name="Points8" dataDxfId="872">
      <calculatedColumnFormula>IF(Table622027323334171829[[#This Row],[Non-Member]]="X"," ",IF(N5=" "," ",IFERROR(VLOOKUP(M5,Points!$A$2:$B$14,2,FALSE)," ")))</calculatedColumnFormula>
    </tableColumn>
    <tableColumn id="14" xr3:uid="{26D5A49E-9FBB-45E1-A6E1-16E26F308073}" name="Time/Score9" dataDxfId="871" dataCellStyle="Comma"/>
    <tableColumn id="15" xr3:uid="{6E95E965-E834-48EC-B954-29B43E699FA7}" name="Time/Score10" dataDxfId="870">
      <calculatedColumnFormula>IF(P5=0," ",_xlfn.RANK.AVG(P5,P$5:P$24,1)-COUNTIF(P$5:P$24,0))</calculatedColumnFormula>
    </tableColumn>
    <tableColumn id="16" xr3:uid="{94F02251-66F5-4979-A60A-E458CF555693}" name="Place10" dataDxfId="869">
      <calculatedColumnFormula>IF(P5=0," ",IF((RANK(P5,P$5:P$24,1)-COUNTIF(P$5:P$24,0)&gt;6)," ",RANK(P5,P$5:P$24,1)-COUNTIF(P$5:P$24,0)))</calculatedColumnFormula>
    </tableColumn>
    <tableColumn id="17" xr3:uid="{EF285144-D9C6-4B83-8AAF-4DFE0242DFF2}" name="Points11" dataDxfId="868">
      <calculatedColumnFormula>IF(Table622027323334171829[[#This Row],[Non-Member]]="X"," ",IF(R5=" "," ",IFERROR(VLOOKUP(Q5,Points!$A$2:$B$14,2,FALSE)," ")))</calculatedColumnFormula>
    </tableColumn>
    <tableColumn id="18" xr3:uid="{19F0132E-5F8F-4ACF-80A6-646F73A12D68}" name="Time/Score12" dataDxfId="867" dataCellStyle="Comma"/>
    <tableColumn id="19" xr3:uid="{32775E34-E510-4430-9C0B-EBAE0355BEAF}" name="Time/Score13" dataDxfId="866">
      <calculatedColumnFormula>IF(T5=0," ",_xlfn.RANK.AVG(T5,T$5:T$24,1)-COUNTIF(T$5:T$24,0))</calculatedColumnFormula>
    </tableColumn>
    <tableColumn id="20" xr3:uid="{867A3222-67D0-48B0-9575-06F50BE288E1}" name="Place13" dataDxfId="865">
      <calculatedColumnFormula>IF(T5=0," ",IF((RANK(T5,T$5:T$24,1)-COUNTIF(T$5:T$24,0)&gt;6)," ",RANK(T5,T$5:T$24,1)-COUNTIF(T$5:T$24,0)))</calculatedColumnFormula>
    </tableColumn>
    <tableColumn id="21" xr3:uid="{ECE4C830-79CA-4B6A-94D8-D93551EE0707}" name="Points14" dataDxfId="864">
      <calculatedColumnFormula>IF(Table622027323334171829[[#This Row],[Non-Member]]="X"," ",IF(V5=" "," ",IFERROR(VLOOKUP(U5,Points!$A$2:$B$14,2,FALSE)," ")))</calculatedColumnFormula>
    </tableColumn>
    <tableColumn id="22" xr3:uid="{63F9000E-5DDB-42F1-8DC1-EA1FA8542320}" name="Time/Score15" dataDxfId="863" dataCellStyle="Comma"/>
    <tableColumn id="23" xr3:uid="{518900AE-5E3E-4FCE-8690-82DA47BA26C6}" name="Time/Score16" dataDxfId="862">
      <calculatedColumnFormula>IF(X5=0," ",_xlfn.RANK.AVG(X5,X$5:X$24,1)-COUNTIF(X$5:X$24,0))</calculatedColumnFormula>
    </tableColumn>
    <tableColumn id="24" xr3:uid="{AC238575-98BA-4809-A032-E8692BFFEB2C}" name="Place16" dataDxfId="861">
      <calculatedColumnFormula>IF(X5=0," ",IF((RANK(X5,X$5:X$24,1)-COUNTIF(X$5:X$24,0)&gt;6)," ",RANK(X5,X$5:X$24,1)-COUNTIF(X$5:X$24,0)))</calculatedColumnFormula>
    </tableColumn>
    <tableColumn id="25" xr3:uid="{E036CD4F-1471-4BB1-8A17-3FC913AF0FF3}" name="Points17" dataDxfId="860">
      <calculatedColumnFormula>IF(Table622027323334171829[[#This Row],[Non-Member]]="X"," ",IF(Z5=" "," ",IFERROR(VLOOKUP(Y5,Points!$A$2:$B$14,2,FALSE)," ")))</calculatedColumnFormula>
    </tableColumn>
    <tableColumn id="26" xr3:uid="{ABF0E8DB-4AC4-4D5D-9E02-84A8A94E4E61}" name="Time/Score18" dataDxfId="859" dataCellStyle="Comma"/>
    <tableColumn id="27" xr3:uid="{D11F612B-DA06-4573-A5DD-2AFEDF09CDAF}" name="Time/Score19" dataDxfId="858">
      <calculatedColumnFormula>IF(AB5=0," ",_xlfn.RANK.AVG(AB5,AB$5:AB$24,1)-COUNTIF(AB$5:AB$24,0))</calculatedColumnFormula>
    </tableColumn>
    <tableColumn id="28" xr3:uid="{A625266E-F80A-4F76-B1EB-EA52BFC21AAF}" name="Place19" dataDxfId="857">
      <calculatedColumnFormula>IF(AB5=0," ",IF((RANK(AB5,AB$5:AB$24,1)-COUNTIF(AB$5:AB$24,0)&gt;6)," ",RANK(AB5,AB$5:AB$24,1)-COUNTIF(AB$5:AB$24,0)))</calculatedColumnFormula>
    </tableColumn>
    <tableColumn id="29" xr3:uid="{D2791B61-00DB-4278-853B-5B647BF428ED}" name="Points20" dataDxfId="856">
      <calculatedColumnFormula>IF(Table622027323334171829[[#This Row],[Non-Member]]="X"," ",IF(AD5=" "," ",IFERROR(VLOOKUP(AC5,Points!$A$2:$B$14,2,FALSE)," ")))</calculatedColumnFormula>
    </tableColumn>
    <tableColumn id="30" xr3:uid="{B9B43990-B67B-4DEA-9AAD-BB75B88B75E3}" name="Time/Score21" dataDxfId="855" dataCellStyle="Comma">
      <calculatedColumnFormula>IF(OR(X5=0,AB5=0)," ",X5+AB5)</calculatedColumnFormula>
    </tableColumn>
    <tableColumn id="31" xr3:uid="{6760079D-BE3D-4107-B3B2-48E2F05B3F73}" name="Time/Score22" dataDxfId="854">
      <calculatedColumnFormula>IF(OR(AF5=0,AF5=" ")," ",_xlfn.RANK.AVG(AF5,AF$5:AF$24,1)-COUNTIF(AF$5:AF$24,0))</calculatedColumnFormula>
    </tableColumn>
    <tableColumn id="32" xr3:uid="{83272332-6182-4ECE-A572-BB4A3D42B02C}" name="Place22" dataDxfId="853">
      <calculatedColumnFormula>IF(OR(AF5=0,AF5=" ")," ",IF((RANK(AF5,AF$5:AF$24,1)-COUNTIF(AF$5:AF$24,0)&gt;6)," ",RANK(AF5,AF$5:AF$24,1)-COUNTIF(AF$5:AF$24,0)))</calculatedColumnFormula>
    </tableColumn>
    <tableColumn id="33" xr3:uid="{50AAB914-36A3-4576-A606-7EC9B917B22B}" name="Points23" dataDxfId="852">
      <calculatedColumnFormula>IF(Table622027323334171829[[#This Row],[Non-Member]]="X"," ",IF(AH5=" "," ",IFERROR(VLOOKUP(AG5,Points!$A$2:$B$14,2,FALSE)," ")))</calculatedColumnFormula>
    </tableColumn>
    <tableColumn id="34" xr3:uid="{1524BE5B-87E7-440A-8C72-6F593ED63C56}" name="Points24" dataDxfId="851">
      <calculatedColumnFormula>IF(Table622027323334171829[[#This Row],[Non-Member]]="X"," ",((IF(G5=" ",0,G5))+(IF(K5=" ",0,K5))+(IF(O5=" ",0,O5))+(IF(S5=" ",0,S5))+(IF(W5=" ",0,W5))+(IF(AA5=" ",0,AA5))+(IF(AE5=" ",0,AE5))+(IF(AI5=" ",0,AI5))))</calculatedColumnFormula>
    </tableColumn>
    <tableColumn id="35" xr3:uid="{75FC09A4-FF59-4D6B-9080-54D507AF00FF}" name="Points25" dataDxfId="850" dataCellStyle="Comma">
      <calculatedColumnFormula>IF(AJ5=0," ",AJ5)</calculatedColumnFormula>
    </tableColumn>
    <tableColumn id="36" xr3:uid="{2A49E027-93F3-412E-9CDC-9C64B20C42B0}" name="Place26" dataDxfId="849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9C5BB76-F857-450C-9185-AF9FCE9B386D}" name="Table63456891011233444402031" displayName="Table63456891011233444402031" ref="B4:AC24" totalsRowShown="0" headerRowDxfId="848" dataDxfId="847" tableBorderDxfId="846">
  <autoFilter ref="B4:AC24" xr:uid="{89B1FF52-34AE-480D-BF76-50E05053D0D8}"/>
  <sortState xmlns:xlrd2="http://schemas.microsoft.com/office/spreadsheetml/2017/richdata2" ref="B5:AC24">
    <sortCondition ref="AC5:AC24"/>
    <sortCondition ref="B5:B24"/>
  </sortState>
  <tableColumns count="28">
    <tableColumn id="1" xr3:uid="{5D993308-A472-4DBA-AD38-F62C69BDCBC9}" name="Name" dataDxfId="845"/>
    <tableColumn id="39" xr3:uid="{B4B17978-0E65-4BE0-B63D-51EBD93009FC}" name="Points" dataDxfId="844">
      <calculatedColumnFormula>IFERROR(IF(VLOOKUP($B5,'JR-Team Roping-Header'!$B$5:$N$24,3,FALSE)=" ",0,VLOOKUP($B5,'JR-Team Roping-Header'!$B$5:$N$24,3,FALSE)),0)+IFERROR(IF(VLOOKUP($B5,'JR-Team Roping-Heeler'!$B$5:$N$24,3,FALSE)=" ",0,VLOOKUP($B5,'JR-Team Roping-Heeler'!$B$5:$N$24,3,FALSE)),0)+IFERROR(IF(VLOOKUP($B5,'JR B-Steer Riding'!$B$5:$AI$24,6,FALSE)=" ",0,VLOOKUP($B5,'JR B-Steer Riding'!$B$5:$AI$24,6,FALSE)),0)+IFERROR(IF(VLOOKUP($B5,'JR B-Goats'!$B$5:$AI$24,6,FALSE)=" ",0,VLOOKUP($B5,'JR B-Goats'!$B$5:$AI$24,6,FALSE)),0)+IFERROR(IF(VLOOKUP($B5,'JR B-Calf Tying'!$B$5:$AI$24,6,FALSE)=" ",0,VLOOKUP($B5,'JR B-Calf Tying'!$B$5:$AI$24,6,FALSE)),0)+IFERROR(IF(VLOOKUP($B5,'JR B-Breakaway'!$B$5:$AI$24,6,FALSE)=" ",0,VLOOKUP($B5,'JR B-Breakaway'!$B$5:$AI$24,6,FALSE)),0)</calculatedColumnFormula>
    </tableColumn>
    <tableColumn id="4" xr3:uid="{615ADAB8-2788-4296-B174-3581D3393505}" name="Column1" dataDxfId="843">
      <calculatedColumnFormula>IF(C5&gt;0,C5," ")</calculatedColumnFormula>
    </tableColumn>
    <tableColumn id="5" xr3:uid="{7717F303-923C-41B6-BEDC-4A7B51ED99EA}" name="Place" dataDxfId="842">
      <calculatedColumnFormula>IF(C5=0," ",RANK(C5,C$5:C$24,0))</calculatedColumnFormula>
    </tableColumn>
    <tableColumn id="43" xr3:uid="{D1639F1D-31CE-44D7-9538-6E2628071AA3}" name="Points4" dataDxfId="841">
      <calculatedColumnFormula>IFERROR(IF(VLOOKUP($B5,'JR-Team Roping-Header'!$B$5:$N$24,4,FALSE)=" ",0,VLOOKUP($B5,'JR-Team Roping-Header'!$B$5:$N$24,4,FALSE)),0)+IFERROR(IF(VLOOKUP($B5,'JR-Team Roping-Heeler'!$B$5:$N$24,4,FALSE)=" ",0,VLOOKUP($B5,'JR-Team Roping-Heeler'!$B$5:$N$24,4,FALSE)),0)+IFERROR(IF(VLOOKUP($B5,'JR B-Steer Riding'!$B$5:$AI$24,10,FALSE)=" ",0,VLOOKUP($B5,'JR B-Steer Riding'!$B$5:$AI$24,10,FALSE)),0)+IFERROR(IF(VLOOKUP($B5,'JR B-Goats'!$B$5:$AI$24,10,FALSE)=" ",0,VLOOKUP($B5,'JR B-Goats'!$B$5:$AI$24,10,FALSE)),0)+IFERROR(IF(VLOOKUP($B5,'JR B-Calf Tying'!$B$5:$AI$24,10,FALSE)=" ",0,VLOOKUP($B5,'JR B-Calf Tying'!$B$5:$AI$24,10,FALSE)),0)+IFERROR(IF(VLOOKUP($B5,'JR B-Breakaway'!$B$5:$AI$24,10,FALSE)=" ",0,VLOOKUP($B5,'JR B-Breakaway'!$B$5:$AI$24,10,FALSE)),0)</calculatedColumnFormula>
    </tableColumn>
    <tableColumn id="6" xr3:uid="{9FEB7168-65F7-4BDB-82BE-76AB49A56EEE}" name="Points5" dataDxfId="840">
      <calculatedColumnFormula>IF(F5&gt;0,F5," ")</calculatedColumnFormula>
    </tableColumn>
    <tableColumn id="44" xr3:uid="{3A2B1086-3626-49B4-B1CD-3C985AAAD305}" name="Place5" dataDxfId="839">
      <calculatedColumnFormula>IF(F5=0," ",RANK(F5,F$5:F$24,0))</calculatedColumnFormula>
    </tableColumn>
    <tableColumn id="46" xr3:uid="{B55D0DE4-CB12-4221-9662-8F749F9D509E}" name="Points43" dataDxfId="838">
      <calculatedColumnFormula>IFERROR(IF(VLOOKUP($B5,'JR-Team Roping-Header'!$B$5:$N$24,5,FALSE)=" ",0,VLOOKUP($B5,'JR-Team Roping-Header'!$B$5:$N$24,5,FALSE)),0)+IFERROR(IF(VLOOKUP($B5,'JR-Team Roping-Heeler'!$B$5:$N$24,5,FALSE)=" ",0,VLOOKUP($B5,'JR-Team Roping-Heeler'!$B$5:$N$24,5,FALSE)),0)+IFERROR(IF(VLOOKUP($B5,'JR B-Steer Riding'!$B$5:$AI$24,14,FALSE)=" ",0,VLOOKUP($B5,'JR B-Steer Riding'!$B$5:$AI$24,14,FALSE)),0)+IFERROR(IF(VLOOKUP($B5,'JR B-Goats'!$B$5:$AI$24,14,FALSE)=" ",0,VLOOKUP($B5,'JR B-Goats'!$B$5:$AI$24,14,FALSE)),0)+IFERROR(IF(VLOOKUP($B5,'JR B-Calf Tying'!$B$5:$AI$24,14,FALSE)=" ",0,VLOOKUP($B5,'JR B-Calf Tying'!$B$5:$AI$24,14,FALSE)),0)+IFERROR(IF(VLOOKUP($B5,'JR B-Breakaway'!$B$5:$AI$24,14,FALSE)=" ",0,VLOOKUP($B5,'JR B-Breakaway'!$B$5:$AI$24,14,FALSE)),0)</calculatedColumnFormula>
    </tableColumn>
    <tableColumn id="7" xr3:uid="{F9CF7AE4-BEEA-46BA-B259-6E62D66DA2AE}" name="Points432" dataDxfId="837">
      <calculatedColumnFormula>IF(I5&gt;0,I5," ")</calculatedColumnFormula>
    </tableColumn>
    <tableColumn id="47" xr3:uid="{9DD9B6BC-FC5A-4A5E-AE93-B31C17E26463}" name="Place54" dataDxfId="836">
      <calculatedColumnFormula>IF(I5=0," ",RANK(I5,I$5:I$24,0))</calculatedColumnFormula>
    </tableColumn>
    <tableColumn id="49" xr3:uid="{35629FA5-19B5-45F0-8B54-5C9B345A9176}" name="Points44" dataDxfId="835">
      <calculatedColumnFormula>IFERROR(IF(VLOOKUP($B5,'JR-Team Roping-Header'!$B$5:$N$24,6,FALSE)=" ",0,VLOOKUP($B5,'JR-Team Roping-Header'!$B$5:$N$24,6,FALSE)),0)+IFERROR(IF(VLOOKUP($B5,'JR-Team Roping-Heeler'!$B$5:$N$24,6,FALSE)=" ",0,VLOOKUP($B5,'JR-Team Roping-Heeler'!$B$5:$N$24,6,FALSE)),0)+IFERROR(IF(VLOOKUP($B5,'JR B-Steer Riding'!$B$5:$AI$24,18,FALSE)=" ",0,VLOOKUP($B5,'JR B-Steer Riding'!$B$5:$AI$24,18,FALSE)),0)+IFERROR(IF(VLOOKUP($B5,'JR B-Goats'!$B$5:$AI$24,18,FALSE)=" ",0,VLOOKUP($B5,'JR B-Goats'!$B$5:$AI$24,18,FALSE)),0)+IFERROR(IF(VLOOKUP($B5,'JR B-Calf Tying'!$B$5:$AI$24,18,FALSE)=" ",0,VLOOKUP($B5,'JR B-Calf Tying'!$B$5:$AI$24,18,FALSE)),0)+IFERROR(IF(VLOOKUP($B5,'JR B-Breakaway'!$B$5:$AI$24,18,FALSE)=" ",0,VLOOKUP($B5,'JR B-Breakaway'!$B$5:$AI$24,18,FALSE)),0)</calculatedColumnFormula>
    </tableColumn>
    <tableColumn id="8" xr3:uid="{7CA979A7-B15C-418F-9605-21D44CCFAF7F}" name="Points442" dataDxfId="834">
      <calculatedColumnFormula>IF(L5&gt;0,L5," ")</calculatedColumnFormula>
    </tableColumn>
    <tableColumn id="50" xr3:uid="{65CAF08C-E3BF-4644-A173-28B7B0A53DA8}" name="Place55" dataDxfId="833">
      <calculatedColumnFormula>IF(L5=0," ",RANK(L5,L$5:L$24,0))</calculatedColumnFormula>
    </tableColumn>
    <tableColumn id="52" xr3:uid="{91736B20-F96B-4C7F-9041-6B954F76F993}" name="Points45" dataDxfId="832">
      <calculatedColumnFormula>IFERROR(IF(VLOOKUP($B5,'JR-Team Roping-Header'!$B$5:$N$24,7,FALSE)=" ",0,VLOOKUP($B5,'JR-Team Roping-Header'!$B$5:$N$24,7,FALSE)),0)+IFERROR(IF(VLOOKUP($B5,'JR-Team Roping-Heeler'!$B$5:$N$24,7,FALSE)=" ",0,VLOOKUP($B5,'JR-Team Roping-Heeler'!$B$5:$N$24,7,FALSE)),0)+IFERROR(IF(VLOOKUP($B5,'JR B-Steer Riding'!$B$5:$AI$24,22,FALSE)=" ",0,VLOOKUP($B5,'JR B-Steer Riding'!$B$5:$AI$24,22,FALSE)),0)+IFERROR(IF(VLOOKUP($B5,'JR B-Goats'!$B$5:$AI$24,22,FALSE)=" ",0,VLOOKUP($B5,'JR B-Goats'!$B$5:$AI$24,22,FALSE)),0)+IFERROR(IF(VLOOKUP($B5,'JR B-Calf Tying'!$B$5:$AI$24,22,FALSE)=" ",0,VLOOKUP($B5,'JR B-Calf Tying'!$B$5:$AI$24,22,FALSE)),0)+IFERROR(IF(VLOOKUP($B5,'JR B-Breakaway'!$B$5:$AI$24,22,FALSE)=" ",0,VLOOKUP($B5,'JR B-Breakaway'!$B$5:$AI$24,22,FALSE)),0)</calculatedColumnFormula>
    </tableColumn>
    <tableColumn id="9" xr3:uid="{3673125F-4114-4CF7-A661-4D637030DCB0}" name="Points452" dataDxfId="831">
      <calculatedColumnFormula>IF(O5&gt;0,O5," ")</calculatedColumnFormula>
    </tableColumn>
    <tableColumn id="53" xr3:uid="{C07D1CF0-7281-4C62-A790-7C75F95310CE}" name="Place56" dataDxfId="830">
      <calculatedColumnFormula>IF(O5=0," ",RANK(O5,O$5:O$24,0))</calculatedColumnFormula>
    </tableColumn>
    <tableColumn id="55" xr3:uid="{6372AC4A-7A54-4DB4-BE20-4DD465538D6A}" name="Points46" dataDxfId="829">
      <calculatedColumnFormula>IFERROR(IF(VLOOKUP($B5,'JR-Team Roping-Header'!$B$5:$N$24,8,FALSE)=" ",0,VLOOKUP($B5,'JR-Team Roping-Header'!$B$5:$N$24,8,FALSE)),0)+IFERROR(IF(VLOOKUP($B5,'JR-Team Roping-Heeler'!$B$5:$N$24,8,FALSE)=" ",0,VLOOKUP($B5,'JR-Team Roping-Heeler'!$B$5:$N$24,8,FALSE)),0)+IFERROR(IF(VLOOKUP($B5,'JR B-Steer Riding'!$B$5:$AI$24,26,FALSE)=" ",0,VLOOKUP($B5,'JR B-Steer Riding'!$B$5:$AI$24,26,FALSE)),0)+IFERROR(IF(VLOOKUP($B5,'JR B-Goats'!$B$5:$AI$24,26,FALSE)=" ",0,VLOOKUP($B5,'JR B-Goats'!$B$5:$AI$24,26,FALSE)),0)+IFERROR(IF(VLOOKUP($B5,'JR B-Calf Tying'!$B$5:$AI$24,26,FALSE)=" ",0,VLOOKUP($B5,'JR B-Calf Tying'!$B$5:$AI$24,26,FALSE)),0)+IFERROR(IF(VLOOKUP($B5,'JR B-Breakaway'!$B$5:$AI$24,26,FALSE)=" ",0,VLOOKUP($B5,'JR B-Breakaway'!$B$5:$AI$24,26,FALSE)),0)</calculatedColumnFormula>
    </tableColumn>
    <tableColumn id="10" xr3:uid="{A8407CBF-8826-493C-85EC-E08F0DACCF37}" name="Points462" dataDxfId="828">
      <calculatedColumnFormula>IF(R5&gt;0,R5," ")</calculatedColumnFormula>
    </tableColumn>
    <tableColumn id="56" xr3:uid="{1772B8C9-E808-4A8A-A898-EBA5E3331E3A}" name="Place57" dataDxfId="827">
      <calculatedColumnFormula>IF(R5=0," ",RANK(R5,R$5:R$24,0))</calculatedColumnFormula>
    </tableColumn>
    <tableColumn id="58" xr3:uid="{F5548B6D-D6E7-41E2-B29F-1E2665BE953F}" name="Points47" dataDxfId="826">
      <calculatedColumnFormula>IFERROR(IF(VLOOKUP($B5,'JR-Team Roping-Header'!$B$5:$N$24,9,FALSE)=" ",0,VLOOKUP($B5,'JR-Team Roping-Header'!$B$5:$N$24,9,FALSE)),0)+IFERROR(IF(VLOOKUP($B5,'JR-Team Roping-Heeler'!$B$5:$N$24,9,FALSE)=" ",0,VLOOKUP($B5,'JR-Team Roping-Heeler'!$B$5:$N$24,9,FALSE)),0)+IFERROR(IF(VLOOKUP($B5,'JR B-Steer Riding'!$B$5:$AI$24,30,FALSE)=" ",0,VLOOKUP($B5,'JR B-Steer Riding'!$B$5:$AI$24,30,FALSE)),0)+IFERROR(IF(VLOOKUP($B5,'JR B-Goats'!$B$5:$AI$24,30,FALSE)=" ",0,VLOOKUP($B5,'JR B-Goats'!$B$5:$AI$24,30,FALSE)),0)+IFERROR(IF(VLOOKUP($B5,'JR B-Calf Tying'!$B$5:$AI$24,30,FALSE)=" ",0,VLOOKUP($B5,'JR B-Calf Tying'!$B$5:$AI$24,30,FALSE)),0)+IFERROR(IF(VLOOKUP($B5,'JR B-Breakaway'!$B$5:$AI$24,30,FALSE)=" ",0,VLOOKUP($B5,'JR B-Breakaway'!$B$5:$AI$24,30,FALSE)),0)</calculatedColumnFormula>
    </tableColumn>
    <tableColumn id="11" xr3:uid="{DF908A70-509B-49B9-8FCA-505CE40C14A1}" name="Points472" dataDxfId="825">
      <calculatedColumnFormula>IF(U5&gt;0,U5," ")</calculatedColumnFormula>
    </tableColumn>
    <tableColumn id="59" xr3:uid="{F85AD6FA-051B-481D-8E39-90B6FCA83268}" name="Place58" dataDxfId="824">
      <calculatedColumnFormula>IF(U5=0," ",RANK(U5,U$5:U$24,0))</calculatedColumnFormula>
    </tableColumn>
    <tableColumn id="61" xr3:uid="{05B873FC-4A1A-4A55-B759-E602C3DBF5C4}" name="Points48" dataDxfId="823">
      <calculatedColumnFormula>IFERROR(IF(VLOOKUP($B5,'JR-Team Roping-Header'!$B$5:$N$24,10,FALSE)=" ",0,VLOOKUP($B5,'JR-Team Roping-Header'!$B$5:$N$24,10,FALSE)),0)+IFERROR(IF(VLOOKUP($B5,'JR-Team Roping-Heeler'!$B$5:$N$24,10,FALSE)=" ",0,VLOOKUP($B5,'JR-Team Roping-Heeler'!$B$5:$N$24,10,FALSE)),0)+IFERROR(IF(VLOOKUP($B5,'JR B-Steer Riding'!$B$5:$AI$24,34,FALSE)=" ",0,VLOOKUP($B5,'JR B-Steer Riding'!$B$5:$AI$24,34,FALSE)),0)+IFERROR(IF(VLOOKUP($B5,'JR B-Goats'!$B$5:$AI$24,34,FALSE)=" ",0,VLOOKUP($B5,'JR B-Goats'!$B$5:$AI$24,34,FALSE)),0)+IFERROR(IF(VLOOKUP($B5,'JR B-Calf Tying'!$B$5:$AI$24,34,FALSE)=" ",0,VLOOKUP($B5,'JR B-Calf Tying'!$B$5:$AI$24,34,FALSE)),0)+IFERROR(IF(VLOOKUP($B5,'JR B-Breakaway'!$B$5:$AI$24,34,FALSE)=" ",0,VLOOKUP($B5,'JR B-Breakaway'!$B$5:$AI$24,34,FALSE)),0)</calculatedColumnFormula>
    </tableColumn>
    <tableColumn id="12" xr3:uid="{53872010-3D08-4E59-8723-2068C1AE77FB}" name="Points49" dataDxfId="822">
      <calculatedColumnFormula>IF(X5&gt;0,X5," ")</calculatedColumnFormula>
    </tableColumn>
    <tableColumn id="62" xr3:uid="{D030A84E-BA4F-492C-AF59-9A522299E90E}" name="Place59" dataDxfId="821">
      <calculatedColumnFormula>IF(X5=0," ",RANK(X5,X$5:X$24,0))</calculatedColumnFormula>
    </tableColumn>
    <tableColumn id="2" xr3:uid="{77028761-2BFE-4C2E-8EED-ECF098B33C36}" name="Points482" dataDxfId="820">
      <calculatedColumnFormula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calculatedColumnFormula>
    </tableColumn>
    <tableColumn id="13" xr3:uid="{364681C5-0935-46BC-AB58-672F653FC615}" name="Points483" dataDxfId="819">
      <calculatedColumnFormula>IF(AA5&gt;0,AA5," ")</calculatedColumnFormula>
    </tableColumn>
    <tableColumn id="3" xr3:uid="{08C4954F-D7CD-4AE7-A365-BAE53CF17618}" name="Place593" dataDxfId="818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9B7065A-F200-48A5-A29D-6327193FA3EA}" name="Table6220273233373839234349" displayName="Table6220273233373839234349" ref="B4:AL24" totalsRowShown="0" headerRowDxfId="1757" dataDxfId="1756" tableBorderDxfId="1755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8E87B5B1-14C8-44B2-8707-A556E20764DB}" name="Name" dataDxfId="1754"/>
    <tableColumn id="37" xr3:uid="{DAD56B05-2006-432C-89B1-49649FEE09D2}" name="Non-Member" dataDxfId="1753"/>
    <tableColumn id="2" xr3:uid="{9FFB886B-F08B-4E30-B0D1-2892E709C15C}" name="Time/Score" dataDxfId="1752" dataCellStyle="Comma"/>
    <tableColumn id="3" xr3:uid="{FEEA9893-918F-41E4-B092-30DDFF32B729}" name="Column2" dataDxfId="1751">
      <calculatedColumnFormula>IF(D5=0," ",_xlfn.RANK.AVG(D5,D$5:D$24,1)-COUNTIF(D$5:D$24,0))</calculatedColumnFormula>
    </tableColumn>
    <tableColumn id="4" xr3:uid="{E47B2D51-86F6-4327-B852-2E1B9F1E01B3}" name="Place" dataDxfId="1750">
      <calculatedColumnFormula>IF(D5=0," ",IF((RANK(D5,D$5:D$24,1)-COUNTIF(D$5:D$24,0)&gt;6)," ",RANK(D5,D$5:D$24,1)-COUNTIF(D$5:D$24,0)))</calculatedColumnFormula>
    </tableColumn>
    <tableColumn id="5" xr3:uid="{DE738A94-18F9-4E0F-BFAA-651579DC2FD0}" name="Points" dataDxfId="1749">
      <calculatedColumnFormula>IF(Table6220273233373839234349[[#This Row],[Non-Member]]="X"," ",IF(F5=" "," ",IFERROR(VLOOKUP(E5,Points!$A$2:$B$14,2,FALSE)," ")))</calculatedColumnFormula>
    </tableColumn>
    <tableColumn id="6" xr3:uid="{808B5BF5-4ACD-4B63-962D-8AAD3582609A}" name="Time/Score3" dataDxfId="1748" dataCellStyle="Comma"/>
    <tableColumn id="7" xr3:uid="{DDCFD21E-1BB3-4E99-A98C-128235702458}" name="Time/Score4" dataDxfId="1747">
      <calculatedColumnFormula>IF(H5=0," ",_xlfn.RANK.AVG(H5,H$5:H$24,1)-COUNTIF(H$5:H$24,0))</calculatedColumnFormula>
    </tableColumn>
    <tableColumn id="8" xr3:uid="{F5D5FC15-93A3-4A17-A26C-5B24F9840CEC}" name="Place4" dataDxfId="1746">
      <calculatedColumnFormula>IF(H5=0," ",IF((RANK(H5,H$5:H$24,1)-COUNTIF(H$5:H$24,0)&gt;6)," ",RANK(H5,H$5:H$24,1)-COUNTIF(H$5:H$24,0)))</calculatedColumnFormula>
    </tableColumn>
    <tableColumn id="9" xr3:uid="{64426852-8550-47FE-9C35-CAD4FB772EF7}" name="Points5" dataDxfId="1745">
      <calculatedColumnFormula>IF(Table6220273233373839234349[[#This Row],[Non-Member]]="X"," ",IF(J5=" "," ",IFERROR(VLOOKUP(I5,Points!$A$2:$B$14,2,FALSE)," ")))</calculatedColumnFormula>
    </tableColumn>
    <tableColumn id="10" xr3:uid="{57CDF10C-A3D3-45E2-8F4E-AADDCBCC5DF4}" name="Time/Score6" dataDxfId="1744" dataCellStyle="Comma"/>
    <tableColumn id="11" xr3:uid="{23641732-7819-4FC5-A39F-79B963637C81}" name="Time/Score7" dataDxfId="1743">
      <calculatedColumnFormula>IF(L5=0," ",_xlfn.RANK.AVG(L5,L$5:L$24,1)-COUNTIF(L$5:L$24,0))</calculatedColumnFormula>
    </tableColumn>
    <tableColumn id="12" xr3:uid="{D0E04400-3077-44F0-896E-31DFCD1B77F3}" name="Place7" dataDxfId="1742">
      <calculatedColumnFormula>IF(L5=0," ",IF((RANK(L5,L$5:L$24,1)-COUNTIF(L$5:L$24,0)&gt;6)," ",RANK(L5,L$5:L$24,1)-COUNTIF(L$5:L$24,0)))</calculatedColumnFormula>
    </tableColumn>
    <tableColumn id="13" xr3:uid="{839284B0-68FE-48F6-9E7F-0DFEA63ECC49}" name="Points8" dataDxfId="1741">
      <calculatedColumnFormula>IF(Table6220273233373839234349[[#This Row],[Non-Member]]="X"," ",IF(N5=" "," ",IFERROR(VLOOKUP(M5,Points!$A$2:$B$14,2,FALSE)," ")))</calculatedColumnFormula>
    </tableColumn>
    <tableColumn id="14" xr3:uid="{68A31DE2-631B-44D4-A3D7-316E92DFE274}" name="Time/Score9" dataDxfId="1740" dataCellStyle="Comma"/>
    <tableColumn id="15" xr3:uid="{E7648559-D812-4C21-8C82-799924ABBF08}" name="Time/Score10" dataDxfId="1739">
      <calculatedColumnFormula>IF(P5=0," ",_xlfn.RANK.AVG(P5,P$5:P$24,1)-COUNTIF(P$5:P$24,0))</calculatedColumnFormula>
    </tableColumn>
    <tableColumn id="16" xr3:uid="{85B16F50-A393-4F42-BD32-FFB3430E95C6}" name="Place10" dataDxfId="1738">
      <calculatedColumnFormula>IF(P5=0," ",IF((RANK(P5,P$5:P$24,1)-COUNTIF(P$5:P$24,0)&gt;6)," ",RANK(P5,P$5:P$24,1)-COUNTIF(P$5:P$24,0)))</calculatedColumnFormula>
    </tableColumn>
    <tableColumn id="17" xr3:uid="{622EB13B-F6C8-418C-A97F-7148A377ACA4}" name="Points11" dataDxfId="1737">
      <calculatedColumnFormula>IF(Table6220273233373839234349[[#This Row],[Non-Member]]="X"," ",IF(R5=" "," ",IFERROR(VLOOKUP(Q5,Points!$A$2:$B$14,2,FALSE)," ")))</calculatedColumnFormula>
    </tableColumn>
    <tableColumn id="18" xr3:uid="{1D0BA56C-3E0E-448F-BD68-F58104BC86DA}" name="Time/Score12" dataDxfId="1736" dataCellStyle="Comma"/>
    <tableColumn id="19" xr3:uid="{57E87237-190A-4084-B414-47358AF89336}" name="Time/Score13" dataDxfId="1735">
      <calculatedColumnFormula>IF(T5=0," ",_xlfn.RANK.AVG(T5,T$5:T$24,1)-COUNTIF(T$5:T$24,0))</calculatedColumnFormula>
    </tableColumn>
    <tableColumn id="20" xr3:uid="{1E9A63AD-6429-4B60-83F8-5C4517F2CCD8}" name="Place13" dataDxfId="1734">
      <calculatedColumnFormula>IF(T5=0," ",IF((RANK(T5,T$5:T$24,1)-COUNTIF(T$5:T$24,0)&gt;6)," ",RANK(T5,T$5:T$24,1)-COUNTIF(T$5:T$24,0)))</calculatedColumnFormula>
    </tableColumn>
    <tableColumn id="21" xr3:uid="{E9008046-EE38-46EE-9124-350719A8DD29}" name="Points14" dataDxfId="1733">
      <calculatedColumnFormula>IF(Table6220273233373839234349[[#This Row],[Non-Member]]="X"," ",IF(V5=" "," ",IFERROR(VLOOKUP(U5,Points!$A$2:$B$14,2,FALSE)," ")))</calculatedColumnFormula>
    </tableColumn>
    <tableColumn id="22" xr3:uid="{137DEC01-6222-4C7F-BDEF-E9C4740A56A3}" name="Time/Score15" dataDxfId="1732" dataCellStyle="Comma"/>
    <tableColumn id="23" xr3:uid="{0D9B8115-528D-417E-AFA6-FE7F9A6251DD}" name="Time/Score16" dataDxfId="1731">
      <calculatedColumnFormula>IF(X5=0," ",_xlfn.RANK.AVG(X5,X$5:X$24,1)-COUNTIF(X$5:X$24,0))</calculatedColumnFormula>
    </tableColumn>
    <tableColumn id="24" xr3:uid="{1D1C4EFA-E493-40D5-92F0-C617E08DC85A}" name="Place16" dataDxfId="1730">
      <calculatedColumnFormula>IF(X5=0," ",IF((RANK(X5,X$5:X$24,1)-COUNTIF(X$5:X$24,0)&gt;6)," ",RANK(X5,X$5:X$24,1)-COUNTIF(X$5:X$24,0)))</calculatedColumnFormula>
    </tableColumn>
    <tableColumn id="25" xr3:uid="{69A8E916-FDD3-43FF-81AA-098476B281DF}" name="Points17" dataDxfId="1729">
      <calculatedColumnFormula>IF(Table6220273233373839234349[[#This Row],[Non-Member]]="X"," ",IF(Z5=" "," ",IFERROR(VLOOKUP(Y5,Points!$A$2:$B$14,2,FALSE)," ")))</calculatedColumnFormula>
    </tableColumn>
    <tableColumn id="26" xr3:uid="{09330245-4E78-4EA8-B118-77A182695B8B}" name="Time/Score18" dataDxfId="1728" dataCellStyle="Comma"/>
    <tableColumn id="27" xr3:uid="{B8DCABFC-AF59-4404-A0AC-A30C07DB6ED2}" name="Time/Score19" dataDxfId="1727">
      <calculatedColumnFormula>IF(AB5=0," ",_xlfn.RANK.AVG(AB5,AB$5:AB$24,1)-COUNTIF(AB$5:AB$24,0))</calculatedColumnFormula>
    </tableColumn>
    <tableColumn id="28" xr3:uid="{8FACAC49-04B9-4F26-B70B-1C31337DED09}" name="Place19" dataDxfId="1726">
      <calculatedColumnFormula>IF(AB5=0," ",IF((RANK(AB5,AB$5:AB$24,1)-COUNTIF(AB$5:AB$24,0)&gt;6)," ",RANK(AB5,AB$5:AB$24,1)-COUNTIF(AB$5:AB$24,0)))</calculatedColumnFormula>
    </tableColumn>
    <tableColumn id="29" xr3:uid="{7CAA379F-8BCE-4A1A-8ECC-E348BB9C4CD6}" name="Points20" dataDxfId="1725">
      <calculatedColumnFormula>IF(Table6220273233373839234349[[#This Row],[Non-Member]]="X"," ",IF(AD5=" "," ",IFERROR(VLOOKUP(AC5,Points!$A$2:$B$14,2,FALSE)," ")))</calculatedColumnFormula>
    </tableColumn>
    <tableColumn id="30" xr3:uid="{944FA411-C81E-4D90-8DF8-21F78076EFDA}" name="Time/Score21" dataDxfId="1724" dataCellStyle="Comma">
      <calculatedColumnFormula>IF(OR(X5=0,AB5=0)," ",X5+AB5)</calculatedColumnFormula>
    </tableColumn>
    <tableColumn id="31" xr3:uid="{0AD7AF0B-3248-4417-BAE6-AB02F66E184F}" name="Time/Score22" dataDxfId="1723">
      <calculatedColumnFormula>IF(OR(AF5=0,AF5=" ")," ",_xlfn.RANK.AVG(AF5,AF$5:AF$24,1)-COUNTIF(AF$5:AF$24,0))</calculatedColumnFormula>
    </tableColumn>
    <tableColumn id="32" xr3:uid="{97935656-5DBD-4B83-B911-99EAC0016B5A}" name="Place22" dataDxfId="1722">
      <calculatedColumnFormula>IF(OR(AF5=0,AF5=" ")," ",IF((RANK(AF5,AF$5:AF$24,1)-COUNTIF(AF$5:AF$24,0)&gt;6)," ",RANK(AF5,AF$5:AF$24,1)-COUNTIF(AF$5:AF$24,0)))</calculatedColumnFormula>
    </tableColumn>
    <tableColumn id="33" xr3:uid="{7981B9C6-9BC1-455A-B6CC-3D57D5A93AC0}" name="Points23" dataDxfId="1721">
      <calculatedColumnFormula>IF(Table6220273233373839234349[[#This Row],[Non-Member]]="X"," ",IF(AH5=" "," ",IFERROR(VLOOKUP(AG5,Points!$A$2:$B$14,2,FALSE)," ")))</calculatedColumnFormula>
    </tableColumn>
    <tableColumn id="34" xr3:uid="{86459663-9FDA-475B-84FA-76E9D55EA7B7}" name="Points24" dataDxfId="1720">
      <calculatedColumnFormula>IF(Table6220273233373839234349[[#This Row],[Non-Member]]="X"," ",((IF(G5=" ",0,G5))+(IF(K5=" ",0,K5))+(IF(O5=" ",0,O5))+(IF(S5=" ",0,S5))+(IF(W5=" ",0,W5))+(IF(AA5=" ",0,AA5))+(IF(AE5=" ",0,AE5))+(IF(AI5=" ",0,AI5))))</calculatedColumnFormula>
    </tableColumn>
    <tableColumn id="35" xr3:uid="{BEB07896-0A81-4729-A851-20F5E6B76A6C}" name="Points25" dataDxfId="1719" dataCellStyle="Comma">
      <calculatedColumnFormula>IF(AJ5=0," ",AJ5)</calculatedColumnFormula>
    </tableColumn>
    <tableColumn id="36" xr3:uid="{E32B9B53-74D1-456D-A60F-8D489803B9CD}" name="Place26" dataDxfId="171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704D143-CE5B-405E-8EC5-14B816290D7D}" name="Table62202732333721" displayName="Table62202732333721" ref="B4:AL25" totalsRowShown="0" headerRowDxfId="817" dataDxfId="816" tableBorderDxfId="815">
  <autoFilter ref="B4:AL25" xr:uid="{89B1FF52-34AE-480D-BF76-50E05053D0D8}"/>
  <sortState xmlns:xlrd2="http://schemas.microsoft.com/office/spreadsheetml/2017/richdata2" ref="B5:AL25">
    <sortCondition ref="AL5:AL25"/>
    <sortCondition ref="B5:B25"/>
  </sortState>
  <tableColumns count="37">
    <tableColumn id="1" xr3:uid="{6523989E-C8A2-4595-8703-BB25EDE82D91}" name="Name" dataDxfId="814"/>
    <tableColumn id="37" xr3:uid="{2E33F0FB-447A-4C6B-A94E-25752D7E9EF2}" name="Non-Member" dataDxfId="813"/>
    <tableColumn id="2" xr3:uid="{8C8AC287-F582-4F38-8FC5-6CAF5AE2E7C8}" name="Time/Score" dataDxfId="812" dataCellStyle="Comma"/>
    <tableColumn id="3" xr3:uid="{D20D951D-D303-49F8-8EA8-7E0D5B3473FC}" name="Column2" dataDxfId="811">
      <calculatedColumnFormula>IF(D5=0," ",_xlfn.RANK.AVG(D5,D$5:D$25,1)-COUNTIF(D$5:D$25,0))</calculatedColumnFormula>
    </tableColumn>
    <tableColumn id="4" xr3:uid="{2A1BCA2B-6E98-44B8-8FCD-D0CAF3DBF683}" name="Place" dataDxfId="810">
      <calculatedColumnFormula>IF(D5=0," ",IF((RANK(D5,D$5:D$25,1)-COUNTIF(D$5:D$25,0)&gt;6)," ",RANK(D5,D$5:D$25,1)-COUNTIF(D$5:D$25,0)))</calculatedColumnFormula>
    </tableColumn>
    <tableColumn id="5" xr3:uid="{F36331A4-3CC9-4DD5-BA8C-A89AC2554F45}" name="Points" dataDxfId="809">
      <calculatedColumnFormula>IF(Table62202732333721[[#This Row],[Non-Member]]="X"," ",IF(F5=" "," ",IFERROR(VLOOKUP(E5,Points!$A$2:$B$14,2,FALSE)," ")))</calculatedColumnFormula>
    </tableColumn>
    <tableColumn id="6" xr3:uid="{CD386D90-9C3B-41C5-8CB9-09A7095059C2}" name="Time/Score3" dataDxfId="808" dataCellStyle="Comma"/>
    <tableColumn id="7" xr3:uid="{E8D1D53D-70B3-49B7-A920-317F59609299}" name="Time/Score4" dataDxfId="807">
      <calculatedColumnFormula>IF(H5=0," ",_xlfn.RANK.AVG(H5,H$5:H$25,1)-COUNTIF(H$5:H$25,0))</calculatedColumnFormula>
    </tableColumn>
    <tableColumn id="8" xr3:uid="{C29F59D4-DD86-4358-A295-1969179A37DE}" name="Place4" dataDxfId="806">
      <calculatedColumnFormula>IF(H5=0," ",IF((RANK(H5,H$5:H$25,1)-COUNTIF(H$5:H$25,0)&gt;6)," ",RANK(H5,H$5:H$25,1)-COUNTIF(H$5:H$25,0)))</calculatedColumnFormula>
    </tableColumn>
    <tableColumn id="9" xr3:uid="{821439D0-E437-4158-8E32-1621FC1F5742}" name="Points5" dataDxfId="805">
      <calculatedColumnFormula>IF(Table62202732333721[[#This Row],[Non-Member]]="X"," ",IF(J5=" "," ",IFERROR(VLOOKUP(I5,Points!$A$2:$B$14,2,FALSE)," ")))</calculatedColumnFormula>
    </tableColumn>
    <tableColumn id="10" xr3:uid="{0FC48572-83AE-4C90-B646-FC9C2C1909C6}" name="Time/Score6" dataDxfId="804" dataCellStyle="Comma"/>
    <tableColumn id="11" xr3:uid="{81BD7682-2232-4A49-9EF6-784944A3F6AE}" name="Time/Score7" dataDxfId="803">
      <calculatedColumnFormula>IF(L5=0," ",_xlfn.RANK.AVG(L5,L$5:L$25,1)-COUNTIF(L$5:L$25,0))</calculatedColumnFormula>
    </tableColumn>
    <tableColumn id="12" xr3:uid="{14750CF7-3E57-4FA7-B2DD-C97CEC0394AD}" name="Place7" dataDxfId="802">
      <calculatedColumnFormula>IF(L5=0," ",IF((RANK(L5,L$5:L$25,1)-COUNTIF(L$5:L$25,0)&gt;6)," ",RANK(L5,L$5:L$25,1)-COUNTIF(L$5:L$25,0)))</calculatedColumnFormula>
    </tableColumn>
    <tableColumn id="13" xr3:uid="{C05C5714-A58F-4088-8942-50AA02FB3AA7}" name="Points8" dataDxfId="801">
      <calculatedColumnFormula>IF(Table62202732333721[[#This Row],[Non-Member]]="X"," ",IF(N5=" "," ",IFERROR(VLOOKUP(M5,Points!$A$2:$B$14,2,FALSE)," ")))</calculatedColumnFormula>
    </tableColumn>
    <tableColumn id="14" xr3:uid="{DF8E03C7-34A5-43DF-9E3A-84EA26F2B44B}" name="Time/Score9" dataDxfId="800" dataCellStyle="Comma"/>
    <tableColumn id="15" xr3:uid="{23F5751B-EB8E-42CD-ADB2-D5C299B0A1EE}" name="Time/Score10" dataDxfId="799">
      <calculatedColumnFormula>IF(P5=0," ",_xlfn.RANK.AVG(P5,P$5:P$25,1)-COUNTIF(P$5:P$25,0))</calculatedColumnFormula>
    </tableColumn>
    <tableColumn id="16" xr3:uid="{153B4392-B887-4D0F-A1FD-A01B11494986}" name="Place10" dataDxfId="798">
      <calculatedColumnFormula>IF(P5=0," ",IF((RANK(P5,P$5:P$25,1)-COUNTIF(P$5:P$25,0)&gt;6)," ",RANK(P5,P$5:P$25,1)-COUNTIF(P$5:P$25,0)))</calculatedColumnFormula>
    </tableColumn>
    <tableColumn id="17" xr3:uid="{FDF0AD65-74DA-4AFC-A4CB-2DAC2170EB22}" name="Points11" dataDxfId="797">
      <calculatedColumnFormula>IF(Table62202732333721[[#This Row],[Non-Member]]="X"," ",IF(R5=" "," ",IFERROR(VLOOKUP(Q5,Points!$A$2:$B$14,2,FALSE)," ")))</calculatedColumnFormula>
    </tableColumn>
    <tableColumn id="18" xr3:uid="{85A40175-F53E-4A3E-B43E-D26C765C4844}" name="Time/Score12" dataDxfId="796" dataCellStyle="Comma"/>
    <tableColumn id="19" xr3:uid="{7D1AE392-CCB6-4E58-9496-8222AA1E3551}" name="Time/Score13" dataDxfId="795">
      <calculatedColumnFormula>IF(T5=0," ",_xlfn.RANK.AVG(T5,T$5:T$25,1)-COUNTIF(T$5:T$25,0))</calculatedColumnFormula>
    </tableColumn>
    <tableColumn id="20" xr3:uid="{C3839BA8-7086-4CC5-9440-6E6D098406EC}" name="Place13" dataDxfId="794">
      <calculatedColumnFormula>IF(T5=0," ",IF((RANK(T5,T$5:T$25,1)-COUNTIF(T$5:T$25,0)&gt;6)," ",RANK(T5,T$5:T$25,1)-COUNTIF(T$5:T$25,0)))</calculatedColumnFormula>
    </tableColumn>
    <tableColumn id="21" xr3:uid="{6A08519D-1DA7-4C90-B5B2-3A1689198E31}" name="Points14" dataDxfId="793">
      <calculatedColumnFormula>IF(Table62202732333721[[#This Row],[Non-Member]]="X"," ",IF(V5=" "," ",IFERROR(VLOOKUP(U5,Points!$A$2:$B$14,2,FALSE)," ")))</calculatedColumnFormula>
    </tableColumn>
    <tableColumn id="22" xr3:uid="{46C9E343-16A8-40CD-AFCE-118E53731645}" name="Time/Score15" dataDxfId="792" dataCellStyle="Comma"/>
    <tableColumn id="23" xr3:uid="{8605EE1D-DECB-42BB-8FB0-A12516A2C86C}" name="Time/Score16" dataDxfId="791">
      <calculatedColumnFormula>IF(X5=0," ",_xlfn.RANK.AVG(X5,X$5:X$25,1)-COUNTIF(X$5:X$25,0))</calculatedColumnFormula>
    </tableColumn>
    <tableColumn id="24" xr3:uid="{F1EC3771-4553-47C9-AC43-F454C1FBF01D}" name="Place16" dataDxfId="790">
      <calculatedColumnFormula>IF(X5=0," ",IF((RANK(X5,X$5:X$25,1)-COUNTIF(X$5:X$25,0)&gt;6)," ",RANK(X5,X$5:X$25,1)-COUNTIF(X$5:X$25,0)))</calculatedColumnFormula>
    </tableColumn>
    <tableColumn id="25" xr3:uid="{EF17FC54-BC91-47BB-B222-66CB8B23A227}" name="Points17" dataDxfId="789">
      <calculatedColumnFormula>IF(Table62202732333721[[#This Row],[Non-Member]]="X"," ",IF(Z5=" "," ",IFERROR(VLOOKUP(Y5,Points!$A$2:$B$14,2,FALSE)," ")))</calculatedColumnFormula>
    </tableColumn>
    <tableColumn id="26" xr3:uid="{E3851D59-66A5-4AE5-AB4C-858E2F04E2AB}" name="Time/Score18" dataDxfId="788" dataCellStyle="Comma"/>
    <tableColumn id="27" xr3:uid="{0AE02D48-BDE6-47EC-AB9B-496C08A9AB74}" name="Time/Score19" dataDxfId="787">
      <calculatedColumnFormula>IF(AB5=0," ",_xlfn.RANK.AVG(AB5,AB$5:AB$25,1)-COUNTIF(AB$5:AB$25,0))</calculatedColumnFormula>
    </tableColumn>
    <tableColumn id="28" xr3:uid="{AAB8A2D2-95A4-4137-8481-1D83E661AB84}" name="Place19" dataDxfId="786">
      <calculatedColumnFormula>IF(AB5=0," ",IF((RANK(AB5,AB$5:AB$25,1)-COUNTIF(AB$5:AB$25,0)&gt;6)," ",RANK(AB5,AB$5:AB$25,1)-COUNTIF(AB$5:AB$25,0)))</calculatedColumnFormula>
    </tableColumn>
    <tableColumn id="29" xr3:uid="{2287C055-5B2C-4544-ABE4-6D7517F7E962}" name="Points20" dataDxfId="785">
      <calculatedColumnFormula>IF(Table62202732333721[[#This Row],[Non-Member]]="X"," ",IF(AD5=" "," ",IFERROR(VLOOKUP(AC5,Points!$A$2:$B$14,2,FALSE)," ")))</calculatedColumnFormula>
    </tableColumn>
    <tableColumn id="30" xr3:uid="{5BFE855E-7F2F-411F-876A-E6125EEEA679}" name="Time/Score21" dataDxfId="784" dataCellStyle="Comma">
      <calculatedColumnFormula>IF(OR(X5=0,AB5=0)," ",X5+AB5)</calculatedColumnFormula>
    </tableColumn>
    <tableColumn id="31" xr3:uid="{21EE8E97-8955-4206-AEBC-C5EF57994C4C}" name="Time/Score22" dataDxfId="783">
      <calculatedColumnFormula>IF(OR(AF5=0,AF5=" ")," ",_xlfn.RANK.AVG(AF5,AF$5:AF$25,1)-COUNTIF(AF$5:AF$25,0))</calculatedColumnFormula>
    </tableColumn>
    <tableColumn id="32" xr3:uid="{52D7AF8F-68BF-4C6F-8AF4-CEA66AF5549A}" name="Place22" dataDxfId="782">
      <calculatedColumnFormula>IF(OR(AF5=0,AF5=" ")," ",IF((RANK(AF5,AF$5:AF$25,1)-COUNTIF(AF$5:AF$25,0)&gt;6)," ",RANK(AF5,AF$5:AF$25,1)-COUNTIF(AF$5:AF$25,0)))</calculatedColumnFormula>
    </tableColumn>
    <tableColumn id="33" xr3:uid="{06BD753A-DA53-4BC5-A40E-DD1790EF9C34}" name="Points23" dataDxfId="781">
      <calculatedColumnFormula>IF(Table62202732333721[[#This Row],[Non-Member]]="X"," ",IF(AH5=" "," ",IFERROR(VLOOKUP(AG5,Points!$A$2:$B$14,2,FALSE)," ")))</calculatedColumnFormula>
    </tableColumn>
    <tableColumn id="34" xr3:uid="{6D13A3CD-CE8C-4ACE-BC22-9EF209BA1B92}" name="Points24" dataDxfId="780">
      <calculatedColumnFormula>IF(Table62202732333721[[#This Row],[Non-Member]]="X"," ",((IF(G5=" ",0,G5))+(IF(K5=" ",0,K5))+(IF(O5=" ",0,O5))+(IF(S5=" ",0,S5))+(IF(W5=" ",0,W5))+(IF(AA5=" ",0,AA5))+(IF(AE5=" ",0,AE5))+(IF(AI5=" ",0,AI5))))</calculatedColumnFormula>
    </tableColumn>
    <tableColumn id="35" xr3:uid="{225BF272-F36E-4CF3-AA52-BC30BD106C23}" name="Points25" dataDxfId="779" dataCellStyle="Comma">
      <calculatedColumnFormula>IF(AJ5=0," ",AJ5)</calculatedColumnFormula>
    </tableColumn>
    <tableColumn id="36" xr3:uid="{9AA709EF-ED18-452C-A3F7-83E4BF3B7929}" name="Place26" dataDxfId="778">
      <calculatedColumnFormula>IF(AK5=" "," ",RANK(AK5,$AK$5:$AK$25))</calculatedColumn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F6EDE9E-D2B8-4F27-9550-799828C67DE5}" name="Table6220273233373822" displayName="Table6220273233373822" ref="B4:AL25" totalsRowShown="0" headerRowDxfId="777" dataDxfId="776" tableBorderDxfId="775">
  <autoFilter ref="B4:AL25" xr:uid="{89B1FF52-34AE-480D-BF76-50E05053D0D8}"/>
  <sortState xmlns:xlrd2="http://schemas.microsoft.com/office/spreadsheetml/2017/richdata2" ref="B5:AL25">
    <sortCondition ref="AL5:AL25"/>
    <sortCondition ref="B5:B25"/>
  </sortState>
  <tableColumns count="37">
    <tableColumn id="1" xr3:uid="{29C405B2-DA28-4C89-90BE-00611EB90229}" name="Name" dataDxfId="774"/>
    <tableColumn id="37" xr3:uid="{9AA6830B-2FD0-44C4-A229-4245677306D2}" name="Non-Member" dataDxfId="773"/>
    <tableColumn id="2" xr3:uid="{DA33C7F5-6621-4BEE-BB0A-C2E4983D0909}" name="Time/Score" dataDxfId="772" dataCellStyle="Comma"/>
    <tableColumn id="3" xr3:uid="{96E66291-C469-4FEE-BD0C-027C0515E0C4}" name="Column2" dataDxfId="771">
      <calculatedColumnFormula>IF(D5=0," ",_xlfn.RANK.AVG(D5,D$5:D$25,1)-COUNTIF(D$5:D$25,0))</calculatedColumnFormula>
    </tableColumn>
    <tableColumn id="4" xr3:uid="{559DE764-804F-4CA7-9AAC-0498D415DBDF}" name="Place" dataDxfId="770">
      <calculatedColumnFormula>IF(D5=0," ",IF((RANK(D5,D$5:D$25,1)-COUNTIF(D$5:D$25,0)&gt;6)," ",RANK(D5,D$5:D$25,1)-COUNTIF(D$5:D$25,0)))</calculatedColumnFormula>
    </tableColumn>
    <tableColumn id="5" xr3:uid="{2A899274-F893-43CD-BD21-94B60FA19BDF}" name="Points" dataDxfId="769">
      <calculatedColumnFormula>IF(Table6220273233373822[[#This Row],[Non-Member]]="X"," ",IF(F5=" "," ",IFERROR(VLOOKUP(E5,Points!$A$2:$B$14,2,FALSE)," ")))</calculatedColumnFormula>
    </tableColumn>
    <tableColumn id="6" xr3:uid="{D2B59808-D6AC-47EA-8087-3D7A3E7FB3E1}" name="Time/Score3" dataDxfId="768" dataCellStyle="Comma"/>
    <tableColumn id="7" xr3:uid="{37B6EEC6-B271-46B1-AD58-731AED1B05D1}" name="Time/Score4" dataDxfId="767">
      <calculatedColumnFormula>IF(H5=0," ",_xlfn.RANK.AVG(H5,H$5:H$25,1)-COUNTIF(H$5:H$25,0))</calculatedColumnFormula>
    </tableColumn>
    <tableColumn id="8" xr3:uid="{699F25BA-5590-4F57-91B9-AB6DB8402150}" name="Place4" dataDxfId="766">
      <calculatedColumnFormula>IF(H5=0," ",IF((RANK(H5,H$5:H$25,1)-COUNTIF(H$5:H$25,0)&gt;6)," ",RANK(H5,H$5:H$25,1)-COUNTIF(H$5:H$25,0)))</calculatedColumnFormula>
    </tableColumn>
    <tableColumn id="9" xr3:uid="{73BA1DAC-853F-413A-AC7C-2C936B9176BF}" name="Points5" dataDxfId="765">
      <calculatedColumnFormula>IF(Table6220273233373822[[#This Row],[Non-Member]]="X"," ",IF(J5=" "," ",IFERROR(VLOOKUP(I5,Points!$A$2:$B$14,2,FALSE)," ")))</calculatedColumnFormula>
    </tableColumn>
    <tableColumn id="10" xr3:uid="{A66ADAE6-9D60-4F5E-926D-F4002AD8D36C}" name="Time/Score6" dataDxfId="764" dataCellStyle="Comma"/>
    <tableColumn id="11" xr3:uid="{9663A2FE-4330-49B0-9715-802FBCA4C3D1}" name="Time/Score7" dataDxfId="763">
      <calculatedColumnFormula>IF(L5=0," ",_xlfn.RANK.AVG(L5,L$5:L$25,1)-COUNTIF(L$5:L$25,0))</calculatedColumnFormula>
    </tableColumn>
    <tableColumn id="12" xr3:uid="{38C87F09-81B3-467C-9290-3A5AFE2D8B82}" name="Place7" dataDxfId="762">
      <calculatedColumnFormula>IF(L5=0," ",IF((RANK(L5,L$5:L$25,1)-COUNTIF(L$5:L$25,0)&gt;6)," ",RANK(L5,L$5:L$25,1)-COUNTIF(L$5:L$25,0)))</calculatedColumnFormula>
    </tableColumn>
    <tableColumn id="13" xr3:uid="{12045C29-A406-4866-B5BA-09A9D57B3DB1}" name="Points8" dataDxfId="761">
      <calculatedColumnFormula>IF(Table6220273233373822[[#This Row],[Non-Member]]="X"," ",IF(N5=" "," ",IFERROR(VLOOKUP(M5,Points!$A$2:$B$14,2,FALSE)," ")))</calculatedColumnFormula>
    </tableColumn>
    <tableColumn id="14" xr3:uid="{F5F7C5E6-C370-43B2-9785-B1F3867200B9}" name="Time/Score9" dataDxfId="760" dataCellStyle="Comma"/>
    <tableColumn id="15" xr3:uid="{185A1EF1-B415-46BE-A9B4-D1CE6579E855}" name="Time/Score10" dataDxfId="759">
      <calculatedColumnFormula>IF(P5=0," ",_xlfn.RANK.AVG(P5,P$5:P$25,1)-COUNTIF(P$5:P$25,0))</calculatedColumnFormula>
    </tableColumn>
    <tableColumn id="16" xr3:uid="{026F91CF-01A2-410E-A9E8-FE8486B6E02E}" name="Place10" dataDxfId="758">
      <calculatedColumnFormula>IF(P5=0," ",IF((RANK(P5,P$5:P$25,1)-COUNTIF(P$5:P$25,0)&gt;6)," ",RANK(P5,P$5:P$25,1)-COUNTIF(P$5:P$25,0)))</calculatedColumnFormula>
    </tableColumn>
    <tableColumn id="17" xr3:uid="{C0661086-17B1-4D1F-BAD4-D00DBAAC5A13}" name="Points11" dataDxfId="757">
      <calculatedColumnFormula>IF(Table6220273233373822[[#This Row],[Non-Member]]="X"," ",IF(R5=" "," ",IFERROR(VLOOKUP(Q5,Points!$A$2:$B$14,2,FALSE)," ")))</calculatedColumnFormula>
    </tableColumn>
    <tableColumn id="18" xr3:uid="{C9039B16-FDC4-43BD-897D-1601A609B732}" name="Time/Score12" dataDxfId="756" dataCellStyle="Comma"/>
    <tableColumn id="19" xr3:uid="{94932762-56DF-4BA4-980D-0736170F8680}" name="Time/Score13" dataDxfId="755">
      <calculatedColumnFormula>IF(T5=0," ",_xlfn.RANK.AVG(T5,T$5:T$25,1)-COUNTIF(T$5:T$25,0))</calculatedColumnFormula>
    </tableColumn>
    <tableColumn id="20" xr3:uid="{BA2FC00C-BBFC-4BE1-BA70-C863179B3170}" name="Place13" dataDxfId="754">
      <calculatedColumnFormula>IF(T5=0," ",IF((RANK(T5,T$5:T$25,1)-COUNTIF(T$5:T$25,0)&gt;6)," ",RANK(T5,T$5:T$25,1)-COUNTIF(T$5:T$25,0)))</calculatedColumnFormula>
    </tableColumn>
    <tableColumn id="21" xr3:uid="{F84E3AAC-BEBF-4BEF-BFA8-890C80830956}" name="Points14" dataDxfId="753">
      <calculatedColumnFormula>IF(Table6220273233373822[[#This Row],[Non-Member]]="X"," ",IF(V5=" "," ",IFERROR(VLOOKUP(U5,Points!$A$2:$B$14,2,FALSE)," ")))</calculatedColumnFormula>
    </tableColumn>
    <tableColumn id="22" xr3:uid="{497AC1C6-6D0A-4FAB-8408-EFF2399AA4E9}" name="Time/Score15" dataDxfId="752" dataCellStyle="Comma"/>
    <tableColumn id="23" xr3:uid="{F59F686F-2209-425D-9B9D-5DEE144E4465}" name="Time/Score16" dataDxfId="751">
      <calculatedColumnFormula>IF(X5=0," ",_xlfn.RANK.AVG(X5,X$5:X$25,1)-COUNTIF(X$5:X$25,0))</calculatedColumnFormula>
    </tableColumn>
    <tableColumn id="24" xr3:uid="{2C75A791-47E9-4A67-8994-D44678AC35E0}" name="Place16" dataDxfId="750">
      <calculatedColumnFormula>IF(X5=0," ",IF((RANK(X5,X$5:X$25,1)-COUNTIF(X$5:X$25,0)&gt;6)," ",RANK(X5,X$5:X$25,1)-COUNTIF(X$5:X$25,0)))</calculatedColumnFormula>
    </tableColumn>
    <tableColumn id="25" xr3:uid="{44131146-722B-4F1D-B7FD-1B889B85A1DA}" name="Points17" dataDxfId="749">
      <calculatedColumnFormula>IF(Table6220273233373822[[#This Row],[Non-Member]]="X"," ",IF(Z5=" "," ",IFERROR(VLOOKUP(Y5,Points!$A$2:$B$14,2,FALSE)," ")))</calculatedColumnFormula>
    </tableColumn>
    <tableColumn id="26" xr3:uid="{3BB136DD-9130-462F-A7AC-3C14D551FDE4}" name="Time/Score18" dataDxfId="748" dataCellStyle="Comma"/>
    <tableColumn id="27" xr3:uid="{0998F551-707C-4245-B210-712F9F10FE8D}" name="Time/Score19" dataDxfId="747">
      <calculatedColumnFormula>IF(AB5=0," ",_xlfn.RANK.AVG(AB5,AB$5:AB$25,1)-COUNTIF(AB$5:AB$25,0))</calculatedColumnFormula>
    </tableColumn>
    <tableColumn id="28" xr3:uid="{157F978E-142E-4210-AF16-FB12F618A15B}" name="Place19" dataDxfId="746">
      <calculatedColumnFormula>IF(AB5=0," ",IF((RANK(AB5,AB$5:AB$25,1)-COUNTIF(AB$5:AB$25,0)&gt;6)," ",RANK(AB5,AB$5:AB$25,1)-COUNTIF(AB$5:AB$25,0)))</calculatedColumnFormula>
    </tableColumn>
    <tableColumn id="29" xr3:uid="{A532D18E-94D8-4B19-AA6D-E490506447DD}" name="Points20" dataDxfId="745">
      <calculatedColumnFormula>IF(Table6220273233373822[[#This Row],[Non-Member]]="X"," ",IF(AD5=" "," ",IFERROR(VLOOKUP(AC5,Points!$A$2:$B$14,2,FALSE)," ")))</calculatedColumnFormula>
    </tableColumn>
    <tableColumn id="30" xr3:uid="{22A65F89-B2C8-44E3-9C62-D1213606BA9B}" name="Time/Score21" dataDxfId="744" dataCellStyle="Comma">
      <calculatedColumnFormula>IF(OR(X5=0,AB5=0)," ",X5+AB5)</calculatedColumnFormula>
    </tableColumn>
    <tableColumn id="31" xr3:uid="{7B81B7C3-0A0F-4E39-A343-DCEDB0A9B31F}" name="Time/Score22" dataDxfId="743">
      <calculatedColumnFormula>IF(OR(AF5=0,AF5=" ")," ",_xlfn.RANK.AVG(AF5,AF$5:AF$25,1)-COUNTIF(AF$5:AF$25,0))</calculatedColumnFormula>
    </tableColumn>
    <tableColumn id="32" xr3:uid="{F408B3A1-57C7-4A4D-A20C-596416AD5C15}" name="Place22" dataDxfId="742">
      <calculatedColumnFormula>IF(OR(AF5=0,AF5=" ")," ",IF((RANK(AF5,AF$5:AF$25,1)-COUNTIF(AF$5:AF$25,0)&gt;6)," ",RANK(AF5,AF$5:AF$25,1)-COUNTIF(AF$5:AF$25,0)))</calculatedColumnFormula>
    </tableColumn>
    <tableColumn id="33" xr3:uid="{2D8E02FF-7EE6-4ACD-9A13-D4612C9F04CD}" name="Points23" dataDxfId="741">
      <calculatedColumnFormula>IF(Table6220273233373822[[#This Row],[Non-Member]]="X"," ",IF(AH5=" "," ",IFERROR(VLOOKUP(AG5,Points!$A$2:$B$14,2,FALSE)," ")))</calculatedColumnFormula>
    </tableColumn>
    <tableColumn id="34" xr3:uid="{D313B00E-74A7-4006-9690-805D82D6F505}" name="Points24" dataDxfId="740">
      <calculatedColumnFormula>IF(Table6220273233373822[[#This Row],[Non-Member]]="X"," ",((IF(G5=" ",0,G5))+(IF(K5=" ",0,K5))+(IF(O5=" ",0,O5))+(IF(S5=" ",0,S5))+(IF(W5=" ",0,W5))+(IF(AA5=" ",0,AA5))+(IF(AE5=" ",0,AE5))+(IF(AI5=" ",0,AI5))))</calculatedColumnFormula>
    </tableColumn>
    <tableColumn id="35" xr3:uid="{E16E3B0B-E265-4977-ADBD-668E7E824FA7}" name="Points25" dataDxfId="739" dataCellStyle="Comma">
      <calculatedColumnFormula>IF(AJ5=0," ",AJ5)</calculatedColumnFormula>
    </tableColumn>
    <tableColumn id="36" xr3:uid="{CED9899A-989A-4F27-B417-8D7B1997444C}" name="Place26" dataDxfId="738">
      <calculatedColumnFormula>IF(AK5=" "," ",RANK(AK5,$AK$5:$AK$25))</calculatedColumnFormula>
    </tableColumn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F33E847-010C-4C39-9027-B1CA11B67740}" name="Table622027323337383923" displayName="Table622027323337383923" ref="B4:AL24" totalsRowShown="0" headerRowDxfId="737" dataDxfId="736" tableBorderDxfId="735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856E2239-AA60-46BE-BB4D-22CEBFCE0529}" name="Name" dataDxfId="734"/>
    <tableColumn id="37" xr3:uid="{072872BD-C375-43A5-8D07-1BBAF934D320}" name="Non-Member" dataDxfId="733"/>
    <tableColumn id="2" xr3:uid="{7CBCF5AB-FCB5-497E-9EA9-E394B155B156}" name="Time/Score" dataDxfId="732" dataCellStyle="Comma"/>
    <tableColumn id="3" xr3:uid="{EEEA0C9E-C707-4679-BA49-F9D5F9D7F932}" name="Column2" dataDxfId="731">
      <calculatedColumnFormula>IF(D5=0," ",_xlfn.RANK.AVG(D5,D$5:D$24,1)-COUNTIF(D$5:D$24,0))</calculatedColumnFormula>
    </tableColumn>
    <tableColumn id="4" xr3:uid="{ED1C99A9-4B91-46D9-BB43-54BFF68B11E7}" name="Place" dataDxfId="730">
      <calculatedColumnFormula>IF(D5=0," ",IF((RANK(D5,D$5:D$24,1)-COUNTIF(D$5:D$24,0)&gt;6)," ",RANK(D5,D$5:D$24,1)-COUNTIF(D$5:D$24,0)))</calculatedColumnFormula>
    </tableColumn>
    <tableColumn id="5" xr3:uid="{9E2CEDB5-3727-462D-A4F0-51E2CCBF582E}" name="Points" dataDxfId="729">
      <calculatedColumnFormula>IF(Table622027323337383923[[#This Row],[Non-Member]]="X"," ",IF(F5=" "," ",IFERROR(VLOOKUP(E5,Points!$A$2:$B$14,2,FALSE)," ")))</calculatedColumnFormula>
    </tableColumn>
    <tableColumn id="6" xr3:uid="{FB622B10-3B67-471A-B45C-A157AFFB2597}" name="Time/Score3" dataDxfId="728" dataCellStyle="Comma"/>
    <tableColumn id="7" xr3:uid="{E0FDE8B3-3A81-4440-97A7-EF4565B00018}" name="Time/Score4" dataDxfId="727">
      <calculatedColumnFormula>IF(H5=0," ",_xlfn.RANK.AVG(H5,H$5:H$24,1)-COUNTIF(H$5:H$24,0))</calculatedColumnFormula>
    </tableColumn>
    <tableColumn id="8" xr3:uid="{0275B125-FA89-4585-8B8C-97893C5DEAB1}" name="Place4" dataDxfId="726">
      <calculatedColumnFormula>IF(H5=0," ",IF((RANK(H5,H$5:H$24,1)-COUNTIF(H$5:H$24,0)&gt;6)," ",RANK(H5,H$5:H$24,1)-COUNTIF(H$5:H$24,0)))</calculatedColumnFormula>
    </tableColumn>
    <tableColumn id="9" xr3:uid="{22D68479-E789-46F0-A2A0-7ACB501DB728}" name="Points5" dataDxfId="725">
      <calculatedColumnFormula>IF(Table622027323337383923[[#This Row],[Non-Member]]="X"," ",IF(J5=" "," ",IFERROR(VLOOKUP(I5,Points!$A$2:$B$14,2,FALSE)," ")))</calculatedColumnFormula>
    </tableColumn>
    <tableColumn id="10" xr3:uid="{04463061-5A4C-44B5-89E7-94990957F0D9}" name="Time/Score6" dataDxfId="724" dataCellStyle="Comma"/>
    <tableColumn id="11" xr3:uid="{92029E26-8840-4D36-8DCA-07045C1D696D}" name="Time/Score7" dataDxfId="723">
      <calculatedColumnFormula>IF(L5=0," ",_xlfn.RANK.AVG(L5,L$5:L$24,1)-COUNTIF(L$5:L$24,0))</calculatedColumnFormula>
    </tableColumn>
    <tableColumn id="12" xr3:uid="{8D513DA2-D5CF-4342-8C8D-A9894BF858F7}" name="Place7" dataDxfId="722">
      <calculatedColumnFormula>IF(L5=0," ",IF((RANK(L5,L$5:L$24,1)-COUNTIF(L$5:L$24,0)&gt;6)," ",RANK(L5,L$5:L$24,1)-COUNTIF(L$5:L$24,0)))</calculatedColumnFormula>
    </tableColumn>
    <tableColumn id="13" xr3:uid="{0E449E36-10BA-4A1D-9379-46AB66A62307}" name="Points8" dataDxfId="721">
      <calculatedColumnFormula>IF(Table622027323337383923[[#This Row],[Non-Member]]="X"," ",IF(N5=" "," ",IFERROR(VLOOKUP(M5,Points!$A$2:$B$14,2,FALSE)," ")))</calculatedColumnFormula>
    </tableColumn>
    <tableColumn id="14" xr3:uid="{A65B0A89-E90C-409E-B648-FED19E228F43}" name="Time/Score9" dataDxfId="720" dataCellStyle="Comma"/>
    <tableColumn id="15" xr3:uid="{5469B53F-91AE-4833-A4A8-CD2E4AFBF105}" name="Time/Score10" dataDxfId="719">
      <calculatedColumnFormula>IF(P5=0," ",_xlfn.RANK.AVG(P5,P$5:P$24,1)-COUNTIF(P$5:P$24,0))</calculatedColumnFormula>
    </tableColumn>
    <tableColumn id="16" xr3:uid="{B99B5642-3E57-46BF-B9FA-6E5A1F4A49F6}" name="Place10" dataDxfId="718">
      <calculatedColumnFormula>IF(P5=0," ",IF((RANK(P5,P$5:P$24,1)-COUNTIF(P$5:P$24,0)&gt;6)," ",RANK(P5,P$5:P$24,1)-COUNTIF(P$5:P$24,0)))</calculatedColumnFormula>
    </tableColumn>
    <tableColumn id="17" xr3:uid="{DE07E573-AE68-46DF-9F37-ABE217C7A233}" name="Points11" dataDxfId="717">
      <calculatedColumnFormula>IF(Table622027323337383923[[#This Row],[Non-Member]]="X"," ",IF(R5=" "," ",IFERROR(VLOOKUP(Q5,Points!$A$2:$B$14,2,FALSE)," ")))</calculatedColumnFormula>
    </tableColumn>
    <tableColumn id="18" xr3:uid="{1C3F595F-CAC7-4054-B954-55444709E8D1}" name="Time/Score12" dataDxfId="716" dataCellStyle="Comma"/>
    <tableColumn id="19" xr3:uid="{4D80B1C4-2E88-4007-B9BF-940638BAF575}" name="Time/Score13" dataDxfId="715">
      <calculatedColumnFormula>IF(T5=0," ",_xlfn.RANK.AVG(T5,T$5:T$24,1)-COUNTIF(T$5:T$24,0))</calculatedColumnFormula>
    </tableColumn>
    <tableColumn id="20" xr3:uid="{D7A107AD-E7EF-47C0-9DCD-D61A7B2B4052}" name="Place13" dataDxfId="714">
      <calculatedColumnFormula>IF(T5=0," ",IF((RANK(T5,T$5:T$24,1)-COUNTIF(T$5:T$24,0)&gt;6)," ",RANK(T5,T$5:T$24,1)-COUNTIF(T$5:T$24,0)))</calculatedColumnFormula>
    </tableColumn>
    <tableColumn id="21" xr3:uid="{1C3F39F6-F575-4AF7-ADC8-21DEB8A87F4F}" name="Points14" dataDxfId="713">
      <calculatedColumnFormula>IF(Table622027323337383923[[#This Row],[Non-Member]]="X"," ",IF(V5=" "," ",IFERROR(VLOOKUP(U5,Points!$A$2:$B$14,2,FALSE)," ")))</calculatedColumnFormula>
    </tableColumn>
    <tableColumn id="22" xr3:uid="{01866B36-C781-4A50-80C6-880B7E86EE17}" name="Time/Score15" dataDxfId="712" dataCellStyle="Comma"/>
    <tableColumn id="23" xr3:uid="{D956368B-2C4B-4B83-91B4-99DF07FE0261}" name="Time/Score16" dataDxfId="711">
      <calculatedColumnFormula>IF(X5=0," ",_xlfn.RANK.AVG(X5,X$5:X$24,1)-COUNTIF(X$5:X$24,0))</calculatedColumnFormula>
    </tableColumn>
    <tableColumn id="24" xr3:uid="{3B24570D-2516-4112-BA5A-B9F45DD51851}" name="Place16" dataDxfId="710">
      <calculatedColumnFormula>IF(X5=0," ",IF((RANK(X5,X$5:X$24,1)-COUNTIF(X$5:X$24,0)&gt;6)," ",RANK(X5,X$5:X$24,1)-COUNTIF(X$5:X$24,0)))</calculatedColumnFormula>
    </tableColumn>
    <tableColumn id="25" xr3:uid="{5EA7180D-070E-4242-BB0E-6579EDDAB75C}" name="Points17" dataDxfId="709">
      <calculatedColumnFormula>IF(Table622027323337383923[[#This Row],[Non-Member]]="X"," ",IF(Z5=" "," ",IFERROR(VLOOKUP(Y5,Points!$A$2:$B$14,2,FALSE)," ")))</calculatedColumnFormula>
    </tableColumn>
    <tableColumn id="26" xr3:uid="{DB9B3B36-1C95-498D-974A-DBA09B901204}" name="Time/Score18" dataDxfId="708" dataCellStyle="Comma"/>
    <tableColumn id="27" xr3:uid="{4397D259-B379-44E5-A0A1-1BEE80512FFB}" name="Time/Score19" dataDxfId="707">
      <calculatedColumnFormula>IF(AB5=0," ",_xlfn.RANK.AVG(AB5,AB$5:AB$24,1)-COUNTIF(AB$5:AB$24,0))</calculatedColumnFormula>
    </tableColumn>
    <tableColumn id="28" xr3:uid="{66A65289-A96F-4107-B9D7-25F8A6F2BC1B}" name="Place19" dataDxfId="706">
      <calculatedColumnFormula>IF(AB5=0," ",IF((RANK(AB5,AB$5:AB$24,1)-COUNTIF(AB$5:AB$24,0)&gt;6)," ",RANK(AB5,AB$5:AB$24,1)-COUNTIF(AB$5:AB$24,0)))</calculatedColumnFormula>
    </tableColumn>
    <tableColumn id="29" xr3:uid="{D2827DF7-F2EB-4A63-B8DE-E451460212B7}" name="Points20" dataDxfId="705">
      <calculatedColumnFormula>IF(Table622027323337383923[[#This Row],[Non-Member]]="X"," ",IF(AD5=" "," ",IFERROR(VLOOKUP(AC5,Points!$A$2:$B$14,2,FALSE)," ")))</calculatedColumnFormula>
    </tableColumn>
    <tableColumn id="30" xr3:uid="{455FD12A-8A01-420F-A661-5B7435971FE9}" name="Time/Score21" dataDxfId="704" dataCellStyle="Comma">
      <calculatedColumnFormula>IF(OR(X5=0,AB5=0)," ",X5+AB5)</calculatedColumnFormula>
    </tableColumn>
    <tableColumn id="31" xr3:uid="{99E92B9C-9286-431F-9AA1-1EE64C18707A}" name="Time/Score22" dataDxfId="703">
      <calculatedColumnFormula>IF(OR(AF5=0,AF5=" ")," ",_xlfn.RANK.AVG(AF5,AF$5:AF$24,1)-COUNTIF(AF$5:AF$24,0))</calculatedColumnFormula>
    </tableColumn>
    <tableColumn id="32" xr3:uid="{7FF992D3-4130-4D1E-9AB4-AB897B13F31E}" name="Place22" dataDxfId="702">
      <calculatedColumnFormula>IF(OR(AF5=0,AF5=" ")," ",IF((RANK(AF5,AF$5:AF$24,1)-COUNTIF(AF$5:AF$24,0)&gt;6)," ",RANK(AF5,AF$5:AF$24,1)-COUNTIF(AF$5:AF$24,0)))</calculatedColumnFormula>
    </tableColumn>
    <tableColumn id="33" xr3:uid="{B9D0C220-1432-4E18-96D4-79DF8921D455}" name="Points23" dataDxfId="701">
      <calculatedColumnFormula>IF(Table622027323337383923[[#This Row],[Non-Member]]="X"," ",IF(AH5=" "," ",IFERROR(VLOOKUP(AG5,Points!$A$2:$B$14,2,FALSE)," ")))</calculatedColumnFormula>
    </tableColumn>
    <tableColumn id="34" xr3:uid="{0B50CF43-A087-44D5-AFD8-E55704E277FB}" name="Points24" dataDxfId="700">
      <calculatedColumnFormula>IF(Table622027323337383923[[#This Row],[Non-Member]]="X"," ",((IF(G5=" ",0,G5))+(IF(K5=" ",0,K5))+(IF(O5=" ",0,O5))+(IF(S5=" ",0,S5))+(IF(W5=" ",0,W5))+(IF(AA5=" ",0,AA5))+(IF(AE5=" ",0,AE5))+(IF(AI5=" ",0,AI5))))</calculatedColumnFormula>
    </tableColumn>
    <tableColumn id="35" xr3:uid="{7F6BAB2D-C04C-4EC2-9C66-0BEBC0B4E0E5}" name="Points25" dataDxfId="699" dataCellStyle="Comma">
      <calculatedColumnFormula>IF(AJ5=0," ",AJ5)</calculatedColumnFormula>
    </tableColumn>
    <tableColumn id="36" xr3:uid="{2A28EA6C-0FE8-4D2A-8D7C-E9E111A374D9}" name="Place26" dataDxfId="69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EB5C54F-3526-4288-80E0-707B9EE1651C}" name="Table62202732333738392324" displayName="Table62202732333738392324" ref="B4:AL24" totalsRowShown="0" headerRowDxfId="697" dataDxfId="696" tableBorderDxfId="695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E035527F-B9D8-4CFC-9399-E59C356FBFE9}" name="Name" dataDxfId="694"/>
    <tableColumn id="37" xr3:uid="{EF140982-0946-4997-A7CB-A261E0A622EC}" name="Non-Member" dataDxfId="693"/>
    <tableColumn id="2" xr3:uid="{6D046F15-776D-4CDA-B46D-4454378FAAE3}" name="Time/Score" dataDxfId="692" dataCellStyle="Comma"/>
    <tableColumn id="3" xr3:uid="{17F952E3-7C20-4F48-A3FC-AD52B04AFC0B}" name="Column2" dataDxfId="691">
      <calculatedColumnFormula>IF(D5=0," ",_xlfn.RANK.AVG(D5,D$5:D$24,1)-COUNTIF(D$5:D$24,0))</calculatedColumnFormula>
    </tableColumn>
    <tableColumn id="4" xr3:uid="{816FDE32-E12B-4C36-A4C8-ADC407840DCB}" name="Place" dataDxfId="690">
      <calculatedColumnFormula>IF(D5=0," ",IF((RANK(D5,D$5:D$24,1)-COUNTIF(D$5:D$24,0)&gt;6)," ",RANK(D5,D$5:D$24,1)-COUNTIF(D$5:D$24,0)))</calculatedColumnFormula>
    </tableColumn>
    <tableColumn id="5" xr3:uid="{99521AB9-BEEE-4158-A5E8-6F90B2AA2F16}" name="Points" dataDxfId="689">
      <calculatedColumnFormula>IF(Table62202732333738392324[[#This Row],[Non-Member]]="X"," ",IF(F5=" "," ",IFERROR(VLOOKUP(E5,Points!$A$2:$B$14,2,FALSE)," ")))</calculatedColumnFormula>
    </tableColumn>
    <tableColumn id="6" xr3:uid="{BAF8EF13-F19A-45B7-AF9E-08F1C415C8F1}" name="Time/Score3" dataDxfId="688" dataCellStyle="Comma"/>
    <tableColumn id="7" xr3:uid="{8624A2D7-17AD-472B-85D2-9A95487FCA93}" name="Time/Score4" dataDxfId="687">
      <calculatedColumnFormula>IF(H5=0," ",_xlfn.RANK.AVG(H5,H$5:H$24,1)-COUNTIF(H$5:H$24,0))</calculatedColumnFormula>
    </tableColumn>
    <tableColumn id="8" xr3:uid="{907EF0C2-103A-4F75-B1FC-15021031EC4C}" name="Place4" dataDxfId="686">
      <calculatedColumnFormula>IF(H5=0," ",IF((RANK(H5,H$5:H$24,1)-COUNTIF(H$5:H$24,0)&gt;6)," ",RANK(H5,H$5:H$24,1)-COUNTIF(H$5:H$24,0)))</calculatedColumnFormula>
    </tableColumn>
    <tableColumn id="9" xr3:uid="{EFB732EC-FF6D-486E-8422-E582ED751EA7}" name="Points5" dataDxfId="685">
      <calculatedColumnFormula>IF(Table62202732333738392324[[#This Row],[Non-Member]]="X"," ",IF(J5=" "," ",IFERROR(VLOOKUP(I5,Points!$A$2:$B$14,2,FALSE)," ")))</calculatedColumnFormula>
    </tableColumn>
    <tableColumn id="10" xr3:uid="{88EA5718-7972-42D9-A81F-DC4F36E055F1}" name="Time/Score6" dataDxfId="684" dataCellStyle="Comma"/>
    <tableColumn id="11" xr3:uid="{085D87FE-6D7D-48AF-9BB8-8F4701C9CFD1}" name="Time/Score7" dataDxfId="683">
      <calculatedColumnFormula>IF(L5=0," ",_xlfn.RANK.AVG(L5,L$5:L$24,1)-COUNTIF(L$5:L$24,0))</calculatedColumnFormula>
    </tableColumn>
    <tableColumn id="12" xr3:uid="{23B09C31-368A-47BC-9575-66A6E0BEE8BF}" name="Place7" dataDxfId="682">
      <calculatedColumnFormula>IF(L5=0," ",IF((RANK(L5,L$5:L$24,1)-COUNTIF(L$5:L$24,0)&gt;6)," ",RANK(L5,L$5:L$24,1)-COUNTIF(L$5:L$24,0)))</calculatedColumnFormula>
    </tableColumn>
    <tableColumn id="13" xr3:uid="{2F90BEA5-2211-490C-B225-435249B27E02}" name="Points8" dataDxfId="681">
      <calculatedColumnFormula>IF(Table62202732333738392324[[#This Row],[Non-Member]]="X"," ",IF(N5=" "," ",IFERROR(VLOOKUP(M5,Points!$A$2:$B$14,2,FALSE)," ")))</calculatedColumnFormula>
    </tableColumn>
    <tableColumn id="14" xr3:uid="{C01467EC-A1F0-4B2E-8535-0E21A7B71642}" name="Time/Score9" dataDxfId="680" dataCellStyle="Comma"/>
    <tableColumn id="15" xr3:uid="{6628FAA0-576B-46BC-9A55-B83B919AC9D5}" name="Time/Score10" dataDxfId="679">
      <calculatedColumnFormula>IF(P5=0," ",_xlfn.RANK.AVG(P5,P$5:P$24,1)-COUNTIF(P$5:P$24,0))</calculatedColumnFormula>
    </tableColumn>
    <tableColumn id="16" xr3:uid="{2AED066E-6C9C-4F8D-BA17-D11FFE4F523B}" name="Place10" dataDxfId="678">
      <calculatedColumnFormula>IF(P5=0," ",IF((RANK(P5,P$5:P$24,1)-COUNTIF(P$5:P$24,0)&gt;6)," ",RANK(P5,P$5:P$24,1)-COUNTIF(P$5:P$24,0)))</calculatedColumnFormula>
    </tableColumn>
    <tableColumn id="17" xr3:uid="{B6D18470-E8EF-474E-84A6-69398B5D3AFF}" name="Points11" dataDxfId="677">
      <calculatedColumnFormula>IF(Table62202732333738392324[[#This Row],[Non-Member]]="X"," ",IF(R5=" "," ",IFERROR(VLOOKUP(Q5,Points!$A$2:$B$14,2,FALSE)," ")))</calculatedColumnFormula>
    </tableColumn>
    <tableColumn id="18" xr3:uid="{ECD89725-B21E-4F62-B9A8-A8E5E4B78B1E}" name="Time/Score12" dataDxfId="676" dataCellStyle="Comma"/>
    <tableColumn id="19" xr3:uid="{26F2FCD1-2F58-412A-93DD-77BEEAE1F08C}" name="Time/Score13" dataDxfId="675">
      <calculatedColumnFormula>IF(T5=0," ",_xlfn.RANK.AVG(T5,T$5:T$24,1)-COUNTIF(T$5:T$24,0))</calculatedColumnFormula>
    </tableColumn>
    <tableColumn id="20" xr3:uid="{2DC0F752-CCC0-40AE-818B-033F11A9270B}" name="Place13" dataDxfId="674">
      <calculatedColumnFormula>IF(T5=0," ",IF((RANK(T5,T$5:T$24,1)-COUNTIF(T$5:T$24,0)&gt;6)," ",RANK(T5,T$5:T$24,1)-COUNTIF(T$5:T$24,0)))</calculatedColumnFormula>
    </tableColumn>
    <tableColumn id="21" xr3:uid="{F1BC99A9-1660-4292-82E6-7FF4BF39527D}" name="Points14" dataDxfId="673">
      <calculatedColumnFormula>IF(Table62202732333738392324[[#This Row],[Non-Member]]="X"," ",IF(V5=" "," ",IFERROR(VLOOKUP(U5,Points!$A$2:$B$14,2,FALSE)," ")))</calculatedColumnFormula>
    </tableColumn>
    <tableColumn id="22" xr3:uid="{40F1D221-D04F-42F5-8C7E-5AD40A0B3238}" name="Time/Score15" dataDxfId="672" dataCellStyle="Comma"/>
    <tableColumn id="23" xr3:uid="{A955E71B-4ABC-40AC-8599-C3CA3FA808B0}" name="Time/Score16" dataDxfId="671">
      <calculatedColumnFormula>IF(X5=0," ",_xlfn.RANK.AVG(X5,X$5:X$24,1)-COUNTIF(X$5:X$24,0))</calculatedColumnFormula>
    </tableColumn>
    <tableColumn id="24" xr3:uid="{3CE6E6DB-B5EB-42C5-85E2-9DA1C573A528}" name="Place16" dataDxfId="670">
      <calculatedColumnFormula>IF(X5=0," ",IF((RANK(X5,X$5:X$24,1)-COUNTIF(X$5:X$24,0)&gt;6)," ",RANK(X5,X$5:X$24,1)-COUNTIF(X$5:X$24,0)))</calculatedColumnFormula>
    </tableColumn>
    <tableColumn id="25" xr3:uid="{0B28A3C2-0CC2-4A1C-9FD4-03D99B2BD445}" name="Points17" dataDxfId="669">
      <calculatedColumnFormula>IF(Table62202732333738392324[[#This Row],[Non-Member]]="X"," ",IF(Z5=" "," ",IFERROR(VLOOKUP(Y5,Points!$A$2:$B$14,2,FALSE)," ")))</calculatedColumnFormula>
    </tableColumn>
    <tableColumn id="26" xr3:uid="{9DC1432F-944B-4AD1-8106-6BD20FE8019A}" name="Time/Score18" dataDxfId="668" dataCellStyle="Comma"/>
    <tableColumn id="27" xr3:uid="{01309EE6-40A4-4183-B2C7-7E1C316ADCA8}" name="Time/Score19" dataDxfId="667">
      <calculatedColumnFormula>IF(AB5=0," ",_xlfn.RANK.AVG(AB5,AB$5:AB$24,1)-COUNTIF(AB$5:AB$24,0))</calculatedColumnFormula>
    </tableColumn>
    <tableColumn id="28" xr3:uid="{CF821EF4-E6CC-4194-A8C4-CD386C681AD6}" name="Place19" dataDxfId="666">
      <calculatedColumnFormula>IF(AB5=0," ",IF((RANK(AB5,AB$5:AB$24,1)-COUNTIF(AB$5:AB$24,0)&gt;6)," ",RANK(AB5,AB$5:AB$24,1)-COUNTIF(AB$5:AB$24,0)))</calculatedColumnFormula>
    </tableColumn>
    <tableColumn id="29" xr3:uid="{8D67F89B-65C6-489A-ABCF-FB5B4BC1FBCE}" name="Points20" dataDxfId="665">
      <calculatedColumnFormula>IF(Table62202732333738392324[[#This Row],[Non-Member]]="X"," ",IF(AD5=" "," ",IFERROR(VLOOKUP(AC5,Points!$A$2:$B$14,2,FALSE)," ")))</calculatedColumnFormula>
    </tableColumn>
    <tableColumn id="30" xr3:uid="{92A620DF-044C-48C3-9465-162AD0AB2E0D}" name="Time/Score21" dataDxfId="664" dataCellStyle="Comma">
      <calculatedColumnFormula>IF(OR(X5=0,AB5=0)," ",X5+AB5)</calculatedColumnFormula>
    </tableColumn>
    <tableColumn id="31" xr3:uid="{BB4476B4-21D9-4E9B-9C21-7E4E570FA9B5}" name="Time/Score22" dataDxfId="663">
      <calculatedColumnFormula>IF(OR(AF5=0,AF5=" ")," ",_xlfn.RANK.AVG(AF5,AF$5:AF$24,1)-COUNTIF(AF$5:AF$24,0))</calculatedColumnFormula>
    </tableColumn>
    <tableColumn id="32" xr3:uid="{799CF417-EAC4-44B2-8B6D-5AAC6AB21A89}" name="Place22" dataDxfId="662">
      <calculatedColumnFormula>IF(OR(AF5=0,AF5=" ")," ",IF((RANK(AF5,AF$5:AF$24,1)-COUNTIF(AF$5:AF$24,0)&gt;6)," ",RANK(AF5,AF$5:AF$24,1)-COUNTIF(AF$5:AF$24,0)))</calculatedColumnFormula>
    </tableColumn>
    <tableColumn id="33" xr3:uid="{3E02C7B1-CE5E-4235-83F9-AD2F084E4227}" name="Points23" dataDxfId="661">
      <calculatedColumnFormula>IF(Table62202732333738392324[[#This Row],[Non-Member]]="X"," ",IF(AH5=" "," ",IFERROR(VLOOKUP(AG5,Points!$A$2:$B$14,2,FALSE)," ")))</calculatedColumnFormula>
    </tableColumn>
    <tableColumn id="34" xr3:uid="{91502FE4-6487-452D-A06D-827713C29FCC}" name="Points24" dataDxfId="660">
      <calculatedColumnFormula>IF(Table62202732333738392324[[#This Row],[Non-Member]]="X"," ",((IF(G5=" ",0,G5))+(IF(K5=" ",0,K5))+(IF(O5=" ",0,O5))+(IF(S5=" ",0,S5))+(IF(W5=" ",0,W5))+(IF(AA5=" ",0,AA5))+(IF(AE5=" ",0,AE5))+(IF(AI5=" ",0,AI5))))</calculatedColumnFormula>
    </tableColumn>
    <tableColumn id="35" xr3:uid="{86212647-2B90-4284-8BBB-B83E03C9CFEF}" name="Points25" dataDxfId="659" dataCellStyle="Comma">
      <calculatedColumnFormula>IF(AJ5=0," ",AJ5)</calculatedColumnFormula>
    </tableColumn>
    <tableColumn id="36" xr3:uid="{2C7A1B20-D2E0-434F-A82E-F0AA265F4479}" name="Place26" dataDxfId="65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7614C44-1C0F-4396-895F-48286F8239F9}" name="Table634568910112334444025" displayName="Table634568910112334444025" ref="B4:AC24" totalsRowShown="0" headerRowDxfId="657" dataDxfId="656" tableBorderDxfId="655">
  <autoFilter ref="B4:AC24" xr:uid="{89B1FF52-34AE-480D-BF76-50E05053D0D8}"/>
  <sortState xmlns:xlrd2="http://schemas.microsoft.com/office/spreadsheetml/2017/richdata2" ref="B5:AC24">
    <sortCondition ref="AC5:AC24"/>
    <sortCondition ref="B5:B24"/>
  </sortState>
  <tableColumns count="28">
    <tableColumn id="1" xr3:uid="{5980F43C-69C2-45C6-A69E-DE11BFEBE72B}" name="Name" dataDxfId="654"/>
    <tableColumn id="39" xr3:uid="{377800AD-D24D-4C21-86A7-8DBC2A27D90F}" name="Points" dataDxfId="653">
      <calculatedColumnFormula>IFERROR(IF(VLOOKUP($B5,'PW G-Breakaway'!$B$5:$AI$24,6,FALSE)=" ",0,VLOOKUP($B5,'PW G-Breakaway'!$B$5:$AI$24,6,FALSE)),0)+IFERROR(IF(VLOOKUP($B5,'PW G-Barrels'!$B$5:$AI$25,6,FALSE)=" ",0,VLOOKUP($B5,'PW G-Barrels'!$B$5:$AI$25,6,FALSE)),0)+IFERROR(IF(VLOOKUP($B5,'PW G-Poles'!$B$5:$AI$25,6,FALSE)=" ",0,VLOOKUP($B5,'PW G-Poles'!$B$5:$AI$25,6,FALSE)),0)+IFERROR(IF(VLOOKUP($B5,'PW G-Goats'!$B$5:$AI$24,6,FALSE)=" ",0,VLOOKUP($B5,'PW G-Goats'!$B$5:$AI$24,6,FALSE)),0)</calculatedColumnFormula>
    </tableColumn>
    <tableColumn id="4" xr3:uid="{E2C1C6D8-30A7-4D07-B205-4972BCF050E4}" name="Column1" dataDxfId="652">
      <calculatedColumnFormula>IF(C5&gt;0,C5," ")</calculatedColumnFormula>
    </tableColumn>
    <tableColumn id="5" xr3:uid="{18128C22-6D86-44CA-9B04-B2EF3B444D41}" name="Place" dataDxfId="651">
      <calculatedColumnFormula>IF(C5=0," ",RANK(C5,C$5:C$24,0))</calculatedColumnFormula>
    </tableColumn>
    <tableColumn id="43" xr3:uid="{B7D73809-4BBB-429D-816E-E1D8DC44C026}" name="Points4" dataDxfId="650">
      <calculatedColumnFormula>IFERROR(IF(VLOOKUP($B5,'PW G-Breakaway'!$B$5:$AI$24,10,FALSE)=" ",0,VLOOKUP($B5,'PW G-Breakaway'!$B$5:$AI$24,10,FALSE)),0)+IFERROR(IF(VLOOKUP($B5,'PW G-Barrels'!$B$5:$AI$25,10,FALSE)=" ",0,VLOOKUP($B5,'PW G-Barrels'!$B$5:$AI$25,10,FALSE)),0)+IFERROR(IF(VLOOKUP($B5,'PW G-Poles'!$B$5:$AI$25,10,FALSE)=" ",0,VLOOKUP($B5,'PW G-Poles'!$B$5:$AI$25,10,FALSE)),0)+IFERROR(IF(VLOOKUP($B5,'PW G-Goats'!$B$5:$AI$24,10,FALSE)=" ",0,VLOOKUP($B5,'PW G-Goats'!$B$5:$AI$24,10,FALSE)),0)</calculatedColumnFormula>
    </tableColumn>
    <tableColumn id="6" xr3:uid="{A4F3B33C-2B8F-422F-9D0E-BEA3FE2F1F74}" name="Points5" dataDxfId="649">
      <calculatedColumnFormula>IF(F5&gt;0,F5," ")</calculatedColumnFormula>
    </tableColumn>
    <tableColumn id="44" xr3:uid="{FDB15E28-E727-44E2-B29E-B7F16004CAD8}" name="Place5" dataDxfId="648">
      <calculatedColumnFormula>IF(F5=0," ",RANK(F5,F$5:F$24,0))</calculatedColumnFormula>
    </tableColumn>
    <tableColumn id="46" xr3:uid="{25025626-6DEB-4A9E-8C1C-019428F9240A}" name="Points43" dataDxfId="647">
      <calculatedColumnFormula>IFERROR(IF(VLOOKUP($B5,'PW G-Breakaway'!$B$5:$AI$24,14,FALSE)=" ",0,VLOOKUP($B5,'PW G-Breakaway'!$B$5:$AI$24,14,FALSE)),0)+IFERROR(IF(VLOOKUP($B5,'PW G-Barrels'!$B$5:$AI$25,14,FALSE)=" ",0,VLOOKUP($B5,'PW G-Barrels'!$B$5:$AI$25,14,FALSE)),0)+IFERROR(IF(VLOOKUP($B5,'PW G-Poles'!$B$5:$AI$25,14,FALSE)=" ",0,VLOOKUP($B5,'PW G-Poles'!$B$5:$AI$25,14,FALSE)),0)+IFERROR(IF(VLOOKUP($B5,'PW G-Goats'!$B$5:$AI$24,14,FALSE)=" ",0,VLOOKUP($B5,'PW G-Goats'!$B$5:$AI$24,14,FALSE)),0)</calculatedColumnFormula>
    </tableColumn>
    <tableColumn id="7" xr3:uid="{3E32AB18-B34F-4772-88C5-E86DCBF6EAD0}" name="Points432" dataDxfId="646">
      <calculatedColumnFormula>IF(I5&gt;0,I5," ")</calculatedColumnFormula>
    </tableColumn>
    <tableColumn id="47" xr3:uid="{F543F3FD-7720-4AE6-BD6C-90001C0C443D}" name="Place54" dataDxfId="645">
      <calculatedColumnFormula>IF(I5=0," ",RANK(I5,I$5:I$24,0))</calculatedColumnFormula>
    </tableColumn>
    <tableColumn id="49" xr3:uid="{91F2ECCD-9F30-4D60-9656-4ABFF12B689B}" name="Points44" dataDxfId="644">
      <calculatedColumnFormula>IFERROR(IF(VLOOKUP($B5,'PW G-Breakaway'!$B$5:$AI$24,18,FALSE)=" ",0,VLOOKUP($B5,'PW G-Breakaway'!$B$5:$AI$24,18,FALSE)),0)+IFERROR(IF(VLOOKUP($B5,'PW G-Barrels'!$B$5:$AI$25,18,FALSE)=" ",0,VLOOKUP($B5,'PW G-Barrels'!$B$5:$AI$25,18,FALSE)),0)+IFERROR(IF(VLOOKUP($B5,'PW G-Poles'!$B$5:$AI$25,18,FALSE)=" ",0,VLOOKUP($B5,'PW G-Poles'!$B$5:$AI$25,18,FALSE)),0)+IFERROR(IF(VLOOKUP($B5,'PW G-Goats'!$B$5:$AI$24,18,FALSE)=" ",0,VLOOKUP($B5,'PW G-Goats'!$B$5:$AI$24,18,FALSE)),0)</calculatedColumnFormula>
    </tableColumn>
    <tableColumn id="8" xr3:uid="{476BDCB4-2115-47E2-958D-2EAEC049C245}" name="Points442" dataDxfId="643">
      <calculatedColumnFormula>IF(L5&gt;0,L5," ")</calculatedColumnFormula>
    </tableColumn>
    <tableColumn id="50" xr3:uid="{291AFBE6-9868-48A6-B809-AA10A8EC3E1F}" name="Place55" dataDxfId="642">
      <calculatedColumnFormula>IF(L5=0," ",RANK(L5,L$5:L$24,0))</calculatedColumnFormula>
    </tableColumn>
    <tableColumn id="52" xr3:uid="{1B504662-9C8E-4228-9623-0F2A9361457C}" name="Points45" dataDxfId="641">
      <calculatedColumnFormula>IFERROR(IF(VLOOKUP($B5,'PW G-Breakaway'!$B$5:$AI$24,22,FALSE)=" ",0,VLOOKUP($B5,'PW G-Breakaway'!$B$5:$AI$24,22,FALSE)),0)+IFERROR(IF(VLOOKUP($B5,'PW G-Barrels'!$B$5:$AI$25,22,FALSE)=" ",0,VLOOKUP($B5,'PW G-Barrels'!$B$5:$AI$25,22,FALSE)),0)+IFERROR(IF(VLOOKUP($B5,'PW G-Poles'!$B$5:$AI$25,22,FALSE)=" ",0,VLOOKUP($B5,'PW G-Poles'!$B$5:$AI$25,22,FALSE)),0)+IFERROR(IF(VLOOKUP($B5,'PW G-Goats'!$B$5:$AI$24,22,FALSE)=" ",0,VLOOKUP($B5,'PW G-Goats'!$B$5:$AI$24,22,FALSE)),0)</calculatedColumnFormula>
    </tableColumn>
    <tableColumn id="9" xr3:uid="{F2DBE943-ED80-4BE2-8335-6EB5EA348793}" name="Points452" dataDxfId="640">
      <calculatedColumnFormula>IF(O5&gt;0,O5," ")</calculatedColumnFormula>
    </tableColumn>
    <tableColumn id="53" xr3:uid="{D613B709-D99F-43A3-B4DD-9047F27F7D38}" name="Place56" dataDxfId="639">
      <calculatedColumnFormula>IF(O5=0," ",RANK(O5,O$5:O$24,0))</calculatedColumnFormula>
    </tableColumn>
    <tableColumn id="55" xr3:uid="{B6AD1451-D0CA-482D-8C77-EDD56D826658}" name="Points46" dataDxfId="638">
      <calculatedColumnFormula>IFERROR(IF(VLOOKUP($B5,'PW G-Breakaway'!$B$5:$AI$24,26,FALSE)=" ",0,VLOOKUP($B5,'PW G-Breakaway'!$B$5:$AI$24,26,FALSE)),0)+IFERROR(IF(VLOOKUP($B5,'PW G-Barrels'!$B$5:$AI$25,26,FALSE)=" ",0,VLOOKUP($B5,'PW G-Barrels'!$B$5:$AI$25,26,FALSE)),0)+IFERROR(IF(VLOOKUP($B5,'PW G-Poles'!$B$5:$AI$25,26,FALSE)=" ",0,VLOOKUP($B5,'PW G-Poles'!$B$5:$AI$25,26,FALSE)),0)+IFERROR(IF(VLOOKUP($B5,'PW G-Goats'!$B$5:$AI$24,26,FALSE)=" ",0,VLOOKUP($B5,'PW G-Goats'!$B$5:$AI$24,26,FALSE)),0)</calculatedColumnFormula>
    </tableColumn>
    <tableColumn id="10" xr3:uid="{67E2923C-0F3D-40E4-914A-9CC73AA8A293}" name="Points462" dataDxfId="637">
      <calculatedColumnFormula>IF(R5&gt;0,R5," ")</calculatedColumnFormula>
    </tableColumn>
    <tableColumn id="56" xr3:uid="{04E85D15-8477-4E1F-901B-E35AE307D918}" name="Place57" dataDxfId="636">
      <calculatedColumnFormula>IF(R5=0," ",RANK(R5,R$5:R$24,0))</calculatedColumnFormula>
    </tableColumn>
    <tableColumn id="58" xr3:uid="{2D733210-F242-46E8-9736-3F23717F1579}" name="Points47" dataDxfId="635">
      <calculatedColumnFormula>IFERROR(IF(VLOOKUP($B5,'PW G-Breakaway'!$B$5:$AI$24,30,FALSE)=" ",0,VLOOKUP($B5,'PW G-Breakaway'!$B$5:$AI$24,30,FALSE)),0)+IFERROR(IF(VLOOKUP($B5,'PW G-Barrels'!$B$5:$AI$25,30,FALSE)=" ",0,VLOOKUP($B5,'PW G-Barrels'!$B$5:$AI$25,30,FALSE)),0)+IFERROR(IF(VLOOKUP($B5,'PW G-Poles'!$B$5:$AI$25,30,FALSE)=" ",0,VLOOKUP($B5,'PW G-Poles'!$B$5:$AI$25,30,FALSE)),0)+IFERROR(IF(VLOOKUP($B5,'PW G-Goats'!$B$5:$AI$24,30,FALSE)=" ",0,VLOOKUP($B5,'PW G-Goats'!$B$5:$AI$24,30,FALSE)),0)</calculatedColumnFormula>
    </tableColumn>
    <tableColumn id="11" xr3:uid="{893ED1A5-593F-40FB-966C-357F26E6CA53}" name="Points472" dataDxfId="634">
      <calculatedColumnFormula>IF(U5&gt;0,U5," ")</calculatedColumnFormula>
    </tableColumn>
    <tableColumn id="59" xr3:uid="{AE557332-CD0F-4268-A374-C57D16A83010}" name="Place58" dataDxfId="633">
      <calculatedColumnFormula>IF(U5=0," ",RANK(U5,U$5:U$24,0))</calculatedColumnFormula>
    </tableColumn>
    <tableColumn id="61" xr3:uid="{63FFF1B9-7EF6-475B-9A8D-70D0279AD7D6}" name="Points48" dataDxfId="632">
      <calculatedColumnFormula>IFERROR(IF(VLOOKUP($B5,'PW G-Breakaway'!$B$5:$AI$24,34,FALSE)=" ",0,VLOOKUP($B5,'PW G-Breakaway'!$B$5:$AI$24,34,FALSE)),0)+IFERROR(IF(VLOOKUP($B5,'PW G-Barrels'!$B$5:$AI$25,34,FALSE)=" ",0,VLOOKUP($B5,'PW G-Barrels'!$B$5:$AI$25,34,FALSE)),0)+IFERROR(IF(VLOOKUP($B5,'PW G-Poles'!$B$5:$AI$25,34,FALSE)=" ",0,VLOOKUP($B5,'PW G-Poles'!$B$5:$AI$25,34,FALSE)),0)+IFERROR(IF(VLOOKUP($B5,'PW G-Goats'!$B$5:$AI$24,34,FALSE)=" ",0,VLOOKUP($B5,'PW G-Goats'!$B$5:$AI$24,34,FALSE)),0)</calculatedColumnFormula>
    </tableColumn>
    <tableColumn id="12" xr3:uid="{22493534-FA21-46D3-B920-420C1353FF93}" name="Points49" dataDxfId="631">
      <calculatedColumnFormula>IF(X5&gt;0,X5," ")</calculatedColumnFormula>
    </tableColumn>
    <tableColumn id="62" xr3:uid="{5C4E075E-3E58-4C5B-A671-B6B21327E346}" name="Place59" dataDxfId="630">
      <calculatedColumnFormula>IF(X5=0," ",RANK(X5,X$5:X$24,0))</calculatedColumnFormula>
    </tableColumn>
    <tableColumn id="2" xr3:uid="{53AFA0E0-3177-4268-A7B4-5DBDFEEB0E88}" name="Points482" dataDxfId="629">
      <calculatedColumnFormula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calculatedColumnFormula>
    </tableColumn>
    <tableColumn id="13" xr3:uid="{EA487003-E5E5-4D78-A142-ABC67616E178}" name="Points483" dataDxfId="628">
      <calculatedColumnFormula>IF(AA5&gt;0,AA5," ")</calculatedColumnFormula>
    </tableColumn>
    <tableColumn id="3" xr3:uid="{79061EB2-D362-4E15-8D44-31AF5E34F522}" name="Place593" dataDxfId="627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1B69646-C453-447E-9718-C24AA781184B}" name="Table6220273215" displayName="Table6220273215" ref="B4:AL24" totalsRowShown="0" headerRowDxfId="626" dataDxfId="625" tableBorderDxfId="624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0664CA7E-136F-4EED-B19E-BA07BE000CEE}" name="Name" dataDxfId="623"/>
    <tableColumn id="37" xr3:uid="{3AE7EDED-2906-4CC8-84C8-0A54F9ADCD92}" name="Non-Member" dataDxfId="622"/>
    <tableColumn id="2" xr3:uid="{284DA089-CA93-4B50-AC71-49A5C5F65F83}" name="Time/Score" dataDxfId="621"/>
    <tableColumn id="3" xr3:uid="{1E366ACE-EB91-4587-8892-DB8EA4DC08DA}" name="Column2" dataDxfId="620">
      <calculatedColumnFormula>IF(D5=0," ",_xlfn.RANK.AVG(D5,D$5:D$24,0))</calculatedColumnFormula>
    </tableColumn>
    <tableColumn id="4" xr3:uid="{2C07A7BF-ACF1-4046-930B-10C88F7914AC}" name="Place" dataDxfId="619">
      <calculatedColumnFormula>IF(D5=0," ",IF((RANK(D5,D$5:D$24,0)&gt;6)," ",RANK(D5,D$5:D$24,0)))</calculatedColumnFormula>
    </tableColumn>
    <tableColumn id="5" xr3:uid="{3D4536EA-0529-424A-81BD-57C276464FF7}" name="Points" dataDxfId="618">
      <calculatedColumnFormula>IF(Table6220273215[[#This Row],[Non-Member]]="X"," ",IF(F5=" "," ",IFERROR(VLOOKUP(E5,Points!$A$2:$B$14,2,FALSE)," ")))</calculatedColumnFormula>
    </tableColumn>
    <tableColumn id="6" xr3:uid="{739890DC-BE7B-41B8-9119-BCE64C98E448}" name="Time/Score3" dataDxfId="617"/>
    <tableColumn id="7" xr3:uid="{13764512-AB41-43C4-AEE6-9ED5D90980B6}" name="Time/Score4" dataDxfId="616">
      <calculatedColumnFormula>IF(H5=0," ",_xlfn.RANK.AVG(H5,H$5:H$24,0))</calculatedColumnFormula>
    </tableColumn>
    <tableColumn id="8" xr3:uid="{5B881BD7-AC21-4C74-86F3-F2ED1DCFA4AB}" name="Place4" dataDxfId="615">
      <calculatedColumnFormula>IF(H5=0," ",IF((RANK(H5,H$5:H$24,0)&gt;6)," ",RANK(H5,H$5:H$24,0)))</calculatedColumnFormula>
    </tableColumn>
    <tableColumn id="9" xr3:uid="{B87F4ECE-62A2-46EF-8A78-CEC86E4D276F}" name="Points5" dataDxfId="614">
      <calculatedColumnFormula>IF(Table6220273215[[#This Row],[Non-Member]]="X"," ",IF(J5=" "," ",IFERROR(VLOOKUP(I5,Points!$A$2:$B$14,2,FALSE)," ")))</calculatedColumnFormula>
    </tableColumn>
    <tableColumn id="10" xr3:uid="{F7390572-9A08-4B24-9F82-D287515005F2}" name="Time/Score6" dataDxfId="613"/>
    <tableColumn id="11" xr3:uid="{22205907-8A46-4669-A2B0-DDFC6C0CB514}" name="Time/Score7" dataDxfId="612">
      <calculatedColumnFormula>IF(L5=0," ",_xlfn.RANK.AVG(L5,L$5:L$24,0))</calculatedColumnFormula>
    </tableColumn>
    <tableColumn id="12" xr3:uid="{654281B1-B369-4392-A295-ECC34E833399}" name="Place7" dataDxfId="611">
      <calculatedColumnFormula>IF(L5=0," ",IF((RANK(L5,L$5:L$24,0)&gt;6)," ",RANK(L5,L$5:L$24,0)))</calculatedColumnFormula>
    </tableColumn>
    <tableColumn id="13" xr3:uid="{B6E25055-BBF5-47C7-880E-EF7E91365CA6}" name="Points8" dataDxfId="610">
      <calculatedColumnFormula>IF(Table6220273215[[#This Row],[Non-Member]]="X"," ",IF(N5=" "," ",IFERROR(VLOOKUP(M5,Points!$A$2:$B$14,2,FALSE)," ")))</calculatedColumnFormula>
    </tableColumn>
    <tableColumn id="14" xr3:uid="{F11DE68E-EDEC-4ADE-9A8F-4E00444A5E61}" name="Time/Score9" dataDxfId="609"/>
    <tableColumn id="15" xr3:uid="{F749AE0B-30EF-4DF4-9DBB-6362ECC688F0}" name="Time/Score10" dataDxfId="608">
      <calculatedColumnFormula>IF(P5=0," ",_xlfn.RANK.AVG(P5,P$5:P$24,0))</calculatedColumnFormula>
    </tableColumn>
    <tableColumn id="16" xr3:uid="{6B65E380-58D9-4108-9953-CEDD57E81D89}" name="Place10" dataDxfId="607">
      <calculatedColumnFormula>IF(P5=0," ",IF((RANK(P5,P$5:P$24,0)&gt;6)," ",RANK(P5,P$5:P$24,0)))</calculatedColumnFormula>
    </tableColumn>
    <tableColumn id="17" xr3:uid="{5B783E86-19E1-453E-950B-45B925E7E99F}" name="Points11" dataDxfId="606">
      <calculatedColumnFormula>IF(Table6220273215[[#This Row],[Non-Member]]="X"," ",IF(R5=" "," ",IFERROR(VLOOKUP(Q5,Points!$A$2:$B$14,2,FALSE)," ")))</calculatedColumnFormula>
    </tableColumn>
    <tableColumn id="18" xr3:uid="{1D864FF2-57D2-494C-9334-849740278DC0}" name="Time/Score12" dataDxfId="605"/>
    <tableColumn id="19" xr3:uid="{C7258EE4-7CB6-466A-837C-17D97DBB1041}" name="Time/Score13" dataDxfId="604">
      <calculatedColumnFormula>IF(T5=0," ",_xlfn.RANK.AVG(T5,T$5:T$24,0))</calculatedColumnFormula>
    </tableColumn>
    <tableColumn id="20" xr3:uid="{4CB33678-3C45-4501-B79E-8E2EF1E11DE9}" name="Place13" dataDxfId="603">
      <calculatedColumnFormula>IF(T5=0," ",IF((RANK(T5,T$5:T$24,0)&gt;6)," ",RANK(T5,T$5:T$24,0)))</calculatedColumnFormula>
    </tableColumn>
    <tableColumn id="21" xr3:uid="{56551D63-1851-4F4C-B9E4-9A6A650296AF}" name="Points14" dataDxfId="602">
      <calculatedColumnFormula>IF(Table6220273215[[#This Row],[Non-Member]]="X"," ",IF(V5=" "," ",IFERROR(VLOOKUP(U5,Points!$A$2:$B$14,2,FALSE)," ")))</calculatedColumnFormula>
    </tableColumn>
    <tableColumn id="22" xr3:uid="{63094D2E-3DCC-4F66-8DA3-B9AF71037B38}" name="Time/Score15" dataDxfId="601"/>
    <tableColumn id="23" xr3:uid="{551B954B-7454-4746-BE69-B01C22FD33CF}" name="Time/Score16" dataDxfId="600">
      <calculatedColumnFormula>IF(X5=0," ",_xlfn.RANK.AVG(X5,X$5:X$24,0))</calculatedColumnFormula>
    </tableColumn>
    <tableColumn id="24" xr3:uid="{01943F52-FF13-41E2-A303-31159E698FC8}" name="Place16" dataDxfId="599">
      <calculatedColumnFormula>IF(X5=0," ",IF((RANK(X5,X$5:X$24,0)&gt;6)," ",RANK(X5,X$5:X$24,0)))</calculatedColumnFormula>
    </tableColumn>
    <tableColumn id="25" xr3:uid="{8C10D4B6-2DC1-4B1A-8B12-260531258A3B}" name="Points17" dataDxfId="598">
      <calculatedColumnFormula>IF(Table6220273215[[#This Row],[Non-Member]]="X"," ",IF(Z5=" "," ",IFERROR(VLOOKUP(Y5,Points!$A$2:$B$14,2,FALSE)," ")))</calculatedColumnFormula>
    </tableColumn>
    <tableColumn id="26" xr3:uid="{339923B0-6806-4ACF-A898-470DC3FDB4CF}" name="Time/Score18" dataDxfId="597"/>
    <tableColumn id="27" xr3:uid="{6090E18B-84C3-4C00-BBF3-4BD94BDF3F0B}" name="Time/Score19" dataDxfId="596">
      <calculatedColumnFormula>IF(AB5=0," ",_xlfn.RANK.AVG(AB5,AB$5:AB$24,0))</calculatedColumnFormula>
    </tableColumn>
    <tableColumn id="28" xr3:uid="{D0206F97-4A4D-439F-87F0-B431D71D3C2A}" name="Place19" dataDxfId="595">
      <calculatedColumnFormula>IF(AB5=0," ",IF((RANK(AB5,AB$5:AB$24,0)&gt;6)," ",RANK(AB5,AB$5:AB$24,0)))</calculatedColumnFormula>
    </tableColumn>
    <tableColumn id="29" xr3:uid="{3088F5A6-1259-46B6-99FC-1CC2A5C26496}" name="Points20" dataDxfId="594">
      <calculatedColumnFormula>IF(Table6220273215[[#This Row],[Non-Member]]="X"," ",IF(AD5=" "," ",IFERROR(VLOOKUP(AC5,Points!$A$2:$B$14,2,FALSE)," ")))</calculatedColumnFormula>
    </tableColumn>
    <tableColumn id="30" xr3:uid="{06379CD2-DFA3-4105-A6FE-0C7EBDE32329}" name="Time/Score21" dataDxfId="593">
      <calculatedColumnFormula>IF(X5+AB5=0," ",X5+AB5)</calculatedColumnFormula>
    </tableColumn>
    <tableColumn id="31" xr3:uid="{8D015ADA-8A27-4E95-92CF-3E35F5777268}" name="Time/Score22" dataDxfId="592">
      <calculatedColumnFormula>IF(AF5=0," ",_xlfn.RANK.AVG(AF5,IF(AF$5:AF$24&gt;0,AF$5:AF$24,0),0))</calculatedColumnFormula>
    </tableColumn>
    <tableColumn id="32" xr3:uid="{D694FDAD-5AD6-4863-ABD5-160268C79B4F}" name="Place22" dataDxfId="591">
      <calculatedColumnFormula>IFERROR(IF(RANK(AF5,AF$5:AF$24,0)&gt;6," ",(IF(AF5,RANK(AF5,AF$5:AF$24,0)," ")))," ")</calculatedColumnFormula>
    </tableColumn>
    <tableColumn id="33" xr3:uid="{0C3C0556-7067-4898-AB78-3EC95932955A}" name="Points23" dataDxfId="590">
      <calculatedColumnFormula>IF(Table6220273215[[#This Row],[Non-Member]]="X"," ",IF(AH5=" "," ",IFERROR(VLOOKUP(AG5,Points!$A$2:$B$14,2,FALSE)," ")))</calculatedColumnFormula>
    </tableColumn>
    <tableColumn id="34" xr3:uid="{5D51870E-D31D-4C9C-BEEC-FB7049BD6E89}" name="Points24" dataDxfId="589">
      <calculatedColumnFormula>IF(Table6220273215[[#This Row],[Non-Member]]="X"," ",((IF(G5=" ",0,G5))+(IF(K5=" ",0,K5))+(IF(O5=" ",0,O5))+(IF(S5=" ",0,S5))+(IF(W5=" ",0,W5))+(IF(AA5=" ",0,AA5))+(IF(AE5=" ",0,AE5))+(IF(AI5=" ",0,AI5))))</calculatedColumnFormula>
    </tableColumn>
    <tableColumn id="35" xr3:uid="{FA8AE063-D49E-4257-80A5-6B702A2F158C}" name="Points25" dataDxfId="588" dataCellStyle="Comma">
      <calculatedColumnFormula>IF(AJ5=0," ",AJ5)</calculatedColumnFormula>
    </tableColumn>
    <tableColumn id="36" xr3:uid="{E7AED8B5-338D-48DF-865A-D22025AD983C}" name="Place26" dataDxfId="58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6026A4F-EF87-4DEF-878F-68952A47DD7F}" name="Table622027323316" displayName="Table622027323316" ref="B4:AL24" totalsRowShown="0" headerRowDxfId="586" dataDxfId="585" tableBorderDxfId="584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5DA8A9BE-F0E4-4388-903B-AB0859C1A25F}" name="Name" dataDxfId="583"/>
    <tableColumn id="37" xr3:uid="{8F1B8F5F-4C45-4666-B173-D0EE7CA7FE7F}" name="Non-Member" dataDxfId="582"/>
    <tableColumn id="2" xr3:uid="{5F8F3C5F-805F-4D7B-8CDB-AC8BC7A034F6}" name="Time/Score" dataDxfId="581" dataCellStyle="Comma"/>
    <tableColumn id="3" xr3:uid="{F3B7595E-2A4E-401D-869F-DBC57E6C2DB5}" name="Column2" dataDxfId="580">
      <calculatedColumnFormula>IF(D5=0," ",_xlfn.RANK.AVG(D5,D$5:D$24,1)-COUNTIF(D$5:D$24,0))</calculatedColumnFormula>
    </tableColumn>
    <tableColumn id="4" xr3:uid="{36DE94BD-72CD-4BCC-BDE7-011D6FDAEF53}" name="Place" dataDxfId="579">
      <calculatedColumnFormula>IF(D5=0," ",IF((RANK(D5,D$5:D$24,1)-COUNTIF(D$5:D$24,0)&gt;6)," ",RANK(D5,D$5:D$24,1)-COUNTIF(D$5:D$24,0)))</calculatedColumnFormula>
    </tableColumn>
    <tableColumn id="5" xr3:uid="{B8F3EFA1-7603-4891-B6CD-7AF95861A7D2}" name="Points" dataDxfId="578">
      <calculatedColumnFormula>IF(Table622027323316[[#This Row],[Non-Member]]="X"," ",IF(F5=" "," ",IFERROR(VLOOKUP(E5,Points!$A$2:$B$14,2,FALSE)," ")))</calculatedColumnFormula>
    </tableColumn>
    <tableColumn id="6" xr3:uid="{247E6E32-7F18-4AA3-8ED2-29EC0D362705}" name="Time/Score3" dataDxfId="577" dataCellStyle="Comma"/>
    <tableColumn id="7" xr3:uid="{E9D984A4-D30D-4AD8-921D-F32E3428ACF4}" name="Time/Score4" dataDxfId="576">
      <calculatedColumnFormula>IF(H5=0," ",_xlfn.RANK.AVG(H5,H$5:H$24,1)-COUNTIF(H$5:H$24,0))</calculatedColumnFormula>
    </tableColumn>
    <tableColumn id="8" xr3:uid="{45DA3675-91FA-4513-B06C-6865AC9A0364}" name="Place4" dataDxfId="575">
      <calculatedColumnFormula>IF(H5=0," ",IF((RANK(H5,H$5:H$24,1)-COUNTIF(H$5:H$24,0)&gt;6)," ",RANK(H5,H$5:H$24,1)-COUNTIF(H$5:H$24,0)))</calculatedColumnFormula>
    </tableColumn>
    <tableColumn id="9" xr3:uid="{A6E3D836-A006-4702-9941-4844F4C37596}" name="Points5" dataDxfId="574">
      <calculatedColumnFormula>IF(Table622027323316[[#This Row],[Non-Member]]="X"," ",IF(J5=" "," ",IFERROR(VLOOKUP(I5,Points!$A$2:$B$14,2,FALSE)," ")))</calculatedColumnFormula>
    </tableColumn>
    <tableColumn id="10" xr3:uid="{8539A6BA-A781-4B9F-BA0B-C5133E5BD7A1}" name="Time/Score6" dataDxfId="573" dataCellStyle="Comma"/>
    <tableColumn id="11" xr3:uid="{A32394AF-A909-476A-A134-AFB0B920D7F1}" name="Time/Score7" dataDxfId="572">
      <calculatedColumnFormula>IF(L5=0," ",_xlfn.RANK.AVG(L5,L$5:L$24,1)-COUNTIF(L$5:L$24,0))</calculatedColumnFormula>
    </tableColumn>
    <tableColumn id="12" xr3:uid="{F4EC0C8F-CF23-4DD1-BF7D-BF142222E43B}" name="Place7" dataDxfId="571">
      <calculatedColumnFormula>IF(L5=0," ",IF((RANK(L5,L$5:L$24,1)-COUNTIF(L$5:L$24,0)&gt;6)," ",RANK(L5,L$5:L$24,1)-COUNTIF(L$5:L$24,0)))</calculatedColumnFormula>
    </tableColumn>
    <tableColumn id="13" xr3:uid="{5F331C39-2C13-4801-8187-C463906E6B17}" name="Points8" dataDxfId="570">
      <calculatedColumnFormula>IF(Table622027323316[[#This Row],[Non-Member]]="X"," ",IF(N5=" "," ",IFERROR(VLOOKUP(M5,Points!$A$2:$B$14,2,FALSE)," ")))</calculatedColumnFormula>
    </tableColumn>
    <tableColumn id="14" xr3:uid="{5A871AD3-6197-4827-B067-623F27B75EA7}" name="Time/Score9" dataDxfId="569" dataCellStyle="Comma"/>
    <tableColumn id="15" xr3:uid="{FA03EA88-3974-4ACE-9935-6E43F323DDF7}" name="Time/Score10" dataDxfId="568">
      <calculatedColumnFormula>IF(P5=0," ",_xlfn.RANK.AVG(P5,P$5:P$24,1)-COUNTIF(P$5:P$24,0))</calculatedColumnFormula>
    </tableColumn>
    <tableColumn id="16" xr3:uid="{AA543243-20E3-4EF5-A745-D57BB5C98A99}" name="Place10" dataDxfId="567">
      <calculatedColumnFormula>IF(P5=0," ",IF((RANK(P5,P$5:P$24,1)-COUNTIF(P$5:P$24,0)&gt;6)," ",RANK(P5,P$5:P$24,1)-COUNTIF(P$5:P$24,0)))</calculatedColumnFormula>
    </tableColumn>
    <tableColumn id="17" xr3:uid="{59C616C2-6CA2-4600-8792-ACBC1C53BC87}" name="Points11" dataDxfId="566">
      <calculatedColumnFormula>IF(Table622027323316[[#This Row],[Non-Member]]="X"," ",IF(R5=" "," ",IFERROR(VLOOKUP(Q5,Points!$A$2:$B$14,2,FALSE)," ")))</calculatedColumnFormula>
    </tableColumn>
    <tableColumn id="18" xr3:uid="{DE05CE1F-E08A-40A7-8B57-48A6F0EA1206}" name="Time/Score12" dataDxfId="565" dataCellStyle="Comma"/>
    <tableColumn id="19" xr3:uid="{2012DE54-42A0-43A4-BE31-543729AA6A3E}" name="Time/Score13" dataDxfId="564">
      <calculatedColumnFormula>IF(T5=0," ",_xlfn.RANK.AVG(T5,T$5:T$24,1)-COUNTIF(T$5:T$24,0))</calculatedColumnFormula>
    </tableColumn>
    <tableColumn id="20" xr3:uid="{452F06F6-82B5-4F09-BE15-E61B301F8261}" name="Place13" dataDxfId="563">
      <calculatedColumnFormula>IF(T5=0," ",IF((RANK(T5,T$5:T$24,1)-COUNTIF(T$5:T$24,0)&gt;6)," ",RANK(T5,T$5:T$24,1)-COUNTIF(T$5:T$24,0)))</calculatedColumnFormula>
    </tableColumn>
    <tableColumn id="21" xr3:uid="{3830528A-CC5C-4328-A3FD-0660993FE5F7}" name="Points14" dataDxfId="562">
      <calculatedColumnFormula>IF(Table622027323316[[#This Row],[Non-Member]]="X"," ",IF(V5=" "," ",IFERROR(VLOOKUP(U5,Points!$A$2:$B$14,2,FALSE)," ")))</calculatedColumnFormula>
    </tableColumn>
    <tableColumn id="22" xr3:uid="{58EF3C2D-000D-4F1B-B7DD-BF6F1F8DE556}" name="Time/Score15" dataDxfId="561" dataCellStyle="Comma"/>
    <tableColumn id="23" xr3:uid="{9E3CAE33-964F-4581-A3F3-C4D8CBF35CF7}" name="Time/Score16" dataDxfId="560">
      <calculatedColumnFormula>IF(X5=0," ",_xlfn.RANK.AVG(X5,X$5:X$24,1)-COUNTIF(X$5:X$24,0))</calculatedColumnFormula>
    </tableColumn>
    <tableColumn id="24" xr3:uid="{31C1A028-4084-4A14-9406-030E4D112EFF}" name="Place16" dataDxfId="559">
      <calculatedColumnFormula>IF(X5=0," ",IF((RANK(X5,X$5:X$24,1)-COUNTIF(X$5:X$24,0)&gt;6)," ",RANK(X5,X$5:X$24,1)-COUNTIF(X$5:X$24,0)))</calculatedColumnFormula>
    </tableColumn>
    <tableColumn id="25" xr3:uid="{E8829868-BA30-4D07-A7D3-599F325D0CAA}" name="Points17" dataDxfId="558">
      <calculatedColumnFormula>IF(Table622027323316[[#This Row],[Non-Member]]="X"," ",IF(Z5=" "," ",IFERROR(VLOOKUP(Y5,Points!$A$2:$B$14,2,FALSE)," ")))</calculatedColumnFormula>
    </tableColumn>
    <tableColumn id="26" xr3:uid="{AB5376EB-5A3E-4138-9C58-9282BFCB172E}" name="Time/Score18" dataDxfId="557" dataCellStyle="Comma"/>
    <tableColumn id="27" xr3:uid="{31AE5BC7-26E4-471C-B866-CF7B965EBF1B}" name="Time/Score19" dataDxfId="556">
      <calculatedColumnFormula>IF(AB5=0," ",_xlfn.RANK.AVG(AB5,AB$5:AB$24,1)-COUNTIF(AB$5:AB$24,0))</calculatedColumnFormula>
    </tableColumn>
    <tableColumn id="28" xr3:uid="{A62A10EE-C903-44C8-B359-F09F326E1957}" name="Place19" dataDxfId="555">
      <calculatedColumnFormula>IF(AB5=0," ",IF((RANK(AB5,AB$5:AB$24,1)-COUNTIF(AB$5:AB$24,0)&gt;6)," ",RANK(AB5,AB$5:AB$24,1)-COUNTIF(AB$5:AB$24,0)))</calculatedColumnFormula>
    </tableColumn>
    <tableColumn id="29" xr3:uid="{353CD228-0145-4951-A130-8BE19D3E9E3A}" name="Points20" dataDxfId="554">
      <calculatedColumnFormula>IF(Table622027323316[[#This Row],[Non-Member]]="X"," ",IF(AD5=" "," ",IFERROR(VLOOKUP(AC5,Points!$A$2:$B$14,2,FALSE)," ")))</calculatedColumnFormula>
    </tableColumn>
    <tableColumn id="30" xr3:uid="{4D31FFFA-DCDD-408C-A196-A01F7E7387F7}" name="Time/Score21" dataDxfId="553" dataCellStyle="Comma">
      <calculatedColumnFormula>IF(OR(X5=0,AB5=0)," ",X5+AB5)</calculatedColumnFormula>
    </tableColumn>
    <tableColumn id="31" xr3:uid="{9DEAAE7C-38B2-4964-ABB3-51986F161AAA}" name="Time/Score22" dataDxfId="552">
      <calculatedColumnFormula>IF(OR(AF5=0,AF5=" ")," ",_xlfn.RANK.AVG(AF5,AF$5:AF$24,1)-COUNTIF(AF$5:AF$24,0))</calculatedColumnFormula>
    </tableColumn>
    <tableColumn id="32" xr3:uid="{7D0E910F-5FE7-449E-AFEB-1C831B984B36}" name="Place22" dataDxfId="551">
      <calculatedColumnFormula>IF(OR(AF5=0,AF5=" ")," ",IF((RANK(AF5,AF$5:AF$24,1)-COUNTIF(AF$5:AF$24,0)&gt;6)," ",RANK(AF5,AF$5:AF$24,1)-COUNTIF(AF$5:AF$24,0)))</calculatedColumnFormula>
    </tableColumn>
    <tableColumn id="33" xr3:uid="{D981351E-90B1-42FF-8B2E-76D04A5C80C3}" name="Points23" dataDxfId="550">
      <calculatedColumnFormula>IF(Table622027323316[[#This Row],[Non-Member]]="X"," ",IF(AH5=" "," ",IFERROR(VLOOKUP(AG5,Points!$A$2:$B$14,2,FALSE)," ")))</calculatedColumnFormula>
    </tableColumn>
    <tableColumn id="34" xr3:uid="{776DBE23-4510-46C0-B8A9-8D76BDF9A4B5}" name="Points24" dataDxfId="549">
      <calculatedColumnFormula>IF(Table622027323316[[#This Row],[Non-Member]]="X"," ",((IF(G5=" ",0,G5))+(IF(K5=" ",0,K5))+(IF(O5=" ",0,O5))+(IF(S5=" ",0,S5))+(IF(W5=" ",0,W5))+(IF(AA5=" ",0,AA5))+(IF(AE5=" ",0,AE5))+(IF(AI5=" ",0,AI5))))</calculatedColumnFormula>
    </tableColumn>
    <tableColumn id="35" xr3:uid="{46280333-DA21-47CE-838D-49D6A0A4EA97}" name="Points25" dataDxfId="548" dataCellStyle="Comma">
      <calculatedColumnFormula>IF(AJ5=0," ",AJ5)</calculatedColumnFormula>
    </tableColumn>
    <tableColumn id="36" xr3:uid="{D777DC50-7AD9-46B9-9DB7-346206E41684}" name="Place26" dataDxfId="54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374B6A8-FD83-458C-A2D5-08F38D9CFF68}" name="Table62202732333417" displayName="Table62202732333417" ref="B4:AL24" totalsRowShown="0" headerRowDxfId="546" dataDxfId="545" tableBorderDxfId="544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35601EBA-B488-4E91-90E4-F911A0C8C3A9}" name="Name" dataDxfId="543"/>
    <tableColumn id="37" xr3:uid="{5F01A1C2-9656-4ABE-A31D-6DB37F9D99A3}" name="Non-Member" dataDxfId="542"/>
    <tableColumn id="2" xr3:uid="{C37CE61B-E086-457D-ABAC-59870E00CAB2}" name="Time/Score" dataDxfId="541" dataCellStyle="Comma"/>
    <tableColumn id="3" xr3:uid="{AF7F572C-8372-4D84-9669-5F26ACF75B90}" name="Column2" dataDxfId="540">
      <calculatedColumnFormula>IF(D5=0," ",_xlfn.RANK.AVG(D5,D$5:D$24,1)-COUNTIF(D$5:D$24,0))</calculatedColumnFormula>
    </tableColumn>
    <tableColumn id="4" xr3:uid="{B7FE6B40-5BB6-45BC-B70B-799F79B33720}" name="Place" dataDxfId="539">
      <calculatedColumnFormula>IF(D5=0," ",IF((RANK(D5,D$5:D$24,1)-COUNTIF(D$5:D$24,0)&gt;6)," ",RANK(D5,D$5:D$24,1)-COUNTIF(D$5:D$24,0)))</calculatedColumnFormula>
    </tableColumn>
    <tableColumn id="5" xr3:uid="{97A4B46C-B330-4D5F-8FFC-6AA474E8D47F}" name="Points" dataDxfId="538">
      <calculatedColumnFormula>IF(Table62202732333417[[#This Row],[Non-Member]]="X"," ",IF(F5=" "," ",IFERROR(VLOOKUP(E5,Points!$A$2:$B$14,2,FALSE)," ")))</calculatedColumnFormula>
    </tableColumn>
    <tableColumn id="6" xr3:uid="{61C0D357-3473-4A9F-AD35-B6C8A2E3A991}" name="Time/Score3" dataDxfId="537" dataCellStyle="Comma"/>
    <tableColumn id="7" xr3:uid="{E8BC47B2-61F0-4326-8631-9585265C75E1}" name="Time/Score4" dataDxfId="536">
      <calculatedColumnFormula>IF(H5=0," ",_xlfn.RANK.AVG(H5,H$5:H$24,1)-COUNTIF(H$5:H$24,0))</calculatedColumnFormula>
    </tableColumn>
    <tableColumn id="8" xr3:uid="{10080E8D-F59A-4267-807D-82E61DD83032}" name="Place4" dataDxfId="535">
      <calculatedColumnFormula>IF(H5=0," ",IF((RANK(H5,H$5:H$24,1)-COUNTIF(H$5:H$24,0)&gt;6)," ",RANK(H5,H$5:H$24,1)-COUNTIF(H$5:H$24,0)))</calculatedColumnFormula>
    </tableColumn>
    <tableColumn id="9" xr3:uid="{737DE031-09F4-4E85-A80A-9C38F139F20E}" name="Points5" dataDxfId="534">
      <calculatedColumnFormula>IF(Table62202732333417[[#This Row],[Non-Member]]="X"," ",IF(J5=" "," ",IFERROR(VLOOKUP(I5,Points!$A$2:$B$14,2,FALSE)," ")))</calculatedColumnFormula>
    </tableColumn>
    <tableColumn id="10" xr3:uid="{8B9CD7A0-AE36-4896-95A4-A0390C6A9064}" name="Time/Score6" dataDxfId="533" dataCellStyle="Comma"/>
    <tableColumn id="11" xr3:uid="{F29E8316-A417-46DB-8207-614EA8486EE3}" name="Time/Score7" dataDxfId="532">
      <calculatedColumnFormula>IF(L5=0," ",_xlfn.RANK.AVG(L5,L$5:L$24,1)-COUNTIF(L$5:L$24,0))</calculatedColumnFormula>
    </tableColumn>
    <tableColumn id="12" xr3:uid="{708E5EF7-C1EF-4B28-9432-F1F293A858C7}" name="Place7" dataDxfId="531">
      <calculatedColumnFormula>IF(L5=0," ",IF((RANK(L5,L$5:L$24,1)-COUNTIF(L$5:L$24,0)&gt;6)," ",RANK(L5,L$5:L$24,1)-COUNTIF(L$5:L$24,0)))</calculatedColumnFormula>
    </tableColumn>
    <tableColumn id="13" xr3:uid="{5565F58F-7EFB-4BE2-98AA-7651ADCA5A07}" name="Points8" dataDxfId="530">
      <calculatedColumnFormula>IF(Table62202732333417[[#This Row],[Non-Member]]="X"," ",IF(N5=" "," ",IFERROR(VLOOKUP(M5,Points!$A$2:$B$14,2,FALSE)," ")))</calculatedColumnFormula>
    </tableColumn>
    <tableColumn id="14" xr3:uid="{E3019F4A-96C1-41E0-94AC-A5F26110F756}" name="Time/Score9" dataDxfId="529" dataCellStyle="Comma"/>
    <tableColumn id="15" xr3:uid="{48CF9F87-8211-4F3C-A01C-35266545FA5A}" name="Time/Score10" dataDxfId="528">
      <calculatedColumnFormula>IF(P5=0," ",_xlfn.RANK.AVG(P5,P$5:P$24,1)-COUNTIF(P$5:P$24,0))</calculatedColumnFormula>
    </tableColumn>
    <tableColumn id="16" xr3:uid="{3A458F35-C798-4036-A676-CDD5BFB34403}" name="Place10" dataDxfId="527">
      <calculatedColumnFormula>IF(P5=0," ",IF((RANK(P5,P$5:P$24,1)-COUNTIF(P$5:P$24,0)&gt;6)," ",RANK(P5,P$5:P$24,1)-COUNTIF(P$5:P$24,0)))</calculatedColumnFormula>
    </tableColumn>
    <tableColumn id="17" xr3:uid="{A36E7E1D-35E5-4C99-A5F2-CE389A75C652}" name="Points11" dataDxfId="526">
      <calculatedColumnFormula>IF(Table62202732333417[[#This Row],[Non-Member]]="X"," ",IF(R5=" "," ",IFERROR(VLOOKUP(Q5,Points!$A$2:$B$14,2,FALSE)," ")))</calculatedColumnFormula>
    </tableColumn>
    <tableColumn id="18" xr3:uid="{15693507-F4FD-487D-944D-15C73A014919}" name="Time/Score12" dataDxfId="525" dataCellStyle="Comma"/>
    <tableColumn id="19" xr3:uid="{CFE6F1F0-C8F4-4507-A991-20AD1F0F7F37}" name="Time/Score13" dataDxfId="524">
      <calculatedColumnFormula>IF(T5=0," ",_xlfn.RANK.AVG(T5,T$5:T$24,1)-COUNTIF(T$5:T$24,0))</calculatedColumnFormula>
    </tableColumn>
    <tableColumn id="20" xr3:uid="{6538730E-6DD5-4F15-B138-A79F673083F7}" name="Place13" dataDxfId="523">
      <calculatedColumnFormula>IF(T5=0," ",IF((RANK(T5,T$5:T$24,1)-COUNTIF(T$5:T$24,0)&gt;6)," ",RANK(T5,T$5:T$24,1)-COUNTIF(T$5:T$24,0)))</calculatedColumnFormula>
    </tableColumn>
    <tableColumn id="21" xr3:uid="{18A08996-9F40-4C68-B7F9-3612072C8AE6}" name="Points14" dataDxfId="522">
      <calculatedColumnFormula>IF(Table62202732333417[[#This Row],[Non-Member]]="X"," ",IF(V5=" "," ",IFERROR(VLOOKUP(U5,Points!$A$2:$B$14,2,FALSE)," ")))</calculatedColumnFormula>
    </tableColumn>
    <tableColumn id="22" xr3:uid="{F877568D-19DC-482D-AD7D-05C6B6612AB4}" name="Time/Score15" dataDxfId="521" dataCellStyle="Comma"/>
    <tableColumn id="23" xr3:uid="{B8A9D9CD-4190-42D2-AC66-5933E7C06C31}" name="Time/Score16" dataDxfId="520">
      <calculatedColumnFormula>IF(X5=0," ",_xlfn.RANK.AVG(X5,X$5:X$24,1)-COUNTIF(X$5:X$24,0))</calculatedColumnFormula>
    </tableColumn>
    <tableColumn id="24" xr3:uid="{0BE029B3-A35A-49B1-82D8-7C3ED54BE096}" name="Place16" dataDxfId="519">
      <calculatedColumnFormula>IF(X5=0," ",IF((RANK(X5,X$5:X$24,1)-COUNTIF(X$5:X$24,0)&gt;6)," ",RANK(X5,X$5:X$24,1)-COUNTIF(X$5:X$24,0)))</calculatedColumnFormula>
    </tableColumn>
    <tableColumn id="25" xr3:uid="{9F84D218-ECB2-48C6-8F01-07443FED601E}" name="Points17" dataDxfId="518">
      <calculatedColumnFormula>IF(Table62202732333417[[#This Row],[Non-Member]]="X"," ",IF(Z5=" "," ",IFERROR(VLOOKUP(Y5,Points!$A$2:$B$14,2,FALSE)," ")))</calculatedColumnFormula>
    </tableColumn>
    <tableColumn id="26" xr3:uid="{F073686C-4875-43AD-BDF2-4A9A665BB456}" name="Time/Score18" dataDxfId="517" dataCellStyle="Comma"/>
    <tableColumn id="27" xr3:uid="{30138FB1-72EE-41ED-ADA4-31188EE8C543}" name="Time/Score19" dataDxfId="516">
      <calculatedColumnFormula>IF(AB5=0," ",_xlfn.RANK.AVG(AB5,AB$5:AB$24,1)-COUNTIF(AB$5:AB$24,0))</calculatedColumnFormula>
    </tableColumn>
    <tableColumn id="28" xr3:uid="{AA8EBC2B-63BB-4828-8FA3-EDB64EF3285E}" name="Place19" dataDxfId="515">
      <calculatedColumnFormula>IF(AB5=0," ",IF((RANK(AB5,AB$5:AB$24,1)-COUNTIF(AB$5:AB$24,0)&gt;6)," ",RANK(AB5,AB$5:AB$24,1)-COUNTIF(AB$5:AB$24,0)))</calculatedColumnFormula>
    </tableColumn>
    <tableColumn id="29" xr3:uid="{FF426B3F-464E-4DC5-A43A-1FC39B3CC5DD}" name="Points20" dataDxfId="514">
      <calculatedColumnFormula>IF(Table62202732333417[[#This Row],[Non-Member]]="X"," ",IF(AD5=" "," ",IFERROR(VLOOKUP(AC5,Points!$A$2:$B$14,2,FALSE)," ")))</calculatedColumnFormula>
    </tableColumn>
    <tableColumn id="30" xr3:uid="{2E15BE7F-1868-4FC7-AB7A-87D1B8BE6662}" name="Time/Score21" dataDxfId="513" dataCellStyle="Comma">
      <calculatedColumnFormula>IF(OR(X5=0,AB5=0)," ",X5+AB5)</calculatedColumnFormula>
    </tableColumn>
    <tableColumn id="31" xr3:uid="{43C61E4B-F02F-4948-A545-5020D8D45F9E}" name="Time/Score22" dataDxfId="512">
      <calculatedColumnFormula>IF(OR(AF5=0,AF5=" ")," ",_xlfn.RANK.AVG(AF5,AF$5:AF$24,1)-COUNTIF(AF$5:AF$24,0))</calculatedColumnFormula>
    </tableColumn>
    <tableColumn id="32" xr3:uid="{FEDAFD69-0362-4CE1-A0B2-79C3A95F4C1D}" name="Place22" dataDxfId="511">
      <calculatedColumnFormula>IF(OR(AF5=0,AF5=" ")," ",IF((RANK(AF5,AF$5:AF$24,1)-COUNTIF(AF$5:AF$24,0)&gt;6)," ",RANK(AF5,AF$5:AF$24,1)-COUNTIF(AF$5:AF$24,0)))</calculatedColumnFormula>
    </tableColumn>
    <tableColumn id="33" xr3:uid="{31D25145-2DE8-4FA8-A6B7-44113D21C19D}" name="Points23" dataDxfId="510">
      <calculatedColumnFormula>IF(Table62202732333417[[#This Row],[Non-Member]]="X"," ",IF(AH5=" "," ",IFERROR(VLOOKUP(AG5,Points!$A$2:$B$14,2,FALSE)," ")))</calculatedColumnFormula>
    </tableColumn>
    <tableColumn id="34" xr3:uid="{90E8B031-5916-4DF2-9027-B04202D9B3FC}" name="Points24" dataDxfId="509">
      <calculatedColumnFormula>IF(Table62202732333417[[#This Row],[Non-Member]]="X"," ",((IF(G5=" ",0,G5))+(IF(K5=" ",0,K5))+(IF(O5=" ",0,O5))+(IF(S5=" ",0,S5))+(IF(W5=" ",0,W5))+(IF(AA5=" ",0,AA5))+(IF(AE5=" ",0,AE5))+(IF(AI5=" ",0,AI5))))</calculatedColumnFormula>
    </tableColumn>
    <tableColumn id="35" xr3:uid="{F12C7789-840F-49E0-8031-0A210ADB2AFF}" name="Points25" dataDxfId="508" dataCellStyle="Comma">
      <calculatedColumnFormula>IF(AJ5=0," ",AJ5)</calculatedColumnFormula>
    </tableColumn>
    <tableColumn id="36" xr3:uid="{7C6C5ECC-3D0D-4D41-83C4-3E20B66D1637}" name="Place26" dataDxfId="50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868D1F0-E75A-4355-BE5F-1387283AF768}" name="Table6220273233341718" displayName="Table6220273233341718" ref="B4:AL24" totalsRowShown="0" headerRowDxfId="506" dataDxfId="505" tableBorderDxfId="504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33FD36FF-DB47-4D33-BFCB-6EA44C857734}" name="Name" dataDxfId="503"/>
    <tableColumn id="37" xr3:uid="{E53E6534-88B6-4DC8-8B87-88DAB2E6C7A8}" name="Non-Member" dataDxfId="502"/>
    <tableColumn id="2" xr3:uid="{4F68B17A-AEF4-40AB-B52B-75F464952EA4}" name="Time/Score" dataDxfId="501" dataCellStyle="Comma"/>
    <tableColumn id="3" xr3:uid="{169D8F90-F150-447E-B668-C6EB77966B09}" name="Column2" dataDxfId="500">
      <calculatedColumnFormula>IF(D5=0," ",_xlfn.RANK.AVG(D5,D$5:D$24,1)-COUNTIF(D$5:D$24,0))</calculatedColumnFormula>
    </tableColumn>
    <tableColumn id="4" xr3:uid="{B7E3F6AE-533B-42BF-B494-70FA83915A47}" name="Place" dataDxfId="499">
      <calculatedColumnFormula>IF(D5=0," ",IF((RANK(D5,D$5:D$24,1)-COUNTIF(D$5:D$24,0)&gt;6)," ",RANK(D5,D$5:D$24,1)-COUNTIF(D$5:D$24,0)))</calculatedColumnFormula>
    </tableColumn>
    <tableColumn id="5" xr3:uid="{F08FCFA8-8559-404C-8D1A-B8B369BE5B04}" name="Points" dataDxfId="498">
      <calculatedColumnFormula>IF(Table6220273233341718[[#This Row],[Non-Member]]="X"," ",IF(F5=" "," ",IFERROR(VLOOKUP(E5,Points!$A$2:$B$14,2,FALSE)," ")))</calculatedColumnFormula>
    </tableColumn>
    <tableColumn id="6" xr3:uid="{A0C3E4BE-D40A-4577-9FF7-FDCA9795FD21}" name="Time/Score3" dataDxfId="497" dataCellStyle="Comma"/>
    <tableColumn id="7" xr3:uid="{CA37061A-055C-40E1-BF35-5FD1B2AC9D57}" name="Time/Score4" dataDxfId="496">
      <calculatedColumnFormula>IF(H5=0," ",_xlfn.RANK.AVG(H5,H$5:H$24,1)-COUNTIF(H$5:H$24,0))</calculatedColumnFormula>
    </tableColumn>
    <tableColumn id="8" xr3:uid="{6D0310E0-F628-4237-911A-8F293835DA20}" name="Place4" dataDxfId="495">
      <calculatedColumnFormula>IF(H5=0," ",IF((RANK(H5,H$5:H$24,1)-COUNTIF(H$5:H$24,0)&gt;6)," ",RANK(H5,H$5:H$24,1)-COUNTIF(H$5:H$24,0)))</calculatedColumnFormula>
    </tableColumn>
    <tableColumn id="9" xr3:uid="{1758E065-DD4B-479F-8B28-8999FB52F3AF}" name="Points5" dataDxfId="494">
      <calculatedColumnFormula>IF(Table6220273233341718[[#This Row],[Non-Member]]="X"," ",IF(J5=" "," ",IFERROR(VLOOKUP(I5,Points!$A$2:$B$14,2,FALSE)," ")))</calculatedColumnFormula>
    </tableColumn>
    <tableColumn id="10" xr3:uid="{D14C1C59-8D2F-40E8-987F-D022B5AE8A9D}" name="Time/Score6" dataDxfId="493" dataCellStyle="Comma"/>
    <tableColumn id="11" xr3:uid="{FFA73D08-923B-4A10-8A52-2CD6F2DE4FC4}" name="Time/Score7" dataDxfId="492">
      <calculatedColumnFormula>IF(L5=0," ",_xlfn.RANK.AVG(L5,L$5:L$24,1)-COUNTIF(L$5:L$24,0))</calculatedColumnFormula>
    </tableColumn>
    <tableColumn id="12" xr3:uid="{401B4BE0-61AF-4542-9535-F1B3EF8B3DBF}" name="Place7" dataDxfId="491">
      <calculatedColumnFormula>IF(L5=0," ",IF((RANK(L5,L$5:L$24,1)-COUNTIF(L$5:L$24,0)&gt;6)," ",RANK(L5,L$5:L$24,1)-COUNTIF(L$5:L$24,0)))</calculatedColumnFormula>
    </tableColumn>
    <tableColumn id="13" xr3:uid="{CFCC8BC7-6EB3-4A0F-9204-39BBFFEEF413}" name="Points8" dataDxfId="490">
      <calculatedColumnFormula>IF(Table6220273233341718[[#This Row],[Non-Member]]="X"," ",IF(N5=" "," ",IFERROR(VLOOKUP(M5,Points!$A$2:$B$14,2,FALSE)," ")))</calculatedColumnFormula>
    </tableColumn>
    <tableColumn id="14" xr3:uid="{952198A4-E0C9-476A-A646-744A6BCCE8EF}" name="Time/Score9" dataDxfId="489" dataCellStyle="Comma"/>
    <tableColumn id="15" xr3:uid="{F253CCAE-6377-47C4-BE51-42287A9AB8B5}" name="Time/Score10" dataDxfId="488">
      <calculatedColumnFormula>IF(P5=0," ",_xlfn.RANK.AVG(P5,P$5:P$24,1)-COUNTIF(P$5:P$24,0))</calculatedColumnFormula>
    </tableColumn>
    <tableColumn id="16" xr3:uid="{5FA20EDB-597F-4AFE-9611-929A6052CC0C}" name="Place10" dataDxfId="487">
      <calculatedColumnFormula>IF(P5=0," ",IF((RANK(P5,P$5:P$24,1)-COUNTIF(P$5:P$24,0)&gt;6)," ",RANK(P5,P$5:P$24,1)-COUNTIF(P$5:P$24,0)))</calculatedColumnFormula>
    </tableColumn>
    <tableColumn id="17" xr3:uid="{344931DA-2564-4D80-8442-848E4DBFFC1E}" name="Points11" dataDxfId="486">
      <calculatedColumnFormula>IF(Table6220273233341718[[#This Row],[Non-Member]]="X"," ",IF(R5=" "," ",IFERROR(VLOOKUP(Q5,Points!$A$2:$B$14,2,FALSE)," ")))</calculatedColumnFormula>
    </tableColumn>
    <tableColumn id="18" xr3:uid="{B0A81FC9-3264-4B41-BBD6-62B5609D97CB}" name="Time/Score12" dataDxfId="485" dataCellStyle="Comma"/>
    <tableColumn id="19" xr3:uid="{186F19E3-442D-4160-89A4-EC5A774A93E8}" name="Time/Score13" dataDxfId="484">
      <calculatedColumnFormula>IF(T5=0," ",_xlfn.RANK.AVG(T5,T$5:T$24,1)-COUNTIF(T$5:T$24,0))</calculatedColumnFormula>
    </tableColumn>
    <tableColumn id="20" xr3:uid="{15AEC772-0707-4482-A0C8-8C61695D871C}" name="Place13" dataDxfId="483">
      <calculatedColumnFormula>IF(T5=0," ",IF((RANK(T5,T$5:T$24,1)-COUNTIF(T$5:T$24,0)&gt;6)," ",RANK(T5,T$5:T$24,1)-COUNTIF(T$5:T$24,0)))</calculatedColumnFormula>
    </tableColumn>
    <tableColumn id="21" xr3:uid="{130FD98F-6202-4016-A7D0-AEB29045ECB0}" name="Points14" dataDxfId="482">
      <calculatedColumnFormula>IF(Table6220273233341718[[#This Row],[Non-Member]]="X"," ",IF(V5=" "," ",IFERROR(VLOOKUP(U5,Points!$A$2:$B$14,2,FALSE)," ")))</calculatedColumnFormula>
    </tableColumn>
    <tableColumn id="22" xr3:uid="{8345AD81-84BC-4BB1-B17A-42E589CD763C}" name="Time/Score15" dataDxfId="481" dataCellStyle="Comma"/>
    <tableColumn id="23" xr3:uid="{D3C4C8D3-FC22-4576-8161-790BC6D029FD}" name="Time/Score16" dataDxfId="480">
      <calculatedColumnFormula>IF(X5=0," ",_xlfn.RANK.AVG(X5,X$5:X$24,1)-COUNTIF(X$5:X$24,0))</calculatedColumnFormula>
    </tableColumn>
    <tableColumn id="24" xr3:uid="{F582D0D2-BC82-4D62-BEFA-D4FAB0FB84EA}" name="Place16" dataDxfId="479">
      <calculatedColumnFormula>IF(X5=0," ",IF((RANK(X5,X$5:X$24,1)-COUNTIF(X$5:X$24,0)&gt;6)," ",RANK(X5,X$5:X$24,1)-COUNTIF(X$5:X$24,0)))</calculatedColumnFormula>
    </tableColumn>
    <tableColumn id="25" xr3:uid="{6FF64BCB-EBE6-4446-83E1-78BA3EF7FC9D}" name="Points17" dataDxfId="478">
      <calculatedColumnFormula>IF(Table6220273233341718[[#This Row],[Non-Member]]="X"," ",IF(Z5=" "," ",IFERROR(VLOOKUP(Y5,Points!$A$2:$B$14,2,FALSE)," ")))</calculatedColumnFormula>
    </tableColumn>
    <tableColumn id="26" xr3:uid="{5C7AD553-6085-4F7E-9770-751D431DF7F2}" name="Time/Score18" dataDxfId="477" dataCellStyle="Comma"/>
    <tableColumn id="27" xr3:uid="{542CED5A-7EEF-49D8-94FB-9081944A4DF5}" name="Time/Score19" dataDxfId="476">
      <calculatedColumnFormula>IF(AB5=0," ",_xlfn.RANK.AVG(AB5,AB$5:AB$24,1)-COUNTIF(AB$5:AB$24,0))</calculatedColumnFormula>
    </tableColumn>
    <tableColumn id="28" xr3:uid="{61D1A605-0059-4DD1-9AD5-788D5A93A312}" name="Place19" dataDxfId="475">
      <calculatedColumnFormula>IF(AB5=0," ",IF((RANK(AB5,AB$5:AB$24,1)-COUNTIF(AB$5:AB$24,0)&gt;6)," ",RANK(AB5,AB$5:AB$24,1)-COUNTIF(AB$5:AB$24,0)))</calculatedColumnFormula>
    </tableColumn>
    <tableColumn id="29" xr3:uid="{6F7A4046-E5C1-4E47-AC86-06F08C4D4469}" name="Points20" dataDxfId="474">
      <calculatedColumnFormula>IF(Table6220273233341718[[#This Row],[Non-Member]]="X"," ",IF(AD5=" "," ",IFERROR(VLOOKUP(AC5,Points!$A$2:$B$14,2,FALSE)," ")))</calculatedColumnFormula>
    </tableColumn>
    <tableColumn id="30" xr3:uid="{BA4D5B0A-27F0-4AF5-BE7E-7F4206EEED82}" name="Time/Score21" dataDxfId="473" dataCellStyle="Comma">
      <calculatedColumnFormula>IF(OR(X5=0,AB5=0)," ",X5+AB5)</calculatedColumnFormula>
    </tableColumn>
    <tableColumn id="31" xr3:uid="{C9584396-0F70-4FF6-BC55-BD4E1033B13A}" name="Time/Score22" dataDxfId="472">
      <calculatedColumnFormula>IF(OR(AF5=0,AF5=" ")," ",_xlfn.RANK.AVG(AF5,AF$5:AF$24,1)-COUNTIF(AF$5:AF$24,0))</calculatedColumnFormula>
    </tableColumn>
    <tableColumn id="32" xr3:uid="{97F69B71-C4BA-4A41-8803-C5D69BEE6950}" name="Place22" dataDxfId="471">
      <calculatedColumnFormula>IF(OR(AF5=0,AF5=" ")," ",IF((RANK(AF5,AF$5:AF$24,1)-COUNTIF(AF$5:AF$24,0)&gt;6)," ",RANK(AF5,AF$5:AF$24,1)-COUNTIF(AF$5:AF$24,0)))</calculatedColumnFormula>
    </tableColumn>
    <tableColumn id="33" xr3:uid="{75FF8B78-5C74-42D2-8C9A-466E15C26626}" name="Points23" dataDxfId="470">
      <calculatedColumnFormula>IF(Table6220273233341718[[#This Row],[Non-Member]]="X"," ",IF(AH5=" "," ",IFERROR(VLOOKUP(AG5,Points!$A$2:$B$14,2,FALSE)," ")))</calculatedColumnFormula>
    </tableColumn>
    <tableColumn id="34" xr3:uid="{07DE3853-4C2D-474E-A209-F8B78EB4B8AE}" name="Points24" dataDxfId="469">
      <calculatedColumnFormula>IF(Table6220273233341718[[#This Row],[Non-Member]]="X"," ",((IF(G5=" ",0,G5))+(IF(K5=" ",0,K5))+(IF(O5=" ",0,O5))+(IF(S5=" ",0,S5))+(IF(W5=" ",0,W5))+(IF(AA5=" ",0,AA5))+(IF(AE5=" ",0,AE5))+(IF(AI5=" ",0,AI5))))</calculatedColumnFormula>
    </tableColumn>
    <tableColumn id="35" xr3:uid="{A35F492D-5F28-4B3E-96F2-B77BD73F6213}" name="Points25" dataDxfId="468" dataCellStyle="Comma">
      <calculatedColumnFormula>IF(AJ5=0," ",AJ5)</calculatedColumnFormula>
    </tableColumn>
    <tableColumn id="36" xr3:uid="{EEAF41AF-060B-4CB0-B03A-C0C2EAD426B2}" name="Place26" dataDxfId="46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E303194-50CD-485C-B8C7-F4BA4F8F6852}" name="Table622027323334171819" displayName="Table622027323334171819" ref="B4:AL24" totalsRowShown="0" headerRowDxfId="466" dataDxfId="465" tableBorderDxfId="464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5D7E0CDD-2D3C-4437-AD30-700EBB95CD14}" name="Name" dataDxfId="463"/>
    <tableColumn id="37" xr3:uid="{7657DB30-9A88-4FC0-852C-FE796A0D0182}" name="Non-Member" dataDxfId="462"/>
    <tableColumn id="2" xr3:uid="{FC0DF0D9-211B-4C84-891A-5558E4A62639}" name="Time/Score" dataDxfId="461" dataCellStyle="Comma"/>
    <tableColumn id="3" xr3:uid="{49152082-E446-44EF-B202-71313FE6AC54}" name="Column2" dataDxfId="460">
      <calculatedColumnFormula>IF(D5=0," ",_xlfn.RANK.AVG(D5,D$5:D$24,1)-COUNTIF(D$5:D$24,0))</calculatedColumnFormula>
    </tableColumn>
    <tableColumn id="4" xr3:uid="{3216DD96-6AF9-4A79-B2C8-AD21D01AF9AD}" name="Place" dataDxfId="459">
      <calculatedColumnFormula>IF(D5=0," ",IF((RANK(D5,D$5:D$24,1)-COUNTIF(D$5:D$24,0)&gt;6)," ",RANK(D5,D$5:D$24,1)-COUNTIF(D$5:D$24,0)))</calculatedColumnFormula>
    </tableColumn>
    <tableColumn id="5" xr3:uid="{70A1F228-E7D2-4363-8CF5-3F02F21DC36C}" name="Points" dataDxfId="458">
      <calculatedColumnFormula>IF(Table622027323334171819[[#This Row],[Non-Member]]="X"," ",IF(F5=" "," ",IFERROR(VLOOKUP(E5,Points!$A$2:$B$14,2,FALSE)," ")))</calculatedColumnFormula>
    </tableColumn>
    <tableColumn id="6" xr3:uid="{6B213037-A55D-4318-9F3B-B140FF442CD8}" name="Time/Score3" dataDxfId="457" dataCellStyle="Comma"/>
    <tableColumn id="7" xr3:uid="{53FE5AB2-77B7-400E-BB1A-4AA29F8054A1}" name="Time/Score4" dataDxfId="456">
      <calculatedColumnFormula>IF(H5=0," ",_xlfn.RANK.AVG(H5,H$5:H$24,1)-COUNTIF(H$5:H$24,0))</calculatedColumnFormula>
    </tableColumn>
    <tableColumn id="8" xr3:uid="{AA78A9C4-6A19-4A30-89B3-2524FE9BFD01}" name="Place4" dataDxfId="455">
      <calculatedColumnFormula>IF(H5=0," ",IF((RANK(H5,H$5:H$24,1)-COUNTIF(H$5:H$24,0)&gt;6)," ",RANK(H5,H$5:H$24,1)-COUNTIF(H$5:H$24,0)))</calculatedColumnFormula>
    </tableColumn>
    <tableColumn id="9" xr3:uid="{0AFF0C7A-8C81-412E-A245-011D12CBE20F}" name="Points5" dataDxfId="454">
      <calculatedColumnFormula>IF(Table622027323334171819[[#This Row],[Non-Member]]="X"," ",IF(J5=" "," ",IFERROR(VLOOKUP(I5,Points!$A$2:$B$14,2,FALSE)," ")))</calculatedColumnFormula>
    </tableColumn>
    <tableColumn id="10" xr3:uid="{EAD9250B-7E01-4699-B3BE-B2495F9BFCD2}" name="Time/Score6" dataDxfId="453" dataCellStyle="Comma"/>
    <tableColumn id="11" xr3:uid="{3C54DEF4-7FAF-4348-97C2-9A22A7A5CEB8}" name="Time/Score7" dataDxfId="452">
      <calculatedColumnFormula>IF(L5=0," ",_xlfn.RANK.AVG(L5,L$5:L$24,1)-COUNTIF(L$5:L$24,0))</calculatedColumnFormula>
    </tableColumn>
    <tableColumn id="12" xr3:uid="{CED439BE-AF61-4AA1-9D4E-7EC1E5EC8B07}" name="Place7" dataDxfId="451">
      <calculatedColumnFormula>IF(L5=0," ",IF((RANK(L5,L$5:L$24,1)-COUNTIF(L$5:L$24,0)&gt;6)," ",RANK(L5,L$5:L$24,1)-COUNTIF(L$5:L$24,0)))</calculatedColumnFormula>
    </tableColumn>
    <tableColumn id="13" xr3:uid="{71234E72-0B61-4612-9EB2-E300FF999FEA}" name="Points8" dataDxfId="450">
      <calculatedColumnFormula>IF(Table622027323334171819[[#This Row],[Non-Member]]="X"," ",IF(N5=" "," ",IFERROR(VLOOKUP(M5,Points!$A$2:$B$14,2,FALSE)," ")))</calculatedColumnFormula>
    </tableColumn>
    <tableColumn id="14" xr3:uid="{1D05ED42-52A5-4EC6-8CDD-0ECCB7EE3B83}" name="Time/Score9" dataDxfId="449" dataCellStyle="Comma"/>
    <tableColumn id="15" xr3:uid="{95BECF08-EB15-4B1A-B184-EDF3F05182D9}" name="Time/Score10" dataDxfId="448">
      <calculatedColumnFormula>IF(P5=0," ",_xlfn.RANK.AVG(P5,P$5:P$24,1)-COUNTIF(P$5:P$24,0))</calculatedColumnFormula>
    </tableColumn>
    <tableColumn id="16" xr3:uid="{0222EF90-D1BF-4A02-8FB9-C34BA693A08C}" name="Place10" dataDxfId="447">
      <calculatedColumnFormula>IF(P5=0," ",IF((RANK(P5,P$5:P$24,1)-COUNTIF(P$5:P$24,0)&gt;6)," ",RANK(P5,P$5:P$24,1)-COUNTIF(P$5:P$24,0)))</calculatedColumnFormula>
    </tableColumn>
    <tableColumn id="17" xr3:uid="{E2ED6395-A71D-4D21-8426-7CFC43A74D2F}" name="Points11" dataDxfId="446">
      <calculatedColumnFormula>IF(Table622027323334171819[[#This Row],[Non-Member]]="X"," ",IF(R5=" "," ",IFERROR(VLOOKUP(Q5,Points!$A$2:$B$14,2,FALSE)," ")))</calculatedColumnFormula>
    </tableColumn>
    <tableColumn id="18" xr3:uid="{DEE55355-7A7B-4124-86B1-A8B8C621DAFD}" name="Time/Score12" dataDxfId="445" dataCellStyle="Comma"/>
    <tableColumn id="19" xr3:uid="{7E70430E-9227-46E8-8A03-280ED148734F}" name="Time/Score13" dataDxfId="444">
      <calculatedColumnFormula>IF(T5=0," ",_xlfn.RANK.AVG(T5,T$5:T$24,1)-COUNTIF(T$5:T$24,0))</calculatedColumnFormula>
    </tableColumn>
    <tableColumn id="20" xr3:uid="{0EDF3773-6929-4F78-9935-A13F4BA475A7}" name="Place13" dataDxfId="443">
      <calculatedColumnFormula>IF(T5=0," ",IF((RANK(T5,T$5:T$24,1)-COUNTIF(T$5:T$24,0)&gt;6)," ",RANK(T5,T$5:T$24,1)-COUNTIF(T$5:T$24,0)))</calculatedColumnFormula>
    </tableColumn>
    <tableColumn id="21" xr3:uid="{FD67EA86-1455-4854-98A0-1BFE7EF40EF8}" name="Points14" dataDxfId="442">
      <calculatedColumnFormula>IF(Table622027323334171819[[#This Row],[Non-Member]]="X"," ",IF(V5=" "," ",IFERROR(VLOOKUP(U5,Points!$A$2:$B$14,2,FALSE)," ")))</calculatedColumnFormula>
    </tableColumn>
    <tableColumn id="22" xr3:uid="{660F9D21-BA2F-4915-89D0-A300C634D4D9}" name="Time/Score15" dataDxfId="441" dataCellStyle="Comma"/>
    <tableColumn id="23" xr3:uid="{F1CD180E-6AF3-4120-B78E-733FD39C75BE}" name="Time/Score16" dataDxfId="440">
      <calculatedColumnFormula>IF(X5=0," ",_xlfn.RANK.AVG(X5,X$5:X$24,1)-COUNTIF(X$5:X$24,0))</calculatedColumnFormula>
    </tableColumn>
    <tableColumn id="24" xr3:uid="{0151FAB6-A40E-4EDB-B3D9-9182F550D229}" name="Place16" dataDxfId="439">
      <calculatedColumnFormula>IF(X5=0," ",IF((RANK(X5,X$5:X$24,1)-COUNTIF(X$5:X$24,0)&gt;6)," ",RANK(X5,X$5:X$24,1)-COUNTIF(X$5:X$24,0)))</calculatedColumnFormula>
    </tableColumn>
    <tableColumn id="25" xr3:uid="{29117107-AD1D-47F3-BDB0-C075A82962BD}" name="Points17" dataDxfId="438">
      <calculatedColumnFormula>IF(Table622027323334171819[[#This Row],[Non-Member]]="X"," ",IF(Z5=" "," ",IFERROR(VLOOKUP(Y5,Points!$A$2:$B$14,2,FALSE)," ")))</calculatedColumnFormula>
    </tableColumn>
    <tableColumn id="26" xr3:uid="{9698A2E9-E376-4607-83A2-254D43D0860D}" name="Time/Score18" dataDxfId="437" dataCellStyle="Comma"/>
    <tableColumn id="27" xr3:uid="{C20988AF-1138-4FD4-97A9-632246E86C3A}" name="Time/Score19" dataDxfId="436">
      <calculatedColumnFormula>IF(AB5=0," ",_xlfn.RANK.AVG(AB5,AB$5:AB$24,1)-COUNTIF(AB$5:AB$24,0))</calculatedColumnFormula>
    </tableColumn>
    <tableColumn id="28" xr3:uid="{D497B811-82DC-4B93-8A7D-E366BA99A598}" name="Place19" dataDxfId="435">
      <calculatedColumnFormula>IF(AB5=0," ",IF((RANK(AB5,AB$5:AB$24,1)-COUNTIF(AB$5:AB$24,0)&gt;6)," ",RANK(AB5,AB$5:AB$24,1)-COUNTIF(AB$5:AB$24,0)))</calculatedColumnFormula>
    </tableColumn>
    <tableColumn id="29" xr3:uid="{2EB1EAAD-5195-4104-9F9B-238EA4A55C2A}" name="Points20" dataDxfId="434">
      <calculatedColumnFormula>IF(Table622027323334171819[[#This Row],[Non-Member]]="X"," ",IF(AD5=" "," ",IFERROR(VLOOKUP(AC5,Points!$A$2:$B$14,2,FALSE)," ")))</calculatedColumnFormula>
    </tableColumn>
    <tableColumn id="30" xr3:uid="{6854693D-B78C-4D64-81FB-2820DDED2D30}" name="Time/Score21" dataDxfId="433" dataCellStyle="Comma">
      <calculatedColumnFormula>IF(OR(X5=0,AB5=0)," ",X5+AB5)</calculatedColumnFormula>
    </tableColumn>
    <tableColumn id="31" xr3:uid="{ACA59694-0E58-4808-BC40-42BBB016597F}" name="Time/Score22" dataDxfId="432">
      <calculatedColumnFormula>IF(OR(AF5=0,AF5=" ")," ",_xlfn.RANK.AVG(AF5,AF$5:AF$24,1)-COUNTIF(AF$5:AF$24,0))</calculatedColumnFormula>
    </tableColumn>
    <tableColumn id="32" xr3:uid="{75315269-A682-44CB-889A-4443AC4D2A09}" name="Place22" dataDxfId="431">
      <calculatedColumnFormula>IF(OR(AF5=0,AF5=" ")," ",IF((RANK(AF5,AF$5:AF$24,1)-COUNTIF(AF$5:AF$24,0)&gt;6)," ",RANK(AF5,AF$5:AF$24,1)-COUNTIF(AF$5:AF$24,0)))</calculatedColumnFormula>
    </tableColumn>
    <tableColumn id="33" xr3:uid="{8EFECACB-D157-4968-BC51-B24ABAA949B6}" name="Points23" dataDxfId="430">
      <calculatedColumnFormula>IF(Table622027323334171819[[#This Row],[Non-Member]]="X"," ",IF(AH5=" "," ",IFERROR(VLOOKUP(AG5,Points!$A$2:$B$14,2,FALSE)," ")))</calculatedColumnFormula>
    </tableColumn>
    <tableColumn id="34" xr3:uid="{4B0DDBC8-DA2C-41D5-BCE7-CBE808FDD63D}" name="Points24" dataDxfId="429">
      <calculatedColumnFormula>IF(Table622027323334171819[[#This Row],[Non-Member]]="X"," ",((IF(G5=" ",0,G5))+(IF(K5=" ",0,K5))+(IF(O5=" ",0,O5))+(IF(S5=" ",0,S5))+(IF(W5=" ",0,W5))+(IF(AA5=" ",0,AA5))+(IF(AE5=" ",0,AE5))+(IF(AI5=" ",0,AI5))))</calculatedColumnFormula>
    </tableColumn>
    <tableColumn id="35" xr3:uid="{8A069D9B-0AC4-4B18-B490-177254A80573}" name="Points25" dataDxfId="428" dataCellStyle="Comma">
      <calculatedColumnFormula>IF(AJ5=0," ",AJ5)</calculatedColumnFormula>
    </tableColumn>
    <tableColumn id="36" xr3:uid="{0D242FB0-5B44-4955-A47B-4B61DF2971F1}" name="Place26" dataDxfId="427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E2284F7-5996-4313-A3EE-13D951AD3C52}" name="Table622027323337383923244450" displayName="Table622027323337383923244450" ref="B4:AL24" totalsRowShown="0" headerRowDxfId="1717" dataDxfId="1716" tableBorderDxfId="1715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4BC25627-EC3F-4465-9BAC-A0393A63CB2B}" name="Name" dataDxfId="1714"/>
    <tableColumn id="37" xr3:uid="{8E09396D-6503-4C01-B3F7-0DA04E95B8CE}" name="Non-Member" dataDxfId="1713"/>
    <tableColumn id="2" xr3:uid="{DF1DC0D6-A2B5-40DF-8CE5-E31B136016DB}" name="Time/Score" dataDxfId="1712" dataCellStyle="Comma"/>
    <tableColumn id="3" xr3:uid="{9789CCC6-A179-496F-B550-5BC61923A8D9}" name="Column2" dataDxfId="1711">
      <calculatedColumnFormula>IF(D5=0," ",_xlfn.RANK.AVG(D5,D$5:D$24,1)-COUNTIF(D$5:D$24,0))</calculatedColumnFormula>
    </tableColumn>
    <tableColumn id="4" xr3:uid="{A2E6B6C9-BE48-4D90-9069-80E2E4CFC77E}" name="Place" dataDxfId="1710">
      <calculatedColumnFormula>IF(D5=0," ",IF((RANK(D5,D$5:D$24,1)-COUNTIF(D$5:D$24,0)&gt;6)," ",RANK(D5,D$5:D$24,1)-COUNTIF(D$5:D$24,0)))</calculatedColumnFormula>
    </tableColumn>
    <tableColumn id="5" xr3:uid="{181F9831-82DB-4C99-9C0A-EA677F67ACDB}" name="Points" dataDxfId="1709">
      <calculatedColumnFormula>IF(Table622027323337383923244450[[#This Row],[Non-Member]]="X"," ",IF(F5=" "," ",IFERROR(VLOOKUP(E5,Points!$A$2:$B$14,2,FALSE)," ")))</calculatedColumnFormula>
    </tableColumn>
    <tableColumn id="6" xr3:uid="{435985E4-0A52-4ADB-9D7A-202A7DE6CFF0}" name="Time/Score3" dataDxfId="1708" dataCellStyle="Comma"/>
    <tableColumn id="7" xr3:uid="{4C8A8119-6BB4-4339-BE37-4D4A42D760D1}" name="Time/Score4" dataDxfId="1707">
      <calculatedColumnFormula>IF(H5=0," ",_xlfn.RANK.AVG(H5,H$5:H$24,1)-COUNTIF(H$5:H$24,0))</calculatedColumnFormula>
    </tableColumn>
    <tableColumn id="8" xr3:uid="{44BFABBF-59EA-4B86-B857-4462CD14B4EC}" name="Place4" dataDxfId="1706">
      <calculatedColumnFormula>IF(H5=0," ",IF((RANK(H5,H$5:H$24,1)-COUNTIF(H$5:H$24,0)&gt;6)," ",RANK(H5,H$5:H$24,1)-COUNTIF(H$5:H$24,0)))</calculatedColumnFormula>
    </tableColumn>
    <tableColumn id="9" xr3:uid="{C809DE5B-13E6-46D2-BA3F-F6381CC0F74C}" name="Points5" dataDxfId="1705">
      <calculatedColumnFormula>IF(Table622027323337383923244450[[#This Row],[Non-Member]]="X"," ",IF(J5=" "," ",IFERROR(VLOOKUP(I5,Points!$A$2:$B$14,2,FALSE)," ")))</calculatedColumnFormula>
    </tableColumn>
    <tableColumn id="10" xr3:uid="{9CD2BF33-3ED0-45BE-979D-3B8176B499F5}" name="Time/Score6" dataDxfId="1704" dataCellStyle="Comma"/>
    <tableColumn id="11" xr3:uid="{D341F5A7-985E-4C88-B832-7411B3DC8CF8}" name="Time/Score7" dataDxfId="1703">
      <calculatedColumnFormula>IF(L5=0," ",_xlfn.RANK.AVG(L5,L$5:L$24,1)-COUNTIF(L$5:L$24,0))</calculatedColumnFormula>
    </tableColumn>
    <tableColumn id="12" xr3:uid="{11E9A262-0CA2-4B5C-A413-E2E9F313E677}" name="Place7" dataDxfId="1702">
      <calculatedColumnFormula>IF(L5=0," ",IF((RANK(L5,L$5:L$24,1)-COUNTIF(L$5:L$24,0)&gt;6)," ",RANK(L5,L$5:L$24,1)-COUNTIF(L$5:L$24,0)))</calculatedColumnFormula>
    </tableColumn>
    <tableColumn id="13" xr3:uid="{01EEF4B1-270A-4089-8216-04730F792F77}" name="Points8" dataDxfId="1701">
      <calculatedColumnFormula>IF(Table622027323337383923244450[[#This Row],[Non-Member]]="X"," ",IF(N5=" "," ",IFERROR(VLOOKUP(M5,Points!$A$2:$B$14,2,FALSE)," ")))</calculatedColumnFormula>
    </tableColumn>
    <tableColumn id="14" xr3:uid="{D7D19D71-3D47-46DC-BA18-22CDC8160836}" name="Time/Score9" dataDxfId="1700" dataCellStyle="Comma"/>
    <tableColumn id="15" xr3:uid="{591888EB-B25C-4FCB-8559-5CD66BCDECA7}" name="Time/Score10" dataDxfId="1699">
      <calculatedColumnFormula>IF(P5=0," ",_xlfn.RANK.AVG(P5,P$5:P$24,1)-COUNTIF(P$5:P$24,0))</calculatedColumnFormula>
    </tableColumn>
    <tableColumn id="16" xr3:uid="{ED55DA64-1569-47B7-B2E4-40AE53553FC2}" name="Place10" dataDxfId="1698">
      <calculatedColumnFormula>IF(P5=0," ",IF((RANK(P5,P$5:P$24,1)-COUNTIF(P$5:P$24,0)&gt;6)," ",RANK(P5,P$5:P$24,1)-COUNTIF(P$5:P$24,0)))</calculatedColumnFormula>
    </tableColumn>
    <tableColumn id="17" xr3:uid="{6E1A6D07-8308-49EC-80D4-21BECD4063B6}" name="Points11" dataDxfId="1697">
      <calculatedColumnFormula>IF(Table622027323337383923244450[[#This Row],[Non-Member]]="X"," ",IF(R5=" "," ",IFERROR(VLOOKUP(Q5,Points!$A$2:$B$14,2,FALSE)," ")))</calculatedColumnFormula>
    </tableColumn>
    <tableColumn id="18" xr3:uid="{492F1F4D-56C9-4D11-891F-356982BEEBF9}" name="Time/Score12" dataDxfId="1696" dataCellStyle="Comma"/>
    <tableColumn id="19" xr3:uid="{AE9691DD-EFFD-4D7F-BC69-9DC443193757}" name="Time/Score13" dataDxfId="1695">
      <calculatedColumnFormula>IF(T5=0," ",_xlfn.RANK.AVG(T5,T$5:T$24,1)-COUNTIF(T$5:T$24,0))</calculatedColumnFormula>
    </tableColumn>
    <tableColumn id="20" xr3:uid="{3DFF008A-9143-42F2-B88B-85A5ACE5B698}" name="Place13" dataDxfId="1694">
      <calculatedColumnFormula>IF(T5=0," ",IF((RANK(T5,T$5:T$24,1)-COUNTIF(T$5:T$24,0)&gt;6)," ",RANK(T5,T$5:T$24,1)-COUNTIF(T$5:T$24,0)))</calculatedColumnFormula>
    </tableColumn>
    <tableColumn id="21" xr3:uid="{F4E6E70F-7C5C-4289-B630-788E09628F71}" name="Points14" dataDxfId="1693">
      <calculatedColumnFormula>IF(Table622027323337383923244450[[#This Row],[Non-Member]]="X"," ",IF(V5=" "," ",IFERROR(VLOOKUP(U5,Points!$A$2:$B$14,2,FALSE)," ")))</calculatedColumnFormula>
    </tableColumn>
    <tableColumn id="22" xr3:uid="{9F8AC55E-B253-4A30-A01F-7F084AA94845}" name="Time/Score15" dataDxfId="1692" dataCellStyle="Comma"/>
    <tableColumn id="23" xr3:uid="{7977285D-D733-4E2F-905E-E5F9D0D29E52}" name="Time/Score16" dataDxfId="1691">
      <calculatedColumnFormula>IF(X5=0," ",_xlfn.RANK.AVG(X5,X$5:X$24,1)-COUNTIF(X$5:X$24,0))</calculatedColumnFormula>
    </tableColumn>
    <tableColumn id="24" xr3:uid="{48AB1AEB-1586-445A-B44C-A1AB3F5B6CE5}" name="Place16" dataDxfId="1690">
      <calculatedColumnFormula>IF(X5=0," ",IF((RANK(X5,X$5:X$24,1)-COUNTIF(X$5:X$24,0)&gt;6)," ",RANK(X5,X$5:X$24,1)-COUNTIF(X$5:X$24,0)))</calculatedColumnFormula>
    </tableColumn>
    <tableColumn id="25" xr3:uid="{198AB179-84B0-4BD0-BF09-B4E0E2CBE09B}" name="Points17" dataDxfId="1689">
      <calculatedColumnFormula>IF(Table622027323337383923244450[[#This Row],[Non-Member]]="X"," ",IF(Z5=" "," ",IFERROR(VLOOKUP(Y5,Points!$A$2:$B$14,2,FALSE)," ")))</calculatedColumnFormula>
    </tableColumn>
    <tableColumn id="26" xr3:uid="{3B3624A0-B355-4F75-B8EC-ED180CDCFCA3}" name="Time/Score18" dataDxfId="1688" dataCellStyle="Comma"/>
    <tableColumn id="27" xr3:uid="{4A32DCC0-9E4B-4D64-91C7-2601E0D9E163}" name="Time/Score19" dataDxfId="1687">
      <calculatedColumnFormula>IF(AB5=0," ",_xlfn.RANK.AVG(AB5,AB$5:AB$24,1)-COUNTIF(AB$5:AB$24,0))</calculatedColumnFormula>
    </tableColumn>
    <tableColumn id="28" xr3:uid="{A7947B07-F9CD-487D-B9CF-7DDF0CD4D2B8}" name="Place19" dataDxfId="1686">
      <calculatedColumnFormula>IF(AB5=0," ",IF((RANK(AB5,AB$5:AB$24,1)-COUNTIF(AB$5:AB$24,0)&gt;6)," ",RANK(AB5,AB$5:AB$24,1)-COUNTIF(AB$5:AB$24,0)))</calculatedColumnFormula>
    </tableColumn>
    <tableColumn id="29" xr3:uid="{0FBD7BDC-A384-4870-A605-BD7835283C98}" name="Points20" dataDxfId="1685">
      <calculatedColumnFormula>IF(Table622027323337383923244450[[#This Row],[Non-Member]]="X"," ",IF(AD5=" "," ",IFERROR(VLOOKUP(AC5,Points!$A$2:$B$14,2,FALSE)," ")))</calculatedColumnFormula>
    </tableColumn>
    <tableColumn id="30" xr3:uid="{21DC21BA-0C39-40B9-A978-8AC72DDFAD81}" name="Time/Score21" dataDxfId="1684" dataCellStyle="Comma">
      <calculatedColumnFormula>IF(OR(X5=0,AB5=0)," ",X5+AB5)</calculatedColumnFormula>
    </tableColumn>
    <tableColumn id="31" xr3:uid="{0C03C742-A464-43FB-8DCA-C14C0EBA50C1}" name="Time/Score22" dataDxfId="1683">
      <calculatedColumnFormula>IF(OR(AF5=0,AF5=" ")," ",_xlfn.RANK.AVG(AF5,AF$5:AF$24,1)-COUNTIF(AF$5:AF$24,0))</calculatedColumnFormula>
    </tableColumn>
    <tableColumn id="32" xr3:uid="{9755EBC8-A4BB-434B-A952-A9DFE031383C}" name="Place22" dataDxfId="1682">
      <calculatedColumnFormula>IF(OR(AF5=0,AF5=" ")," ",IF((RANK(AF5,AF$5:AF$24,1)-COUNTIF(AF$5:AF$24,0)&gt;6)," ",RANK(AF5,AF$5:AF$24,1)-COUNTIF(AF$5:AF$24,0)))</calculatedColumnFormula>
    </tableColumn>
    <tableColumn id="33" xr3:uid="{B476CF6C-1028-4002-8961-C80436369084}" name="Points23" dataDxfId="1681">
      <calculatedColumnFormula>IF(Table622027323337383923244450[[#This Row],[Non-Member]]="X"," ",IF(AH5=" "," ",IFERROR(VLOOKUP(AG5,Points!$A$2:$B$14,2,FALSE)," ")))</calculatedColumnFormula>
    </tableColumn>
    <tableColumn id="34" xr3:uid="{74E6E49E-BA03-4269-81D8-DEB142C67DA1}" name="Points24" dataDxfId="1680">
      <calculatedColumnFormula>IF(Table622027323337383923244450[[#This Row],[Non-Member]]="X"," ",((IF(G5=" ",0,G5))+(IF(K5=" ",0,K5))+(IF(O5=" ",0,O5))+(IF(S5=" ",0,S5))+(IF(W5=" ",0,W5))+(IF(AA5=" ",0,AA5))+(IF(AE5=" ",0,AE5))+(IF(AI5=" ",0,AI5))))</calculatedColumnFormula>
    </tableColumn>
    <tableColumn id="35" xr3:uid="{DED96403-EC99-4534-BA7D-1154B7F7B4D6}" name="Points25" dataDxfId="1679" dataCellStyle="Comma">
      <calculatedColumnFormula>IF(AJ5=0," ",AJ5)</calculatedColumnFormula>
    </tableColumn>
    <tableColumn id="36" xr3:uid="{5E0286E9-AC70-4560-BE10-2B0DBB0C2ACA}" name="Place26" dataDxfId="1678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D4EE724-6900-40A1-9C7D-16058105D865}" name="Table634568910112334444020" displayName="Table634568910112334444020" ref="B4:AC24" totalsRowShown="0" headerRowDxfId="426" dataDxfId="425" tableBorderDxfId="424">
  <autoFilter ref="B4:AC24" xr:uid="{89B1FF52-34AE-480D-BF76-50E05053D0D8}"/>
  <sortState xmlns:xlrd2="http://schemas.microsoft.com/office/spreadsheetml/2017/richdata2" ref="B5:AC24">
    <sortCondition ref="AC5:AC24"/>
    <sortCondition ref="B5:B24"/>
  </sortState>
  <tableColumns count="28">
    <tableColumn id="1" xr3:uid="{A877E39E-AE4A-41BD-975F-DB5342BD52DA}" name="Name" dataDxfId="423"/>
    <tableColumn id="39" xr3:uid="{871B5DBC-E951-4675-961B-AB6CE23E73DA}" name="Points" dataDxfId="422">
      <calculatedColumnFormula>IFERROR(IF(VLOOKUP($B5,'PW B-Calf Riding'!$B$5:$AI$24,6,FALSE)=" ",0,VLOOKUP($B5,'PW B-Calf Riding'!$B$5:$AI$24,6,FALSE)),0)+IFERROR(IF(VLOOKUP($B5,'PW B-Goats'!$B$5:$AI$24,6,FALSE)=" ",0,VLOOKUP($B5,'PW B-Goats'!$B$5:$AI$24,6,FALSE)),0)+IFERROR(IF(VLOOKUP($B5,'PW B-Flags'!$B$5:$AI$24,6,FALSE)=" ",0,VLOOKUP($B5,'PW B-Flags'!$B$5:$AI$24,6,FALSE)),0)+IFERROR(IF(VLOOKUP($B5,'PW B-Breakaway'!$B$5:$AI$24,6,FALSE)=" ",0,VLOOKUP($B5,'PW B-Breakaway'!$B$5:$AI$24,6,FALSE)),0)+IFERROR(IF(VLOOKUP($B5,'PW B-Steer Daubing'!$B$5:$AI$24,6,FALSE)=" ",0,VLOOKUP($B5,'PW B-Steer Daubing'!$B$5:$AI$24,6,FALSE)),0)</calculatedColumnFormula>
    </tableColumn>
    <tableColumn id="4" xr3:uid="{BB27364C-7330-4862-9A9D-1FE1B9025D11}" name="Column1" dataDxfId="421">
      <calculatedColumnFormula>IF(C5&gt;0,C5," ")</calculatedColumnFormula>
    </tableColumn>
    <tableColumn id="5" xr3:uid="{7B589870-1F3B-441E-BB4D-F96A9223D05E}" name="Place" dataDxfId="420">
      <calculatedColumnFormula>IF(C5=0," ",RANK(C5,C$5:C$24,0))</calculatedColumnFormula>
    </tableColumn>
    <tableColumn id="43" xr3:uid="{7545F28C-35A2-43EE-9D16-385CE4F6C8E1}" name="Points4" dataDxfId="419">
      <calculatedColumnFormula>IFERROR(IF(VLOOKUP($B5,'PW B-Calf Riding'!$B$5:$AI$24,10,FALSE)=" ",0,VLOOKUP($B5,'PW B-Calf Riding'!$B$5:$AI$24,10,FALSE)),0)+IFERROR(IF(VLOOKUP($B5,'PW B-Goats'!$B$5:$AI$24,10,FALSE)=" ",0,VLOOKUP($B5,'PW B-Goats'!$B$5:$AI$24,10,FALSE)),0)+IFERROR(IF(VLOOKUP($B5,'PW B-Flags'!$B$5:$AI$24,10,FALSE)=" ",0,VLOOKUP($B5,'PW B-Flags'!$B$5:$AI$24,10,FALSE)),0)+IFERROR(IF(VLOOKUP($B5,'PW B-Breakaway'!$B$5:$AI$24,10,FALSE)=" ",0,VLOOKUP($B5,'PW B-Breakaway'!$B$5:$AI$24,10,FALSE)),0)+IFERROR(IF(VLOOKUP($B5,'PW B-Steer Daubing'!$B$5:$AI$24,10,FALSE)=" ",0,VLOOKUP($B5,'PW B-Steer Daubing'!$B$5:$AI$24,10,FALSE)),0)</calculatedColumnFormula>
    </tableColumn>
    <tableColumn id="6" xr3:uid="{AF04D3F4-B832-4C84-8AB3-E7434B809471}" name="Points5" dataDxfId="418">
      <calculatedColumnFormula>IF(F5&gt;0,F5," ")</calculatedColumnFormula>
    </tableColumn>
    <tableColumn id="44" xr3:uid="{81D44B87-8CFC-445B-B4C3-9A94E4E2240C}" name="Place5" dataDxfId="417">
      <calculatedColumnFormula>IF(F5=0," ",RANK(F5,F$5:F$24,0))</calculatedColumnFormula>
    </tableColumn>
    <tableColumn id="46" xr3:uid="{7012B5CB-DDCC-496B-AFC8-B9C7D412BEA2}" name="Points43" dataDxfId="416">
      <calculatedColumnFormula>IFERROR(IF(VLOOKUP($B5,'PW B-Calf Riding'!$B$5:$AI$24,14,FALSE)=" ",0,VLOOKUP($B5,'PW B-Calf Riding'!$B$5:$AI$24,14,FALSE)),0)+IFERROR(IF(VLOOKUP($B5,'PW B-Goats'!$B$5:$AI$24,14,FALSE)=" ",0,VLOOKUP($B5,'PW B-Goats'!$B$5:$AI$24,14,FALSE)),0)+IFERROR(IF(VLOOKUP($B5,'PW B-Flags'!$B$5:$AI$24,14,FALSE)=" ",0,VLOOKUP($B5,'PW B-Flags'!$B$5:$AI$24,14,FALSE)),0)+IFERROR(IF(VLOOKUP($B5,'PW B-Breakaway'!$B$5:$AI$24,14,FALSE)=" ",0,VLOOKUP($B5,'PW B-Breakaway'!$B$5:$AI$24,14,FALSE)),0)+IFERROR(IF(VLOOKUP($B5,'PW B-Steer Daubing'!$B$5:$AI$24,14,FALSE)=" ",0,VLOOKUP($B5,'PW B-Steer Daubing'!$B$5:$AI$24,14,FALSE)),0)</calculatedColumnFormula>
    </tableColumn>
    <tableColumn id="7" xr3:uid="{5F3F694A-2505-4723-AD46-0C9062AAD73D}" name="Points432" dataDxfId="415">
      <calculatedColumnFormula>IF(I5&gt;0,I5," ")</calculatedColumnFormula>
    </tableColumn>
    <tableColumn id="47" xr3:uid="{FEE6DF1A-6997-4D1D-982D-264381D79412}" name="Place54" dataDxfId="414">
      <calculatedColumnFormula>IF(I5=0," ",RANK(I5,I$5:I$24,0))</calculatedColumnFormula>
    </tableColumn>
    <tableColumn id="49" xr3:uid="{A531B49C-022A-416C-AB00-E4DC515D9216}" name="Points44" dataDxfId="413">
      <calculatedColumnFormula>IFERROR(IF(VLOOKUP($B5,'PW B-Calf Riding'!$B$5:$AI$24,18,FALSE)=" ",0,VLOOKUP($B5,'PW B-Calf Riding'!$B$5:$AI$24,18,FALSE)),0)+IFERROR(IF(VLOOKUP($B5,'PW B-Goats'!$B$5:$AI$24,18,FALSE)=" ",0,VLOOKUP($B5,'PW B-Goats'!$B$5:$AI$24,18,FALSE)),0)+IFERROR(IF(VLOOKUP($B5,'PW B-Flags'!$B$5:$AI$24,18,FALSE)=" ",0,VLOOKUP($B5,'PW B-Flags'!$B$5:$AI$24,18,FALSE)),0)+IFERROR(IF(VLOOKUP($B5,'PW B-Breakaway'!$B$5:$AI$24,18,FALSE)=" ",0,VLOOKUP($B5,'PW B-Breakaway'!$B$5:$AI$24,18,FALSE)),0)+IFERROR(IF(VLOOKUP($B5,'PW B-Steer Daubing'!$B$5:$AI$24,18,FALSE)=" ",0,VLOOKUP($B5,'PW B-Steer Daubing'!$B$5:$AI$24,18,FALSE)),0)</calculatedColumnFormula>
    </tableColumn>
    <tableColumn id="8" xr3:uid="{16FF55C9-2385-40EF-9D2C-78279597BC4E}" name="Points442" dataDxfId="412">
      <calculatedColumnFormula>IF(L5&gt;0,L5," ")</calculatedColumnFormula>
    </tableColumn>
    <tableColumn id="50" xr3:uid="{A4266C39-D4D0-4BDA-B7B3-530D544F81DA}" name="Place55" dataDxfId="411">
      <calculatedColumnFormula>IF(L5=0," ",RANK(L5,L$5:L$24,0))</calculatedColumnFormula>
    </tableColumn>
    <tableColumn id="52" xr3:uid="{E29DE5E3-1C9C-4A82-81B8-BDB101E2CE44}" name="Points45" dataDxfId="410">
      <calculatedColumnFormula>IFERROR(IF(VLOOKUP($B5,'PW B-Calf Riding'!$B$5:$AI$24,22,FALSE)=" ",0,VLOOKUP($B5,'PW B-Calf Riding'!$B$5:$AI$24,22,FALSE)),0)+IFERROR(IF(VLOOKUP($B5,'PW B-Goats'!$B$5:$AI$24,22,FALSE)=" ",0,VLOOKUP($B5,'PW B-Goats'!$B$5:$AI$24,22,FALSE)),0)+IFERROR(IF(VLOOKUP($B5,'PW B-Flags'!$B$5:$AI$24,22,FALSE)=" ",0,VLOOKUP($B5,'PW B-Flags'!$B$5:$AI$24,22,FALSE)),0)+IFERROR(IF(VLOOKUP($B5,'PW B-Breakaway'!$B$5:$AI$24,22,FALSE)=" ",0,VLOOKUP($B5,'PW B-Breakaway'!$B$5:$AI$24,22,FALSE)),0)+IFERROR(IF(VLOOKUP($B5,'PW B-Steer Daubing'!$B$5:$AI$24,22,FALSE)=" ",0,VLOOKUP($B5,'PW B-Steer Daubing'!$B$5:$AI$24,22,FALSE)),0)</calculatedColumnFormula>
    </tableColumn>
    <tableColumn id="9" xr3:uid="{3B68BEFB-0FC2-47F3-B42D-22FBD7CAF286}" name="Points452" dataDxfId="409">
      <calculatedColumnFormula>IF(O5&gt;0,O5," ")</calculatedColumnFormula>
    </tableColumn>
    <tableColumn id="53" xr3:uid="{6B517786-BE25-4AC1-BB03-F7F52E6A8B90}" name="Place56" dataDxfId="408">
      <calculatedColumnFormula>IF(O5=0," ",RANK(O5,O$5:O$24,0))</calculatedColumnFormula>
    </tableColumn>
    <tableColumn id="55" xr3:uid="{1A48161E-8AE6-4570-8807-1AE7A51AD164}" name="Points46" dataDxfId="407">
      <calculatedColumnFormula>IFERROR(IF(VLOOKUP($B5,'PW B-Calf Riding'!$B$5:$AI$24,26,FALSE)=" ",0,VLOOKUP($B5,'PW B-Calf Riding'!$B$5:$AI$24,26,FALSE)),0)+IFERROR(IF(VLOOKUP($B5,'PW B-Goats'!$B$5:$AI$24,26,FALSE)=" ",0,VLOOKUP($B5,'PW B-Goats'!$B$5:$AI$24,26,FALSE)),0)+IFERROR(IF(VLOOKUP($B5,'PW B-Flags'!$B$5:$AI$24,26,FALSE)=" ",0,VLOOKUP($B5,'PW B-Flags'!$B$5:$AI$24,26,FALSE)),0)+IFERROR(IF(VLOOKUP($B5,'PW B-Breakaway'!$B$5:$AI$24,26,FALSE)=" ",0,VLOOKUP($B5,'PW B-Breakaway'!$B$5:$AI$24,26,FALSE)),0)+IFERROR(IF(VLOOKUP($B5,'PW B-Steer Daubing'!$B$5:$AI$24,26,FALSE)=" ",0,VLOOKUP($B5,'PW B-Steer Daubing'!$B$5:$AI$24,26,FALSE)),0)</calculatedColumnFormula>
    </tableColumn>
    <tableColumn id="10" xr3:uid="{A7DF16DB-177B-40B2-90E2-7C3EE4ACDD6E}" name="Points462" dataDxfId="406">
      <calculatedColumnFormula>IF(R5&gt;0,R5," ")</calculatedColumnFormula>
    </tableColumn>
    <tableColumn id="56" xr3:uid="{6733D15A-5130-4845-AC3C-3EE53B6119AC}" name="Place57" dataDxfId="405">
      <calculatedColumnFormula>IF(R5=0," ",RANK(R5,R$5:R$24,0))</calculatedColumnFormula>
    </tableColumn>
    <tableColumn id="58" xr3:uid="{8712178D-BC91-4EBF-91D6-FE2FB6563585}" name="Points47" dataDxfId="404">
      <calculatedColumnFormula>IFERROR(IF(VLOOKUP($B5,'PW B-Calf Riding'!$B$5:$AI$24,30,FALSE)=" ",0,VLOOKUP($B5,'PW B-Calf Riding'!$B$5:$AI$24,30,FALSE)),0)+IFERROR(IF(VLOOKUP($B5,'PW B-Goats'!$B$5:$AI$24,30,FALSE)=" ",0,VLOOKUP($B5,'PW B-Goats'!$B$5:$AI$24,30,FALSE)),0)+IFERROR(IF(VLOOKUP($B5,'PW B-Flags'!$B$5:$AI$24,30,FALSE)=" ",0,VLOOKUP($B5,'PW B-Flags'!$B$5:$AI$24,30,FALSE)),0)+IFERROR(IF(VLOOKUP($B5,'PW B-Breakaway'!$B$5:$AI$24,30,FALSE)=" ",0,VLOOKUP($B5,'PW B-Breakaway'!$B$5:$AI$24,30,FALSE)),0)+IFERROR(IF(VLOOKUP($B5,'PW B-Steer Daubing'!$B$5:$AI$24,30,FALSE)=" ",0,VLOOKUP($B5,'PW B-Steer Daubing'!$B$5:$AI$24,30,FALSE)),0)</calculatedColumnFormula>
    </tableColumn>
    <tableColumn id="11" xr3:uid="{851C39A9-874D-44A8-9747-BBA07BE7B5E1}" name="Points472" dataDxfId="403">
      <calculatedColumnFormula>IF(U5&gt;0,U5," ")</calculatedColumnFormula>
    </tableColumn>
    <tableColumn id="59" xr3:uid="{01EA7C8B-95A5-4446-8FD2-2DC1DCBE805A}" name="Place58" dataDxfId="402">
      <calculatedColumnFormula>IF(U5=0," ",RANK(U5,U$5:U$24,0))</calculatedColumnFormula>
    </tableColumn>
    <tableColumn id="61" xr3:uid="{63B84C78-9FB9-4D54-90D9-3D27BE08DCD2}" name="Points48" dataDxfId="401">
      <calculatedColumnFormula>IFERROR(IF(VLOOKUP($B5,'PW B-Calf Riding'!$B$5:$AI$24,34,FALSE)=" ",0,VLOOKUP($B5,'PW B-Calf Riding'!$B$5:$AI$24,34,FALSE)),0)+IFERROR(IF(VLOOKUP($B5,'PW B-Goats'!$B$5:$AI$24,34,FALSE)=" ",0,VLOOKUP($B5,'PW B-Goats'!$B$5:$AI$24,34,FALSE)),0)+IFERROR(IF(VLOOKUP($B5,'PW B-Flags'!$B$5:$AI$24,34,FALSE)=" ",0,VLOOKUP($B5,'PW B-Flags'!$B$5:$AI$24,34,FALSE)),0)+IFERROR(IF(VLOOKUP($B5,'PW B-Breakaway'!$B$5:$AI$24,34,FALSE)=" ",0,VLOOKUP($B5,'PW B-Breakaway'!$B$5:$AI$24,34,FALSE)),0)+IFERROR(IF(VLOOKUP($B5,'PW B-Steer Daubing'!$B$5:$AI$24,34,FALSE)=" ",0,VLOOKUP($B5,'PW B-Steer Daubing'!$B$5:$AI$24,34,FALSE)),0)</calculatedColumnFormula>
    </tableColumn>
    <tableColumn id="12" xr3:uid="{AF4FF78A-7DE8-48A5-A0C2-A14BA9BF7998}" name="Points49" dataDxfId="400">
      <calculatedColumnFormula>IF(X5&gt;0,X5," ")</calculatedColumnFormula>
    </tableColumn>
    <tableColumn id="62" xr3:uid="{B8A2F40D-982E-43BC-AC83-48C9E42B123E}" name="Place59" dataDxfId="399">
      <calculatedColumnFormula>IF(X5=0," ",RANK(X5,X$5:X$24,0))</calculatedColumnFormula>
    </tableColumn>
    <tableColumn id="2" xr3:uid="{A84B4DA5-3944-4D8B-B439-8E6312E37FFB}" name="Points482" dataDxfId="398">
      <calculatedColumnFormula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calculatedColumnFormula>
    </tableColumn>
    <tableColumn id="13" xr3:uid="{DDD01546-DBC9-406E-9B00-F99F48DCE9CA}" name="Points483" dataDxfId="397">
      <calculatedColumnFormula>IF(AA5&gt;0,AA5," ")</calculatedColumnFormula>
    </tableColumn>
    <tableColumn id="3" xr3:uid="{C99FDDC9-F083-42AD-8C46-25AB3FD820BC}" name="Place593" dataDxfId="396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20F6FED-1CF0-4672-8FE4-E53FC21387DD}" name="Table6220273236" displayName="Table6220273236" ref="B4:AL24" totalsRowShown="0" headerRowDxfId="395" dataDxfId="394" tableBorderDxfId="393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AA5E183E-8A46-4B6A-A562-1D265FD5FA79}" name="Name" dataDxfId="392"/>
    <tableColumn id="37" xr3:uid="{A6BD5EA4-4F57-45D3-806D-C6F1C82B17B6}" name="Non-Member" dataDxfId="391"/>
    <tableColumn id="2" xr3:uid="{A108DD9C-DB59-4F62-9062-216EBB53583C}" name="Time/Score" dataDxfId="390"/>
    <tableColumn id="3" xr3:uid="{2D5E06B8-3CA9-4BCD-8656-AB27DFF6C9B2}" name="Column2" dataDxfId="389">
      <calculatedColumnFormula>IF(D5=0," ",_xlfn.RANK.AVG(D5,D$5:D$24,0))</calculatedColumnFormula>
    </tableColumn>
    <tableColumn id="4" xr3:uid="{A508B2D9-0F9B-44D1-B6F5-2D9041BFF7A9}" name="Place" dataDxfId="388">
      <calculatedColumnFormula>IF(D5=0," ",IF((RANK(D5,D$5:D$24,0)&gt;6)," ",RANK(D5,D$5:D$24,0)))</calculatedColumnFormula>
    </tableColumn>
    <tableColumn id="5" xr3:uid="{71E32F41-EC23-4E2C-8BE1-CA97D7AB65EC}" name="Points" dataDxfId="387">
      <calculatedColumnFormula>IF(Table6220273236[[#This Row],[Non-Member]]="X"," ",IF(F5=" "," ",IFERROR(VLOOKUP(E5,Points!$A$2:$B$14,2,FALSE)," ")))</calculatedColumnFormula>
    </tableColumn>
    <tableColumn id="6" xr3:uid="{6E9BF3B9-50BF-4749-AE59-92B1083984DE}" name="Time/Score3" dataDxfId="386"/>
    <tableColumn id="7" xr3:uid="{4F746A67-45BC-4A89-BF6B-A63031048E22}" name="Time/Score4" dataDxfId="385">
      <calculatedColumnFormula>IF(H5=0," ",_xlfn.RANK.AVG(H5,H$5:H$24,0))</calculatedColumnFormula>
    </tableColumn>
    <tableColumn id="8" xr3:uid="{81B4AE22-2296-4496-B77F-C6BD6E112E6A}" name="Place4" dataDxfId="384">
      <calculatedColumnFormula>IF(H5=0," ",IF((RANK(H5,H$5:H$24,0)&gt;6)," ",RANK(H5,H$5:H$24,0)))</calculatedColumnFormula>
    </tableColumn>
    <tableColumn id="9" xr3:uid="{AECF4B08-DE7C-4A28-B53F-D6D47290A131}" name="Points5" dataDxfId="383">
      <calculatedColumnFormula>IF(Table6220273236[[#This Row],[Non-Member]]="X"," ",IF(J5=" "," ",IFERROR(VLOOKUP(I5,Points!$A$2:$B$14,2,FALSE)," ")))</calculatedColumnFormula>
    </tableColumn>
    <tableColumn id="10" xr3:uid="{DEE3B8F5-B046-4CE8-81C5-DC1C7DB93286}" name="Time/Score6" dataDxfId="382"/>
    <tableColumn id="11" xr3:uid="{99F2EF4A-11B8-40AF-A729-989913BC18E2}" name="Time/Score7" dataDxfId="381">
      <calculatedColumnFormula>IF(L5=0," ",_xlfn.RANK.AVG(L5,L$5:L$24,0))</calculatedColumnFormula>
    </tableColumn>
    <tableColumn id="12" xr3:uid="{804E70E2-6CB9-4913-BA9A-F5BFE7F09A4E}" name="Place7" dataDxfId="380">
      <calculatedColumnFormula>IF(L5=0," ",IF((RANK(L5,L$5:L$24,0)&gt;6)," ",RANK(L5,L$5:L$24,0)))</calculatedColumnFormula>
    </tableColumn>
    <tableColumn id="13" xr3:uid="{5F92AB4B-72D7-402C-B44A-AA7892B58F9B}" name="Points8" dataDxfId="379">
      <calculatedColumnFormula>IF(Table6220273236[[#This Row],[Non-Member]]="X"," ",IF(N5=" "," ",IFERROR(VLOOKUP(M5,Points!$A$2:$B$14,2,FALSE)," ")))</calculatedColumnFormula>
    </tableColumn>
    <tableColumn id="14" xr3:uid="{189FEA18-0877-47AE-80AE-8B6AA119501B}" name="Time/Score9" dataDxfId="378"/>
    <tableColumn id="15" xr3:uid="{EA47D1EF-33F4-4708-BE72-6088CB963888}" name="Time/Score10" dataDxfId="377">
      <calculatedColumnFormula>IF(P5=0," ",_xlfn.RANK.AVG(P5,P$5:P$24,0))</calculatedColumnFormula>
    </tableColumn>
    <tableColumn id="16" xr3:uid="{CE60DCCA-0D2C-457F-B1C0-958BD38429C7}" name="Place10" dataDxfId="376">
      <calculatedColumnFormula>IF(P5=0," ",IF((RANK(P5,P$5:P$24,0)&gt;6)," ",RANK(P5,P$5:P$24,0)))</calculatedColumnFormula>
    </tableColumn>
    <tableColumn id="17" xr3:uid="{57347F97-222A-4344-AE1A-92A20344B608}" name="Points11" dataDxfId="375">
      <calculatedColumnFormula>IF(Table6220273236[[#This Row],[Non-Member]]="X"," ",IF(R5=" "," ",IFERROR(VLOOKUP(Q5,Points!$A$2:$B$14,2,FALSE)," ")))</calculatedColumnFormula>
    </tableColumn>
    <tableColumn id="18" xr3:uid="{0EB4472E-3765-46C2-A12C-2B7EDDD9D31B}" name="Time/Score12" dataDxfId="374"/>
    <tableColumn id="19" xr3:uid="{9E632554-66D3-49DA-BBCB-4B30CFD02964}" name="Time/Score13" dataDxfId="373">
      <calculatedColumnFormula>IF(T5=0," ",_xlfn.RANK.AVG(T5,T$5:T$24,0))</calculatedColumnFormula>
    </tableColumn>
    <tableColumn id="20" xr3:uid="{A1217068-8287-44B0-A3DF-11C72D740778}" name="Place13" dataDxfId="372">
      <calculatedColumnFormula>IF(T5=0," ",IF((RANK(T5,T$5:T$24,0)&gt;6)," ",RANK(T5,T$5:T$24,0)))</calculatedColumnFormula>
    </tableColumn>
    <tableColumn id="21" xr3:uid="{1DC1F819-339A-4CCD-A46C-FD9A4DF4B58F}" name="Points14" dataDxfId="371">
      <calculatedColumnFormula>IF(Table6220273236[[#This Row],[Non-Member]]="X"," ",IF(V5=" "," ",IFERROR(VLOOKUP(U5,Points!$A$2:$B$14,2,FALSE)," ")))</calculatedColumnFormula>
    </tableColumn>
    <tableColumn id="22" xr3:uid="{FC2FBA36-0C2C-442E-875E-74DD154EDB11}" name="Time/Score15" dataDxfId="370"/>
    <tableColumn id="23" xr3:uid="{5271AB10-4E31-44E3-8E5B-EE2CDD47BD75}" name="Time/Score16" dataDxfId="369">
      <calculatedColumnFormula>IF(X5=0," ",_xlfn.RANK.AVG(X5,X$5:X$24,0))</calculatedColumnFormula>
    </tableColumn>
    <tableColumn id="24" xr3:uid="{7BE95413-A89E-4D09-AE88-5CBA0B2B477C}" name="Place16" dataDxfId="368">
      <calculatedColumnFormula>IF(X5=0," ",IF((RANK(X5,X$5:X$24,0)&gt;6)," ",RANK(X5,X$5:X$24,0)))</calculatedColumnFormula>
    </tableColumn>
    <tableColumn id="25" xr3:uid="{10C8F0E8-8F6F-405C-A2F7-EAEB102A05F8}" name="Points17" dataDxfId="367">
      <calculatedColumnFormula>IF(Table6220273236[[#This Row],[Non-Member]]="X"," ",IF(Z5=" "," ",IFERROR(VLOOKUP(Y5,Points!$A$2:$B$14,2,FALSE)," ")))</calculatedColumnFormula>
    </tableColumn>
    <tableColumn id="26" xr3:uid="{4C3F7B20-5CC2-4042-8CCA-53CD5E008A37}" name="Time/Score18" dataDxfId="366"/>
    <tableColumn id="27" xr3:uid="{46835DB5-4BD8-4C4E-A49E-967DEDA37D84}" name="Time/Score19" dataDxfId="365">
      <calculatedColumnFormula>IF(AB5=0," ",_xlfn.RANK.AVG(AB5,IF(AB$5:AB$24&gt;0,AB$5:AB$24,0),0))</calculatedColumnFormula>
    </tableColumn>
    <tableColumn id="28" xr3:uid="{AD0B136D-3332-476F-9743-5BDFA64C5D5B}" name="Place19" dataDxfId="364">
      <calculatedColumnFormula>IFERROR(IF(RANK(AB5,AB$5:AB$24,0)&gt;6," ",(IF(AB5,RANK(AB5,AB$5:AB$24,0)," ")))," ")</calculatedColumnFormula>
    </tableColumn>
    <tableColumn id="29" xr3:uid="{E9AFCA36-7CDB-408A-A848-ED4C4BF3EC84}" name="Points20" dataDxfId="363">
      <calculatedColumnFormula>IF(Table6220273236[[#This Row],[Non-Member]]="X"," ",IF(AD5=" "," ",IFERROR(VLOOKUP(AC5,Points!$A$2:$B$14,2,FALSE)," ")))</calculatedColumnFormula>
    </tableColumn>
    <tableColumn id="30" xr3:uid="{59312696-B760-459C-B3EF-1321F7AD4DFF}" name="Time/Score21" dataDxfId="362"/>
    <tableColumn id="31" xr3:uid="{064CA33C-5D9D-4BFB-AAFF-FC4080FE8959}" name="Time/Score22" dataDxfId="361">
      <calculatedColumnFormula>IF(AF5=0," ",_xlfn.RANK.AVG(AF5,IF(AF$5:AF$24&gt;0,AF$5:AF$24,0),0))</calculatedColumnFormula>
    </tableColumn>
    <tableColumn id="32" xr3:uid="{70462005-FD27-4F56-B62F-CD52FC7A8916}" name="Place22" dataDxfId="360">
      <calculatedColumnFormula>IFERROR(IF(RANK(AF5,AF$5:AF$24,0)&gt;6," ",(IF(AF5,RANK(AF5,AF$5:AF$24,0)," ")))," ")</calculatedColumnFormula>
    </tableColumn>
    <tableColumn id="33" xr3:uid="{17DCDA66-73DB-4174-B011-1195FEDD2CDD}" name="Points23" dataDxfId="359">
      <calculatedColumnFormula>IF(Table6220273236[[#This Row],[Non-Member]]="X"," ",IF(AH5=" "," ",IFERROR(VLOOKUP(AG5,Points!$A$2:$B$14,2,FALSE)," ")))</calculatedColumnFormula>
    </tableColumn>
    <tableColumn id="34" xr3:uid="{584E6E0E-5B4C-4BE1-B74B-CE312CA49082}" name="Points24" dataDxfId="358">
      <calculatedColumnFormula>IF(Table6220273236[[#This Row],[Non-Member]]="X"," ",((IF(G5=" ",0,G5))+(IF(K5=" ",0,K5))+(IF(O5=" ",0,O5))+(IF(S5=" ",0,S5))+(IF(W5=" ",0,W5))+(IF(AA5=" ",0,AA5))+(IF(AE5=" ",0,AE5))+(IF(AI5=" ",0,AI5))))</calculatedColumnFormula>
    </tableColumn>
    <tableColumn id="35" xr3:uid="{E91B7E07-31FB-4BB8-87DA-01328827CA21}" name="Points25" dataDxfId="357" dataCellStyle="Comma">
      <calculatedColumnFormula>IF(AJ5=0," ",AJ5)</calculatedColumnFormula>
    </tableColumn>
    <tableColumn id="36" xr3:uid="{29B77CC0-81E7-4C9B-A609-A412F1C817D5}" name="Place26" dataDxfId="356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7D519A4-9734-446B-BAB6-E28ECA2A354E}" name="Table622027323337" displayName="Table622027323337" ref="B4:AL29" totalsRowShown="0" headerRowDxfId="355" dataDxfId="354" tableBorderDxfId="353">
  <autoFilter ref="B4:AL29" xr:uid="{89B1FF52-34AE-480D-BF76-50E05053D0D8}"/>
  <sortState xmlns:xlrd2="http://schemas.microsoft.com/office/spreadsheetml/2017/richdata2" ref="B5:AL29">
    <sortCondition ref="AL5:AL29"/>
    <sortCondition ref="B5:B29"/>
  </sortState>
  <tableColumns count="37">
    <tableColumn id="1" xr3:uid="{64BF293E-1D69-4D69-B172-D32272D62D4B}" name="Name" dataDxfId="352"/>
    <tableColumn id="37" xr3:uid="{5378FEE6-7BDA-41E7-89E7-30C20885E244}" name="Non-Member" dataDxfId="351"/>
    <tableColumn id="2" xr3:uid="{1B8EF7F0-C609-4BAF-867B-3EC9DF8CBFAF}" name="Time/Score" dataDxfId="350" dataCellStyle="Comma"/>
    <tableColumn id="3" xr3:uid="{34E0FFBA-BBC3-4E81-9AA5-4003E33A79D5}" name="Column2" dataDxfId="349">
      <calculatedColumnFormula>IF(D5=0," ",_xlfn.RANK.AVG(D5,D$5:D$29,1)-COUNTIF(D$5:D$29,0))</calculatedColumnFormula>
    </tableColumn>
    <tableColumn id="4" xr3:uid="{8FE4BF96-7D53-4A0E-91B1-26A7965180E9}" name="Place" dataDxfId="348">
      <calculatedColumnFormula>IF(D5=0," ",IF((RANK(D5,D$5:D$29,1)-COUNTIF(D$5:D$29,0)&gt;6)," ",RANK(D5,D$5:D$29,1)-COUNTIF(D$5:D$29,0)))</calculatedColumnFormula>
    </tableColumn>
    <tableColumn id="5" xr3:uid="{35AF02B6-3C9F-4A4D-BDC8-2FFA46001C69}" name="Points" dataDxfId="347">
      <calculatedColumnFormula>IF(Table622027323337[[#This Row],[Non-Member]]="X"," ",IF(F5=" "," ",IFERROR(VLOOKUP(E5,Points!$A$2:$B$14,2,FALSE)," ")))</calculatedColumnFormula>
    </tableColumn>
    <tableColumn id="6" xr3:uid="{CA49355B-BAD0-4638-9C57-799F885515E7}" name="Time/Score3" dataDxfId="346" dataCellStyle="Comma"/>
    <tableColumn id="7" xr3:uid="{D6D4B36B-2489-4259-97DF-1C58823C7432}" name="Time/Score4" dataDxfId="345">
      <calculatedColumnFormula>IF(H5=0," ",_xlfn.RANK.AVG(H5,H$5:H$29,1)-COUNTIF(H$5:H$29,0))</calculatedColumnFormula>
    </tableColumn>
    <tableColumn id="8" xr3:uid="{CBE57217-60AD-4279-9493-2FEBB0661725}" name="Place4" dataDxfId="344">
      <calculatedColumnFormula>IF(H5=0," ",IF((RANK(H5,H$5:H$29,1)-COUNTIF(H$5:H$29,0)&gt;6)," ",RANK(H5,H$5:H$29,1)-COUNTIF(H$5:H$29,0)))</calculatedColumnFormula>
    </tableColumn>
    <tableColumn id="9" xr3:uid="{A2B65F57-78EF-426E-9D4C-12DE1B100DBB}" name="Points5" dataDxfId="343">
      <calculatedColumnFormula>IF(Table622027323337[[#This Row],[Non-Member]]="X"," ",IF(J5=" "," ",IFERROR(VLOOKUP(I5,Points!$A$2:$B$14,2,FALSE)," ")))</calculatedColumnFormula>
    </tableColumn>
    <tableColumn id="10" xr3:uid="{90D99BEA-3F26-4B92-BCF8-04271782E47F}" name="Time/Score6" dataDxfId="342" dataCellStyle="Comma"/>
    <tableColumn id="11" xr3:uid="{C5C1CEC1-7C02-49D8-B3DD-97EB2365C128}" name="Time/Score7" dataDxfId="341">
      <calculatedColumnFormula>IF(L5=0," ",_xlfn.RANK.AVG(L5,L$5:L$29,1)-COUNTIF(L$5:L$29,0))</calculatedColumnFormula>
    </tableColumn>
    <tableColumn id="12" xr3:uid="{1814BBFB-EE03-41CF-8CC7-B270F130CA17}" name="Place7" dataDxfId="340">
      <calculatedColumnFormula>IF(L5=0," ",IF((RANK(L5,L$5:L$29,1)-COUNTIF(L$5:L$29,0)&gt;6)," ",RANK(L5,L$5:L$29,1)-COUNTIF(L$5:L$29,0)))</calculatedColumnFormula>
    </tableColumn>
    <tableColumn id="13" xr3:uid="{F187C707-1059-472A-B466-96E9A00263B7}" name="Points8" dataDxfId="339">
      <calculatedColumnFormula>IF(Table622027323337[[#This Row],[Non-Member]]="X"," ",IF(N5=" "," ",IFERROR(VLOOKUP(M5,Points!$A$2:$B$14,2,FALSE)," ")))</calculatedColumnFormula>
    </tableColumn>
    <tableColumn id="14" xr3:uid="{9A6B3218-D6B7-4D52-8D2E-65FDE389FB12}" name="Time/Score9" dataDxfId="338" dataCellStyle="Comma"/>
    <tableColumn id="15" xr3:uid="{0888E4C5-3C93-4177-A02B-CCCBA160021A}" name="Time/Score10" dataDxfId="337">
      <calculatedColumnFormula>IF(P5=0," ",_xlfn.RANK.AVG(P5,P$5:P$29,1)-COUNTIF(P$5:P$29,0))</calculatedColumnFormula>
    </tableColumn>
    <tableColumn id="16" xr3:uid="{F9409FF2-454A-4640-9070-92621AF7BC72}" name="Place10" dataDxfId="336">
      <calculatedColumnFormula>IF(P5=0," ",IF((RANK(P5,P$5:P$29,1)-COUNTIF(P$5:P$29,0)&gt;6)," ",RANK(P5,P$5:P$29,1)-COUNTIF(P$5:P$29,0)))</calculatedColumnFormula>
    </tableColumn>
    <tableColumn id="17" xr3:uid="{F90D8A86-5EC3-4650-86EA-547782509018}" name="Points11" dataDxfId="335">
      <calculatedColumnFormula>IF(Table622027323337[[#This Row],[Non-Member]]="X"," ",IF(R5=" "," ",IFERROR(VLOOKUP(Q5,Points!$A$2:$B$14,2,FALSE)," ")))</calculatedColumnFormula>
    </tableColumn>
    <tableColumn id="18" xr3:uid="{48C47142-93F4-4EB0-9F1E-4B7B8DFB8E11}" name="Time/Score12" dataDxfId="334" dataCellStyle="Comma"/>
    <tableColumn id="19" xr3:uid="{E409965E-F486-44CE-B12F-5C8C10DE8B1F}" name="Time/Score13" dataDxfId="333">
      <calculatedColumnFormula>IF(T5=0," ",_xlfn.RANK.AVG(T5,T$5:T$29,1)-COUNTIF(T$5:T$29,0))</calculatedColumnFormula>
    </tableColumn>
    <tableColumn id="20" xr3:uid="{C8B1F30B-D95E-4D0C-84B4-5B5CFA5846A6}" name="Place13" dataDxfId="332">
      <calculatedColumnFormula>IF(T5=0," ",IF((RANK(T5,T$5:T$29,1)-COUNTIF(T$5:T$29,0)&gt;6)," ",RANK(T5,T$5:T$29,1)-COUNTIF(T$5:T$29,0)))</calculatedColumnFormula>
    </tableColumn>
    <tableColumn id="21" xr3:uid="{1123A2CA-8B37-4A58-8276-FCD165E2F7BC}" name="Points14" dataDxfId="331">
      <calculatedColumnFormula>IF(Table622027323337[[#This Row],[Non-Member]]="X"," ",IF(V5=" "," ",IFERROR(VLOOKUP(U5,Points!$A$2:$B$14,2,FALSE)," ")))</calculatedColumnFormula>
    </tableColumn>
    <tableColumn id="22" xr3:uid="{06E0BD38-ECC8-49C7-BE0B-60E6799989ED}" name="Time/Score15" dataDxfId="330" dataCellStyle="Comma"/>
    <tableColumn id="23" xr3:uid="{92B9A223-D7E1-4038-B701-4EC88DCE84D5}" name="Time/Score16" dataDxfId="329">
      <calculatedColumnFormula>IF(X5=0," ",_xlfn.RANK.AVG(X5,X$5:X$29,1)-COUNTIF(X$5:X$29,0))</calculatedColumnFormula>
    </tableColumn>
    <tableColumn id="24" xr3:uid="{DA580443-8A5D-4B45-8AE4-D4B479FC8020}" name="Place16" dataDxfId="328">
      <calculatedColumnFormula>IF(X5=0," ",IF((RANK(X5,X$5:X$29,1)-COUNTIF(X$5:X$29,0)&gt;6)," ",RANK(X5,X$5:X$29,1)-COUNTIF(X$5:X$29,0)))</calculatedColumnFormula>
    </tableColumn>
    <tableColumn id="25" xr3:uid="{4B89F9CB-4DDD-4E76-9E54-79AA181481CE}" name="Points17" dataDxfId="327">
      <calculatedColumnFormula>IF(Table622027323337[[#This Row],[Non-Member]]="X"," ",IF(Z5=" "," ",IFERROR(VLOOKUP(Y5,Points!$A$2:$B$14,2,FALSE)," ")))</calculatedColumnFormula>
    </tableColumn>
    <tableColumn id="26" xr3:uid="{0402F8E0-E2A8-40C3-A0FC-D730CF1BCE81}" name="Time/Score18" dataDxfId="326" dataCellStyle="Comma"/>
    <tableColumn id="27" xr3:uid="{349A29A0-066E-467D-94E7-52AA1FE0DD65}" name="Time/Score19" dataDxfId="325">
      <calculatedColumnFormula>IF(AB5=0," ",_xlfn.RANK.AVG(AB5,AB$5:AB$29,1)-COUNTIF(AB$5:AB$29,0))</calculatedColumnFormula>
    </tableColumn>
    <tableColumn id="28" xr3:uid="{5BCA7A94-8F67-4FA1-BE0D-DA1216774695}" name="Place19" dataDxfId="324">
      <calculatedColumnFormula>IF(AB5=0," ",IF((RANK(AB5,AB$5:AB$29,1)-COUNTIF(AB$5:AB$29,0)&gt;6)," ",RANK(AB5,AB$5:AB$29,1)-COUNTIF(AB$5:AB$29,0)))</calculatedColumnFormula>
    </tableColumn>
    <tableColumn id="29" xr3:uid="{ABA0F816-0D33-45AC-965D-02035ED05108}" name="Points20" dataDxfId="323">
      <calculatedColumnFormula>IF(Table622027323337[[#This Row],[Non-Member]]="X"," ",IF(AD5=" "," ",IFERROR(VLOOKUP(AC5,Points!$A$2:$B$14,2,FALSE)," ")))</calculatedColumnFormula>
    </tableColumn>
    <tableColumn id="30" xr3:uid="{1C14FF6A-A42A-4312-968B-062E6B5AED45}" name="Time/Score21" dataDxfId="322" dataCellStyle="Comma">
      <calculatedColumnFormula>IF(OR(X5=0,AB5=0)," ",X5+AB5)</calculatedColumnFormula>
    </tableColumn>
    <tableColumn id="31" xr3:uid="{2074B7FC-7701-4B23-8C2A-E03F2AEDC034}" name="Time/Score22" dataDxfId="321">
      <calculatedColumnFormula>IF(OR(AF5=0,AF5=" ")," ",_xlfn.RANK.AVG(AF5,AF$5:AF$29,1)-COUNTIF(AF$5:AF$29,0))</calculatedColumnFormula>
    </tableColumn>
    <tableColumn id="32" xr3:uid="{D9F74F5A-96EE-4C87-9FBD-84F587398610}" name="Place22" dataDxfId="320">
      <calculatedColumnFormula>IF(OR(AF5=0,AF5=" ")," ",IF((RANK(AF5,AF$5:AF$29,1)-COUNTIF(AF$5:AF$29,0)&gt;6)," ",RANK(AF5,AF$5:AF$29,1)-COUNTIF(AF$5:AF$29,0)))</calculatedColumnFormula>
    </tableColumn>
    <tableColumn id="33" xr3:uid="{C4D66688-EB73-4C96-A877-3A87EF5BE20D}" name="Points23" dataDxfId="319">
      <calculatedColumnFormula>IF(Table622027323337[[#This Row],[Non-Member]]="X"," ",IF(AH5=" "," ",IFERROR(VLOOKUP(AG5,Points!$A$2:$B$14,2,FALSE)," ")))</calculatedColumnFormula>
    </tableColumn>
    <tableColumn id="34" xr3:uid="{68BE3411-07FF-4A73-9956-EC7F296F3B66}" name="Points24" dataDxfId="318">
      <calculatedColumnFormula>IF(Table622027323337[[#This Row],[Non-Member]]="X"," ",((IF(G5=" ",0,G5))+(IF(K5=" ",0,K5))+(IF(O5=" ",0,O5))+(IF(S5=" ",0,S5))+(IF(W5=" ",0,W5))+(IF(AA5=" ",0,AA5))+(IF(AE5=" ",0,AE5))+(IF(AI5=" ",0,AI5))))</calculatedColumnFormula>
    </tableColumn>
    <tableColumn id="35" xr3:uid="{83BEC39E-FC6C-4BB8-8134-E5C56AE0CC7F}" name="Points25" dataDxfId="317" dataCellStyle="Comma">
      <calculatedColumnFormula>IF(AJ5=0," ",AJ5)</calculatedColumnFormula>
    </tableColumn>
    <tableColumn id="36" xr3:uid="{1D399B93-1BA7-465B-A552-700C2071422D}" name="Place26" dataDxfId="316">
      <calculatedColumnFormula>IF(AK5=" "," ",RANK(AK5,$AK$5:$AK$29))</calculatedColumnFormula>
    </tableColumn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FC1C8A6-CED8-4F6D-8BB5-26E109BA6BD3}" name="Table62202732333738" displayName="Table62202732333738" ref="B4:AL27" totalsRowShown="0" headerRowDxfId="315" dataDxfId="314" tableBorderDxfId="313">
  <autoFilter ref="B4:AL27" xr:uid="{89B1FF52-34AE-480D-BF76-50E05053D0D8}"/>
  <sortState xmlns:xlrd2="http://schemas.microsoft.com/office/spreadsheetml/2017/richdata2" ref="B5:AL27">
    <sortCondition ref="AL5:AL27"/>
    <sortCondition ref="B5:B27"/>
  </sortState>
  <tableColumns count="37">
    <tableColumn id="1" xr3:uid="{D93B0679-5C69-4C49-BC67-18953013F39D}" name="Name" dataDxfId="312"/>
    <tableColumn id="37" xr3:uid="{249DC4E3-6849-411F-BDBE-1B08A35492C0}" name="Non-Member" dataDxfId="311"/>
    <tableColumn id="2" xr3:uid="{3DDBAED5-0F87-409C-A987-4785FEF42014}" name="Time/Score" dataDxfId="310" dataCellStyle="Comma"/>
    <tableColumn id="3" xr3:uid="{C514B719-A461-4CF3-BA78-29360E0C5C1F}" name="Column2" dataDxfId="309">
      <calculatedColumnFormula>IF(D5=0," ",_xlfn.RANK.AVG(D5,D$5:D$27,1)-COUNTIF(D$5:D$27,0))</calculatedColumnFormula>
    </tableColumn>
    <tableColumn id="4" xr3:uid="{1EB0519E-41F0-4CA0-835F-DDBF509B7238}" name="Place" dataDxfId="308">
      <calculatedColumnFormula>IF(D5=0," ",IF((RANK(D5,D$5:D$27,1)-COUNTIF(D$5:D$27,0)&gt;6)," ",RANK(D5,D$5:D$27,1)-COUNTIF(D$5:D$27,0)))</calculatedColumnFormula>
    </tableColumn>
    <tableColumn id="5" xr3:uid="{AD296734-3FFB-413B-A162-9595403CF0C2}" name="Points" dataDxfId="307">
      <calculatedColumnFormula>IF(Table62202732333738[[#This Row],[Non-Member]]="X"," ",IF(F5=" "," ",IFERROR(VLOOKUP(E5,Points!$A$2:$B$14,2,FALSE)," ")))</calculatedColumnFormula>
    </tableColumn>
    <tableColumn id="6" xr3:uid="{B5EAA02E-EECD-4A2D-8049-B2B197F93176}" name="Time/Score3" dataDxfId="306" dataCellStyle="Comma"/>
    <tableColumn id="7" xr3:uid="{452E2E77-5810-47F6-A221-ABF6BC68D57C}" name="Time/Score4" dataDxfId="305">
      <calculatedColumnFormula>IF(H5=0," ",_xlfn.RANK.AVG(H5,H$5:H$27,1)-COUNTIF(H$5:H$27,0))</calculatedColumnFormula>
    </tableColumn>
    <tableColumn id="8" xr3:uid="{A9F8BE5F-6DFC-4248-896B-0EE786E705FD}" name="Place4" dataDxfId="304">
      <calculatedColumnFormula>IF(H5=0," ",IF((RANK(H5,H$5:H$27,1)-COUNTIF(H$5:H$27,0)&gt;6)," ",RANK(H5,H$5:H$27,1)-COUNTIF(H$5:H$27,0)))</calculatedColumnFormula>
    </tableColumn>
    <tableColumn id="9" xr3:uid="{F0B91E98-AB7B-4CB9-B709-D7FBE7EB63E5}" name="Points5" dataDxfId="303">
      <calculatedColumnFormula>IF(Table62202732333738[[#This Row],[Non-Member]]="X"," ",IF(J5=" "," ",IFERROR(VLOOKUP(I5,Points!$A$2:$B$14,2,FALSE)," ")))</calculatedColumnFormula>
    </tableColumn>
    <tableColumn id="10" xr3:uid="{795F10B0-99B5-44EC-AAD9-7A3CCC96216C}" name="Time/Score6" dataDxfId="302" dataCellStyle="Comma"/>
    <tableColumn id="11" xr3:uid="{2858BCB6-EFEF-420A-8B51-85F8E74388D5}" name="Time/Score7" dataDxfId="301">
      <calculatedColumnFormula>IF(L5=0," ",_xlfn.RANK.AVG(L5,L$5:L$27,1)-COUNTIF(L$5:L$27,0))</calculatedColumnFormula>
    </tableColumn>
    <tableColumn id="12" xr3:uid="{2B8DD4B6-AD7A-4F50-A227-79951CBAF765}" name="Place7" dataDxfId="300">
      <calculatedColumnFormula>IF(L5=0," ",IF((RANK(L5,L$5:L$27,1)-COUNTIF(L$5:L$27,0)&gt;6)," ",RANK(L5,L$5:L$27,1)-COUNTIF(L$5:L$27,0)))</calculatedColumnFormula>
    </tableColumn>
    <tableColumn id="13" xr3:uid="{126EE7A4-D35E-41E1-9827-D9723137D543}" name="Points8" dataDxfId="299">
      <calculatedColumnFormula>IF(Table62202732333738[[#This Row],[Non-Member]]="X"," ",IF(N5=" "," ",IFERROR(VLOOKUP(M5,Points!$A$2:$B$14,2,FALSE)," ")))</calculatedColumnFormula>
    </tableColumn>
    <tableColumn id="14" xr3:uid="{F6FBAFEE-1904-40F2-AF26-A02A12CED7F0}" name="Time/Score9" dataDxfId="298" dataCellStyle="Comma"/>
    <tableColumn id="15" xr3:uid="{C39F5C36-CD25-4AF2-8389-CE72B40FDC47}" name="Time/Score10" dataDxfId="297">
      <calculatedColumnFormula>IF(P5=0," ",_xlfn.RANK.AVG(P5,P$5:P$27,1)-COUNTIF(P$5:P$27,0))</calculatedColumnFormula>
    </tableColumn>
    <tableColumn id="16" xr3:uid="{84F56F9F-D61E-4552-9628-230F24FED302}" name="Place10" dataDxfId="296">
      <calculatedColumnFormula>IF(P5=0," ",IF((RANK(P5,P$5:P$27,1)-COUNTIF(P$5:P$27,0)&gt;6)," ",RANK(P5,P$5:P$27,1)-COUNTIF(P$5:P$27,0)))</calculatedColumnFormula>
    </tableColumn>
    <tableColumn id="17" xr3:uid="{CBA56F37-B2E0-4E28-BDBF-10274ABA7D2E}" name="Points11" dataDxfId="295">
      <calculatedColumnFormula>IF(Table62202732333738[[#This Row],[Non-Member]]="X"," ",IF(R5=" "," ",IFERROR(VLOOKUP(Q5,Points!$A$2:$B$14,2,FALSE)," ")))</calculatedColumnFormula>
    </tableColumn>
    <tableColumn id="18" xr3:uid="{6B41C3A4-5A2F-41D1-9BB4-17824C5375E8}" name="Time/Score12" dataDxfId="294" dataCellStyle="Comma"/>
    <tableColumn id="19" xr3:uid="{9621C81B-82D6-4909-AAA5-9157FFE8121B}" name="Time/Score13" dataDxfId="293">
      <calculatedColumnFormula>IF(T5=0," ",_xlfn.RANK.AVG(T5,T$5:T$27,1)-COUNTIF(T$5:T$27,0))</calculatedColumnFormula>
    </tableColumn>
    <tableColumn id="20" xr3:uid="{E4D500EF-C698-4501-B763-195AC0B5F5BA}" name="Place13" dataDxfId="292">
      <calculatedColumnFormula>IF(T5=0," ",IF((RANK(T5,T$5:T$27,1)-COUNTIF(T$5:T$27,0)&gt;6)," ",RANK(T5,T$5:T$27,1)-COUNTIF(T$5:T$27,0)))</calculatedColumnFormula>
    </tableColumn>
    <tableColumn id="21" xr3:uid="{4D3F6F79-376C-4B69-9032-2F1652F05A87}" name="Points14" dataDxfId="291">
      <calculatedColumnFormula>IF(Table62202732333738[[#This Row],[Non-Member]]="X"," ",IF(V5=" "," ",IFERROR(VLOOKUP(U5,Points!$A$2:$B$14,2,FALSE)," ")))</calculatedColumnFormula>
    </tableColumn>
    <tableColumn id="22" xr3:uid="{B4E08968-C9EA-4AA5-A565-1CD22EF7E10A}" name="Time/Score15" dataDxfId="290" dataCellStyle="Comma"/>
    <tableColumn id="23" xr3:uid="{56D20027-3177-4838-8987-7C9322AF826E}" name="Time/Score16" dataDxfId="289">
      <calculatedColumnFormula>IF(X5=0," ",_xlfn.RANK.AVG(X5,X$5:X$27,1)-COUNTIF(X$5:X$27,0))</calculatedColumnFormula>
    </tableColumn>
    <tableColumn id="24" xr3:uid="{8D75F6E5-7065-4211-8E6B-8EB160EDFEBE}" name="Place16" dataDxfId="288">
      <calculatedColumnFormula>IF(X5=0," ",IF((RANK(X5,X$5:X$27,1)-COUNTIF(X$5:X$27,0)&gt;6)," ",RANK(X5,X$5:X$27,1)-COUNTIF(X$5:X$27,0)))</calculatedColumnFormula>
    </tableColumn>
    <tableColumn id="25" xr3:uid="{B50E2B7F-F467-4EEA-8DF1-447871F630D1}" name="Points17" dataDxfId="287">
      <calculatedColumnFormula>IF(Table62202732333738[[#This Row],[Non-Member]]="X"," ",IF(Z5=" "," ",IFERROR(VLOOKUP(Y5,Points!$A$2:$B$14,2,FALSE)," ")))</calculatedColumnFormula>
    </tableColumn>
    <tableColumn id="26" xr3:uid="{46DE357E-98C9-4706-BDF6-AA0F08A9F6D9}" name="Time/Score18" dataDxfId="286" dataCellStyle="Comma"/>
    <tableColumn id="27" xr3:uid="{3ACA495B-4733-48AE-9247-6E22D47B4510}" name="Time/Score19" dataDxfId="285">
      <calculatedColumnFormula>IF(AB5=0," ",_xlfn.RANK.AVG(AB5,AB$5:AB$27,1)-COUNTIF(AB$5:AB$27,0))</calculatedColumnFormula>
    </tableColumn>
    <tableColumn id="28" xr3:uid="{F9D5D007-FD4E-4130-9A98-31DE17C3ACE3}" name="Place19" dataDxfId="284">
      <calculatedColumnFormula>IF(AB5=0," ",IF((RANK(AB5,AB$5:AB$27,1)-COUNTIF(AB$5:AB$27,0)&gt;6)," ",RANK(AB5,AB$5:AB$27,1)-COUNTIF(AB$5:AB$27,0)))</calculatedColumnFormula>
    </tableColumn>
    <tableColumn id="29" xr3:uid="{91D09907-7BD9-4EC8-8007-66FEABF2711B}" name="Points20" dataDxfId="283">
      <calculatedColumnFormula>IF(Table62202732333738[[#This Row],[Non-Member]]="X"," ",IF(AD5=" "," ",IFERROR(VLOOKUP(AC5,Points!$A$2:$B$14,2,FALSE)," ")))</calculatedColumnFormula>
    </tableColumn>
    <tableColumn id="30" xr3:uid="{24657287-34D8-412B-BFAA-E0378787BFF6}" name="Time/Score21" dataDxfId="282" dataCellStyle="Comma">
      <calculatedColumnFormula>IF(OR(X5=0,AB5=0)," ",X5+AB5)</calculatedColumnFormula>
    </tableColumn>
    <tableColumn id="31" xr3:uid="{D71810F8-63C7-46A4-BC23-492C7E65FFA5}" name="Time/Score22" dataDxfId="281">
      <calculatedColumnFormula>IF(OR(AF5=0,AF5=" ")," ",_xlfn.RANK.AVG(AF5,AF$5:AF$27,1)-COUNTIF(AF$5:AF$27,0))</calculatedColumnFormula>
    </tableColumn>
    <tableColumn id="32" xr3:uid="{58C739D2-490B-435E-BBDC-E8473D532750}" name="Place22" dataDxfId="280">
      <calculatedColumnFormula>IF(OR(AF5=0,AF5=" ")," ",IF((RANK(AF5,AF$5:AF$27,1)-COUNTIF(AF$5:AF$27,0)&gt;6)," ",RANK(AF5,AF$5:AF$27,1)-COUNTIF(AF$5:AF$27,0)))</calculatedColumnFormula>
    </tableColumn>
    <tableColumn id="33" xr3:uid="{211F26FF-02E1-467D-A651-BE2747F18DF3}" name="Points23" dataDxfId="279">
      <calculatedColumnFormula>IF(Table62202732333738[[#This Row],[Non-Member]]="X"," ",IF(AH5=" "," ",IFERROR(VLOOKUP(AG5,Points!$A$2:$B$14,2,FALSE)," ")))</calculatedColumnFormula>
    </tableColumn>
    <tableColumn id="34" xr3:uid="{FFF43690-3A8D-4E85-B1E1-0974B5351A56}" name="Points24" dataDxfId="278">
      <calculatedColumnFormula>IF(Table62202732333738[[#This Row],[Non-Member]]="X"," ",((IF(G5=" ",0,G5))+(IF(K5=" ",0,K5))+(IF(O5=" ",0,O5))+(IF(S5=" ",0,S5))+(IF(W5=" ",0,W5))+(IF(AA5=" ",0,AA5))+(IF(AE5=" ",0,AE5))+(IF(AI5=" ",0,AI5))))</calculatedColumnFormula>
    </tableColumn>
    <tableColumn id="35" xr3:uid="{AF011B40-2ED5-4E77-B138-03DE17C8B311}" name="Points25" dataDxfId="277" dataCellStyle="Comma">
      <calculatedColumnFormula>IF(AJ5=0," ",AJ5)</calculatedColumnFormula>
    </tableColumn>
    <tableColumn id="36" xr3:uid="{2CEA67BE-17B9-4B28-96C3-6DF7B3F6C1AE}" name="Place26" dataDxfId="276">
      <calculatedColumnFormula>IF(AK5=" "," ",RANK(AK5,$AK$5:$AK$27))</calculatedColumnFormula>
    </tableColumn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72AB20F-741D-44C1-96BF-2F0DDF953546}" name="Table6220273233373839" displayName="Table6220273233373839" ref="B4:AL26" totalsRowShown="0" headerRowDxfId="275" dataDxfId="274" tableBorderDxfId="273">
  <autoFilter ref="B4:AL26" xr:uid="{89B1FF52-34AE-480D-BF76-50E05053D0D8}"/>
  <sortState xmlns:xlrd2="http://schemas.microsoft.com/office/spreadsheetml/2017/richdata2" ref="B5:AL26">
    <sortCondition ref="AL5:AL26"/>
    <sortCondition ref="B5:B26"/>
  </sortState>
  <tableColumns count="37">
    <tableColumn id="1" xr3:uid="{41522AB1-AD64-46EB-8E76-4740DEC0F9FE}" name="Name" dataDxfId="272"/>
    <tableColumn id="37" xr3:uid="{B917BE30-05B3-4AF7-AC16-0FA0BBDC3B3B}" name="Non-Member" dataDxfId="271"/>
    <tableColumn id="2" xr3:uid="{8BC7F2FE-33F9-471F-A270-1D8E273A1DA2}" name="Time/Score" dataDxfId="270" dataCellStyle="Comma"/>
    <tableColumn id="3" xr3:uid="{D3A777C4-8DE1-443B-A655-26DBCCF65E27}" name="Column2" dataDxfId="269">
      <calculatedColumnFormula>IF(D5=0," ",_xlfn.RANK.AVG(D5,D$5:D$26,1)-COUNTIF(D$5:D$26,0))</calculatedColumnFormula>
    </tableColumn>
    <tableColumn id="4" xr3:uid="{E2C2A8EE-8E3D-4548-9016-A86DF5604E27}" name="Place" dataDxfId="268">
      <calculatedColumnFormula>IF(D5=0," ",IF((RANK(D5,D$5:D$26,1)-COUNTIF(D$5:D$26,0)&gt;6)," ",RANK(D5,D$5:D$26,1)-COUNTIF(D$5:D$26,0)))</calculatedColumnFormula>
    </tableColumn>
    <tableColumn id="5" xr3:uid="{3A25426D-6F6A-4A9A-A5EA-D4EC0B4CFD66}" name="Points" dataDxfId="267">
      <calculatedColumnFormula>IF(Table6220273233373839[[#This Row],[Non-Member]]="X"," ",IF(F5=" "," ",IFERROR(VLOOKUP(E5,Points!$A$2:$B$14,2,FALSE)," ")))</calculatedColumnFormula>
    </tableColumn>
    <tableColumn id="6" xr3:uid="{D6208752-8985-4336-B503-59F287C5770B}" name="Time/Score3" dataDxfId="266" dataCellStyle="Comma"/>
    <tableColumn id="7" xr3:uid="{64460F4A-1384-4612-8C7E-9AE747A3FCED}" name="Time/Score4" dataDxfId="265">
      <calculatedColumnFormula>IF(H5=0," ",_xlfn.RANK.AVG(H5,H$5:H$26,1)-COUNTIF(H$5:H$26,0))</calculatedColumnFormula>
    </tableColumn>
    <tableColumn id="8" xr3:uid="{6F71B178-F756-4EE0-B3DB-FBC988D0EBED}" name="Place4" dataDxfId="264">
      <calculatedColumnFormula>IF(H5=0," ",IF((RANK(H5,H$5:H$26,1)-COUNTIF(H$5:H$26,0)&gt;6)," ",RANK(H5,H$5:H$26,1)-COUNTIF(H$5:H$26,0)))</calculatedColumnFormula>
    </tableColumn>
    <tableColumn id="9" xr3:uid="{23D06413-F522-487E-A7A0-7C0CA1B534F6}" name="Points5" dataDxfId="263">
      <calculatedColumnFormula>IF(Table6220273233373839[[#This Row],[Non-Member]]="X"," ",IF(J5=" "," ",IFERROR(VLOOKUP(I5,Points!$A$2:$B$14,2,FALSE)," ")))</calculatedColumnFormula>
    </tableColumn>
    <tableColumn id="10" xr3:uid="{CC853FEE-578B-4380-94AA-E0ACC4A6A52E}" name="Time/Score6" dataDxfId="262" dataCellStyle="Comma"/>
    <tableColumn id="11" xr3:uid="{3A6487ED-0D4F-47A2-B670-50A1F9BCB16E}" name="Time/Score7" dataDxfId="261">
      <calculatedColumnFormula>IF(L5=0," ",_xlfn.RANK.AVG(L5,L$5:L$26,1)-COUNTIF(L$5:L$26,0))</calculatedColumnFormula>
    </tableColumn>
    <tableColumn id="12" xr3:uid="{AC1575C5-CF60-4AC4-9CFF-A05A38247945}" name="Place7" dataDxfId="260">
      <calculatedColumnFormula>IF(L5=0," ",IF((RANK(L5,L$5:L$26,1)-COUNTIF(L$5:L$26,0)&gt;6)," ",RANK(L5,L$5:L$26,1)-COUNTIF(L$5:L$26,0)))</calculatedColumnFormula>
    </tableColumn>
    <tableColumn id="13" xr3:uid="{BE7EC7B4-20A8-4D1E-80E3-8DEF3D524B20}" name="Points8" dataDxfId="259">
      <calculatedColumnFormula>IF(Table6220273233373839[[#This Row],[Non-Member]]="X"," ",IF(N5=" "," ",IFERROR(VLOOKUP(M5,Points!$A$2:$B$14,2,FALSE)," ")))</calculatedColumnFormula>
    </tableColumn>
    <tableColumn id="14" xr3:uid="{260EE5D8-86A8-444C-9C66-F484A3C82173}" name="Time/Score9" dataDxfId="258" dataCellStyle="Comma"/>
    <tableColumn id="15" xr3:uid="{E096B1CD-0687-45D9-BE45-60E0C3E09BFF}" name="Time/Score10" dataDxfId="257">
      <calculatedColumnFormula>IF(P5=0," ",_xlfn.RANK.AVG(P5,P$5:P$26,1)-COUNTIF(P$5:P$26,0))</calculatedColumnFormula>
    </tableColumn>
    <tableColumn id="16" xr3:uid="{E9AF38E3-E073-4677-9AF7-CCD64307E023}" name="Place10" dataDxfId="256">
      <calculatedColumnFormula>IF(P5=0," ",IF((RANK(P5,P$5:P$26,1)-COUNTIF(P$5:P$26,0)&gt;6)," ",RANK(P5,P$5:P$26,1)-COUNTIF(P$5:P$26,0)))</calculatedColumnFormula>
    </tableColumn>
    <tableColumn id="17" xr3:uid="{E476642C-08AE-4661-9B75-986F9B790EE4}" name="Points11" dataDxfId="255">
      <calculatedColumnFormula>IF(Table6220273233373839[[#This Row],[Non-Member]]="X"," ",IF(R5=" "," ",IFERROR(VLOOKUP(Q5,Points!$A$2:$B$14,2,FALSE)," ")))</calculatedColumnFormula>
    </tableColumn>
    <tableColumn id="18" xr3:uid="{F5D06C4A-5FBA-401C-A9E9-E5ADA16101F8}" name="Time/Score12" dataDxfId="254" dataCellStyle="Comma"/>
    <tableColumn id="19" xr3:uid="{80DF4094-0906-4DD8-97B9-9B085A2DBC0A}" name="Time/Score13" dataDxfId="253">
      <calculatedColumnFormula>IF(T5=0," ",_xlfn.RANK.AVG(T5,T$5:T$26,1)-COUNTIF(T$5:T$26,0))</calculatedColumnFormula>
    </tableColumn>
    <tableColumn id="20" xr3:uid="{8E5D14CD-CD3C-4438-A05E-B6EC59C6F5CD}" name="Place13" dataDxfId="252">
      <calculatedColumnFormula>IF(T5=0," ",IF((RANK(T5,T$5:T$26,1)-COUNTIF(T$5:T$26,0)&gt;6)," ",RANK(T5,T$5:T$26,1)-COUNTIF(T$5:T$26,0)))</calculatedColumnFormula>
    </tableColumn>
    <tableColumn id="21" xr3:uid="{2934A8CE-395D-4AB2-9A3E-3BB8B670E688}" name="Points14" dataDxfId="251">
      <calculatedColumnFormula>IF(Table6220273233373839[[#This Row],[Non-Member]]="X"," ",IF(V5=" "," ",IFERROR(VLOOKUP(U5,Points!$A$2:$B$14,2,FALSE)," ")))</calculatedColumnFormula>
    </tableColumn>
    <tableColumn id="22" xr3:uid="{F98032EE-C4F3-4B96-A30C-6E8D77AF2C7A}" name="Time/Score15" dataDxfId="250" dataCellStyle="Comma"/>
    <tableColumn id="23" xr3:uid="{A1F67CA1-F58A-4052-B2A0-19676231F5A9}" name="Time/Score16" dataDxfId="249">
      <calculatedColumnFormula>IF(X5=0," ",_xlfn.RANK.AVG(X5,X$5:X$26,1)-COUNTIF(X$5:X$26,0))</calculatedColumnFormula>
    </tableColumn>
    <tableColumn id="24" xr3:uid="{5FC2A80A-414B-445F-A13E-DDF7ABAF7EEB}" name="Place16" dataDxfId="248">
      <calculatedColumnFormula>IF(X5=0," ",IF((RANK(X5,X$5:X$26,1)-COUNTIF(X$5:X$26,0)&gt;6)," ",RANK(X5,X$5:X$26,1)-COUNTIF(X$5:X$26,0)))</calculatedColumnFormula>
    </tableColumn>
    <tableColumn id="25" xr3:uid="{199D85E9-ED0C-42B9-9522-1B2A1E263E84}" name="Points17" dataDxfId="247">
      <calculatedColumnFormula>IF(Table6220273233373839[[#This Row],[Non-Member]]="X"," ",IF(Z5=" "," ",IFERROR(VLOOKUP(Y5,Points!$A$2:$B$14,2,FALSE)," ")))</calculatedColumnFormula>
    </tableColumn>
    <tableColumn id="26" xr3:uid="{BB95D0C0-E0E9-4DBF-B809-F33AE53C78FB}" name="Time/Score18" dataDxfId="246" dataCellStyle="Comma"/>
    <tableColumn id="27" xr3:uid="{FADAB39F-D993-4152-8113-BFB671E0AEA8}" name="Time/Score19" dataDxfId="245">
      <calculatedColumnFormula>IF(AB5=0," ",_xlfn.RANK.AVG(AB5,AB$5:AB$26,1)-COUNTIF(AB$5:AB$26,0))</calculatedColumnFormula>
    </tableColumn>
    <tableColumn id="28" xr3:uid="{F315F5F6-03E2-40C6-8CE4-94359CFA9C45}" name="Place19" dataDxfId="244">
      <calculatedColumnFormula>IF(AB5=0," ",IF((RANK(AB5,AB$5:AB$26,1)-COUNTIF(AB$5:AB$26,0)&gt;6)," ",RANK(AB5,AB$5:AB$26,1)-COUNTIF(AB$5:AB$26,0)))</calculatedColumnFormula>
    </tableColumn>
    <tableColumn id="29" xr3:uid="{C359DBCA-CD79-46FC-ABBC-F493097EB29D}" name="Points20" dataDxfId="243">
      <calculatedColumnFormula>IF(Table6220273233373839[[#This Row],[Non-Member]]="X"," ",IF(AD5=" "," ",IFERROR(VLOOKUP(AC5,Points!$A$2:$B$14,2,FALSE)," ")))</calculatedColumnFormula>
    </tableColumn>
    <tableColumn id="30" xr3:uid="{CD175408-091C-48C0-9F71-0B12CA4EB747}" name="Time/Score21" dataDxfId="242" dataCellStyle="Comma">
      <calculatedColumnFormula>IF(OR(X5=0,AB5=0)," ",X5+AB5)</calculatedColumnFormula>
    </tableColumn>
    <tableColumn id="31" xr3:uid="{7D4223DC-9B5E-4197-B456-C6E0E17A56CD}" name="Time/Score22" dataDxfId="241">
      <calculatedColumnFormula>IF(OR(AF5=0,AF5=" ")," ",_xlfn.RANK.AVG(AF5,AF$5:AF$26,1)-COUNTIF(AF$5:AF$26,0))</calculatedColumnFormula>
    </tableColumn>
    <tableColumn id="32" xr3:uid="{D79F80A6-CA71-42E1-8CA8-3D332B50A5E5}" name="Place22" dataDxfId="240">
      <calculatedColumnFormula>IF(OR(AF5=0,AF5=" ")," ",IF((RANK(AF5,AF$5:AF$26,1)-COUNTIF(AF$5:AF$26,0)&gt;6)," ",RANK(AF5,AF$5:AF$26,1)-COUNTIF(AF$5:AF$26,0)))</calculatedColumnFormula>
    </tableColumn>
    <tableColumn id="33" xr3:uid="{6E9A49D2-2298-4ECF-B36F-797A265BCCE0}" name="Points23" dataDxfId="239">
      <calculatedColumnFormula>IF(Table6220273233373839[[#This Row],[Non-Member]]="X"," ",IF(AH5=" "," ",IFERROR(VLOOKUP(AG5,Points!$A$2:$B$14,2,FALSE)," ")))</calculatedColumnFormula>
    </tableColumn>
    <tableColumn id="34" xr3:uid="{A463CFCE-FB5B-430F-9C31-976D1E0FB5F2}" name="Points24" dataDxfId="238">
      <calculatedColumnFormula>IF(Table6220273233373839[[#This Row],[Non-Member]]="X"," ",((IF(G5=" ",0,G5))+(IF(K5=" ",0,K5))+(IF(O5=" ",0,O5))+(IF(S5=" ",0,S5))+(IF(W5=" ",0,W5))+(IF(AA5=" ",0,AA5))+(IF(AE5=" ",0,AE5))+(IF(AI5=" ",0,AI5))))</calculatedColumnFormula>
    </tableColumn>
    <tableColumn id="35" xr3:uid="{3584A78C-D62D-4AAB-86C5-2F396469F839}" name="Points25" dataDxfId="237" dataCellStyle="Comma">
      <calculatedColumnFormula>IF(AJ5=0," ",AJ5)</calculatedColumnFormula>
    </tableColumn>
    <tableColumn id="36" xr3:uid="{EAD3473D-97C6-48DD-B7F0-B5450435CAFB}" name="Place26" dataDxfId="236">
      <calculatedColumnFormula>IF(AK5=" "," ",RANK(AK5,$AK$5:$AK$26))</calculatedColumnFormula>
    </tableColumn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2DD678F-B0F4-415F-A822-2CA6CFA5B4FE}" name="Table6345689101123344440" displayName="Table6345689101123344440" ref="B4:AC26" totalsRowShown="0" headerRowDxfId="235" dataDxfId="234" tableBorderDxfId="233">
  <autoFilter ref="B4:AC26" xr:uid="{89B1FF52-34AE-480D-BF76-50E05053D0D8}"/>
  <sortState xmlns:xlrd2="http://schemas.microsoft.com/office/spreadsheetml/2017/richdata2" ref="B5:AC26">
    <sortCondition ref="AC5:AC26"/>
    <sortCondition ref="B5:B26"/>
  </sortState>
  <tableColumns count="28">
    <tableColumn id="1" xr3:uid="{3CFB891F-1856-4B70-BA6B-14891BB90310}" name="Name" dataDxfId="232"/>
    <tableColumn id="39" xr3:uid="{80864A93-134B-4CFC-8EEA-71231DB5A366}" name="Points" dataDxfId="231">
      <calculatedColumnFormula>IFERROR(IF(VLOOKUP($B5,'MM G-Dummy Roping'!$B$5:$AI$24,6,FALSE)=" ",0,VLOOKUP($B5,'MM G-Dummy Roping'!$B$5:$AI$24,6,FALSE)),0)+IFERROR(IF(VLOOKUP($B5,'MM G-Barrels'!$B$5:$AI$29,6,FALSE)=" ",0,VLOOKUP($B5,'MM G-Barrels'!$B$5:$AI$29,6,FALSE)),0)+IFERROR(IF(VLOOKUP($B5,'MM G-Figure 8'!$B$5:$AI$27,6,FALSE)=" ",0,VLOOKUP($B5,'MM G-Figure 8'!$B$5:$AI$27,6,FALSE)),0)+IFERROR(IF(VLOOKUP($B5,'MM G-Goats'!$B$5:$AI$26,6,FALSE)=" ",0,VLOOKUP($B5,'MM G-Goats'!$B$5:$AI$26,6,FALSE)),0)</calculatedColumnFormula>
    </tableColumn>
    <tableColumn id="4" xr3:uid="{13DD76DF-D1F5-43DF-BC79-3E1411AF0CCD}" name="Column1" dataDxfId="230">
      <calculatedColumnFormula>IF(C5&gt;0,C5," ")</calculatedColumnFormula>
    </tableColumn>
    <tableColumn id="5" xr3:uid="{45ACC107-98A8-44D1-BA36-E39ECF298AC9}" name="Place" dataDxfId="229">
      <calculatedColumnFormula>IF(C5=0," ",RANK(C5,C$5:C$26,0))</calculatedColumnFormula>
    </tableColumn>
    <tableColumn id="43" xr3:uid="{D6C34F45-C518-41C2-9851-3F8851133D6B}" name="Points4" dataDxfId="228">
      <calculatedColumnFormula>IFERROR(IF(VLOOKUP($B5,'MM G-Dummy Roping'!$B$5:$AI$24,10,FALSE)=" ",0,VLOOKUP($B5,'MM G-Dummy Roping'!$B$5:$AI$24,10,FALSE)),0)+IFERROR(IF(VLOOKUP($B5,'MM G-Barrels'!$B$5:$AI$29,10,FALSE)=" ",0,VLOOKUP($B5,'MM G-Barrels'!$B$5:$AI$29,10,FALSE)),0)+IFERROR(IF(VLOOKUP($B5,'MM G-Figure 8'!$B$5:$AI$27,10,FALSE)=" ",0,VLOOKUP($B5,'MM G-Figure 8'!$B$5:$AI$27,10,FALSE)),0)+IFERROR(IF(VLOOKUP($B5,'MM G-Goats'!$B$5:$AI$26,10,FALSE)=" ",0,VLOOKUP($B5,'MM G-Goats'!$B$5:$AI$26,10,FALSE)),0)</calculatedColumnFormula>
    </tableColumn>
    <tableColumn id="6" xr3:uid="{E6C339F5-801D-4E56-BE74-5772D245FC52}" name="Points5" dataDxfId="227">
      <calculatedColumnFormula>IF(F5&gt;0,F5," ")</calculatedColumnFormula>
    </tableColumn>
    <tableColumn id="44" xr3:uid="{D341F656-E729-4135-AB36-DCEE0C0C28E5}" name="Place5" dataDxfId="226">
      <calculatedColumnFormula>IF(F5=0," ",RANK(F5,F$5:F$26,0))</calculatedColumnFormula>
    </tableColumn>
    <tableColumn id="46" xr3:uid="{32996310-58A1-4C60-86FF-23D9880E216E}" name="Points43" dataDxfId="225">
      <calculatedColumnFormula>IFERROR(IF(VLOOKUP($B5,'MM G-Dummy Roping'!$B$5:$AI$24,14,FALSE)=" ",0,VLOOKUP($B5,'MM G-Dummy Roping'!$B$5:$AI$24,14,FALSE)),0)+IFERROR(IF(VLOOKUP($B5,'MM G-Barrels'!$B$5:$AI$29,14,FALSE)=" ",0,VLOOKUP($B5,'MM G-Barrels'!$B$5:$AI$29,14,FALSE)),0)+IFERROR(IF(VLOOKUP($B5,'MM G-Figure 8'!$B$5:$AI$27,14,FALSE)=" ",0,VLOOKUP($B5,'MM G-Figure 8'!$B$5:$AI$27,14,FALSE)),0)+IFERROR(IF(VLOOKUP($B5,'MM G-Goats'!$B$5:$AI$26,14,FALSE)=" ",0,VLOOKUP($B5,'MM G-Goats'!$B$5:$AI$26,14,FALSE)),0)</calculatedColumnFormula>
    </tableColumn>
    <tableColumn id="7" xr3:uid="{7D65A2C1-3A61-4018-A200-4B10CD96C06E}" name="Points432" dataDxfId="224">
      <calculatedColumnFormula>IF(I5&gt;0,I5," ")</calculatedColumnFormula>
    </tableColumn>
    <tableColumn id="47" xr3:uid="{9D88AED0-89AB-4888-AA02-DAF27D72142D}" name="Place54" dataDxfId="223">
      <calculatedColumnFormula>IF(I5=0," ",RANK(I5,I$5:I$26,0))</calculatedColumnFormula>
    </tableColumn>
    <tableColumn id="49" xr3:uid="{7EA7AFD2-3F53-4E7E-BAF7-44182F65A94E}" name="Points44" dataDxfId="222">
      <calculatedColumnFormula>IFERROR(IF(VLOOKUP($B5,'MM G-Dummy Roping'!$B$5:$AI$24,18,FALSE)=" ",0,VLOOKUP($B5,'MM G-Dummy Roping'!$B$5:$AI$24,18,FALSE)),0)+IFERROR(IF(VLOOKUP($B5,'MM G-Barrels'!$B$5:$AI$29,18,FALSE)=" ",0,VLOOKUP($B5,'MM G-Barrels'!$B$5:$AI$29,18,FALSE)),0)+IFERROR(IF(VLOOKUP($B5,'MM G-Figure 8'!$B$5:$AI$27,18,FALSE)=" ",0,VLOOKUP($B5,'MM G-Figure 8'!$B$5:$AI$27,18,FALSE)),0)+IFERROR(IF(VLOOKUP($B5,'MM G-Goats'!$B$5:$AI$26,18,FALSE)=" ",0,VLOOKUP($B5,'MM G-Goats'!$B$5:$AI$26,18,FALSE)),0)</calculatedColumnFormula>
    </tableColumn>
    <tableColumn id="8" xr3:uid="{4104347A-3772-4162-A4CD-5C86FC5566C6}" name="Points442" dataDxfId="221">
      <calculatedColumnFormula>IF(L5&gt;0,L5," ")</calculatedColumnFormula>
    </tableColumn>
    <tableColumn id="50" xr3:uid="{ED1161EE-000D-4214-AE2B-0697E708311F}" name="Place55" dataDxfId="220">
      <calculatedColumnFormula>IF(L5=0," ",RANK(L5,L$5:L$26,0))</calculatedColumnFormula>
    </tableColumn>
    <tableColumn id="52" xr3:uid="{91E5F72E-F725-4FF2-B643-4744285212A7}" name="Points45" dataDxfId="219">
      <calculatedColumnFormula>IFERROR(IF(VLOOKUP($B5,'MM G-Dummy Roping'!$B$5:$AI$24,22,FALSE)=" ",0,VLOOKUP($B5,'MM G-Dummy Roping'!$B$5:$AI$24,22,FALSE)),0)+IFERROR(IF(VLOOKUP($B5,'MM G-Barrels'!$B$5:$AI$29,22,FALSE)=" ",0,VLOOKUP($B5,'MM G-Barrels'!$B$5:$AI$29,22,FALSE)),0)+IFERROR(IF(VLOOKUP($B5,'MM G-Figure 8'!$B$5:$AI$27,22,FALSE)=" ",0,VLOOKUP($B5,'MM G-Figure 8'!$B$5:$AI$27,22,FALSE)),0)+IFERROR(IF(VLOOKUP($B5,'MM G-Goats'!$B$5:$AI$26,22,FALSE)=" ",0,VLOOKUP($B5,'MM G-Goats'!$B$5:$AI$26,22,FALSE)),0)</calculatedColumnFormula>
    </tableColumn>
    <tableColumn id="9" xr3:uid="{C26AA86C-32FC-4B9D-BBB7-97C3238FC13A}" name="Points452" dataDxfId="218">
      <calculatedColumnFormula>IF(O5&gt;0,O5," ")</calculatedColumnFormula>
    </tableColumn>
    <tableColumn id="53" xr3:uid="{60162B05-88E4-41A5-9FD1-D7FEF4114FCE}" name="Place56" dataDxfId="217">
      <calculatedColumnFormula>IF(O5=0," ",RANK(O5,O$5:O$26,0))</calculatedColumnFormula>
    </tableColumn>
    <tableColumn id="55" xr3:uid="{EB2D01CF-C8F0-49B0-ACB3-70E1B15FDEC5}" name="Points46" dataDxfId="216">
      <calculatedColumnFormula>IFERROR(IF(VLOOKUP($B5,'MM G-Dummy Roping'!$B$5:$AI$24,26,FALSE)=" ",0,VLOOKUP($B5,'MM G-Dummy Roping'!$B$5:$AI$24,26,FALSE)),0)+IFERROR(IF(VLOOKUP($B5,'MM G-Barrels'!$B$5:$AI$29,26,FALSE)=" ",0,VLOOKUP($B5,'MM G-Barrels'!$B$5:$AI$29,26,FALSE)),0)+IFERROR(IF(VLOOKUP($B5,'MM G-Figure 8'!$B$5:$AI$27,26,FALSE)=" ",0,VLOOKUP($B5,'MM G-Figure 8'!$B$5:$AI$27,26,FALSE)),0)+IFERROR(IF(VLOOKUP($B5,'MM G-Goats'!$B$5:$AI$26,26,FALSE)=" ",0,VLOOKUP($B5,'MM G-Goats'!$B$5:$AI$26,26,FALSE)),0)</calculatedColumnFormula>
    </tableColumn>
    <tableColumn id="10" xr3:uid="{72D28933-EC15-40DC-A086-470D82E139EB}" name="Points462" dataDxfId="215">
      <calculatedColumnFormula>IF(R5&gt;0,R5," ")</calculatedColumnFormula>
    </tableColumn>
    <tableColumn id="56" xr3:uid="{4E115C3C-921D-4981-9934-52CC4842BCA6}" name="Place57" dataDxfId="214">
      <calculatedColumnFormula>IF(R5=0," ",RANK(R5,R$5:R$26,0))</calculatedColumnFormula>
    </tableColumn>
    <tableColumn id="58" xr3:uid="{70D63777-D7C8-4BB9-821B-73200774C457}" name="Points47" dataDxfId="213">
      <calculatedColumnFormula>IFERROR(IF(VLOOKUP($B5,'MM G-Dummy Roping'!$B$5:$AI$24,30,FALSE)=" ",0,VLOOKUP($B5,'MM G-Dummy Roping'!$B$5:$AI$24,30,FALSE)),0)+IFERROR(IF(VLOOKUP($B5,'MM G-Barrels'!$B$5:$AI$29,30,FALSE)=" ",0,VLOOKUP($B5,'MM G-Barrels'!$B$5:$AI$29,30,FALSE)),0)+IFERROR(IF(VLOOKUP($B5,'MM G-Figure 8'!$B$5:$AI$27,30,FALSE)=" ",0,VLOOKUP($B5,'MM G-Figure 8'!$B$5:$AI$27,30,FALSE)),0)+IFERROR(IF(VLOOKUP($B5,'MM G-Goats'!$B$5:$AI$26,30,FALSE)=" ",0,VLOOKUP($B5,'MM G-Goats'!$B$5:$AI$26,30,FALSE)),0)</calculatedColumnFormula>
    </tableColumn>
    <tableColumn id="11" xr3:uid="{F378E2B5-1128-4B86-B5D4-3720C406A18C}" name="Points472" dataDxfId="212">
      <calculatedColumnFormula>IF(U5&gt;0,U5," ")</calculatedColumnFormula>
    </tableColumn>
    <tableColumn id="59" xr3:uid="{B3AC54FA-4B6A-4B09-835C-558D05084868}" name="Place58" dataDxfId="211">
      <calculatedColumnFormula>IF(U5=0," ",RANK(U5,U$5:U$26,0))</calculatedColumnFormula>
    </tableColumn>
    <tableColumn id="61" xr3:uid="{05980911-2180-48C7-8E76-21A00AEB7919}" name="Points48" dataDxfId="210">
      <calculatedColumnFormula>IFERROR(IF(VLOOKUP($B5,'MM G-Dummy Roping'!$B$5:$AI$24,34,FALSE)=" ",0,VLOOKUP($B5,'MM G-Dummy Roping'!$B$5:$AI$24,34,FALSE)),0)+IFERROR(IF(VLOOKUP($B5,'MM G-Barrels'!$B$5:$AI$29,34,FALSE)=" ",0,VLOOKUP($B5,'MM G-Barrels'!$B$5:$AI$29,34,FALSE)),0)+IFERROR(IF(VLOOKUP($B5,'MM G-Figure 8'!$B$5:$AI$27,34,FALSE)=" ",0,VLOOKUP($B5,'MM G-Figure 8'!$B$5:$AI$27,34,FALSE)),0)+IFERROR(IF(VLOOKUP($B5,'MM G-Goats'!$B$5:$AI$26,34,FALSE)=" ",0,VLOOKUP($B5,'MM G-Goats'!$B$5:$AI$26,34,FALSE)),0)</calculatedColumnFormula>
    </tableColumn>
    <tableColumn id="12" xr3:uid="{C306B667-10E2-46A3-8BA2-7C57E02C3D46}" name="Points49" dataDxfId="209">
      <calculatedColumnFormula>IF(X5&gt;0,X5," ")</calculatedColumnFormula>
    </tableColumn>
    <tableColumn id="62" xr3:uid="{D11552DC-1B4B-4340-B41C-E7F1BE662C47}" name="Place59" dataDxfId="208">
      <calculatedColumnFormula>IF(X5=0," ",RANK(X5,X$5:X$26,0))</calculatedColumnFormula>
    </tableColumn>
    <tableColumn id="2" xr3:uid="{8ADF6BE0-F19C-46E4-B2CC-3CCDEF3DB6F5}" name="Points482" dataDxfId="207">
      <calculatedColumnFormula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calculatedColumnFormula>
    </tableColumn>
    <tableColumn id="13" xr3:uid="{62F8F92D-DDD3-4ADF-AE06-ADCB57214CAC}" name="Points483" dataDxfId="206">
      <calculatedColumnFormula>IF(AA5&gt;0,AA5," ")</calculatedColumnFormula>
    </tableColumn>
    <tableColumn id="3" xr3:uid="{C8F3507F-304F-4154-9E32-69F4288571BA}" name="Place593" dataDxfId="205">
      <calculatedColumnFormula>IF(AB5=" "," ",RANK(AB5,AB$5:AB$26))</calculatedColumnFormula>
    </tableColumn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CED0074-18D2-44D4-BD79-20DD9B8BE8F2}" name="Table62202732" displayName="Table62202732" ref="B4:AL24" totalsRowShown="0" headerRowDxfId="204" dataDxfId="203" tableBorderDxfId="202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9FDB15FD-A3D5-4C79-9691-20005E2202B6}" name="Name" dataDxfId="201"/>
    <tableColumn id="37" xr3:uid="{A592FE45-5D64-4CE5-8065-0328F734B940}" name="Non-Member" dataDxfId="200"/>
    <tableColumn id="2" xr3:uid="{6603E59A-EF67-4D7F-98DE-663354FF4C17}" name="Time/Score" dataDxfId="199"/>
    <tableColumn id="3" xr3:uid="{36073C64-A55F-431F-9462-09DB34D9D9F5}" name="Column2" dataDxfId="198">
      <calculatedColumnFormula>IF(D5=0," ",_xlfn.RANK.AVG(D5,D$5:D$24,0))</calculatedColumnFormula>
    </tableColumn>
    <tableColumn id="4" xr3:uid="{2DB8C1D9-C688-4774-9C5D-DB6607BBC0EC}" name="Place" dataDxfId="197">
      <calculatedColumnFormula>IF(D5=0," ",IF((RANK(D5,D$5:D$24,0)&gt;6)," ",RANK(D5,D$5:D$24,0)))</calculatedColumnFormula>
    </tableColumn>
    <tableColumn id="5" xr3:uid="{BFB559DF-B9D8-48D8-A37D-1C6E92B30D24}" name="Points" dataDxfId="196">
      <calculatedColumnFormula>IF(Table62202732[[#This Row],[Non-Member]]="X"," ",IF(F5=" "," ",IFERROR(VLOOKUP(E5,Points!$A$2:$B$14,2,FALSE)," ")))</calculatedColumnFormula>
    </tableColumn>
    <tableColumn id="6" xr3:uid="{9F5E9E65-F52B-41DC-B575-03D9E7F01108}" name="Time/Score3" dataDxfId="195"/>
    <tableColumn id="7" xr3:uid="{86D9602E-7664-4480-9440-42822B88DF85}" name="Time/Score4" dataDxfId="194">
      <calculatedColumnFormula>IF(H5=0," ",_xlfn.RANK.AVG(H5,H$5:H$24,0))</calculatedColumnFormula>
    </tableColumn>
    <tableColumn id="8" xr3:uid="{A904B556-11A0-40D3-A20B-9B7CF9605862}" name="Place4" dataDxfId="193">
      <calculatedColumnFormula>IF(H5=0," ",IF((RANK(H5,H$5:H$24,0)&gt;6)," ",RANK(H5,H$5:H$24,0)))</calculatedColumnFormula>
    </tableColumn>
    <tableColumn id="9" xr3:uid="{1BC11334-9781-49CE-B8C4-BA70845063E3}" name="Points5" dataDxfId="192">
      <calculatedColumnFormula>IF(Table62202732[[#This Row],[Non-Member]]="X"," ",IF(J5=" "," ",IFERROR(VLOOKUP(I5,Points!$A$2:$B$14,2,FALSE)," ")))</calculatedColumnFormula>
    </tableColumn>
    <tableColumn id="10" xr3:uid="{9CF88B4F-ADAB-4225-9798-3559F60D8DD4}" name="Time/Score6" dataDxfId="191"/>
    <tableColumn id="11" xr3:uid="{1C89E7D3-B656-4B0F-87F7-47EC693EED3A}" name="Time/Score7" dataDxfId="190">
      <calculatedColumnFormula>IF(L5=0," ",_xlfn.RANK.AVG(L5,L$5:L$24,0))</calculatedColumnFormula>
    </tableColumn>
    <tableColumn id="12" xr3:uid="{935925F0-75D9-4E40-8DBB-2F69AA4D41BA}" name="Place7" dataDxfId="189">
      <calculatedColumnFormula>IF(L5=0," ",IF((RANK(L5,L$5:L$24,0)&gt;6)," ",RANK(L5,L$5:L$24,0)))</calculatedColumnFormula>
    </tableColumn>
    <tableColumn id="13" xr3:uid="{1744C94F-B7B9-46EC-89E1-80DF4250437D}" name="Points8" dataDxfId="188">
      <calculatedColumnFormula>IF(Table62202732[[#This Row],[Non-Member]]="X"," ",IF(N5=" "," ",IFERROR(VLOOKUP(M5,Points!$A$2:$B$14,2,FALSE)," ")))</calculatedColumnFormula>
    </tableColumn>
    <tableColumn id="14" xr3:uid="{2E750ED7-B4A4-4BBC-AA16-AED68B5F58DC}" name="Time/Score9" dataDxfId="187"/>
    <tableColumn id="15" xr3:uid="{1610738C-CB92-4ED7-A6A5-88CCC20ECCC7}" name="Time/Score10" dataDxfId="186">
      <calculatedColumnFormula>IF(P5=0," ",_xlfn.RANK.AVG(P5,P$5:P$24,0))</calculatedColumnFormula>
    </tableColumn>
    <tableColumn id="16" xr3:uid="{E7F6551A-10AE-4A56-92DF-D72FBD6424D0}" name="Place10" dataDxfId="185">
      <calculatedColumnFormula>IF(P5=0," ",IF((RANK(P5,P$5:P$24,0)&gt;6)," ",RANK(P5,P$5:P$24,0)))</calculatedColumnFormula>
    </tableColumn>
    <tableColumn id="17" xr3:uid="{4909587A-51D2-4CEF-9D16-1BFA1D9E2DD0}" name="Points11" dataDxfId="184">
      <calculatedColumnFormula>IF(Table62202732[[#This Row],[Non-Member]]="X"," ",IF(R5=" "," ",IFERROR(VLOOKUP(Q5,Points!$A$2:$B$14,2,FALSE)," ")))</calculatedColumnFormula>
    </tableColumn>
    <tableColumn id="18" xr3:uid="{E45EE575-8105-424E-A5A9-4F139E5A882F}" name="Time/Score12" dataDxfId="183"/>
    <tableColumn id="19" xr3:uid="{FD114305-7EB4-4125-9B75-08800E0DC3F3}" name="Time/Score13" dataDxfId="182">
      <calculatedColumnFormula>IF(T5=0," ",_xlfn.RANK.AVG(T5,T$5:T$24,0))</calculatedColumnFormula>
    </tableColumn>
    <tableColumn id="20" xr3:uid="{EBA3B25F-4E56-480C-97D9-852AE740413E}" name="Place13" dataDxfId="181">
      <calculatedColumnFormula>IF(T5=0," ",IF((RANK(T5,T$5:T$24,0)&gt;6)," ",RANK(T5,T$5:T$24,0)))</calculatedColumnFormula>
    </tableColumn>
    <tableColumn id="21" xr3:uid="{3C975824-B352-4CFF-90D5-8F8D767B4D48}" name="Points14" dataDxfId="180">
      <calculatedColumnFormula>IF(Table62202732[[#This Row],[Non-Member]]="X"," ",IF(V5=" "," ",IFERROR(VLOOKUP(U5,Points!$A$2:$B$14,2,FALSE)," ")))</calculatedColumnFormula>
    </tableColumn>
    <tableColumn id="22" xr3:uid="{4EED60A2-BDF0-473E-B748-EF222911AD14}" name="Time/Score15" dataDxfId="179"/>
    <tableColumn id="23" xr3:uid="{7044CE91-60D1-4654-9CFD-CD4B7753E7D0}" name="Time/Score16" dataDxfId="178">
      <calculatedColumnFormula>IF(X5=0," ",_xlfn.RANK.AVG(X5,X$5:X$24,0))</calculatedColumnFormula>
    </tableColumn>
    <tableColumn id="24" xr3:uid="{5C8A7FE6-3CB9-4915-91C5-8D5F94A948CA}" name="Place16" dataDxfId="177">
      <calculatedColumnFormula>IF(X5=0," ",IF((RANK(X5,X$5:X$24,0)&gt;6)," ",RANK(X5,X$5:X$24,0)))</calculatedColumnFormula>
    </tableColumn>
    <tableColumn id="25" xr3:uid="{2AC1D531-1429-4D54-9100-3D62E7C07245}" name="Points17" dataDxfId="176">
      <calculatedColumnFormula>IF(Table62202732[[#This Row],[Non-Member]]="X"," ",IF(Z5=" "," ",IFERROR(VLOOKUP(Y5,Points!$A$2:$B$14,2,FALSE)," ")))</calculatedColumnFormula>
    </tableColumn>
    <tableColumn id="26" xr3:uid="{E0B33BBD-F8BD-4510-92CA-186BB273D1AA}" name="Time/Score18" dataDxfId="175"/>
    <tableColumn id="27" xr3:uid="{5F7CD870-962F-4D0C-B81B-D8FC04C051BC}" name="Time/Score19" dataDxfId="174">
      <calculatedColumnFormula>IF(AB5=0," ",_xlfn.RANK.AVG(AB5,AB$5:AB$24,0))</calculatedColumnFormula>
    </tableColumn>
    <tableColumn id="28" xr3:uid="{28C79088-FD44-45F8-90DC-562154AAAC4B}" name="Place19" dataDxfId="173">
      <calculatedColumnFormula>IF(AB5=0," ",IF((RANK(AB5,AB$5:AB$24,0)&gt;6)," ",RANK(AB5,AB$5:AB$24,0)))</calculatedColumnFormula>
    </tableColumn>
    <tableColumn id="29" xr3:uid="{1B0CB50D-8245-431A-8B19-548E9BA11DD9}" name="Points20" dataDxfId="172">
      <calculatedColumnFormula>IF(Table62202732[[#This Row],[Non-Member]]="X"," ",IF(AD5=" "," ",IFERROR(VLOOKUP(AC5,Points!$A$2:$B$14,2,FALSE)," ")))</calculatedColumnFormula>
    </tableColumn>
    <tableColumn id="30" xr3:uid="{7C0C362E-5D91-4DDD-9647-58E8D0063573}" name="Time/Score21" dataDxfId="171">
      <calculatedColumnFormula>IF(X5+AB5=0," ",X5+AB5)</calculatedColumnFormula>
    </tableColumn>
    <tableColumn id="31" xr3:uid="{1ED1C325-9A63-4C93-88BA-DC19C890AC62}" name="Time/Score22" dataDxfId="170">
      <calculatedColumnFormula>IF(AF5=0," ",_xlfn.RANK.AVG(AF5,IF(AF$5:AF$24&gt;0,AF$5:AF$24,0),0))</calculatedColumnFormula>
    </tableColumn>
    <tableColumn id="32" xr3:uid="{71097B00-DD56-4F42-AC28-DE21F21F8222}" name="Place22" dataDxfId="169">
      <calculatedColumnFormula>IFERROR(IF(RANK(AF5,AF$5:AF$24,0)&gt;6," ",(IF(AF5,RANK(AF5,AF$5:AF$24,0)," ")))," ")</calculatedColumnFormula>
    </tableColumn>
    <tableColumn id="33" xr3:uid="{C0863439-417D-4C09-83E0-4D42C3D90D57}" name="Points23" dataDxfId="168">
      <calculatedColumnFormula>IF(Table62202732[[#This Row],[Non-Member]]="X"," ",IF(AH5=" "," ",IFERROR(VLOOKUP(AG5,Points!$A$2:$B$14,2,FALSE)," ")))</calculatedColumnFormula>
    </tableColumn>
    <tableColumn id="34" xr3:uid="{3EEED154-9E83-46E7-84D7-825B7C52157D}" name="Points24" dataDxfId="167">
      <calculatedColumnFormula>IF(Table62202732[[#This Row],[Non-Member]]="X"," ",((IF(G5=" ",0,G5))+(IF(K5=" ",0,K5))+(IF(O5=" ",0,O5))+(IF(S5=" ",0,S5))+(IF(W5=" ",0,W5))+(IF(AA5=" ",0,AA5))+(IF(AE5=" ",0,AE5))+(IF(AI5=" ",0,AI5))))</calculatedColumnFormula>
    </tableColumn>
    <tableColumn id="35" xr3:uid="{37AAFC80-CE90-4A61-AB53-F49E657F1F6C}" name="Points25" dataDxfId="166" dataCellStyle="Comma">
      <calculatedColumnFormula>IF(AJ5=0," ",AJ5)</calculatedColumnFormula>
    </tableColumn>
    <tableColumn id="36" xr3:uid="{7D639DF8-4F3A-43DC-9EBF-ECFBCC795AEF}" name="Place26" dataDxfId="16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9532360-64DD-4AFA-97E0-86B371746E7A}" name="Table6220273233" displayName="Table6220273233" ref="B4:AL24" totalsRowShown="0" headerRowDxfId="164" dataDxfId="163" tableBorderDxfId="162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570D5711-4E38-4AB8-9A3F-29A7DCCEE944}" name="Name" dataDxfId="161"/>
    <tableColumn id="37" xr3:uid="{F1447358-952B-499D-95AB-8A85DA9B4B30}" name="Non-Member" dataDxfId="160"/>
    <tableColumn id="2" xr3:uid="{8F8B518B-D04E-4CF3-8DA6-031D221A1B3A}" name="Time/Score" dataDxfId="159" dataCellStyle="Comma"/>
    <tableColumn id="3" xr3:uid="{684125AA-6D67-4E8F-8185-4FB446D3321E}" name="Column2" dataDxfId="158">
      <calculatedColumnFormula>IF(D5=0," ",_xlfn.RANK.AVG(D5,D$5:D$24,1)-COUNTIF(D$5:D$24,0))</calculatedColumnFormula>
    </tableColumn>
    <tableColumn id="4" xr3:uid="{D77AFADE-D966-4A5E-871D-921B8E4BAEAC}" name="Place" dataDxfId="157">
      <calculatedColumnFormula>IF(D5=0," ",IF((RANK(D5,D$5:D$24,1)-COUNTIF(D$5:D$24,0)&gt;6)," ",RANK(D5,D$5:D$24,1)-COUNTIF(D$5:D$24,0)))</calculatedColumnFormula>
    </tableColumn>
    <tableColumn id="5" xr3:uid="{3306C5B0-56E8-4C68-AE6B-D41036A60D4F}" name="Points" dataDxfId="156">
      <calculatedColumnFormula>IF(Table6220273233[[#This Row],[Non-Member]]="X"," ",IF(F5=" "," ",IFERROR(VLOOKUP(E5,Points!$A$2:$B$14,2,FALSE)," ")))</calculatedColumnFormula>
    </tableColumn>
    <tableColumn id="6" xr3:uid="{2AAF94A2-B0CC-4F3A-8AD3-45638C2F9519}" name="Time/Score3" dataDxfId="155" dataCellStyle="Comma"/>
    <tableColumn id="7" xr3:uid="{D7EB3D12-7C44-402A-B245-33135787125A}" name="Time/Score4" dataDxfId="154">
      <calculatedColumnFormula>IF(H5=0," ",_xlfn.RANK.AVG(H5,H$5:H$24,1)-COUNTIF(H$5:H$24,0))</calculatedColumnFormula>
    </tableColumn>
    <tableColumn id="8" xr3:uid="{81249F7F-E43C-40E1-BBF5-34FFC63D7310}" name="Place4" dataDxfId="153">
      <calculatedColumnFormula>IF(H5=0," ",IF((RANK(H5,H$5:H$24,1)-COUNTIF(H$5:H$24,0)&gt;6)," ",RANK(H5,H$5:H$24,1)-COUNTIF(H$5:H$24,0)))</calculatedColumnFormula>
    </tableColumn>
    <tableColumn id="9" xr3:uid="{A197AA09-16D2-45EE-905F-A94412B23CE0}" name="Points5" dataDxfId="152">
      <calculatedColumnFormula>IF(Table6220273233[[#This Row],[Non-Member]]="X"," ",IF(J5=" "," ",IFERROR(VLOOKUP(I5,Points!$A$2:$B$14,2,FALSE)," ")))</calculatedColumnFormula>
    </tableColumn>
    <tableColumn id="10" xr3:uid="{03818F7A-BA2E-4685-A555-9FCF14F51852}" name="Time/Score6" dataDxfId="151" dataCellStyle="Comma"/>
    <tableColumn id="11" xr3:uid="{1C5EA96B-EF6B-4BCF-9878-64EFB75E8D1D}" name="Time/Score7" dataDxfId="150">
      <calculatedColumnFormula>IF(L5=0," ",_xlfn.RANK.AVG(L5,L$5:L$24,1)-COUNTIF(L$5:L$24,0))</calculatedColumnFormula>
    </tableColumn>
    <tableColumn id="12" xr3:uid="{B87919EB-7594-4C9A-B9C8-10534C7F2C8E}" name="Place7" dataDxfId="149">
      <calculatedColumnFormula>IF(L5=0," ",IF((RANK(L5,L$5:L$24,1)-COUNTIF(L$5:L$24,0)&gt;6)," ",RANK(L5,L$5:L$24,1)-COUNTIF(L$5:L$24,0)))</calculatedColumnFormula>
    </tableColumn>
    <tableColumn id="13" xr3:uid="{67E0FA27-822A-4213-92B1-2163170E8C8F}" name="Points8" dataDxfId="148">
      <calculatedColumnFormula>IF(Table6220273233[[#This Row],[Non-Member]]="X"," ",IF(N5=" "," ",IFERROR(VLOOKUP(M5,Points!$A$2:$B$14,2,FALSE)," ")))</calculatedColumnFormula>
    </tableColumn>
    <tableColumn id="14" xr3:uid="{117923FA-D265-4E59-9BA0-C01A0C720894}" name="Time/Score9" dataDxfId="147" dataCellStyle="Comma"/>
    <tableColumn id="15" xr3:uid="{F6222ED7-D3E0-43E7-BF10-D58DC868AD06}" name="Time/Score10" dataDxfId="146">
      <calculatedColumnFormula>IF(P5=0," ",_xlfn.RANK.AVG(P5,P$5:P$24,1)-COUNTIF(P$5:P$24,0))</calculatedColumnFormula>
    </tableColumn>
    <tableColumn id="16" xr3:uid="{F24CCDE0-2335-4EA3-81BA-F35952E48487}" name="Place10" dataDxfId="145">
      <calculatedColumnFormula>IF(P5=0," ",IF((RANK(P5,P$5:P$24,1)-COUNTIF(P$5:P$24,0)&gt;6)," ",RANK(P5,P$5:P$24,1)-COUNTIF(P$5:P$24,0)))</calculatedColumnFormula>
    </tableColumn>
    <tableColumn id="17" xr3:uid="{FABAA35E-7541-48C1-B5ED-48F8694699A7}" name="Points11" dataDxfId="144">
      <calculatedColumnFormula>IF(Table6220273233[[#This Row],[Non-Member]]="X"," ",IF(R5=" "," ",IFERROR(VLOOKUP(Q5,Points!$A$2:$B$14,2,FALSE)," ")))</calculatedColumnFormula>
    </tableColumn>
    <tableColumn id="18" xr3:uid="{3DE9E762-0B93-491F-973C-BFD6C9EDAE6F}" name="Time/Score12" dataDxfId="143" dataCellStyle="Comma"/>
    <tableColumn id="19" xr3:uid="{F7698086-6D24-4893-B1D5-F5CB3BF7FA93}" name="Time/Score13" dataDxfId="142">
      <calculatedColumnFormula>IF(T5=0," ",_xlfn.RANK.AVG(T5,T$5:T$24,1)-COUNTIF(T$5:T$24,0))</calculatedColumnFormula>
    </tableColumn>
    <tableColumn id="20" xr3:uid="{B4BDEA93-83A3-4ECF-BA35-7C6BCB917C40}" name="Place13" dataDxfId="141">
      <calculatedColumnFormula>IF(T5=0," ",IF((RANK(T5,T$5:T$24,1)-COUNTIF(T$5:T$24,0)&gt;6)," ",RANK(T5,T$5:T$24,1)-COUNTIF(T$5:T$24,0)))</calculatedColumnFormula>
    </tableColumn>
    <tableColumn id="21" xr3:uid="{1BCB313A-9F61-4C86-BAEE-7D7B6E312AFB}" name="Points14" dataDxfId="140">
      <calculatedColumnFormula>IF(Table6220273233[[#This Row],[Non-Member]]="X"," ",IF(V5=" "," ",IFERROR(VLOOKUP(U5,Points!$A$2:$B$14,2,FALSE)," ")))</calculatedColumnFormula>
    </tableColumn>
    <tableColumn id="22" xr3:uid="{FFF22495-B1FC-4136-9B15-E24225047F8A}" name="Time/Score15" dataDxfId="139" dataCellStyle="Comma"/>
    <tableColumn id="23" xr3:uid="{7706BF87-77E1-4A5D-81FA-A6883A26C37C}" name="Time/Score16" dataDxfId="138">
      <calculatedColumnFormula>IF(X5=0," ",_xlfn.RANK.AVG(X5,X$5:X$24,1)-COUNTIF(X$5:X$24,0))</calculatedColumnFormula>
    </tableColumn>
    <tableColumn id="24" xr3:uid="{72D38845-D2CC-4C2F-8F53-380AD63FEE54}" name="Place16" dataDxfId="137">
      <calculatedColumnFormula>IF(X5=0," ",IF((RANK(X5,X$5:X$24,1)-COUNTIF(X$5:X$24,0)&gt;6)," ",RANK(X5,X$5:X$24,1)-COUNTIF(X$5:X$24,0)))</calculatedColumnFormula>
    </tableColumn>
    <tableColumn id="25" xr3:uid="{AA5DA9E1-CBE0-4C7D-97D3-0233179E454E}" name="Points17" dataDxfId="136">
      <calculatedColumnFormula>IF(Table6220273233[[#This Row],[Non-Member]]="X"," ",IF(Z5=" "," ",IFERROR(VLOOKUP(Y5,Points!$A$2:$B$14,2,FALSE)," ")))</calculatedColumnFormula>
    </tableColumn>
    <tableColumn id="26" xr3:uid="{37DD03A2-96DE-474A-8137-CC9B5802EA4A}" name="Time/Score18" dataDxfId="135" dataCellStyle="Comma"/>
    <tableColumn id="27" xr3:uid="{487A5A4A-B67F-46B6-B2E3-A1E6042E4AEE}" name="Time/Score19" dataDxfId="134">
      <calculatedColumnFormula>IF(AB5=0," ",_xlfn.RANK.AVG(AB5,AB$5:AB$24,1)-COUNTIF(AB$5:AB$24,0))</calculatedColumnFormula>
    </tableColumn>
    <tableColumn id="28" xr3:uid="{D40BA63E-137C-4B20-9E50-58DD64638B41}" name="Place19" dataDxfId="133">
      <calculatedColumnFormula>IF(AB5=0," ",IF((RANK(AB5,AB$5:AB$24,1)-COUNTIF(AB$5:AB$24,0)&gt;6)," ",RANK(AB5,AB$5:AB$24,1)-COUNTIF(AB$5:AB$24,0)))</calculatedColumnFormula>
    </tableColumn>
    <tableColumn id="29" xr3:uid="{034645A0-1BAF-48BA-9C8F-833B0B87313B}" name="Points20" dataDxfId="132">
      <calculatedColumnFormula>IF(Table6220273233[[#This Row],[Non-Member]]="X"," ",IF(AD5=" "," ",IFERROR(VLOOKUP(AC5,Points!$A$2:$B$14,2,FALSE)," ")))</calculatedColumnFormula>
    </tableColumn>
    <tableColumn id="30" xr3:uid="{B52116C7-2B85-4A1B-8659-B3FE83E9AD13}" name="Time/Score21" dataDxfId="131" dataCellStyle="Comma">
      <calculatedColumnFormula>IF(OR(X5=0,AB5=0)," ",X5+AB5)</calculatedColumnFormula>
    </tableColumn>
    <tableColumn id="31" xr3:uid="{4B78451D-AAA0-46AA-A47D-3F68CA1F0AC5}" name="Time/Score22" dataDxfId="130">
      <calculatedColumnFormula>IF(OR(AF5=0,AF5=" ")," ",_xlfn.RANK.AVG(AF5,AF$5:AF$24,1)-COUNTIF(AF$5:AF$24,0))</calculatedColumnFormula>
    </tableColumn>
    <tableColumn id="32" xr3:uid="{355539DC-AAA2-4D6D-AB54-9B4BA2679243}" name="Place22" dataDxfId="129">
      <calculatedColumnFormula>IF(OR(AF5=0,AF5=" ")," ",IF((RANK(AF5,AF$5:AF$24,1)-COUNTIF(AF$5:AF$24,0)&gt;6)," ",RANK(AF5,AF$5:AF$24,1)-COUNTIF(AF$5:AF$24,0)))</calculatedColumnFormula>
    </tableColumn>
    <tableColumn id="33" xr3:uid="{F2586DEF-B15A-4FC7-A0F6-B315D8C81ABF}" name="Points23" dataDxfId="128">
      <calculatedColumnFormula>IF(Table6220273233[[#This Row],[Non-Member]]="X"," ",IF(AH5=" "," ",IFERROR(VLOOKUP(AG5,Points!$A$2:$B$14,2,FALSE)," ")))</calculatedColumnFormula>
    </tableColumn>
    <tableColumn id="34" xr3:uid="{CD405C06-56A7-42AD-B43D-815CC8DD8593}" name="Points24" dataDxfId="127">
      <calculatedColumnFormula>IF(Table6220273233[[#This Row],[Non-Member]]="X"," ",((IF(G5=" ",0,G5))+(IF(K5=" ",0,K5))+(IF(O5=" ",0,O5))+(IF(S5=" ",0,S5))+(IF(W5=" ",0,W5))+(IF(AA5=" ",0,AA5))+(IF(AE5=" ",0,AE5))+(IF(AI5=" ",0,AI5))))</calculatedColumnFormula>
    </tableColumn>
    <tableColumn id="35" xr3:uid="{DB574496-1D1E-45F0-AC02-8BC5820CB5DA}" name="Points25" dataDxfId="126" dataCellStyle="Comma">
      <calculatedColumnFormula>IF(AJ5=0," ",AJ5)</calculatedColumnFormula>
    </tableColumn>
    <tableColumn id="36" xr3:uid="{8F0176B4-4E7D-4F2C-87B3-78EA2158ED4A}" name="Place26" dataDxfId="12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C44C1BA-8B11-47C6-94E0-04E3DE060B50}" name="Table622027323334" displayName="Table622027323334" ref="B4:AL24" totalsRowShown="0" headerRowDxfId="124" dataDxfId="123" tableBorderDxfId="122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337E3B75-CCD3-44AE-8967-3F6788927572}" name="Name" dataDxfId="121"/>
    <tableColumn id="37" xr3:uid="{DF2F0B55-1910-4FD8-89E9-FF06A2E49574}" name="Non-Member" dataDxfId="120"/>
    <tableColumn id="2" xr3:uid="{7BAD758E-1882-4F1E-8599-7A032D0F9810}" name="Time/Score" dataDxfId="119" dataCellStyle="Comma"/>
    <tableColumn id="3" xr3:uid="{D092E695-0F93-434F-83FC-0484719E0D80}" name="Column2" dataDxfId="118">
      <calculatedColumnFormula>IF(D5=0," ",_xlfn.RANK.AVG(D5,D$5:D$24,1)-COUNTIF(D$5:D$24,0))</calculatedColumnFormula>
    </tableColumn>
    <tableColumn id="4" xr3:uid="{DE86C60C-4710-4181-AF31-7001988EDDF0}" name="Place" dataDxfId="117">
      <calculatedColumnFormula>IF(D5=0," ",IF((RANK(D5,D$5:D$24,1)-COUNTIF(D$5:D$24,0)&gt;6)," ",RANK(D5,D$5:D$24,1)-COUNTIF(D$5:D$24,0)))</calculatedColumnFormula>
    </tableColumn>
    <tableColumn id="5" xr3:uid="{ECDFC8E6-F24E-4F9E-A2E5-6188ED0F0137}" name="Points" dataDxfId="116">
      <calculatedColumnFormula>IF(Table622027323334[[#This Row],[Non-Member]]="X"," ",IF(F5=" "," ",IFERROR(VLOOKUP(E5,Points!$A$2:$B$14,2,FALSE)," ")))</calculatedColumnFormula>
    </tableColumn>
    <tableColumn id="6" xr3:uid="{A2C8488D-CF8B-4E4B-AB2E-DAD9B458F40F}" name="Time/Score3" dataDxfId="115" dataCellStyle="Comma"/>
    <tableColumn id="7" xr3:uid="{C11567B6-3AD8-40A1-AA98-E262F2ED8B6F}" name="Time/Score4" dataDxfId="114">
      <calculatedColumnFormula>IF(H5=0," ",_xlfn.RANK.AVG(H5,H$5:H$24,1)-COUNTIF(H$5:H$24,0))</calculatedColumnFormula>
    </tableColumn>
    <tableColumn id="8" xr3:uid="{422EA25D-5A3A-4527-BB47-D2F86F09F155}" name="Place4" dataDxfId="113">
      <calculatedColumnFormula>IF(H5=0," ",IF((RANK(H5,H$5:H$24,1)-COUNTIF(H$5:H$24,0)&gt;6)," ",RANK(H5,H$5:H$24,1)-COUNTIF(H$5:H$24,0)))</calculatedColumnFormula>
    </tableColumn>
    <tableColumn id="9" xr3:uid="{E21ACCAD-D2C9-49DA-9085-3F56C3F2409D}" name="Points5" dataDxfId="112">
      <calculatedColumnFormula>IF(Table622027323334[[#This Row],[Non-Member]]="X"," ",IF(J5=" "," ",IFERROR(VLOOKUP(I5,Points!$A$2:$B$14,2,FALSE)," ")))</calculatedColumnFormula>
    </tableColumn>
    <tableColumn id="10" xr3:uid="{1A0F3A2D-64E3-4284-9DB8-443A09C3ECD3}" name="Time/Score6" dataDxfId="111" dataCellStyle="Comma"/>
    <tableColumn id="11" xr3:uid="{F4BE40EC-B76E-4B2D-A6BD-82FDADD65A44}" name="Time/Score7" dataDxfId="110">
      <calculatedColumnFormula>IF(L5=0," ",_xlfn.RANK.AVG(L5,L$5:L$24,1)-COUNTIF(L$5:L$24,0))</calculatedColumnFormula>
    </tableColumn>
    <tableColumn id="12" xr3:uid="{A1BC25F3-B260-4F42-8018-0E3CC776D7FA}" name="Place7" dataDxfId="109">
      <calculatedColumnFormula>IF(L5=0," ",IF((RANK(L5,L$5:L$24,1)-COUNTIF(L$5:L$24,0)&gt;6)," ",RANK(L5,L$5:L$24,1)-COUNTIF(L$5:L$24,0)))</calculatedColumnFormula>
    </tableColumn>
    <tableColumn id="13" xr3:uid="{500716CE-8BB7-43B2-BB87-071BAA72A00F}" name="Points8" dataDxfId="108">
      <calculatedColumnFormula>IF(Table622027323334[[#This Row],[Non-Member]]="X"," ",IF(N5=" "," ",IFERROR(VLOOKUP(M5,Points!$A$2:$B$14,2,FALSE)," ")))</calculatedColumnFormula>
    </tableColumn>
    <tableColumn id="14" xr3:uid="{E1E2040A-82C0-47BB-8DF7-E2894A48914E}" name="Time/Score9" dataDxfId="107" dataCellStyle="Comma"/>
    <tableColumn id="15" xr3:uid="{ED0D6C9A-54BE-4076-A66C-F12C0F73F72E}" name="Time/Score10" dataDxfId="106">
      <calculatedColumnFormula>IF(P5=0," ",_xlfn.RANK.AVG(P5,P$5:P$24,1)-COUNTIF(P$5:P$24,0))</calculatedColumnFormula>
    </tableColumn>
    <tableColumn id="16" xr3:uid="{E703089F-D4CE-4E49-A31F-A3445630B383}" name="Place10" dataDxfId="105">
      <calculatedColumnFormula>IF(P5=0," ",IF((RANK(P5,P$5:P$24,1)-COUNTIF(P$5:P$24,0)&gt;6)," ",RANK(P5,P$5:P$24,1)-COUNTIF(P$5:P$24,0)))</calculatedColumnFormula>
    </tableColumn>
    <tableColumn id="17" xr3:uid="{635BEB24-B3B0-48AD-93A6-312BC49B383C}" name="Points11" dataDxfId="104">
      <calculatedColumnFormula>IF(Table622027323334[[#This Row],[Non-Member]]="X"," ",IF(R5=" "," ",IFERROR(VLOOKUP(Q5,Points!$A$2:$B$14,2,FALSE)," ")))</calculatedColumnFormula>
    </tableColumn>
    <tableColumn id="18" xr3:uid="{2779C157-E86B-4646-BCCC-B2CFDE46A210}" name="Time/Score12" dataDxfId="103" dataCellStyle="Comma"/>
    <tableColumn id="19" xr3:uid="{10C094FA-B4A6-4D24-A1D0-70F64B656F34}" name="Time/Score13" dataDxfId="102">
      <calculatedColumnFormula>IF(T5=0," ",_xlfn.RANK.AVG(T5,T$5:T$24,1)-COUNTIF(T$5:T$24,0))</calculatedColumnFormula>
    </tableColumn>
    <tableColumn id="20" xr3:uid="{9DA0EC7D-539A-4C7A-AE97-D0D1266EDBFA}" name="Place13" dataDxfId="101">
      <calculatedColumnFormula>IF(T5=0," ",IF((RANK(T5,T$5:T$24,1)-COUNTIF(T$5:T$24,0)&gt;6)," ",RANK(T5,T$5:T$24,1)-COUNTIF(T$5:T$24,0)))</calculatedColumnFormula>
    </tableColumn>
    <tableColumn id="21" xr3:uid="{AF2E3C9A-6165-4AE3-BCC0-02A8F563C85C}" name="Points14" dataDxfId="100">
      <calculatedColumnFormula>IF(Table622027323334[[#This Row],[Non-Member]]="X"," ",IF(V5=" "," ",IFERROR(VLOOKUP(U5,Points!$A$2:$B$14,2,FALSE)," ")))</calculatedColumnFormula>
    </tableColumn>
    <tableColumn id="22" xr3:uid="{270B4128-4107-437D-B1D6-D3A640A8876E}" name="Time/Score15" dataDxfId="99" dataCellStyle="Comma"/>
    <tableColumn id="23" xr3:uid="{61D45E6F-D967-4886-BABF-F1F2D0E3487A}" name="Time/Score16" dataDxfId="98">
      <calculatedColumnFormula>IF(X5=0," ",_xlfn.RANK.AVG(X5,X$5:X$24,1)-COUNTIF(X$5:X$24,0))</calculatedColumnFormula>
    </tableColumn>
    <tableColumn id="24" xr3:uid="{D06348AD-A8DA-42EF-A891-EF47CDAEEB7C}" name="Place16" dataDxfId="97">
      <calculatedColumnFormula>IF(X5=0," ",IF((RANK(X5,X$5:X$24,1)-COUNTIF(X$5:X$24,0)&gt;6)," ",RANK(X5,X$5:X$24,1)-COUNTIF(X$5:X$24,0)))</calculatedColumnFormula>
    </tableColumn>
    <tableColumn id="25" xr3:uid="{B1BCAFF3-7DE7-4CC4-8C2E-7B756B82981E}" name="Points17" dataDxfId="96">
      <calculatedColumnFormula>IF(Table622027323334[[#This Row],[Non-Member]]="X"," ",IF(Z5=" "," ",IFERROR(VLOOKUP(Y5,Points!$A$2:$B$14,2,FALSE)," ")))</calculatedColumnFormula>
    </tableColumn>
    <tableColumn id="26" xr3:uid="{E603E47A-9456-451B-B63C-42DB340DE80F}" name="Time/Score18" dataDxfId="95" dataCellStyle="Comma"/>
    <tableColumn id="27" xr3:uid="{EEB0D730-DC93-4FAE-9449-CE0D4C2FE85D}" name="Time/Score19" dataDxfId="94">
      <calculatedColumnFormula>IF(AB5=0," ",_xlfn.RANK.AVG(AB5,AB$5:AB$24,1)-COUNTIF(AB$5:AB$24,0))</calculatedColumnFormula>
    </tableColumn>
    <tableColumn id="28" xr3:uid="{32E5BD7C-E66B-47F6-9DA8-EDB2A27A735D}" name="Place19" dataDxfId="93">
      <calculatedColumnFormula>IF(AB5=0," ",IF((RANK(AB5,AB$5:AB$24,1)-COUNTIF(AB$5:AB$24,0)&gt;6)," ",RANK(AB5,AB$5:AB$24,1)-COUNTIF(AB$5:AB$24,0)))</calculatedColumnFormula>
    </tableColumn>
    <tableColumn id="29" xr3:uid="{40B63F07-4D66-4D74-BE74-984902759435}" name="Points20" dataDxfId="92">
      <calculatedColumnFormula>IF(Table622027323334[[#This Row],[Non-Member]]="X"," ",IF(AD5=" "," ",IFERROR(VLOOKUP(AC5,Points!$A$2:$B$14,2,FALSE)," ")))</calculatedColumnFormula>
    </tableColumn>
    <tableColumn id="30" xr3:uid="{485F82CE-93B3-46DF-92FF-F1B0088A67F6}" name="Time/Score21" dataDxfId="91" dataCellStyle="Comma">
      <calculatedColumnFormula>IF(OR(X5=0,AB5=0)," ",X5+AB5)</calculatedColumnFormula>
    </tableColumn>
    <tableColumn id="31" xr3:uid="{8309B3E2-AB09-473D-86AF-01CDECA52FC5}" name="Time/Score22" dataDxfId="90">
      <calculatedColumnFormula>IF(OR(AF5=0,AF5=" ")," ",_xlfn.RANK.AVG(AF5,AF$5:AF$24,1)-COUNTIF(AF$5:AF$24,0))</calculatedColumnFormula>
    </tableColumn>
    <tableColumn id="32" xr3:uid="{7274E316-16C3-44AF-A939-B82CBCE5702C}" name="Place22" dataDxfId="89">
      <calculatedColumnFormula>IF(OR(AF5=0,AF5=" ")," ",IF((RANK(AF5,AF$5:AF$24,1)-COUNTIF(AF$5:AF$24,0)&gt;6)," ",RANK(AF5,AF$5:AF$24,1)-COUNTIF(AF$5:AF$24,0)))</calculatedColumnFormula>
    </tableColumn>
    <tableColumn id="33" xr3:uid="{6CE2E70D-E7DE-4EB7-9C39-506A3792D0D6}" name="Points23" dataDxfId="88">
      <calculatedColumnFormula>IF(Table622027323334[[#This Row],[Non-Member]]="X"," ",IF(AH5=" "," ",IFERROR(VLOOKUP(AG5,Points!$A$2:$B$14,2,FALSE)," ")))</calculatedColumnFormula>
    </tableColumn>
    <tableColumn id="34" xr3:uid="{0170E248-AA11-46BE-AAA7-2C5024E1046E}" name="Points24" dataDxfId="87">
      <calculatedColumnFormula>IF(Table622027323334[[#This Row],[Non-Member]]="X"," ",((IF(G5=" ",0,G5))+(IF(K5=" ",0,K5))+(IF(O5=" ",0,O5))+(IF(S5=" ",0,S5))+(IF(W5=" ",0,W5))+(IF(AA5=" ",0,AA5))+(IF(AE5=" ",0,AE5))+(IF(AI5=" ",0,AI5))))</calculatedColumnFormula>
    </tableColumn>
    <tableColumn id="35" xr3:uid="{6D2814A6-8D9D-4CB5-8D7B-F826C96C2E09}" name="Points25" dataDxfId="86" dataCellStyle="Comma">
      <calculatedColumnFormula>IF(AJ5=0," ",AJ5)</calculatedColumnFormula>
    </tableColumn>
    <tableColumn id="36" xr3:uid="{09C3B25A-83B7-4DD6-A5DC-F03EF41E9307}" name="Place26" dataDxfId="8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096EAF0-7238-48E4-80F1-036B0CF1240B}" name="Table62202732333435" displayName="Table62202732333435" ref="B4:AL24" totalsRowShown="0" headerRowDxfId="84" dataDxfId="83" tableBorderDxfId="82">
  <autoFilter ref="B4:AL24" xr:uid="{89B1FF52-34AE-480D-BF76-50E05053D0D8}"/>
  <sortState xmlns:xlrd2="http://schemas.microsoft.com/office/spreadsheetml/2017/richdata2" ref="B5:AL24">
    <sortCondition ref="AL5:AL24"/>
    <sortCondition ref="B5:B24"/>
  </sortState>
  <tableColumns count="37">
    <tableColumn id="1" xr3:uid="{A152E483-586E-4F66-8695-BCCC1A92724F}" name="Name" dataDxfId="81"/>
    <tableColumn id="37" xr3:uid="{18D10DA6-5019-4ED1-8CEF-69BC1E8DB6A7}" name="Non-Member" dataDxfId="80"/>
    <tableColumn id="2" xr3:uid="{4EE299BD-BF05-40EC-86EF-AFFEBD775A9D}" name="Time/Score" dataDxfId="79" dataCellStyle="Comma"/>
    <tableColumn id="3" xr3:uid="{71A69C01-80D4-4C55-B506-11FF95C417F3}" name="Column2" dataDxfId="78">
      <calculatedColumnFormula>IF(D5=0," ",_xlfn.RANK.AVG(D5,D$5:D$24,1)-COUNTIF(D$5:D$24,0))</calculatedColumnFormula>
    </tableColumn>
    <tableColumn id="4" xr3:uid="{8B7016C6-4568-49E8-8026-463060BE78D0}" name="Place" dataDxfId="77">
      <calculatedColumnFormula>IF(D5=0," ",IF((RANK(D5,D$5:D$24,1)-COUNTIF(D$5:D$24,0)&gt;6)," ",RANK(D5,D$5:D$24,1)-COUNTIF(D$5:D$24,0)))</calculatedColumnFormula>
    </tableColumn>
    <tableColumn id="5" xr3:uid="{34FCD6D2-98E4-4C98-8B47-BA0F45758184}" name="Points" dataDxfId="76">
      <calculatedColumnFormula>IF(Table62202732333435[[#This Row],[Non-Member]]="X"," ",IF(F5=" "," ",IFERROR(VLOOKUP(E5,Points!$A$2:$B$14,2,FALSE)," ")))</calculatedColumnFormula>
    </tableColumn>
    <tableColumn id="6" xr3:uid="{D03A1AAF-99AC-48EF-ABBB-544A70578950}" name="Time/Score3" dataDxfId="75" dataCellStyle="Comma"/>
    <tableColumn id="7" xr3:uid="{EA2475C7-FD1D-4FCB-B9B3-2575506A845E}" name="Time/Score4" dataDxfId="74">
      <calculatedColumnFormula>IF(H5=0," ",_xlfn.RANK.AVG(H5,H$5:H$24,1)-COUNTIF(H$5:H$24,0))</calculatedColumnFormula>
    </tableColumn>
    <tableColumn id="8" xr3:uid="{275E3B88-0EE9-44DA-9D12-4050D32D314C}" name="Place4" dataDxfId="73">
      <calculatedColumnFormula>IF(H5=0," ",IF((RANK(H5,H$5:H$24,1)-COUNTIF(H$5:H$24,0)&gt;6)," ",RANK(H5,H$5:H$24,1)-COUNTIF(H$5:H$24,0)))</calculatedColumnFormula>
    </tableColumn>
    <tableColumn id="9" xr3:uid="{0B1EAC7C-98E3-4469-8E41-EC269B9DB6C2}" name="Points5" dataDxfId="72">
      <calculatedColumnFormula>IF(Table62202732333435[[#This Row],[Non-Member]]="X"," ",IF(J5=" "," ",IFERROR(VLOOKUP(I5,Points!$A$2:$B$14,2,FALSE)," ")))</calculatedColumnFormula>
    </tableColumn>
    <tableColumn id="10" xr3:uid="{FFEE3DAC-2DEB-4434-AB59-2E210B41D60F}" name="Time/Score6" dataDxfId="71" dataCellStyle="Comma"/>
    <tableColumn id="11" xr3:uid="{D0A939F7-9562-4734-85DB-0C93A2C9099F}" name="Time/Score7" dataDxfId="70">
      <calculatedColumnFormula>IF(L5=0," ",_xlfn.RANK.AVG(L5,L$5:L$24,1)-COUNTIF(L$5:L$24,0))</calculatedColumnFormula>
    </tableColumn>
    <tableColumn id="12" xr3:uid="{F475430C-1299-42FE-B40E-B7F853974C3C}" name="Place7" dataDxfId="69">
      <calculatedColumnFormula>IF(L5=0," ",IF((RANK(L5,L$5:L$24,1)-COUNTIF(L$5:L$24,0)&gt;6)," ",RANK(L5,L$5:L$24,1)-COUNTIF(L$5:L$24,0)))</calculatedColumnFormula>
    </tableColumn>
    <tableColumn id="13" xr3:uid="{7ACF32E6-DE8F-4F89-997D-B568663D97A9}" name="Points8" dataDxfId="68">
      <calculatedColumnFormula>IF(Table62202732333435[[#This Row],[Non-Member]]="X"," ",IF(N5=" "," ",IFERROR(VLOOKUP(M5,Points!$A$2:$B$14,2,FALSE)," ")))</calculatedColumnFormula>
    </tableColumn>
    <tableColumn id="14" xr3:uid="{530B7A61-3293-4F7D-93DD-28C80AC8853D}" name="Time/Score9" dataDxfId="67" dataCellStyle="Comma"/>
    <tableColumn id="15" xr3:uid="{5396EAEF-F113-4EB0-A4A3-7C65F5955ABD}" name="Time/Score10" dataDxfId="66">
      <calculatedColumnFormula>IF(P5=0," ",_xlfn.RANK.AVG(P5,P$5:P$24,1)-COUNTIF(P$5:P$24,0))</calculatedColumnFormula>
    </tableColumn>
    <tableColumn id="16" xr3:uid="{3F839618-0054-4788-A031-3F6066E97675}" name="Place10" dataDxfId="65">
      <calculatedColumnFormula>IF(P5=0," ",IF((RANK(P5,P$5:P$24,1)-COUNTIF(P$5:P$24,0)&gt;6)," ",RANK(P5,P$5:P$24,1)-COUNTIF(P$5:P$24,0)))</calculatedColumnFormula>
    </tableColumn>
    <tableColumn id="17" xr3:uid="{E25D58DD-F6AF-46D3-AEF4-687725B20C57}" name="Points11" dataDxfId="64">
      <calculatedColumnFormula>IF(Table62202732333435[[#This Row],[Non-Member]]="X"," ",IF(R5=" "," ",IFERROR(VLOOKUP(Q5,Points!$A$2:$B$14,2,FALSE)," ")))</calculatedColumnFormula>
    </tableColumn>
    <tableColumn id="18" xr3:uid="{66DAE55C-9EB4-459C-BD2C-C70146795F4E}" name="Time/Score12" dataDxfId="63" dataCellStyle="Comma"/>
    <tableColumn id="19" xr3:uid="{ECB1D759-9914-41A0-9597-1CFBE60BA9EF}" name="Time/Score13" dataDxfId="62">
      <calculatedColumnFormula>IF(T5=0," ",_xlfn.RANK.AVG(T5,T$5:T$24,1)-COUNTIF(T$5:T$24,0))</calculatedColumnFormula>
    </tableColumn>
    <tableColumn id="20" xr3:uid="{84E174A7-68AA-4D0E-A895-3D2523650B6D}" name="Place13" dataDxfId="61">
      <calculatedColumnFormula>IF(T5=0," ",IF((RANK(T5,T$5:T$24,1)-COUNTIF(T$5:T$24,0)&gt;6)," ",RANK(T5,T$5:T$24,1)-COUNTIF(T$5:T$24,0)))</calculatedColumnFormula>
    </tableColumn>
    <tableColumn id="21" xr3:uid="{A39976EF-0386-4B87-907A-AF7B92540326}" name="Points14" dataDxfId="60">
      <calculatedColumnFormula>IF(Table62202732333435[[#This Row],[Non-Member]]="X"," ",IF(V5=" "," ",IFERROR(VLOOKUP(U5,Points!$A$2:$B$14,2,FALSE)," ")))</calculatedColumnFormula>
    </tableColumn>
    <tableColumn id="22" xr3:uid="{6635A564-F448-4F61-8367-DFC74004A49E}" name="Time/Score15" dataDxfId="59" dataCellStyle="Comma"/>
    <tableColumn id="23" xr3:uid="{C931FFE9-F11B-4CA7-9760-B8C8C1A799A6}" name="Time/Score16" dataDxfId="58">
      <calculatedColumnFormula>IF(X5=0," ",_xlfn.RANK.AVG(X5,X$5:X$24,1)-COUNTIF(X$5:X$24,0))</calculatedColumnFormula>
    </tableColumn>
    <tableColumn id="24" xr3:uid="{4D2B53D6-1057-436B-B104-0CA5B971E2A4}" name="Place16" dataDxfId="57">
      <calculatedColumnFormula>IF(X5=0," ",IF((RANK(X5,X$5:X$24,1)-COUNTIF(X$5:X$24,0)&gt;6)," ",RANK(X5,X$5:X$24,1)-COUNTIF(X$5:X$24,0)))</calculatedColumnFormula>
    </tableColumn>
    <tableColumn id="25" xr3:uid="{A93612D8-ECDD-4A23-A5C6-34A1301CF362}" name="Points17" dataDxfId="56">
      <calculatedColumnFormula>IF(Table62202732333435[[#This Row],[Non-Member]]="X"," ",IF(Z5=" "," ",IFERROR(VLOOKUP(Y5,Points!$A$2:$B$14,2,FALSE)," ")))</calculatedColumnFormula>
    </tableColumn>
    <tableColumn id="26" xr3:uid="{E36A2558-9D38-4ECF-9B3D-CFDE29E05E5E}" name="Time/Score18" dataDxfId="55" dataCellStyle="Comma"/>
    <tableColumn id="27" xr3:uid="{E774946A-E184-4207-98E8-EC0182C5D9B3}" name="Time/Score19" dataDxfId="54">
      <calculatedColumnFormula>IF(AB5=0," ",_xlfn.RANK.AVG(AB5,AB$5:AB$24,1)-COUNTIF(AB$5:AB$24,0))</calculatedColumnFormula>
    </tableColumn>
    <tableColumn id="28" xr3:uid="{3824935E-29C4-4465-B731-620ED22FF55D}" name="Place19" dataDxfId="53">
      <calculatedColumnFormula>IF(AB5=0," ",IF((RANK(AB5,AB$5:AB$24,1)-COUNTIF(AB$5:AB$24,0)&gt;6)," ",RANK(AB5,AB$5:AB$24,1)-COUNTIF(AB$5:AB$24,0)))</calculatedColumnFormula>
    </tableColumn>
    <tableColumn id="29" xr3:uid="{655A87C9-0A34-43A1-893B-888C5F460DBA}" name="Points20" dataDxfId="52">
      <calculatedColumnFormula>IF(Table62202732333435[[#This Row],[Non-Member]]="X"," ",IF(AD5=" "," ",IFERROR(VLOOKUP(AC5,Points!$A$2:$B$14,2,FALSE)," ")))</calculatedColumnFormula>
    </tableColumn>
    <tableColumn id="30" xr3:uid="{755F23FF-3592-4F4D-8F8B-5DB7D027F27B}" name="Time/Score21" dataDxfId="51" dataCellStyle="Comma">
      <calculatedColumnFormula>IF(OR(X5=0,AB5=0)," ",X5+AB5)</calculatedColumnFormula>
    </tableColumn>
    <tableColumn id="31" xr3:uid="{4A77E802-A12A-453D-8B93-921EFB1F2C2F}" name="Time/Score22" dataDxfId="50">
      <calculatedColumnFormula>IF(OR(AF5=0,AF5=" ")," ",_xlfn.RANK.AVG(AF5,AF$5:AF$24,1)-COUNTIF(AF$5:AF$24,0))</calculatedColumnFormula>
    </tableColumn>
    <tableColumn id="32" xr3:uid="{BB14A44E-8BCF-4C3C-AAB7-EA15ECBE6A92}" name="Place22" dataDxfId="49">
      <calculatedColumnFormula>IF(OR(AF5=0,AF5=" ")," ",IF((RANK(AF5,AF$5:AF$24,1)-COUNTIF(AF$5:AF$24,0)&gt;6)," ",RANK(AF5,AF$5:AF$24,1)-COUNTIF(AF$5:AF$24,0)))</calculatedColumnFormula>
    </tableColumn>
    <tableColumn id="33" xr3:uid="{ABF69833-C588-44E3-8BD5-2955782A6F16}" name="Points23" dataDxfId="48">
      <calculatedColumnFormula>IF(Table62202732333435[[#This Row],[Non-Member]]="X"," ",IF(AH5=" "," ",IFERROR(VLOOKUP(AG5,Points!$A$2:$B$14,2,FALSE)," ")))</calculatedColumnFormula>
    </tableColumn>
    <tableColumn id="34" xr3:uid="{8E40B58C-DE28-40E7-A7CE-67B175E33840}" name="Points24" dataDxfId="47">
      <calculatedColumnFormula>IF(Table62202732333435[[#This Row],[Non-Member]]="X"," ",((IF(G5=" ",0,G5))+(IF(K5=" ",0,K5))+(IF(O5=" ",0,O5))+(IF(S5=" ",0,S5))+(IF(W5=" ",0,W5))+(IF(AA5=" ",0,AA5))+(IF(AE5=" ",0,AE5))+(IF(AI5=" ",0,AI5))))</calculatedColumnFormula>
    </tableColumn>
    <tableColumn id="35" xr3:uid="{567CD0DD-EACD-4B20-B7D1-536FBC00520A}" name="Points25" dataDxfId="46" dataCellStyle="Comma">
      <calculatedColumnFormula>IF(AJ5=0," ",AJ5)</calculatedColumnFormula>
    </tableColumn>
    <tableColumn id="36" xr3:uid="{6481FF6E-B2BB-435D-A368-6F749A8CD4A0}" name="Place26" dataDxfId="4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D4D83E4-0A12-4F5F-9451-7BD4F87630B4}" name="Table6345689101123344440254555" displayName="Table6345689101123344440254555" ref="B4:AC24" totalsRowShown="0" headerRowDxfId="1677" dataDxfId="1676" tableBorderDxfId="1675">
  <autoFilter ref="B4:AC24" xr:uid="{89B1FF52-34AE-480D-BF76-50E05053D0D8}"/>
  <sortState xmlns:xlrd2="http://schemas.microsoft.com/office/spreadsheetml/2017/richdata2" ref="B5:AC24">
    <sortCondition ref="AC5:AC24"/>
    <sortCondition ref="B5:B24"/>
  </sortState>
  <tableColumns count="28">
    <tableColumn id="1" xr3:uid="{65D38D62-6B05-4709-8DC6-FA71D2D96D53}" name="Name" dataDxfId="1674"/>
    <tableColumn id="39" xr3:uid="{7F078A69-247B-4634-BE75-0A7529B4008C}" name="Points" dataDxfId="1673">
      <calculatedColumnFormula>IFERROR(IF(VLOOKUP($B5,'SR G-Breakaway'!$B$5:$AI$24,6,FALSE)=" ",0,VLOOKUP($B5,'SR G-Breakaway'!$B$5:$AI$24,6,FALSE)),0)+IFERROR(IF(VLOOKUP($B5,'SR G-Barrels'!$B$5:$AI$24,6,FALSE)=" ",0,VLOOKUP($B5,'SR G-Barrels'!$B$5:$AI$24,6,FALSE)),0)+IFERROR(IF(VLOOKUP($B5,'SR G-Poles'!$B$5:$AI$24,6,FALSE)=" ",0,VLOOKUP($B5,'SR G-Poles'!$B$5:$AI$24,6,FALSE)),0)+IFERROR(IF(VLOOKUP($B5,'SR G-Goats'!$B$5:$AI$24,6,FALSE)=" ",0,VLOOKUP($B5,'SR G-Goats'!$B$5:$AI$24,6,FALSE)),0)+IFERROR(IF(VLOOKUP($B5,'SR-Team Roping-Header'!$B$5:$N$24,3,FALSE)=" ",0,VLOOKUP($B5,'SR-Team Roping-Header'!$B$5:$N$24,3,FALSE)),0)+IFERROR(IF(VLOOKUP($B5,'SR-Team Roping-Heeler'!$B$5:$N$24,3,FALSE)=" ",0,VLOOKUP($B5,'SR-Team Roping-Heeler'!$B$5:$N$24,3,FALSE)),0)</calculatedColumnFormula>
    </tableColumn>
    <tableColumn id="4" xr3:uid="{96C953C8-26B3-4AE2-B58C-ECB6B19A2198}" name="Column1" dataDxfId="1672">
      <calculatedColumnFormula>IF(C5&gt;0,C5," ")</calculatedColumnFormula>
    </tableColumn>
    <tableColumn id="5" xr3:uid="{3C5ED502-AEB4-45D4-B2F7-C7E337C4D22D}" name="Place" dataDxfId="1671">
      <calculatedColumnFormula>IF(C5=0," ",RANK(C5,C$5:C$24,0))</calculatedColumnFormula>
    </tableColumn>
    <tableColumn id="43" xr3:uid="{B8EB5667-B060-4731-AA92-72DFE650D7BC}" name="Points4" dataDxfId="1670">
      <calculatedColumnFormula>IFERROR(IF(VLOOKUP($B5,'SR G-Breakaway'!$B$5:$AI$24,10,FALSE)=" ",0,VLOOKUP($B5,'SR G-Breakaway'!$B$5:$AI$24,10,FALSE)),0)+IFERROR(IF(VLOOKUP($B5,'SR G-Barrels'!$B$5:$AI$24,10,FALSE)=" ",0,VLOOKUP($B5,'SR G-Barrels'!$B$5:$AI$24,10,FALSE)),0)+IFERROR(IF(VLOOKUP($B5,'SR G-Poles'!$B$5:$AI$24,10,FALSE)=" ",0,VLOOKUP($B5,'SR G-Poles'!$B$5:$AI$24,10,FALSE)),0)+IFERROR(IF(VLOOKUP($B5,'SR G-Goats'!$B$5:$AI$24,10,FALSE)=" ",0,VLOOKUP($B5,'SR G-Goats'!$B$5:$AI$24,10,FALSE)),0)+IFERROR(IF(VLOOKUP($B5,'SR-Team Roping-Header'!$B$5:$N$24,4,FALSE)=" ",0,VLOOKUP($B5,'SR-Team Roping-Header'!$B$5:$N$24,4,FALSE)),0)+IFERROR(IF(VLOOKUP($B5,'SR-Team Roping-Heeler'!$B$5:$N$24,4,FALSE)=" ",0,VLOOKUP($B5,'SR-Team Roping-Heeler'!$B$5:$N$24,4,FALSE)),0)</calculatedColumnFormula>
    </tableColumn>
    <tableColumn id="6" xr3:uid="{EC95656F-7824-4CF9-9897-66BB676E801E}" name="Points5" dataDxfId="1669">
      <calculatedColumnFormula>IF(F5&gt;0,F5," ")</calculatedColumnFormula>
    </tableColumn>
    <tableColumn id="44" xr3:uid="{C2271B15-B848-4767-B37B-D9342E305CD5}" name="Place5" dataDxfId="1668">
      <calculatedColumnFormula>IF(F5=0," ",RANK(F5,F$5:F$24,0))</calculatedColumnFormula>
    </tableColumn>
    <tableColumn id="46" xr3:uid="{90B2D1FD-DC37-4A46-9DD5-28A591B6AFDA}" name="Points43" dataDxfId="1667">
      <calculatedColumnFormula>IFERROR(IF(VLOOKUP($B5,'JR G-Breakaway'!$B$5:$AI$24,14,FALSE)=" ",0,VLOOKUP($B5,'JR G-Breakaway'!$B$5:$AI$24,14,FALSE)),0)+IFERROR(IF(VLOOKUP($B5,'JR G-Barrels'!$B$5:$AI$24,14,FALSE)=" ",0,VLOOKUP($B5,'JR G-Barrels'!$B$5:$AI$24,14,FALSE)),0)+IFERROR(IF(VLOOKUP($B5,'JR G-Poles'!$B$5:$AI$24,14,FALSE)=" ",0,VLOOKUP($B5,'JR G-Poles'!$B$5:$AI$24,14,FALSE)),0)+IFERROR(IF(VLOOKUP($B5,'JR G-Goats'!$B$5:$AI$24,14,FALSE)=" ",0,VLOOKUP($B5,'JR G-Goats'!$B$5:$AI$24,14,FALSE)),0)+IFERROR(IF(VLOOKUP($B5,'JR-Team Roping-Header (2)'!$B$5:$AI$24,14,FALSE)=" ",0,VLOOKUP($B5,'JR-Team Roping-Header (2)'!$B$5:$AI$24,14,FALSE)),0)+IFERROR(IF(VLOOKUP($B5,'JR-Team Roping-Heeler (2)'!$B$5:$AI$24,14,FALSE)=" ",0,VLOOKUP($B5,'JR-Team Roping-Heeler (2)'!$B$5:$AI$24,14,FALSE)),0)</calculatedColumnFormula>
    </tableColumn>
    <tableColumn id="7" xr3:uid="{E2FE71C0-8616-48E2-8534-668BBB819360}" name="Points432" dataDxfId="1666">
      <calculatedColumnFormula>IF(I5&gt;0,I5," ")</calculatedColumnFormula>
    </tableColumn>
    <tableColumn id="47" xr3:uid="{628C3F23-B874-4F4E-91B7-9EA52F259321}" name="Place54" dataDxfId="1665">
      <calculatedColumnFormula>IF(I5=0," ",RANK(I5,I$5:I$24,0))</calculatedColumnFormula>
    </tableColumn>
    <tableColumn id="49" xr3:uid="{B489F4FB-9CE3-477C-876B-105A4393A285}" name="Points44" dataDxfId="1664">
      <calculatedColumnFormula>IFERROR(IF(VLOOKUP($B5,'JR G-Breakaway'!$B$5:$AI$24,18,FALSE)=" ",0,VLOOKUP($B5,'JR G-Breakaway'!$B$5:$AI$24,18,FALSE)),0)+IFERROR(IF(VLOOKUP($B5,'JR G-Barrels'!$B$5:$AI$24,18,FALSE)=" ",0,VLOOKUP($B5,'JR G-Barrels'!$B$5:$AI$24,18,FALSE)),0)+IFERROR(IF(VLOOKUP($B5,'JR G-Poles'!$B$5:$AI$24,18,FALSE)=" ",0,VLOOKUP($B5,'JR G-Poles'!$B$5:$AI$24,18,FALSE)),0)+IFERROR(IF(VLOOKUP($B5,'JR G-Goats'!$B$5:$AI$24,18,FALSE)=" ",0,VLOOKUP($B5,'JR G-Goats'!$B$5:$AI$24,18,FALSE)),0)+IFERROR(IF(VLOOKUP($B5,'JR-Team Roping-Header (2)'!$B$5:$AI$24,18,FALSE)=" ",0,VLOOKUP($B5,'JR-Team Roping-Header (2)'!$B$5:$AI$24,18,FALSE)),0)+IFERROR(IF(VLOOKUP($B5,'JR-Team Roping-Heeler (2)'!$B$5:$AI$24,18,FALSE)=" ",0,VLOOKUP($B5,'JR-Team Roping-Heeler (2)'!$B$5:$AI$24,18,FALSE)),0)</calculatedColumnFormula>
    </tableColumn>
    <tableColumn id="8" xr3:uid="{84E753A1-FE38-418A-896F-860098862A6C}" name="Points442" dataDxfId="1663">
      <calculatedColumnFormula>IF(L5&gt;0,L5," ")</calculatedColumnFormula>
    </tableColumn>
    <tableColumn id="50" xr3:uid="{96FEA1C9-93A2-4FC8-A336-A204A8384B8D}" name="Place55" dataDxfId="1662">
      <calculatedColumnFormula>IF(L5=0," ",RANK(L5,L$5:L$24,0))</calculatedColumnFormula>
    </tableColumn>
    <tableColumn id="52" xr3:uid="{BEC847CC-DACE-47E4-A5D2-410956C7B802}" name="Points45" dataDxfId="1661">
      <calculatedColumnFormula>IFERROR(IF(VLOOKUP($B5,'JR G-Breakaway'!$B$5:$AI$24,22,FALSE)=" ",0,VLOOKUP($B5,'JR G-Breakaway'!$B$5:$AI$24,22,FALSE)),0)+IFERROR(IF(VLOOKUP($B5,'JR G-Barrels'!$B$5:$AI$24,22,FALSE)=" ",0,VLOOKUP($B5,'JR G-Barrels'!$B$5:$AI$24,22,FALSE)),0)+IFERROR(IF(VLOOKUP($B5,'JR G-Poles'!$B$5:$AI$24,22,FALSE)=" ",0,VLOOKUP($B5,'JR G-Poles'!$B$5:$AI$24,22,FALSE)),0)+IFERROR(IF(VLOOKUP($B5,'JR G-Goats'!$B$5:$AI$24,22,FALSE)=" ",0,VLOOKUP($B5,'JR G-Goats'!$B$5:$AI$24,22,FALSE)),0)+IFERROR(IF(VLOOKUP($B5,'JR-Team Roping-Header (2)'!$B$5:$AI$24,22,FALSE)=" ",0,VLOOKUP($B5,'JR-Team Roping-Header (2)'!$B$5:$AI$24,22,FALSE)),0)+IFERROR(IF(VLOOKUP($B5,'JR-Team Roping-Heeler (2)'!$B$5:$AI$24,22,FALSE)=" ",0,VLOOKUP($B5,'JR-Team Roping-Heeler (2)'!$B$5:$AI$24,22,FALSE)),0)</calculatedColumnFormula>
    </tableColumn>
    <tableColumn id="9" xr3:uid="{95F602FC-EEB0-4B03-A46A-AF1F4769BD6D}" name="Points452" dataDxfId="1660">
      <calculatedColumnFormula>IF(O5&gt;0,O5," ")</calculatedColumnFormula>
    </tableColumn>
    <tableColumn id="53" xr3:uid="{7720A3AE-DD92-4D94-B77F-6D0DEAC9E263}" name="Place56" dataDxfId="1659">
      <calculatedColumnFormula>IF(O5=0," ",RANK(O5,O$5:O$24,0))</calculatedColumnFormula>
    </tableColumn>
    <tableColumn id="55" xr3:uid="{7CF23379-08D1-4D7C-9613-38632E73123F}" name="Points46" dataDxfId="1658">
      <calculatedColumnFormula>IFERROR(IF(VLOOKUP($B5,'JR G-Breakaway'!$B$5:$AI$24,26,FALSE)=" ",0,VLOOKUP($B5,'JR G-Breakaway'!$B$5:$AI$24,26,FALSE)),0)+IFERROR(IF(VLOOKUP($B5,'JR G-Barrels'!$B$5:$AI$24,26,FALSE)=" ",0,VLOOKUP($B5,'JR G-Barrels'!$B$5:$AI$24,26,FALSE)),0)+IFERROR(IF(VLOOKUP($B5,'JR G-Poles'!$B$5:$AI$24,26,FALSE)=" ",0,VLOOKUP($B5,'JR G-Poles'!$B$5:$AI$24,26,FALSE)),0)+IFERROR(IF(VLOOKUP($B5,'JR G-Goats'!$B$5:$AI$24,26,FALSE)=" ",0,VLOOKUP($B5,'JR G-Goats'!$B$5:$AI$24,26,FALSE)),0)+IFERROR(IF(VLOOKUP($B5,'JR-Team Roping-Header (2)'!$B$5:$AI$24,26,FALSE)=" ",0,VLOOKUP($B5,'JR-Team Roping-Header (2)'!$B$5:$AI$24,26,FALSE)),0)+IFERROR(IF(VLOOKUP($B5,'JR-Team Roping-Heeler (2)'!$B$5:$AI$24,26,FALSE)=" ",0,VLOOKUP($B5,'JR-Team Roping-Heeler (2)'!$B$5:$AI$24,26,FALSE)),0)</calculatedColumnFormula>
    </tableColumn>
    <tableColumn id="10" xr3:uid="{313439C4-9456-4CE4-8871-67A4C3AADE10}" name="Points462" dataDxfId="1657">
      <calculatedColumnFormula>IF(R5&gt;0,R5," ")</calculatedColumnFormula>
    </tableColumn>
    <tableColumn id="56" xr3:uid="{E3D73B9C-4544-415D-9D4A-B98BE409955E}" name="Place57" dataDxfId="1656">
      <calculatedColumnFormula>IF(R5=0," ",RANK(R5,R$5:R$24,0))</calculatedColumnFormula>
    </tableColumn>
    <tableColumn id="58" xr3:uid="{7970BAD2-657A-45C3-8707-53BFA165186B}" name="Points47" dataDxfId="1655">
      <calculatedColumnFormula>IFERROR(IF(VLOOKUP($B5,'JR G-Breakaway'!$B$5:$AI$24,30,FALSE)=" ",0,VLOOKUP($B5,'JR G-Breakaway'!$B$5:$AI$24,30,FALSE)),0)+IFERROR(IF(VLOOKUP($B5,'JR G-Barrels'!$B$5:$AI$24,30,FALSE)=" ",0,VLOOKUP($B5,'JR G-Barrels'!$B$5:$AI$24,30,FALSE)),0)+IFERROR(IF(VLOOKUP($B5,'JR G-Poles'!$B$5:$AI$24,30,FALSE)=" ",0,VLOOKUP($B5,'JR G-Poles'!$B$5:$AI$24,30,FALSE)),0)+IFERROR(IF(VLOOKUP($B5,'JR G-Goats'!$B$5:$AI$24,30,FALSE)=" ",0,VLOOKUP($B5,'JR G-Goats'!$B$5:$AI$24,30,FALSE)),0)+IFERROR(IF(VLOOKUP($B5,'JR-Team Roping-Header (2)'!$B$5:$AI$24,30,FALSE)=" ",0,VLOOKUP($B5,'JR-Team Roping-Header (2)'!$B$5:$AI$24,30,FALSE)),0)+IFERROR(IF(VLOOKUP($B5,'JR-Team Roping-Heeler (2)'!$B$5:$AI$24,30,FALSE)=" ",0,VLOOKUP($B5,'JR-Team Roping-Heeler (2)'!$B$5:$AI$24,30,FALSE)),0)</calculatedColumnFormula>
    </tableColumn>
    <tableColumn id="11" xr3:uid="{3CE06DAF-27C0-4DFA-89AA-809A65583DB1}" name="Points472" dataDxfId="1654">
      <calculatedColumnFormula>IF(U5&gt;0,U5," ")</calculatedColumnFormula>
    </tableColumn>
    <tableColumn id="59" xr3:uid="{E62FFB09-82DE-4681-93B8-4A77336F24E3}" name="Place58" dataDxfId="1653">
      <calculatedColumnFormula>IF(U5=0," ",RANK(U5,U$5:U$24,0))</calculatedColumnFormula>
    </tableColumn>
    <tableColumn id="61" xr3:uid="{8F553BF3-53B7-4025-A2BA-A5E52AD73EE7}" name="Points48" dataDxfId="1652">
      <calculatedColumnFormula>IFERROR(IF(VLOOKUP($B5,'JR G-Breakaway'!$B$5:$AI$24,34,FALSE)=" ",0,VLOOKUP($B5,'JR G-Breakaway'!$B$5:$AI$24,34,FALSE)),0)+IFERROR(IF(VLOOKUP($B5,'JR G-Barrels'!$B$5:$AI$24,34,FALSE)=" ",0,VLOOKUP($B5,'JR G-Barrels'!$B$5:$AI$24,34,FALSE)),0)+IFERROR(IF(VLOOKUP($B5,'JR G-Poles'!$B$5:$AI$24,34,FALSE)=" ",0,VLOOKUP($B5,'JR G-Poles'!$B$5:$AI$24,34,FALSE)),0)+IFERROR(IF(VLOOKUP($B5,'JR G-Goats'!$B$5:$AI$24,34,FALSE)=" ",0,VLOOKUP($B5,'JR G-Goats'!$B$5:$AI$24,34,FALSE)),0)+IFERROR(IF(VLOOKUP($B5,'JR-Team Roping-Header (2)'!$B$5:$AI$24,34,FALSE)=" ",0,VLOOKUP($B5,'JR-Team Roping-Header (2)'!$B$5:$AI$24,34,FALSE)),0)+IFERROR(IF(VLOOKUP($B5,'JR-Team Roping-Heeler (2)'!$B$5:$AI$24,34,FALSE)=" ",0,VLOOKUP($B5,'JR-Team Roping-Heeler (2)'!$B$5:$AI$24,34,FALSE)),0)</calculatedColumnFormula>
    </tableColumn>
    <tableColumn id="12" xr3:uid="{82628865-03A1-4AE4-9D9A-9004B1598DDF}" name="Points49" dataDxfId="1651">
      <calculatedColumnFormula>IF(X5&gt;0,X5," ")</calculatedColumnFormula>
    </tableColumn>
    <tableColumn id="62" xr3:uid="{85F90174-36B4-4FBE-9EC8-0B195B3FECC7}" name="Place59" dataDxfId="1650">
      <calculatedColumnFormula>IF(X5=0," ",RANK(X5,X$5:X$24,0))</calculatedColumnFormula>
    </tableColumn>
    <tableColumn id="2" xr3:uid="{1016C1BE-4FCF-47B4-97C7-C46DC1C39A41}" name="Points482" dataDxfId="1649">
      <calculatedColumnFormula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calculatedColumnFormula>
    </tableColumn>
    <tableColumn id="13" xr3:uid="{FB26495D-6D86-4406-9C25-EFECF2361CE8}" name="Points483" dataDxfId="1648">
      <calculatedColumnFormula>IF(AA5&gt;0,AA5," ")</calculatedColumnFormula>
    </tableColumn>
    <tableColumn id="3" xr3:uid="{814847EE-C340-4EE1-BE23-5460978F7792}" name="Place593" dataDxfId="1647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910DB1D-E2F5-4900-A20D-C68D24B510DA}" name="Table634568910112334444014" displayName="Table634568910112334444014" ref="B4:AC24" totalsRowShown="0" headerRowDxfId="44" dataDxfId="43" tableBorderDxfId="42">
  <autoFilter ref="B4:AC24" xr:uid="{89B1FF52-34AE-480D-BF76-50E05053D0D8}"/>
  <sortState xmlns:xlrd2="http://schemas.microsoft.com/office/spreadsheetml/2017/richdata2" ref="B5:AC24">
    <sortCondition ref="AC5:AC24"/>
    <sortCondition ref="B5:B24"/>
  </sortState>
  <tableColumns count="28">
    <tableColumn id="1" xr3:uid="{5E78717B-FFD9-4C24-9C19-8054E5E67D97}" name="Name" dataDxfId="41"/>
    <tableColumn id="39" xr3:uid="{78272590-A0FD-4732-B73B-0A8B2346120D}" name="Points" dataDxfId="40">
      <calculatedColumnFormula>IFERROR(IF(VLOOKUP($B5,'MM B-Dummy Roping'!$B$5:$AI$24,6,FALSE)=" ",0,VLOOKUP($B5,'MM B-Dummy Roping'!$B$5:$AI$24,6,FALSE)),0)+IFERROR(IF(VLOOKUP($B5,'MM B-Flags'!$B$5:$AI$24,6,FALSE)=" ",0,VLOOKUP($B5,'MM B-Flags'!$B$5:$AI$24,6,FALSE)),0)+IFERROR(IF(VLOOKUP($B5,'MM B-Figure 8'!$B$5:$AI$24,6,FALSE)=" ",0,VLOOKUP($B5,'MM B-Figure 8'!$B$5:$AI$24,6,FALSE)),0)+IFERROR(IF(VLOOKUP($B5,'MM B-Goats'!$B$5:$AI$24,6,FALSE)=" ",0,VLOOKUP($B5,'MM B-Goats'!$B$5:$AI$24,6,FALSE)),0)</calculatedColumnFormula>
    </tableColumn>
    <tableColumn id="4" xr3:uid="{67B6A221-B1A7-41D5-AA67-BC16B3C85C85}" name="Column1" dataDxfId="39">
      <calculatedColumnFormula>IF(C5&gt;0,C5," ")</calculatedColumnFormula>
    </tableColumn>
    <tableColumn id="5" xr3:uid="{1028A7D3-2D53-43CE-A2D3-B66E700A4907}" name="Place" dataDxfId="38">
      <calculatedColumnFormula>IF(C5=0," ",RANK(C5,C$5:C$24,0))</calculatedColumnFormula>
    </tableColumn>
    <tableColumn id="43" xr3:uid="{85941EDD-D9DC-430F-89D8-FB54E03BF4F6}" name="Points4" dataDxfId="37">
      <calculatedColumnFormula>IFERROR(IF(VLOOKUP($B5,'MM B-Dummy Roping'!$B$5:$AI$24,10,FALSE)=" ",0,VLOOKUP($B5,'MM B-Dummy Roping'!$B$5:$AI$24,10,FALSE)),0)+IFERROR(IF(VLOOKUP($B5,'MM B-Flags'!$B$5:$AI$24,10,FALSE)=" ",0,VLOOKUP($B5,'MM B-Flags'!$B$5:$AI$24,10,FALSE)),0)+IFERROR(IF(VLOOKUP($B5,'MM B-Figure 8'!$B$5:$AI$24,10,FALSE)=" ",0,VLOOKUP($B5,'MM B-Figure 8'!$B$5:$AI$24,10,FALSE)),0)+IFERROR(IF(VLOOKUP($B5,'MM B-Goats'!$B$5:$AI$24,10,FALSE)=" ",0,VLOOKUP($B5,'MM B-Goats'!$B$5:$AI$24,10,FALSE)),0)</calculatedColumnFormula>
    </tableColumn>
    <tableColumn id="6" xr3:uid="{63B6FCA1-3CD6-4AFF-8570-B535C1947BF3}" name="Points5" dataDxfId="36">
      <calculatedColumnFormula>IF(F5&gt;0,F5," ")</calculatedColumnFormula>
    </tableColumn>
    <tableColumn id="44" xr3:uid="{24AF98C2-B6B4-46C1-BEE7-0F8CE1417845}" name="Place5" dataDxfId="35">
      <calculatedColumnFormula>IF(F5=0," ",RANK(F5,F$5:F$24,0))</calculatedColumnFormula>
    </tableColumn>
    <tableColumn id="46" xr3:uid="{05021011-EB38-4D7D-AEFB-3038C5D9C1ED}" name="Points43" dataDxfId="34">
      <calculatedColumnFormula>IFERROR(IF(VLOOKUP($B5,'MM B-Dummy Roping'!$B$5:$AI$24,14,FALSE)=" ",0,VLOOKUP($B5,'MM B-Dummy Roping'!$B$5:$AI$24,14,FALSE)),0)+IFERROR(IF(VLOOKUP($B5,'MM B-Flags'!$B$5:$AI$24,14,FALSE)=" ",0,VLOOKUP($B5,'MM B-Flags'!$B$5:$AI$24,14,FALSE)),0)+IFERROR(IF(VLOOKUP($B5,'MM B-Figure 8'!$B$5:$AI$24,14,FALSE)=" ",0,VLOOKUP($B5,'MM B-Figure 8'!$B$5:$AI$24,14,FALSE)),0)+IFERROR(IF(VLOOKUP($B5,'MM B-Goats'!$B$5:$AI$24,14,FALSE)=" ",0,VLOOKUP($B5,'MM B-Goats'!$B$5:$AI$24,14,FALSE)),0)</calculatedColumnFormula>
    </tableColumn>
    <tableColumn id="7" xr3:uid="{89BD3FFB-9FA7-4725-ABB0-72DB9B8AEB66}" name="Points432" dataDxfId="33">
      <calculatedColumnFormula>IF(I5&gt;0,I5," ")</calculatedColumnFormula>
    </tableColumn>
    <tableColumn id="47" xr3:uid="{D54052BE-9712-4E5D-960B-832CE6B6CD4F}" name="Place54" dataDxfId="32">
      <calculatedColumnFormula>IF(I5=0," ",RANK(I5,I$5:I$24,0))</calculatedColumnFormula>
    </tableColumn>
    <tableColumn id="49" xr3:uid="{DA9D2C3F-A57A-429E-AB37-2546791C4A6F}" name="Points44" dataDxfId="31">
      <calculatedColumnFormula>IFERROR(IF(VLOOKUP($B5,'MM B-Dummy Roping'!$B$5:$AI$24,18,FALSE)=" ",0,VLOOKUP($B5,'MM B-Dummy Roping'!$B$5:$AI$24,18,FALSE)),0)+IFERROR(IF(VLOOKUP($B5,'MM B-Flags'!$B$5:$AI$24,18,FALSE)=" ",0,VLOOKUP($B5,'MM B-Flags'!$B$5:$AI$24,18,FALSE)),0)+IFERROR(IF(VLOOKUP($B5,'MM B-Figure 8'!$B$5:$AI$24,18,FALSE)=" ",0,VLOOKUP($B5,'MM B-Figure 8'!$B$5:$AI$24,18,FALSE)),0)+IFERROR(IF(VLOOKUP($B5,'MM B-Goats'!$B$5:$AI$24,18,FALSE)=" ",0,VLOOKUP($B5,'MM B-Goats'!$B$5:$AI$24,18,FALSE)),0)</calculatedColumnFormula>
    </tableColumn>
    <tableColumn id="8" xr3:uid="{8E3D4441-3AEE-4DA3-ADD4-4239919C79E1}" name="Points442" dataDxfId="30">
      <calculatedColumnFormula>IF(L5&gt;0,L5," ")</calculatedColumnFormula>
    </tableColumn>
    <tableColumn id="50" xr3:uid="{AF1391C6-A7D4-44DD-BCF7-9DD13836863A}" name="Place55" dataDxfId="29">
      <calculatedColumnFormula>IF(L5=0," ",RANK(L5,L$5:L$24,0))</calculatedColumnFormula>
    </tableColumn>
    <tableColumn id="52" xr3:uid="{B37A4AAF-5E50-41BE-B2F6-3334F4A4D5E2}" name="Points45" dataDxfId="28">
      <calculatedColumnFormula>IFERROR(IF(VLOOKUP($B5,'MM B-Dummy Roping'!$B$5:$AI$24,22,FALSE)=" ",0,VLOOKUP($B5,'MM B-Dummy Roping'!$B$5:$AI$24,22,FALSE)),0)+IFERROR(IF(VLOOKUP($B5,'MM B-Flags'!$B$5:$AI$24,22,FALSE)=" ",0,VLOOKUP($B5,'MM B-Flags'!$B$5:$AI$24,22,FALSE)),0)+IFERROR(IF(VLOOKUP($B5,'MM B-Figure 8'!$B$5:$AI$24,22,FALSE)=" ",0,VLOOKUP($B5,'MM B-Figure 8'!$B$5:$AI$24,22,FALSE)),0)+IFERROR(IF(VLOOKUP($B5,'MM B-Goats'!$B$5:$AI$24,22,FALSE)=" ",0,VLOOKUP($B5,'MM B-Goats'!$B$5:$AI$24,22,FALSE)),0)</calculatedColumnFormula>
    </tableColumn>
    <tableColumn id="9" xr3:uid="{03C5F1D8-275E-4761-BF51-BF9BBF75EB15}" name="Points452" dataDxfId="27">
      <calculatedColumnFormula>IF(O5&gt;0,O5," ")</calculatedColumnFormula>
    </tableColumn>
    <tableColumn id="53" xr3:uid="{A3450D03-426A-4FC6-A4DC-6C27C7CE2838}" name="Place56" dataDxfId="26">
      <calculatedColumnFormula>IF(O5=0," ",RANK(O5,O$5:O$24,0))</calculatedColumnFormula>
    </tableColumn>
    <tableColumn id="55" xr3:uid="{37AF5F33-C8D7-4915-B167-7B72C6FDE942}" name="Points46" dataDxfId="25">
      <calculatedColumnFormula>IFERROR(IF(VLOOKUP($B5,'MM B-Dummy Roping'!$B$5:$AI$24,26,FALSE)=" ",0,VLOOKUP($B5,'MM B-Dummy Roping'!$B$5:$AI$24,26,FALSE)),0)+IFERROR(IF(VLOOKUP($B5,'MM B-Flags'!$B$5:$AI$24,26,FALSE)=" ",0,VLOOKUP($B5,'MM B-Flags'!$B$5:$AI$24,26,FALSE)),0)+IFERROR(IF(VLOOKUP($B5,'MM B-Figure 8'!$B$5:$AI$24,26,FALSE)=" ",0,VLOOKUP($B5,'MM B-Figure 8'!$B$5:$AI$24,26,FALSE)),0)+IFERROR(IF(VLOOKUP($B5,'MM B-Goats'!$B$5:$AI$24,26,FALSE)=" ",0,VLOOKUP($B5,'MM B-Goats'!$B$5:$AI$24,26,FALSE)),0)</calculatedColumnFormula>
    </tableColumn>
    <tableColumn id="10" xr3:uid="{993F0B24-38AE-42EF-899C-7F6BB164074D}" name="Points462" dataDxfId="24">
      <calculatedColumnFormula>IF(R5&gt;0,R5," ")</calculatedColumnFormula>
    </tableColumn>
    <tableColumn id="56" xr3:uid="{CAF29DCB-0BD3-44F7-8D4A-4F4AB755092D}" name="Place57" dataDxfId="23">
      <calculatedColumnFormula>IF(R5=0," ",RANK(R5,R$5:R$24,0))</calculatedColumnFormula>
    </tableColumn>
    <tableColumn id="58" xr3:uid="{B73164E7-D15F-4E77-A991-5B7EA98D6440}" name="Points47" dataDxfId="22">
      <calculatedColumnFormula>IFERROR(IF(VLOOKUP($B5,'MM B-Dummy Roping'!$B$5:$AI$24,30,FALSE)=" ",0,VLOOKUP($B5,'MM B-Dummy Roping'!$B$5:$AI$24,30,FALSE)),0)+IFERROR(IF(VLOOKUP($B5,'MM B-Flags'!$B$5:$AI$24,30,FALSE)=" ",0,VLOOKUP($B5,'MM B-Flags'!$B$5:$AI$24,30,FALSE)),0)+IFERROR(IF(VLOOKUP($B5,'MM B-Figure 8'!$B$5:$AI$24,30,FALSE)=" ",0,VLOOKUP($B5,'MM B-Figure 8'!$B$5:$AI$24,30,FALSE)),0)+IFERROR(IF(VLOOKUP($B5,'MM B-Goats'!$B$5:$AI$24,30,FALSE)=" ",0,VLOOKUP($B5,'MM B-Goats'!$B$5:$AI$24,30,FALSE)),0)</calculatedColumnFormula>
    </tableColumn>
    <tableColumn id="11" xr3:uid="{CA6E22B6-D778-41CC-B94B-769E57D192A2}" name="Points472" dataDxfId="21">
      <calculatedColumnFormula>IF(U5&gt;0,U5," ")</calculatedColumnFormula>
    </tableColumn>
    <tableColumn id="59" xr3:uid="{2FF36B98-8D9E-4611-A784-51B55EB7CF23}" name="Place58" dataDxfId="20">
      <calculatedColumnFormula>IF(U5=0," ",RANK(U5,U$5:U$24,0))</calculatedColumnFormula>
    </tableColumn>
    <tableColumn id="61" xr3:uid="{6FBDC58B-AED1-46FD-ADB4-80953B1B8F84}" name="Points48" dataDxfId="19">
      <calculatedColumnFormula>IFERROR(IF(VLOOKUP($B5,'MM B-Dummy Roping'!$B$5:$AI$24,34,FALSE)=" ",0,VLOOKUP($B5,'MM B-Dummy Roping'!$B$5:$AI$24,34,FALSE)),0)+IFERROR(IF(VLOOKUP($B5,'MM B-Flags'!$B$5:$AI$24,34,FALSE)=" ",0,VLOOKUP($B5,'MM B-Flags'!$B$5:$AI$24,34,FALSE)),0)+IFERROR(IF(VLOOKUP($B5,'MM B-Figure 8'!$B$5:$AI$24,34,FALSE)=" ",0,VLOOKUP($B5,'MM B-Figure 8'!$B$5:$AI$24,34,FALSE)),0)+IFERROR(IF(VLOOKUP($B5,'MM B-Goats'!$B$5:$AI$24,34,FALSE)=" ",0,VLOOKUP($B5,'MM B-Goats'!$B$5:$AI$24,34,FALSE)),0)</calculatedColumnFormula>
    </tableColumn>
    <tableColumn id="12" xr3:uid="{759D2148-E03A-4558-BEA3-20D87C599078}" name="Points49" dataDxfId="18">
      <calculatedColumnFormula>IF(X5&gt;0,X5," ")</calculatedColumnFormula>
    </tableColumn>
    <tableColumn id="62" xr3:uid="{0C4B4A9F-41FE-4DC2-B15B-8D7658470C9D}" name="Place59" dataDxfId="17">
      <calculatedColumnFormula>IF(X5=0," ",RANK(X5,X$5:X$24,0))</calculatedColumnFormula>
    </tableColumn>
    <tableColumn id="2" xr3:uid="{FB197054-6782-4C2B-B89A-8AD581CEA059}" name="Points482" dataDxfId="16">
      <calculatedColumnFormula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calculatedColumnFormula>
    </tableColumn>
    <tableColumn id="13" xr3:uid="{9C5E40D2-47BF-453F-83CE-DA615639FB1A}" name="Points483" dataDxfId="15">
      <calculatedColumnFormula>IF(AA5&gt;0,AA5," ")</calculatedColumnFormula>
    </tableColumn>
    <tableColumn id="3" xr3:uid="{84B6EFC1-A81F-416F-9A57-3CED82A0A8EE}" name="Place593" dataDxfId="14">
      <calculatedColumnFormula>IF(AB5=" "," ",RANK(AB5,AB$5:AB$24))</calculatedColumnFormula>
    </tableColumn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820709C-F6BC-4777-AA50-E69DABF45DC5}" name="Table634568910112334444014356" displayName="Table634568910112334444014356" ref="B4:E32" totalsRowShown="0" headerRowDxfId="13" dataDxfId="12" tableBorderDxfId="11">
  <autoFilter ref="B4:E32" xr:uid="{89B1FF52-34AE-480D-BF76-50E05053D0D8}"/>
  <sortState xmlns:xlrd2="http://schemas.microsoft.com/office/spreadsheetml/2017/richdata2" ref="B5:E32">
    <sortCondition ref="E5:E32"/>
    <sortCondition ref="B5:B32"/>
  </sortState>
  <tableColumns count="4">
    <tableColumn id="1" xr3:uid="{AA272E0C-2E43-4E57-A1BD-41F3E0910233}" name="Column1" dataDxfId="10"/>
    <tableColumn id="13" xr3:uid="{590B2226-290F-4895-A771-E903F3ECFF88}" name="Points483" dataDxfId="9">
      <calculatedColumnFormula>IFERROR(IF(VLOOKUP($B5,'SR G-Barrels'!$B$5:$AC$100,36,FALSE)=" ",0,VLOOKUP($B5,'SR G-Barrels'!$B$5:$AC$100,36,FALSE)),0)+IFERROR(IF(VLOOKUP($B5,'SR G-Poles'!$B$5:$AC$100,36,FALSE)=" ",0,VLOOKUP($B5,'SR G-Poles'!$B$5:$AC$100,36,FALSE)),0)+IFERROR(IF(VLOOKUP($B5,'SR G-Goats'!$B$5:$AC$100,36,FALSE)=" ",0,VLOOKUP($B5,'SR G-Goats'!$B$5:$AC$100,36,FALSE)),0)+IFERROR(IF(VLOOKUP($B5,'SR G-Breakaway'!$B$5:$AC$100,36,FALSE)=" ",0,VLOOKUP($B5,'SR G-Breakaway'!$B$5:$AC$100,36,FALSE)),0)+IFERROR(IF(VLOOKUP($B5,'SR-Team Roping-Header'!$B$5:$AC$100,12,FALSE)=" ",0,VLOOKUP($B5,'SR-Team Roping-Header'!$B$5:$AC$100,12,FALSE)),0)+IFERROR(IF(VLOOKUP($B5,'SR-Team Roping-Heeler'!$B$5:$AC$100,12,FALSE)=" ",0,VLOOKUP($B5,'SR-Team Roping-Heeler'!$B$5:$AC$100,12,FALSE)),0)+IFERROR(IF(VLOOKUP($B5,'JR G-Barrels'!$B$5:$AC$100,36,FALSE)=" ",0,VLOOKUP($B5,'JR G-Barrels'!$B$5:$AC$100,36,FALSE)),0)+IFERROR(IF(VLOOKUP($B5,'JR G-Poles'!$B$5:$AC$100,36,FALSE)=" ",0,VLOOKUP($B5,'JR G-Poles'!$B$5:$AC$100,36,FALSE)),0)+IFERROR(IF(VLOOKUP($B5,'JR G-Goats'!$B$5:$AC$100,36,FALSE)=" ",0,VLOOKUP($B5,'JR G-Goats'!$B$5:$AC$100,36,FALSE)),0)+IFERROR(IF(VLOOKUP($B5,'JR G-Breakaway'!$B$5:$AC$100,36,FALSE)=" ",0,VLOOKUP($B5,'JR G-Breakaway'!$B$5:$AC$100,36,FALSE)),0)+IFERROR(IF(VLOOKUP($B5,'JR-Team Roping-Header'!$B$5:$AC$100,12,FALSE)=" ",0,VLOOKUP($B5,'JR-Team Roping-Header'!$B$5:$AC$100,12,FALSE)),0)+IFERROR(IF(VLOOKUP($B5,'JR-Team Roping-Heeler'!$B$5:$AC$100,12,FALSE)=" ",0,VLOOKUP($B5,'JR-Team Roping-Heeler'!$B$5:$AC$100,12,FALSE)),0)+IFERROR(IF(VLOOKUP($B5,'PW G-Barrels'!$B$5:$AC$101,36,FALSE)=" ",0,VLOOKUP($B5,'PW G-Barrels'!$B$5:$AC$101,36,FALSE)),0)+IFERROR(IF(VLOOKUP($B5,'PW G-Poles'!$B$5:$AC$101,36,FALSE)=" ",0,VLOOKUP($B5,'PW G-Poles'!$B$5:$AC$101,36,FALSE)),0)+IFERROR(IF(VLOOKUP($B5,'PW G-Goats'!$B$5:$AC$100,36,FALSE)=" ",0,VLOOKUP($B5,'PW G-Goats'!$B$5:$AC$100,36,FALSE)),0)+IFERROR(IF(VLOOKUP($B5,'PW G-Breakaway'!$B$5:$AC$100,36,FALSE)=" ",0,VLOOKUP($B5,'PW G-Breakaway'!$B$5:$AC$100,36,FALSE)),0)+IFERROR(IF(VLOOKUP($B5,'MM G-Dummy Roping'!$B$5:$AC$100,27,FALSE)=" ",0,VLOOKUP($B5,'MM G-Dummy Roping'!$B$5:$AC$100,27,FALSE)),0)+IFERROR(IF(VLOOKUP($B5,'MM G-Barrels'!$B$5:$AC$100,27,FALSE)=" ",0,VLOOKUP($B5,'MM G-Barrels'!$B$5:$AC$100,27,FALSE)),0)+IFERROR(IF(VLOOKUP($B5,'MM G-Figure 8'!$B$5:$AC$100,27,FALSE)=" ",0,VLOOKUP($B5,'MM G-Figure 8'!$B$5:$AC$100,27,FALSE)),0)+IFERROR(IF(VLOOKUP($B5,'MM G-Goats'!$B$5:$AC$100,27,FALSE)=" ",0,VLOOKUP($B5,'MM G-Goats'!$B$5:$AC$100,27,FALSE)),0)</calculatedColumnFormula>
    </tableColumn>
    <tableColumn id="2" xr3:uid="{277F5481-B11D-4188-AAE5-8074335D424C}" name="Points484" dataDxfId="8">
      <calculatedColumnFormula>IF(C5&gt;0,C5," ")</calculatedColumnFormula>
    </tableColumn>
    <tableColumn id="3" xr3:uid="{382B5218-9DE7-4990-B0BC-10FB3B160812}" name="Place593" dataDxfId="7">
      <calculatedColumnFormula>IF(C5=" "," ",RANK(C5,C$5:C$32))</calculatedColumnFormula>
    </tableColumn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ABBADA5-ED4C-42D8-AB50-62A68115B342}" name="Table63456891011233444401435" displayName="Table63456891011233444401435" ref="B4:E24" totalsRowShown="0" headerRowDxfId="6" dataDxfId="5" tableBorderDxfId="4">
  <autoFilter ref="B4:E24" xr:uid="{89B1FF52-34AE-480D-BF76-50E05053D0D8}"/>
  <sortState xmlns:xlrd2="http://schemas.microsoft.com/office/spreadsheetml/2017/richdata2" ref="B5:E24">
    <sortCondition ref="E5:E24"/>
    <sortCondition ref="B5:B24"/>
  </sortState>
  <tableColumns count="4">
    <tableColumn id="1" xr3:uid="{7619563C-C94A-45DA-8F41-52E5D0D105DE}" name="Name" dataDxfId="3"/>
    <tableColumn id="13" xr3:uid="{33D9852F-0B5D-4958-9672-0D6DC8FC9227}" name="Points483" dataDxfId="2">
      <calculatedColumnFormula>IF(#REF!&gt;0,#REF!," ")</calculatedColumnFormula>
    </tableColumn>
    <tableColumn id="2" xr3:uid="{F661B07C-4E89-4A66-998D-676DAE9D4AA0}" name="Points484" dataDxfId="1">
      <calculatedColumnFormula>IF(C5&gt;0,C5," ")</calculatedColumnFormula>
    </tableColumn>
    <tableColumn id="3" xr3:uid="{2D5C7A9F-143F-4B86-8F71-1928A236588F}" name="Place593" dataDxfId="0">
      <calculatedColumnFormula>IF(C5=" "," ",RANK(C5,C$5:C$24))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AD82F8-A768-4D23-BD33-B38FF305578D}" name="Table62202732333417181930512" displayName="Table62202732333417181930512" ref="B4:AH25" totalsRowShown="0" headerRowDxfId="1646" dataDxfId="1645" tableBorderDxfId="1644">
  <autoFilter ref="B4:AH25" xr:uid="{89B1FF52-34AE-480D-BF76-50E05053D0D8}"/>
  <sortState xmlns:xlrd2="http://schemas.microsoft.com/office/spreadsheetml/2017/richdata2" ref="B5:AH25">
    <sortCondition ref="I5:I25"/>
    <sortCondition ref="B5:B25"/>
  </sortState>
  <tableColumns count="33">
    <tableColumn id="1" xr3:uid="{20E31493-5999-465E-B283-1ED5C8405094}" name="Name" dataDxfId="1643"/>
    <tableColumn id="2" xr3:uid="{DD348371-6682-42B5-8A78-E1069638F7E9}" name="Time/Score" dataDxfId="1642" dataCellStyle="Comma"/>
    <tableColumn id="3" xr3:uid="{9CABD856-1A76-4FD2-82B5-E04293F91A39}" name="Column2" dataDxfId="1641">
      <calculatedColumnFormula>IF(C5=0," ",_xlfn.RANK.AVG(C5,C$5:C$25,1)-COUNTIF(C$5:C$25,0))</calculatedColumnFormula>
    </tableColumn>
    <tableColumn id="4" xr3:uid="{12A7AA0B-957D-4253-A307-BB36C751665E}" name="Place" dataDxfId="1640">
      <calculatedColumnFormula>IF(C5=0," ",IF((RANK(C5,C$5:C$25,1)-COUNTIF(C$5:C$25,0)&gt;6)," ",RANK(C5,C$5:C$25,1)-COUNTIF(C$5:C$25,0)))</calculatedColumnFormula>
    </tableColumn>
    <tableColumn id="5" xr3:uid="{EF50642B-8FD5-4744-8133-63BE638940CF}" name="Points" dataDxfId="1639">
      <calculatedColumnFormula>IF(E5=" "," ",IFERROR(VLOOKUP(D5,Points!$A$2:$B$14,2,FALSE)," "))</calculatedColumnFormula>
    </tableColumn>
    <tableColumn id="6" xr3:uid="{CC042788-3B8F-41C8-8076-E34E31CBB47F}" name="Time/Score3" dataDxfId="1638" dataCellStyle="Comma"/>
    <tableColumn id="7" xr3:uid="{00A3DF0A-9132-4FA4-B8F0-2822C38B3812}" name="Time/Score4" dataDxfId="1637">
      <calculatedColumnFormula>IF(G5=0," ",_xlfn.RANK.AVG(G5,G$5:G$25,1)-COUNTIF(G$5:G$25,0))</calculatedColumnFormula>
    </tableColumn>
    <tableColumn id="8" xr3:uid="{02FBDA5E-893E-4D31-AF25-149F452BEEC5}" name="Place4" dataDxfId="1636">
      <calculatedColumnFormula>IF(G5=0," ",IF((RANK(G5,G$5:G$25,1)-COUNTIF(G$5:G$25,0)&gt;6)," ",RANK(G5,G$5:G$25,1)-COUNTIF(G$5:G$25,0)))</calculatedColumnFormula>
    </tableColumn>
    <tableColumn id="9" xr3:uid="{A403C3CC-C18B-443A-A55C-EE2FAE021EDA}" name="Points5" dataDxfId="1635">
      <calculatedColumnFormula>IF(I5=" "," ",IFERROR(VLOOKUP(H5,Points!$A$2:$B$14,2,FALSE)," "))</calculatedColumnFormula>
    </tableColumn>
    <tableColumn id="10" xr3:uid="{85156342-4BBB-435D-A490-4F1CDB3181B3}" name="Time/Score6" dataDxfId="1634" dataCellStyle="Comma"/>
    <tableColumn id="11" xr3:uid="{59D1D111-ECD8-457D-95BD-599E70C005D0}" name="Time/Score7" dataDxfId="1633">
      <calculatedColumnFormula>IF(K5=0," ",_xlfn.RANK.AVG(K5,K$5:K$25,1)-COUNTIF(K$5:K$25,0))</calculatedColumnFormula>
    </tableColumn>
    <tableColumn id="12" xr3:uid="{8CF2FF45-0323-412D-A845-B3A4973EDF43}" name="Place7" dataDxfId="1632">
      <calculatedColumnFormula>IF(K5=0," ",IF((RANK(K5,K$5:K$25,1)-COUNTIF(K$5:K$25,0)&gt;6)," ",RANK(K5,K$5:K$25,1)-COUNTIF(K$5:K$25,0)))</calculatedColumnFormula>
    </tableColumn>
    <tableColumn id="13" xr3:uid="{D8BA5E2B-E791-4AA6-8AEB-F540610AB87B}" name="Points8" dataDxfId="1631">
      <calculatedColumnFormula>IF(M5=" "," ",IFERROR(VLOOKUP(L5,Points!$A$2:$B$14,2,FALSE)," "))</calculatedColumnFormula>
    </tableColumn>
    <tableColumn id="14" xr3:uid="{FAFE77DA-003A-4230-A62E-6AA3E5749881}" name="Time/Score9" dataDxfId="1630" dataCellStyle="Comma"/>
    <tableColumn id="15" xr3:uid="{A2671ACA-AD78-4B07-9590-1964A6B2B5DD}" name="Time/Score10" dataDxfId="1629">
      <calculatedColumnFormula>IF(O5=0," ",_xlfn.RANK.AVG(O5,O$5:O$25,1)-COUNTIF(O$5:O$25,0))</calculatedColumnFormula>
    </tableColumn>
    <tableColumn id="16" xr3:uid="{18F7CBA6-0227-43F2-96BC-12D9F9D7EC0C}" name="Place10" dataDxfId="1628">
      <calculatedColumnFormula>IF(O5=0," ",IF((RANK(O5,O$5:O$25,1)-COUNTIF(O$5:O$25,0)&gt;6)," ",RANK(O5,O$5:O$25,1)-COUNTIF(O$5:O$25,0)))</calculatedColumnFormula>
    </tableColumn>
    <tableColumn id="17" xr3:uid="{DB78F529-FDC3-400D-915C-5CF279FCE6FC}" name="Points11" dataDxfId="1627">
      <calculatedColumnFormula>IF(Q5=" "," ",IFERROR(VLOOKUP(P5,Points!$A$2:$B$14,2,FALSE)," "))</calculatedColumnFormula>
    </tableColumn>
    <tableColumn id="18" xr3:uid="{6CEAA475-C267-42C3-BC70-8D66DE3ECE91}" name="Time/Score12" dataDxfId="1626" dataCellStyle="Comma"/>
    <tableColumn id="19" xr3:uid="{27AD1122-9283-43A1-8523-08446D854959}" name="Time/Score13" dataDxfId="1625">
      <calculatedColumnFormula>IF(S5=0," ",_xlfn.RANK.AVG(S5,S$5:S$25,1)-COUNTIF(S$5:S$25,0))</calculatedColumnFormula>
    </tableColumn>
    <tableColumn id="20" xr3:uid="{93E94DE2-3EBE-44D9-BBAF-973843A1C93B}" name="Place13" dataDxfId="1624">
      <calculatedColumnFormula>IF(S5=0," ",IF((RANK(S5,S$5:S$25,1)-COUNTIF(S$5:S$25,0)&gt;6)," ",RANK(S5,S$5:S$25,1)-COUNTIF(S$5:S$25,0)))</calculatedColumnFormula>
    </tableColumn>
    <tableColumn id="21" xr3:uid="{5ACEE306-74B6-4B7E-9FA9-E377BA6DE8B7}" name="Points14" dataDxfId="1623">
      <calculatedColumnFormula>IF(U5=" "," ",IFERROR(VLOOKUP(T5,Points!$A$2:$B$14,2,FALSE)," "))</calculatedColumnFormula>
    </tableColumn>
    <tableColumn id="22" xr3:uid="{7E674AF6-1CA3-421C-B623-844D2C98FEE5}" name="Time/Score15" dataDxfId="1622" dataCellStyle="Comma"/>
    <tableColumn id="23" xr3:uid="{79F2C6D6-58A8-4A07-8252-BA978D59EE38}" name="Time/Score16" dataDxfId="1621">
      <calculatedColumnFormula>IF(W5=0," ",_xlfn.RANK.AVG(W5,W$5:W$25,1)-COUNTIF(W$5:W$25,0))</calculatedColumnFormula>
    </tableColumn>
    <tableColumn id="24" xr3:uid="{300C307A-A0D3-4CB6-8295-7793C619CBDB}" name="Place16" dataDxfId="1620">
      <calculatedColumnFormula>IF(W5=0," ",IF((RANK(W5,W$5:W$25,1)-COUNTIF(W$5:W$25,0)&gt;6)," ",RANK(W5,W$5:W$25,1)-COUNTIF(W$5:W$25,0)))</calculatedColumnFormula>
    </tableColumn>
    <tableColumn id="25" xr3:uid="{B9557623-4511-4EFE-8808-BB59367E9DC2}" name="Points17" dataDxfId="1619">
      <calculatedColumnFormula>IF(Y5=" "," ",IFERROR(VLOOKUP(X5,Points!$A$2:$B$14,2,FALSE)," "))</calculatedColumnFormula>
    </tableColumn>
    <tableColumn id="26" xr3:uid="{2D55FF3E-6B1A-4A58-BFE0-CF564849FA5F}" name="Time/Score18" dataDxfId="1618" dataCellStyle="Comma"/>
    <tableColumn id="27" xr3:uid="{2A81FB5C-E03D-43E3-B195-5A59CA234CD6}" name="Time/Score19" dataDxfId="1617">
      <calculatedColumnFormula>IF(AA5=0," ",_xlfn.RANK.AVG(AA5,AA$5:AA$25,1)-COUNTIF(AA$5:AA$25,0))</calculatedColumnFormula>
    </tableColumn>
    <tableColumn id="28" xr3:uid="{96FFAAE2-D78F-4F6C-AF19-C66716DB952E}" name="Place19" dataDxfId="1616">
      <calculatedColumnFormula>IF(AA5=0," ",IF((RANK(AA5,AA$5:AA$25,1)-COUNTIF(AA$5:AA$25,0)&gt;6)," ",RANK(AA5,AA$5:AA$25,1)-COUNTIF(AA$5:AA$25,0)))</calculatedColumnFormula>
    </tableColumn>
    <tableColumn id="29" xr3:uid="{D47092FF-0CC7-4DD2-9D1D-E83F32B82A36}" name="Points20" dataDxfId="1615">
      <calculatedColumnFormula>IF(AC5=" "," ",IFERROR(VLOOKUP(AB5,Points!$A$2:$B$14,2,FALSE)," "))</calculatedColumnFormula>
    </tableColumn>
    <tableColumn id="30" xr3:uid="{DA1DDEFB-446F-479C-9052-207C0EEBB589}" name="Time/Score21" dataDxfId="1614" dataCellStyle="Comma">
      <calculatedColumnFormula>IF(OR(W5=0,AA5=0)," ",W5+AA5)</calculatedColumnFormula>
    </tableColumn>
    <tableColumn id="31" xr3:uid="{2F011EB6-F8F9-4436-8248-23DFD009D923}" name="Time/Score22" dataDxfId="1613">
      <calculatedColumnFormula>IF(OR(AE5=0,AE5=" ")," ",_xlfn.RANK.AVG(AE5,AE$5:AE$25,1)-COUNTIF(AE$5:AE$25,0))</calculatedColumnFormula>
    </tableColumn>
    <tableColumn id="32" xr3:uid="{E610706B-82B5-451C-9604-2F839C977973}" name="Place22" dataDxfId="1612">
      <calculatedColumnFormula>IF(OR(AE5=0,AE5=" ")," ",IF((RANK(AE5,AE$5:AE$25,1)-COUNTIF(AE$5:AE$25,0)&gt;6)," ",RANK(AE5,AE$5:AE$25,1)-COUNTIF(AE$5:AE$25,0)))</calculatedColumnFormula>
    </tableColumn>
    <tableColumn id="33" xr3:uid="{0CC295D2-FD4F-4FDD-817D-F89A5EDE9896}" name="Points23" dataDxfId="1611">
      <calculatedColumnFormula>IF(AG5=" "," ",IFERROR(VLOOKUP(AG5,Points!$A$2:$B$14,2,FALSE)," "))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C45AA6-4EA1-4BC4-BD5D-F23D620286D4}" name="Table62202732333417181930514" displayName="Table62202732333417181930514" ref="B4:N24" totalsRowShown="0" headerRowDxfId="1610" dataDxfId="1609" tableBorderDxfId="1608">
  <autoFilter ref="B4:N24" xr:uid="{89B1FF52-34AE-480D-BF76-50E05053D0D8}"/>
  <sortState xmlns:xlrd2="http://schemas.microsoft.com/office/spreadsheetml/2017/richdata2" ref="B5:N24">
    <sortCondition ref="N5:N24"/>
    <sortCondition ref="B5:B24"/>
  </sortState>
  <tableColumns count="13">
    <tableColumn id="1" xr3:uid="{51F44B19-D50C-4B01-9077-14D9242DA778}" name="Name" dataDxfId="1607"/>
    <tableColumn id="37" xr3:uid="{C5CC95C1-AE8F-4D1D-BEB6-1DA4221BC324}" name="Non-Member" dataDxfId="1606"/>
    <tableColumn id="5" xr3:uid="{C646CFC4-CCCE-4E6F-860F-A439A4FAED67}" name="Points" dataDxfId="1605"/>
    <tableColumn id="9" xr3:uid="{7A25514C-1AC7-4D8C-8E17-C1946BE88527}" name="Points5" dataDxfId="1604"/>
    <tableColumn id="13" xr3:uid="{DF541EEF-28B7-421F-950E-58D33DAAA279}" name="Points8" dataDxfId="1603"/>
    <tableColumn id="17" xr3:uid="{EF682733-9A9F-48DF-9520-193DC5A7F860}" name="Points11" dataDxfId="1602"/>
    <tableColumn id="21" xr3:uid="{488B9842-E7ED-4AFB-AE24-14AD864F133C}" name="Points14" dataDxfId="1601"/>
    <tableColumn id="25" xr3:uid="{8A4CC32D-E2F6-4A96-A6D7-421234AD4C97}" name="Points17" dataDxfId="1600"/>
    <tableColumn id="29" xr3:uid="{E3780AF5-D802-457D-8408-44EBD75565A3}" name="Points20" dataDxfId="1599"/>
    <tableColumn id="33" xr3:uid="{2EE0B709-FDCE-4918-BDD6-2BE59C9B63C3}" name="Points23" dataDxfId="1598"/>
    <tableColumn id="34" xr3:uid="{993EB082-62A5-4FF2-9DFB-13DD2717482C}" name="Points24" dataDxfId="1597">
      <calculatedColumnFormula>IF(Table62202732333417181930514[[#This Row],[Non-Member]]="X"," ",((IF(D5=" ",0,D5))+(IF(E5=" ",0,E5))+(IF(F5=" ",0,F5))+(IF(G5=" ",0,G5))+(IF(H5=" ",0,H5))+(IF(I5=" ",0,I5))+(IF(J5=" ",0,J5))+(IF(K5=" ",0,K5))))</calculatedColumnFormula>
    </tableColumn>
    <tableColumn id="35" xr3:uid="{50E5E88D-683D-42ED-8E77-12439C273E67}" name="Points25" dataDxfId="1596" dataCellStyle="Comma">
      <calculatedColumnFormula>IF(L5=0," ",L5)</calculatedColumnFormula>
    </tableColumn>
    <tableColumn id="36" xr3:uid="{C5F04B68-FD18-4CBF-A5BB-007F09A6CCA4}" name="Place26" dataDxfId="1595">
      <calculatedColumnFormula>IF(M5=" "," ",RANK(M5,$M$5:$M$24))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19E4F19-4DD0-488E-BD62-DCA5CD7C3931}" name="Table6220273233341718193051" displayName="Table6220273233341718193051" ref="B4:AL24" totalsRowShown="0" headerRowDxfId="1594" dataDxfId="1593" tableBorderDxfId="1592">
  <autoFilter ref="B4:AL24" xr:uid="{89B1FF52-34AE-480D-BF76-50E05053D0D8}"/>
  <sortState xmlns:xlrd2="http://schemas.microsoft.com/office/spreadsheetml/2017/richdata2" ref="B5:AL24">
    <sortCondition ref="AL4:AL24"/>
  </sortState>
  <tableColumns count="37">
    <tableColumn id="1" xr3:uid="{7D5B28AF-0184-4AD1-87A8-15BBE9F9521D}" name="Name" dataDxfId="1591"/>
    <tableColumn id="37" xr3:uid="{534E1727-F6D8-496B-9664-08C5793113B9}" name="Non-Member" dataDxfId="1590"/>
    <tableColumn id="2" xr3:uid="{D5FF06B6-9B50-4782-844E-EECBF5987335}" name="Time/Score" dataDxfId="1589" dataCellStyle="Comma"/>
    <tableColumn id="3" xr3:uid="{D4F3EF78-6CB0-4A39-BEA1-A722F6431B93}" name="Column2" dataDxfId="1588">
      <calculatedColumnFormula>IF(D5=0," ",_xlfn.RANK.AVG(D5,D$5:D$24,1)-COUNTIF(D$5:D$24,0))</calculatedColumnFormula>
    </tableColumn>
    <tableColumn id="4" xr3:uid="{531B1CF6-6CF5-4341-99CD-2D4BF4138800}" name="Place" dataDxfId="1587">
      <calculatedColumnFormula>IF(D5=0," ",IF((RANK(D5,D$5:D$24,1)-COUNTIF(D$5:D$24,0)&gt;6)," ",RANK(D5,D$5:D$24,1)-COUNTIF(D$5:D$24,0)))</calculatedColumnFormula>
    </tableColumn>
    <tableColumn id="5" xr3:uid="{5DF03A33-EBED-42A3-87E5-1828EC6ACC43}" name="Points" dataDxfId="1586">
      <calculatedColumnFormula>IF(Table6220273233341718193051[[#This Row],[Non-Member]]="X"," ",IF(F5=" "," ",IFERROR(VLOOKUP(E5,Points!$A$2:$B$14,2,FALSE)," ")))</calculatedColumnFormula>
    </tableColumn>
    <tableColumn id="6" xr3:uid="{9DBAFD7C-362A-43EA-B9AA-E5F369E79EAC}" name="Time/Score3" dataDxfId="1585" dataCellStyle="Comma"/>
    <tableColumn id="7" xr3:uid="{AE5B7087-E475-4450-B2DC-A2EF626DAFA8}" name="Time/Score4" dataDxfId="1584">
      <calculatedColumnFormula>IF(H5=0," ",_xlfn.RANK.AVG(H5,H$5:H$24,1)-COUNTIF(H$5:H$24,0))</calculatedColumnFormula>
    </tableColumn>
    <tableColumn id="8" xr3:uid="{B8122649-F783-4E67-AFEC-15BB740EBE4E}" name="Place4" dataDxfId="1583">
      <calculatedColumnFormula>IF(H5=0," ",IF((RANK(H5,H$5:H$24,1)-COUNTIF(H$5:H$24,0)&gt;6)," ",RANK(H5,H$5:H$24,1)-COUNTIF(H$5:H$24,0)))</calculatedColumnFormula>
    </tableColumn>
    <tableColumn id="9" xr3:uid="{152322EB-32FF-40D5-988C-99B51AF11C95}" name="Points5" dataDxfId="1582">
      <calculatedColumnFormula>IF(Table6220273233341718193051[[#This Row],[Non-Member]]="X"," ",IF(J5=" "," ",IFERROR(VLOOKUP(I5,Points!$A$2:$B$14,2,FALSE)," ")))</calculatedColumnFormula>
    </tableColumn>
    <tableColumn id="10" xr3:uid="{32B8D153-4B29-43AD-A6CF-4D8497D9BAAB}" name="Time/Score6" dataDxfId="1581" dataCellStyle="Comma"/>
    <tableColumn id="11" xr3:uid="{6A89ED86-7205-4903-8955-390D9A45DD81}" name="Time/Score7" dataDxfId="1580">
      <calculatedColumnFormula>IF(L5=0," ",_xlfn.RANK.AVG(L5,L$5:L$24,1)-COUNTIF(L$5:L$24,0))</calculatedColumnFormula>
    </tableColumn>
    <tableColumn id="12" xr3:uid="{16356AF7-BDEC-4EAF-B01E-A6D61C022440}" name="Place7" dataDxfId="1579">
      <calculatedColumnFormula>IF(L5=0," ",IF((RANK(L5,L$5:L$24,1)-COUNTIF(L$5:L$24,0)&gt;6)," ",RANK(L5,L$5:L$24,1)-COUNTIF(L$5:L$24,0)))</calculatedColumnFormula>
    </tableColumn>
    <tableColumn id="13" xr3:uid="{EBAD4E03-D1A7-47FF-B9D0-7B0C58CA0897}" name="Points8" dataDxfId="1578">
      <calculatedColumnFormula>IF(Table6220273233341718193051[[#This Row],[Non-Member]]="X"," ",IF(N5=" "," ",IFERROR(VLOOKUP(M5,Points!$A$2:$B$14,2,FALSE)," ")))</calculatedColumnFormula>
    </tableColumn>
    <tableColumn id="14" xr3:uid="{4982B0D3-EA24-4CA3-84B3-C5F7788554E5}" name="Time/Score9" dataDxfId="1577" dataCellStyle="Comma"/>
    <tableColumn id="15" xr3:uid="{07290018-5FC5-4A63-B63D-13A1A494A5B9}" name="Time/Score10" dataDxfId="1576">
      <calculatedColumnFormula>IF(P5=0," ",_xlfn.RANK.AVG(P5,P$5:P$24,1)-COUNTIF(P$5:P$24,0))</calculatedColumnFormula>
    </tableColumn>
    <tableColumn id="16" xr3:uid="{E870A068-D8E7-4B5B-BA28-9307E29583E5}" name="Place10" dataDxfId="1575">
      <calculatedColumnFormula>IF(P5=0," ",IF((RANK(P5,P$5:P$24,1)-COUNTIF(P$5:P$24,0)&gt;6)," ",RANK(P5,P$5:P$24,1)-COUNTIF(P$5:P$24,0)))</calculatedColumnFormula>
    </tableColumn>
    <tableColumn id="17" xr3:uid="{7486D366-7E4B-417A-86E2-9D0C31C68708}" name="Points11" dataDxfId="1574">
      <calculatedColumnFormula>IF(Table6220273233341718193051[[#This Row],[Non-Member]]="X"," ",IF(R5=" "," ",IFERROR(VLOOKUP(Q5,Points!$A$2:$B$14,2,FALSE)," ")))</calculatedColumnFormula>
    </tableColumn>
    <tableColumn id="18" xr3:uid="{80F7A8B6-B42C-4D76-94F2-F8D1668D5646}" name="Time/Score12" dataDxfId="1573" dataCellStyle="Comma"/>
    <tableColumn id="19" xr3:uid="{B6DE642D-909C-4EE5-9351-F7BC9842CCF8}" name="Time/Score13" dataDxfId="1572">
      <calculatedColumnFormula>IF(T5=0," ",_xlfn.RANK.AVG(T5,T$5:T$24,1)-COUNTIF(T$5:T$24,0))</calculatedColumnFormula>
    </tableColumn>
    <tableColumn id="20" xr3:uid="{EFED2110-C959-4072-A028-77059A42A7F1}" name="Place13" dataDxfId="1571">
      <calculatedColumnFormula>IF(T5=0," ",IF((RANK(T5,T$5:T$24,1)-COUNTIF(T$5:T$24,0)&gt;6)," ",RANK(T5,T$5:T$24,1)-COUNTIF(T$5:T$24,0)))</calculatedColumnFormula>
    </tableColumn>
    <tableColumn id="21" xr3:uid="{2F3EE127-B5BD-469C-9A4B-A10C107AD8D2}" name="Points14" dataDxfId="1570">
      <calculatedColumnFormula>IF(Table6220273233341718193051[[#This Row],[Non-Member]]="X"," ",IF(V5=" "," ",IFERROR(VLOOKUP(U5,Points!$A$2:$B$14,2,FALSE)," ")))</calculatedColumnFormula>
    </tableColumn>
    <tableColumn id="22" xr3:uid="{1B5FEA13-2058-46E0-B15E-A227B252C9C2}" name="Time/Score15" dataDxfId="1569" dataCellStyle="Comma"/>
    <tableColumn id="23" xr3:uid="{96D81A3A-5E50-416C-A586-BE2C72870ED0}" name="Time/Score16" dataDxfId="1568">
      <calculatedColumnFormula>IF(X5=0," ",_xlfn.RANK.AVG(X5,X$5:X$24,1)-COUNTIF(X$5:X$24,0))</calculatedColumnFormula>
    </tableColumn>
    <tableColumn id="24" xr3:uid="{33A164C7-44B4-42F4-9CAE-F2ED076A8B37}" name="Place16" dataDxfId="1567">
      <calculatedColumnFormula>IF(X5=0," ",IF((RANK(X5,X$5:X$24,1)-COUNTIF(X$5:X$24,0)&gt;6)," ",RANK(X5,X$5:X$24,1)-COUNTIF(X$5:X$24,0)))</calculatedColumnFormula>
    </tableColumn>
    <tableColumn id="25" xr3:uid="{2EFC8EB7-85D6-4427-B541-024101DFF63E}" name="Points17" dataDxfId="1566">
      <calculatedColumnFormula>IF(Table6220273233341718193051[[#This Row],[Non-Member]]="X"," ",IF(Z5=" "," ",IFERROR(VLOOKUP(Y5,Points!$A$2:$B$14,2,FALSE)," ")))</calculatedColumnFormula>
    </tableColumn>
    <tableColumn id="26" xr3:uid="{C292AFF5-5B6B-4BB3-9388-C5E3D160C298}" name="Time/Score18" dataDxfId="1565" dataCellStyle="Comma"/>
    <tableColumn id="27" xr3:uid="{FD4F47D8-C48B-44AA-8FE4-9A5FBBBE3EB2}" name="Time/Score19" dataDxfId="1564">
      <calculatedColumnFormula>IF(AB5=0," ",_xlfn.RANK.AVG(AB5,AB$5:AB$24,1)-COUNTIF(AB$5:AB$24,0))</calculatedColumnFormula>
    </tableColumn>
    <tableColumn id="28" xr3:uid="{0601A546-319B-413A-9CC9-5E5180A82DBD}" name="Place19" dataDxfId="1563">
      <calculatedColumnFormula>IF(AB5=0," ",IF((RANK(AB5,AB$5:AB$24,1)-COUNTIF(AB$5:AB$24,0)&gt;6)," ",RANK(AB5,AB$5:AB$24,1)-COUNTIF(AB$5:AB$24,0)))</calculatedColumnFormula>
    </tableColumn>
    <tableColumn id="29" xr3:uid="{C75AD1F0-60EE-444D-A4E4-66ABCAF5290D}" name="Points20" dataDxfId="1562">
      <calculatedColumnFormula>IF(Table6220273233341718193051[[#This Row],[Non-Member]]="X"," ",IF(AD5=" "," ",IFERROR(VLOOKUP(AC5,Points!$A$2:$B$14,2,FALSE)," ")))</calculatedColumnFormula>
    </tableColumn>
    <tableColumn id="30" xr3:uid="{9FC97D85-3A13-40D0-AB8E-491201970DEA}" name="Time/Score21" dataDxfId="1561" dataCellStyle="Comma"/>
    <tableColumn id="31" xr3:uid="{AA62563D-B72D-4B95-8110-6B2C2A166CDB}" name="Time/Score22" dataDxfId="1560">
      <calculatedColumnFormula>IF(AF5=0," ",_xlfn.RANK.AVG(AF5,AF$5:AF$24,1)-COUNTIF(AF$5:AF$24,0))</calculatedColumnFormula>
    </tableColumn>
    <tableColumn id="32" xr3:uid="{1D30864B-0225-41D9-A97F-06695068519B}" name="Place22" dataDxfId="1559">
      <calculatedColumnFormula>IF(AF5=0," ",IF((RANK(AF5,AF$5:AF$24,1)-COUNTIF(AF$5:AF$24,0)&gt;6)," ",RANK(AF5,AF$5:AF$24,1)-COUNTIF(AF$5:AF$24,0)))</calculatedColumnFormula>
    </tableColumn>
    <tableColumn id="33" xr3:uid="{9BF4E1CD-BBCE-47DA-A5FE-BD0BAD8500D3}" name="Points23" dataDxfId="1558">
      <calculatedColumnFormula>IF(Table6220273233341718193051[[#This Row],[Non-Member]]="X"," ",IF(AH5=" "," ",IFERROR(VLOOKUP(AG5,Points!$A$2:$B$14,2,FALSE)," ")))</calculatedColumnFormula>
    </tableColumn>
    <tableColumn id="34" xr3:uid="{8043FB91-8788-477B-9ADF-0560D39AEFE9}" name="Points24" dataDxfId="1557">
      <calculatedColumnFormula>IF(Table6220273233341718193051[[#This Row],[Non-Member]]="X"," ",((IF(G5=" ",0,G5))+(IF(K5=" ",0,K5))+(IF(O5=" ",0,O5))+(IF(S5=" ",0,S5))+(IF(W5=" ",0,W5))+(IF(AA5=" ",0,AA5))+(IF(AE5=" ",0,AE5))+(IF(AI5=" ",0,AI5))))</calculatedColumnFormula>
    </tableColumn>
    <tableColumn id="35" xr3:uid="{4B20E0A5-32C2-468B-BAC6-C5BC82ACCA26}" name="Points25" dataDxfId="1556" dataCellStyle="Comma">
      <calculatedColumnFormula>IF(AJ5=0," ",AJ5)</calculatedColumnFormula>
    </tableColumn>
    <tableColumn id="36" xr3:uid="{E53F539C-E8FB-43FB-BBA6-93EBB1AD4C23}" name="Place26" dataDxfId="155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A0057069-07E2-4522-8564-AE7C6A450652}" name="Table622027323334171819304652" displayName="Table622027323334171819304652" ref="B4:AL24" totalsRowShown="0" headerRowDxfId="1554" dataDxfId="1553" tableBorderDxfId="1552">
  <autoFilter ref="B4:AL24" xr:uid="{89B1FF52-34AE-480D-BF76-50E05053D0D8}"/>
  <sortState xmlns:xlrd2="http://schemas.microsoft.com/office/spreadsheetml/2017/richdata2" ref="B5:AL24">
    <sortCondition ref="AL4:AL24"/>
  </sortState>
  <tableColumns count="37">
    <tableColumn id="1" xr3:uid="{54A23DF6-8D28-4A59-B319-3848C7EF700C}" name="Name" dataDxfId="1551"/>
    <tableColumn id="37" xr3:uid="{DD7C934B-AFB5-43CE-8BDE-FBD2FBAC77AC}" name="Non-Member" dataDxfId="1550"/>
    <tableColumn id="2" xr3:uid="{61356339-3EB6-40EB-83D1-ED97A0B19A32}" name="Time/Score" dataDxfId="1549" dataCellStyle="Comma"/>
    <tableColumn id="3" xr3:uid="{6DAB812B-F2F8-4DE3-A868-D17D3BBB9A36}" name="Column2" dataDxfId="1548">
      <calculatedColumnFormula>IF(D5=0," ",_xlfn.RANK.AVG(D5,D$5:D$24,1)-COUNTIF(D$5:D$24,0))</calculatedColumnFormula>
    </tableColumn>
    <tableColumn id="4" xr3:uid="{7DB0628A-E1AD-452C-86CE-FD197D54B0EE}" name="Place" dataDxfId="1547">
      <calculatedColumnFormula>IF(D5=0," ",IF((RANK(D5,D$5:D$24,1)-COUNTIF(D$5:D$24,0)&gt;6)," ",RANK(D5,D$5:D$24,1)-COUNTIF(D$5:D$24,0)))</calculatedColumnFormula>
    </tableColumn>
    <tableColumn id="5" xr3:uid="{CCF2DEF3-118F-4F86-ACDB-DDF20E81A24D}" name="Points" dataDxfId="1546">
      <calculatedColumnFormula>IF(Table622027323334171819304652[[#This Row],[Non-Member]]="X"," ",IF(F5=" "," ",IFERROR(VLOOKUP(E5,Points!$A$2:$B$14,2,FALSE)," ")))</calculatedColumnFormula>
    </tableColumn>
    <tableColumn id="6" xr3:uid="{1021461D-90F0-4797-AC38-10476E89B8CA}" name="Time/Score3" dataDxfId="1545" dataCellStyle="Comma"/>
    <tableColumn id="7" xr3:uid="{85B8DE58-2DDF-41D7-9939-B6E4ABA7365F}" name="Time/Score4" dataDxfId="1544">
      <calculatedColumnFormula>IF(H5=0," ",_xlfn.RANK.AVG(H5,H$5:H$24,1)-COUNTIF(H$5:H$24,0))</calculatedColumnFormula>
    </tableColumn>
    <tableColumn id="8" xr3:uid="{A7452C05-3D98-4E9D-9D33-66B390A13717}" name="Place4" dataDxfId="1543">
      <calculatedColumnFormula>IF(H5=0," ",IF((RANK(H5,H$5:H$24,1)-COUNTIF(H$5:H$24,0)&gt;6)," ",RANK(H5,H$5:H$24,1)-COUNTIF(H$5:H$24,0)))</calculatedColumnFormula>
    </tableColumn>
    <tableColumn id="9" xr3:uid="{19B69EFE-FE98-41C6-ABE4-86E1CAB78F28}" name="Points5" dataDxfId="1542">
      <calculatedColumnFormula>IF(Table622027323334171819304652[[#This Row],[Non-Member]]="X"," ",IF(J5=" "," ",IFERROR(VLOOKUP(I5,Points!$A$2:$B$14,2,FALSE)," ")))</calculatedColumnFormula>
    </tableColumn>
    <tableColumn id="10" xr3:uid="{B3C66C64-C041-44F4-824F-D28F0E4352B6}" name="Time/Score6" dataDxfId="1541" dataCellStyle="Comma"/>
    <tableColumn id="11" xr3:uid="{67693D28-E394-4B22-92FE-9574677548FF}" name="Time/Score7" dataDxfId="1540">
      <calculatedColumnFormula>IF(L5=0," ",_xlfn.RANK.AVG(L5,L$5:L$24,1)-COUNTIF(L$5:L$24,0))</calculatedColumnFormula>
    </tableColumn>
    <tableColumn id="12" xr3:uid="{D0AECDC7-B161-439C-8614-13B27E05C52A}" name="Place7" dataDxfId="1539">
      <calculatedColumnFormula>IF(L5=0," ",IF((RANK(L5,L$5:L$24,1)-COUNTIF(L$5:L$24,0)&gt;6)," ",RANK(L5,L$5:L$24,1)-COUNTIF(L$5:L$24,0)))</calculatedColumnFormula>
    </tableColumn>
    <tableColumn id="13" xr3:uid="{0C218D1E-6CAD-44BC-A414-04C9B969B10D}" name="Points8" dataDxfId="1538">
      <calculatedColumnFormula>IF(Table622027323334171819304652[[#This Row],[Non-Member]]="X"," ",IF(N5=" "," ",IFERROR(VLOOKUP(M5,Points!$A$2:$B$14,2,FALSE)," ")))</calculatedColumnFormula>
    </tableColumn>
    <tableColumn id="14" xr3:uid="{01ED0F6E-6AF5-4EA3-B7F1-074BFA8707EC}" name="Time/Score9" dataDxfId="1537" dataCellStyle="Comma"/>
    <tableColumn id="15" xr3:uid="{B7592975-EC89-4C8C-975B-E112334767B2}" name="Time/Score10" dataDxfId="1536">
      <calculatedColumnFormula>IF(P5=0," ",_xlfn.RANK.AVG(P5,P$5:P$24,1)-COUNTIF(P$5:P$24,0))</calculatedColumnFormula>
    </tableColumn>
    <tableColumn id="16" xr3:uid="{EBCEF822-87AC-469B-BA68-A3D9E38D72F3}" name="Place10" dataDxfId="1535">
      <calculatedColumnFormula>IF(P5=0," ",IF((RANK(P5,P$5:P$24,1)-COUNTIF(P$5:P$24,0)&gt;6)," ",RANK(P5,P$5:P$24,1)-COUNTIF(P$5:P$24,0)))</calculatedColumnFormula>
    </tableColumn>
    <tableColumn id="17" xr3:uid="{192F8064-A482-4026-BDAD-E88EBEAF2328}" name="Points11" dataDxfId="1534">
      <calculatedColumnFormula>IF(Table622027323334171819304652[[#This Row],[Non-Member]]="X"," ",IF(R5=" "," ",IFERROR(VLOOKUP(Q5,Points!$A$2:$B$14,2,FALSE)," ")))</calculatedColumnFormula>
    </tableColumn>
    <tableColumn id="18" xr3:uid="{87AC4163-8577-4FF4-B266-AC10215DF945}" name="Time/Score12" dataDxfId="1533" dataCellStyle="Comma"/>
    <tableColumn id="19" xr3:uid="{FCAA3190-5DA8-46C8-8E59-DC6E3E869E9D}" name="Time/Score13" dataDxfId="1532">
      <calculatedColumnFormula>IF(T5=0," ",_xlfn.RANK.AVG(T5,T$5:T$24,1)-COUNTIF(T$5:T$24,0))</calculatedColumnFormula>
    </tableColumn>
    <tableColumn id="20" xr3:uid="{5E41B7DA-CBA7-414C-9E3C-1EB6D9A808B3}" name="Place13" dataDxfId="1531">
      <calculatedColumnFormula>IF(T5=0," ",IF((RANK(T5,T$5:T$24,1)-COUNTIF(T$5:T$24,0)&gt;6)," ",RANK(T5,T$5:T$24,1)-COUNTIF(T$5:T$24,0)))</calculatedColumnFormula>
    </tableColumn>
    <tableColumn id="21" xr3:uid="{1B3A6BD1-77A2-47F3-8BDE-3925C7DA5333}" name="Points14" dataDxfId="1530">
      <calculatedColumnFormula>IF(Table622027323334171819304652[[#This Row],[Non-Member]]="X"," ",IF(V5=" "," ",IFERROR(VLOOKUP(U5,Points!$A$2:$B$14,2,FALSE)," ")))</calculatedColumnFormula>
    </tableColumn>
    <tableColumn id="22" xr3:uid="{A88048BE-59D3-4111-9C37-3C0367575A5B}" name="Time/Score15" dataDxfId="1529" dataCellStyle="Comma"/>
    <tableColumn id="23" xr3:uid="{BF27EEB5-C40B-414C-8918-07DF3AC2BAD4}" name="Time/Score16" dataDxfId="1528">
      <calculatedColumnFormula>IF(X5=0," ",_xlfn.RANK.AVG(X5,X$5:X$24,1)-COUNTIF(X$5:X$24,0))</calculatedColumnFormula>
    </tableColumn>
    <tableColumn id="24" xr3:uid="{3CD78694-064A-4FD7-8C62-A59393DD8065}" name="Place16" dataDxfId="1527">
      <calculatedColumnFormula>IF(X5=0," ",IF((RANK(X5,X$5:X$24,1)-COUNTIF(X$5:X$24,0)&gt;6)," ",RANK(X5,X$5:X$24,1)-COUNTIF(X$5:X$24,0)))</calculatedColumnFormula>
    </tableColumn>
    <tableColumn id="25" xr3:uid="{8BA0ABAA-9260-4C39-B3F4-75EDAF007251}" name="Points17" dataDxfId="1526">
      <calculatedColumnFormula>IF(Table622027323334171819304652[[#This Row],[Non-Member]]="X"," ",IF(Z5=" "," ",IFERROR(VLOOKUP(Y5,Points!$A$2:$B$14,2,FALSE)," ")))</calculatedColumnFormula>
    </tableColumn>
    <tableColumn id="26" xr3:uid="{82462FE2-DC2D-4B0D-975C-9AE24E879BAC}" name="Time/Score18" dataDxfId="1525" dataCellStyle="Comma"/>
    <tableColumn id="27" xr3:uid="{CEB108BA-4BA0-4060-9CA6-7BA4588FDD2D}" name="Time/Score19" dataDxfId="1524">
      <calculatedColumnFormula>IF(AB5=0," ",_xlfn.RANK.AVG(AB5,AB$5:AB$24,1)-COUNTIF(AB$5:AB$24,0))</calculatedColumnFormula>
    </tableColumn>
    <tableColumn id="28" xr3:uid="{E891F713-D2F6-4499-AA62-E6B9B5564142}" name="Place19" dataDxfId="1523">
      <calculatedColumnFormula>IF(AB5=0," ",IF((RANK(AB5,AB$5:AB$24,1)-COUNTIF(AB$5:AB$24,0)&gt;6)," ",RANK(AB5,AB$5:AB$24,1)-COUNTIF(AB$5:AB$24,0)))</calculatedColumnFormula>
    </tableColumn>
    <tableColumn id="29" xr3:uid="{2FFC2D91-0052-4C8B-AA5D-5023532F4059}" name="Points20" dataDxfId="1522">
      <calculatedColumnFormula>IF(Table622027323334171819304652[[#This Row],[Non-Member]]="X"," ",IF(AD5=" "," ",IFERROR(VLOOKUP(AC5,Points!$A$2:$B$14,2,FALSE)," ")))</calculatedColumnFormula>
    </tableColumn>
    <tableColumn id="30" xr3:uid="{52BC5027-247E-45D7-A872-EC1D85A56AA7}" name="Time/Score21" dataDxfId="1521" dataCellStyle="Comma"/>
    <tableColumn id="31" xr3:uid="{016582ED-8A26-49AE-8AD8-4AE17E318D0A}" name="Time/Score22" dataDxfId="1520">
      <calculatedColumnFormula>IF(AF5=0," ",_xlfn.RANK.AVG(AF5,AF$5:AF$24,1)-COUNTIF(AF$5:AF$24,0))</calculatedColumnFormula>
    </tableColumn>
    <tableColumn id="32" xr3:uid="{3DB740AE-483C-444D-88F7-7BAE2D2AFDC1}" name="Place22" dataDxfId="1519">
      <calculatedColumnFormula>IF(AF5=0," ",IF((RANK(AF5,AF$5:AF$24,1)-COUNTIF(AF$5:AF$24,0)&gt;6)," ",RANK(AF5,AF$5:AF$24,1)-COUNTIF(AF$5:AF$24,0)))</calculatedColumnFormula>
    </tableColumn>
    <tableColumn id="33" xr3:uid="{DAFA3488-3803-4123-8D7A-CD714E4FB7E7}" name="Points23" dataDxfId="1518">
      <calculatedColumnFormula>IF(Table622027323334171819304652[[#This Row],[Non-Member]]="X"," ",IF(AH5=" "," ",IFERROR(VLOOKUP(AG5,Points!$A$2:$B$14,2,FALSE)," ")))</calculatedColumnFormula>
    </tableColumn>
    <tableColumn id="34" xr3:uid="{1F4EF01D-1664-4C32-AC05-31E8C430A32F}" name="Points24" dataDxfId="1517">
      <calculatedColumnFormula>IF(Table622027323334171819304652[[#This Row],[Non-Member]]="X"," ",((IF(G5=" ",0,G5))+(IF(K5=" ",0,K5))+(IF(O5=" ",0,O5))+(IF(S5=" ",0,S5))+(IF(W5=" ",0,W5))+(IF(AA5=" ",0,AA5))+(IF(AE5=" ",0,AE5))+(IF(AI5=" ",0,AI5))))</calculatedColumnFormula>
    </tableColumn>
    <tableColumn id="35" xr3:uid="{3A30E706-CAB4-4AC0-AB18-8ED365373773}" name="Points25" dataDxfId="1516" dataCellStyle="Comma">
      <calculatedColumnFormula>IF(AJ5=0," ",AJ5)</calculatedColumnFormula>
    </tableColumn>
    <tableColumn id="36" xr3:uid="{28953F98-8B65-4062-858E-E83D6393D574}" name="Place26" dataDxfId="1515">
      <calculatedColumnFormula>IF(AK5=" "," ",RANK(AK5,$AK$5:$AK$24))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F3F2-54CF-475F-8B15-7D196D8B888B}">
  <sheetPr codeName="Sheet1"/>
  <dimension ref="A2:B14"/>
  <sheetViews>
    <sheetView workbookViewId="0">
      <selection activeCell="A15" sqref="A15"/>
    </sheetView>
  </sheetViews>
  <sheetFormatPr defaultRowHeight="14.4" x14ac:dyDescent="0.3"/>
  <sheetData>
    <row r="2" spans="1:2" x14ac:dyDescent="0.3">
      <c r="A2">
        <v>1</v>
      </c>
      <c r="B2">
        <v>18</v>
      </c>
    </row>
    <row r="3" spans="1:2" x14ac:dyDescent="0.3">
      <c r="A3">
        <v>1.5</v>
      </c>
      <c r="B3">
        <v>16.5</v>
      </c>
    </row>
    <row r="4" spans="1:2" x14ac:dyDescent="0.3">
      <c r="A4">
        <v>2</v>
      </c>
      <c r="B4">
        <v>15</v>
      </c>
    </row>
    <row r="5" spans="1:2" x14ac:dyDescent="0.3">
      <c r="A5">
        <v>2.5</v>
      </c>
      <c r="B5">
        <v>13.5</v>
      </c>
    </row>
    <row r="6" spans="1:2" x14ac:dyDescent="0.3">
      <c r="A6">
        <v>3</v>
      </c>
      <c r="B6">
        <v>12</v>
      </c>
    </row>
    <row r="7" spans="1:2" x14ac:dyDescent="0.3">
      <c r="A7">
        <v>3.5</v>
      </c>
      <c r="B7">
        <v>10.5</v>
      </c>
    </row>
    <row r="8" spans="1:2" x14ac:dyDescent="0.3">
      <c r="A8">
        <v>4</v>
      </c>
      <c r="B8">
        <v>9</v>
      </c>
    </row>
    <row r="9" spans="1:2" x14ac:dyDescent="0.3">
      <c r="A9">
        <v>4.5</v>
      </c>
      <c r="B9">
        <v>7.5</v>
      </c>
    </row>
    <row r="10" spans="1:2" x14ac:dyDescent="0.3">
      <c r="A10">
        <v>5</v>
      </c>
      <c r="B10">
        <v>6</v>
      </c>
    </row>
    <row r="11" spans="1:2" x14ac:dyDescent="0.3">
      <c r="A11">
        <v>5.5</v>
      </c>
      <c r="B11">
        <v>4.5</v>
      </c>
    </row>
    <row r="12" spans="1:2" x14ac:dyDescent="0.3">
      <c r="A12">
        <v>6</v>
      </c>
      <c r="B12">
        <v>3</v>
      </c>
    </row>
    <row r="13" spans="1:2" x14ac:dyDescent="0.3">
      <c r="A13">
        <v>6.5</v>
      </c>
      <c r="B13">
        <v>1.5</v>
      </c>
    </row>
    <row r="14" spans="1:2" x14ac:dyDescent="0.3">
      <c r="A14">
        <v>7</v>
      </c>
      <c r="B14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E97F-147E-42A4-9304-AF39EDD70FD4}">
  <sheetPr codeName="Sheet84"/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H35" sqref="H35"/>
    </sheetView>
  </sheetViews>
  <sheetFormatPr defaultColWidth="9.109375" defaultRowHeight="13.8" x14ac:dyDescent="0.25"/>
  <cols>
    <col min="1" max="1" width="9.109375" style="3"/>
    <col min="2" max="2" width="23.88671875" style="3" customWidth="1"/>
    <col min="3" max="3" width="21.44140625" style="2" customWidth="1"/>
    <col min="4" max="4" width="11.6640625" style="39" customWidth="1"/>
    <col min="5" max="5" width="11.6640625" style="2" hidden="1" customWidth="1"/>
    <col min="6" max="6" width="11.6640625" style="2" customWidth="1"/>
    <col min="7" max="7" width="11.6640625" style="45" customWidth="1"/>
    <col min="8" max="8" width="11.6640625" style="35" customWidth="1"/>
    <col min="9" max="9" width="11.6640625" style="2" hidden="1" customWidth="1"/>
    <col min="10" max="10" width="11.6640625" style="2" customWidth="1"/>
    <col min="11" max="11" width="11.6640625" style="32" customWidth="1"/>
    <col min="12" max="12" width="12" style="35" customWidth="1"/>
    <col min="13" max="13" width="11.6640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6640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6640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6640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6640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09375" style="3"/>
  </cols>
  <sheetData>
    <row r="1" spans="2:38" ht="18" thickBot="1" x14ac:dyDescent="0.35">
      <c r="B1" s="1"/>
      <c r="C1" s="13"/>
    </row>
    <row r="2" spans="2:38" s="4" customFormat="1" ht="17.399999999999999" x14ac:dyDescent="0.3">
      <c r="B2" s="173" t="s">
        <v>125</v>
      </c>
      <c r="C2" s="174"/>
      <c r="D2" s="171">
        <v>43226</v>
      </c>
      <c r="E2" s="171"/>
      <c r="F2" s="171"/>
      <c r="G2" s="172"/>
      <c r="H2" s="170">
        <v>43260</v>
      </c>
      <c r="I2" s="171"/>
      <c r="J2" s="171"/>
      <c r="K2" s="172"/>
      <c r="L2" s="170">
        <v>43288</v>
      </c>
      <c r="M2" s="171"/>
      <c r="N2" s="171"/>
      <c r="O2" s="172"/>
      <c r="P2" s="170">
        <v>43289</v>
      </c>
      <c r="Q2" s="171"/>
      <c r="R2" s="171"/>
      <c r="S2" s="172"/>
      <c r="T2" s="170">
        <v>43316</v>
      </c>
      <c r="U2" s="171"/>
      <c r="V2" s="171"/>
      <c r="W2" s="172"/>
      <c r="X2" s="170" t="s">
        <v>5</v>
      </c>
      <c r="Y2" s="171"/>
      <c r="Z2" s="171"/>
      <c r="AA2" s="172"/>
      <c r="AB2" s="170" t="s">
        <v>6</v>
      </c>
      <c r="AC2" s="171"/>
      <c r="AD2" s="171"/>
      <c r="AE2" s="172"/>
      <c r="AF2" s="170" t="s">
        <v>3</v>
      </c>
      <c r="AG2" s="171"/>
      <c r="AH2" s="171"/>
      <c r="AI2" s="172"/>
      <c r="AJ2" s="28"/>
      <c r="AK2" s="171" t="s">
        <v>4</v>
      </c>
      <c r="AL2" s="172"/>
    </row>
    <row r="3" spans="2:38" s="6" customFormat="1" ht="14.4" thickBot="1" x14ac:dyDescent="0.3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" hidden="1" thickBot="1" x14ac:dyDescent="0.3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25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IF(Table622027323334171819304652[[#This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IF(Table622027323334171819304652[[#This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IF(Table622027323334171819304652[[#This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IF(Table622027323334171819304652[[#This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IF(Table622027323334171819304652[[#This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IF(Table622027323334171819304652[[#This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IF(Table622027323334171819304652[[#This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IF(Table622027323334171819304652[[#This Row],[Non-Member]]="X"," ",IF(AH5=" "," ",IFERROR(VLOOKUP(AG5,Points!$A$2:$B$14,2,FALSE)," ")))</f>
        <v xml:space="preserve"> </v>
      </c>
      <c r="AJ5" s="7">
        <f>IF(Table622027323334171819304652[[#This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25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IF(Table622027323334171819304652[[#This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IF(Table622027323334171819304652[[#This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IF(Table622027323334171819304652[[#This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IF(Table622027323334171819304652[[#This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IF(Table622027323334171819304652[[#This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IF(Table622027323334171819304652[[#This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IF(Table622027323334171819304652[[#This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IF(Table622027323334171819304652[[#This Row],[Non-Member]]="X"," ",IF(AH6=" "," ",IFERROR(VLOOKUP(AG6,Points!$A$2:$B$14,2,FALSE)," ")))</f>
        <v xml:space="preserve"> </v>
      </c>
      <c r="AJ6" s="9">
        <f>IF(Table622027323334171819304652[[#This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25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IF(Table622027323334171819304652[[#This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IF(Table622027323334171819304652[[#This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IF(Table622027323334171819304652[[#This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IF(Table622027323334171819304652[[#This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IF(Table622027323334171819304652[[#This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IF(Table622027323334171819304652[[#This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IF(Table622027323334171819304652[[#This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IF(Table622027323334171819304652[[#This Row],[Non-Member]]="X"," ",IF(AH7=" "," ",IFERROR(VLOOKUP(AG7,Points!$A$2:$B$14,2,FALSE)," ")))</f>
        <v xml:space="preserve"> </v>
      </c>
      <c r="AJ7" s="9">
        <f>IF(Table622027323334171819304652[[#This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25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IF(Table622027323334171819304652[[#This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IF(Table622027323334171819304652[[#This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IF(Table622027323334171819304652[[#This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IF(Table622027323334171819304652[[#This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IF(Table622027323334171819304652[[#This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IF(Table622027323334171819304652[[#This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IF(Table622027323334171819304652[[#This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IF(Table622027323334171819304652[[#This Row],[Non-Member]]="X"," ",IF(AH8=" "," ",IFERROR(VLOOKUP(AG8,Points!$A$2:$B$14,2,FALSE)," ")))</f>
        <v xml:space="preserve"> </v>
      </c>
      <c r="AJ8" s="9">
        <f>IF(Table622027323334171819304652[[#This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25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IF(Table622027323334171819304652[[#This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IF(Table622027323334171819304652[[#This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IF(Table622027323334171819304652[[#This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IF(Table622027323334171819304652[[#This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IF(Table622027323334171819304652[[#This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IF(Table622027323334171819304652[[#This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IF(Table622027323334171819304652[[#This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IF(Table622027323334171819304652[[#This Row],[Non-Member]]="X"," ",IF(AH9=" "," ",IFERROR(VLOOKUP(AG9,Points!$A$2:$B$14,2,FALSE)," ")))</f>
        <v xml:space="preserve"> </v>
      </c>
      <c r="AJ9" s="9">
        <f>IF(Table622027323334171819304652[[#This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25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IF(Table622027323334171819304652[[#This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IF(Table622027323334171819304652[[#This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IF(Table622027323334171819304652[[#This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IF(Table622027323334171819304652[[#This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IF(Table622027323334171819304652[[#This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IF(Table622027323334171819304652[[#This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IF(Table622027323334171819304652[[#This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IF(Table622027323334171819304652[[#This Row],[Non-Member]]="X"," ",IF(AH10=" "," ",IFERROR(VLOOKUP(AG10,Points!$A$2:$B$14,2,FALSE)," ")))</f>
        <v xml:space="preserve"> </v>
      </c>
      <c r="AJ10" s="9">
        <f>IF(Table622027323334171819304652[[#This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25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IF(Table622027323334171819304652[[#This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IF(Table622027323334171819304652[[#This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IF(Table622027323334171819304652[[#This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IF(Table622027323334171819304652[[#This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IF(Table622027323334171819304652[[#This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IF(Table622027323334171819304652[[#This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IF(Table622027323334171819304652[[#This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IF(Table622027323334171819304652[[#This Row],[Non-Member]]="X"," ",IF(AH11=" "," ",IFERROR(VLOOKUP(AG11,Points!$A$2:$B$14,2,FALSE)," ")))</f>
        <v xml:space="preserve"> </v>
      </c>
      <c r="AJ11" s="9">
        <f>IF(Table622027323334171819304652[[#This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25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IF(Table622027323334171819304652[[#This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IF(Table622027323334171819304652[[#This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IF(Table622027323334171819304652[[#This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IF(Table622027323334171819304652[[#This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IF(Table622027323334171819304652[[#This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IF(Table622027323334171819304652[[#This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IF(Table622027323334171819304652[[#This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IF(Table622027323334171819304652[[#This Row],[Non-Member]]="X"," ",IF(AH12=" "," ",IFERROR(VLOOKUP(AG12,Points!$A$2:$B$14,2,FALSE)," ")))</f>
        <v xml:space="preserve"> </v>
      </c>
      <c r="AJ12" s="9">
        <f>IF(Table622027323334171819304652[[#This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25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IF(Table622027323334171819304652[[#This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IF(Table622027323334171819304652[[#This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IF(Table622027323334171819304652[[#This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IF(Table622027323334171819304652[[#This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IF(Table622027323334171819304652[[#This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IF(Table622027323334171819304652[[#This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IF(Table622027323334171819304652[[#This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IF(Table622027323334171819304652[[#This Row],[Non-Member]]="X"," ",IF(AH13=" "," ",IFERROR(VLOOKUP(AG13,Points!$A$2:$B$14,2,FALSE)," ")))</f>
        <v xml:space="preserve"> </v>
      </c>
      <c r="AJ13" s="9">
        <f>IF(Table622027323334171819304652[[#This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25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IF(Table622027323334171819304652[[#This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IF(Table622027323334171819304652[[#This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IF(Table622027323334171819304652[[#This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IF(Table622027323334171819304652[[#This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IF(Table622027323334171819304652[[#This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IF(Table622027323334171819304652[[#This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IF(Table622027323334171819304652[[#This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IF(Table622027323334171819304652[[#This Row],[Non-Member]]="X"," ",IF(AH14=" "," ",IFERROR(VLOOKUP(AG14,Points!$A$2:$B$14,2,FALSE)," ")))</f>
        <v xml:space="preserve"> </v>
      </c>
      <c r="AJ14" s="9">
        <f>IF(Table622027323334171819304652[[#This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25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IF(Table622027323334171819304652[[#This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IF(Table622027323334171819304652[[#This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IF(Table622027323334171819304652[[#This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IF(Table622027323334171819304652[[#This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IF(Table622027323334171819304652[[#This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IF(Table622027323334171819304652[[#This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IF(Table622027323334171819304652[[#This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IF(Table622027323334171819304652[[#This Row],[Non-Member]]="X"," ",IF(AH15=" "," ",IFERROR(VLOOKUP(AG15,Points!$A$2:$B$14,2,FALSE)," ")))</f>
        <v xml:space="preserve"> </v>
      </c>
      <c r="AJ15" s="9">
        <f>IF(Table622027323334171819304652[[#This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25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IF(Table622027323334171819304652[[#This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IF(Table622027323334171819304652[[#This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IF(Table622027323334171819304652[[#This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IF(Table622027323334171819304652[[#This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IF(Table622027323334171819304652[[#This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IF(Table622027323334171819304652[[#This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IF(Table622027323334171819304652[[#This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IF(Table622027323334171819304652[[#This Row],[Non-Member]]="X"," ",IF(AH16=" "," ",IFERROR(VLOOKUP(AG16,Points!$A$2:$B$14,2,FALSE)," ")))</f>
        <v xml:space="preserve"> </v>
      </c>
      <c r="AJ16" s="23">
        <f>IF(Table622027323334171819304652[[#This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25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IF(Table622027323334171819304652[[#This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IF(Table622027323334171819304652[[#This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IF(Table622027323334171819304652[[#This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IF(Table622027323334171819304652[[#This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IF(Table622027323334171819304652[[#This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IF(Table622027323334171819304652[[#This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IF(Table622027323334171819304652[[#This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IF(Table622027323334171819304652[[#This Row],[Non-Member]]="X"," ",IF(AH17=" "," ",IFERROR(VLOOKUP(AG17,Points!$A$2:$B$14,2,FALSE)," ")))</f>
        <v xml:space="preserve"> </v>
      </c>
      <c r="AJ17" s="23">
        <f>IF(Table622027323334171819304652[[#This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25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IF(Table622027323334171819304652[[#This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IF(Table622027323334171819304652[[#This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IF(Table622027323334171819304652[[#This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IF(Table622027323334171819304652[[#This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IF(Table622027323334171819304652[[#This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IF(Table622027323334171819304652[[#This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IF(Table622027323334171819304652[[#This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IF(Table622027323334171819304652[[#This Row],[Non-Member]]="X"," ",IF(AH18=" "," ",IFERROR(VLOOKUP(AG18,Points!$A$2:$B$14,2,FALSE)," ")))</f>
        <v xml:space="preserve"> </v>
      </c>
      <c r="AJ18" s="23">
        <f>IF(Table622027323334171819304652[[#This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25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IF(Table622027323334171819304652[[#This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IF(Table622027323334171819304652[[#This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IF(Table622027323334171819304652[[#This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IF(Table622027323334171819304652[[#This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IF(Table622027323334171819304652[[#This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IF(Table622027323334171819304652[[#This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IF(Table622027323334171819304652[[#This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IF(Table622027323334171819304652[[#This Row],[Non-Member]]="X"," ",IF(AH19=" "," ",IFERROR(VLOOKUP(AG19,Points!$A$2:$B$14,2,FALSE)," ")))</f>
        <v xml:space="preserve"> </v>
      </c>
      <c r="AJ19" s="9">
        <f>IF(Table622027323334171819304652[[#This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25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IF(Table622027323334171819304652[[#This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IF(Table622027323334171819304652[[#This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IF(Table622027323334171819304652[[#This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IF(Table622027323334171819304652[[#This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IF(Table622027323334171819304652[[#This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IF(Table622027323334171819304652[[#This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IF(Table622027323334171819304652[[#This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IF(Table622027323334171819304652[[#This Row],[Non-Member]]="X"," ",IF(AH20=" "," ",IFERROR(VLOOKUP(AG20,Points!$A$2:$B$14,2,FALSE)," ")))</f>
        <v xml:space="preserve"> </v>
      </c>
      <c r="AJ20" s="9">
        <f>IF(Table622027323334171819304652[[#This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25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IF(Table622027323334171819304652[[#This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IF(Table622027323334171819304652[[#This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IF(Table622027323334171819304652[[#This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IF(Table622027323334171819304652[[#This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IF(Table622027323334171819304652[[#This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IF(Table622027323334171819304652[[#This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IF(Table622027323334171819304652[[#This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IF(Table622027323334171819304652[[#This Row],[Non-Member]]="X"," ",IF(AH21=" "," ",IFERROR(VLOOKUP(AG21,Points!$A$2:$B$14,2,FALSE)," ")))</f>
        <v xml:space="preserve"> </v>
      </c>
      <c r="AJ21" s="9">
        <f>IF(Table622027323334171819304652[[#This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25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IF(Table622027323334171819304652[[#This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IF(Table622027323334171819304652[[#This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IF(Table622027323334171819304652[[#This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IF(Table622027323334171819304652[[#This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IF(Table622027323334171819304652[[#This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IF(Table622027323334171819304652[[#This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IF(Table622027323334171819304652[[#This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IF(Table622027323334171819304652[[#This Row],[Non-Member]]="X"," ",IF(AH22=" "," ",IFERROR(VLOOKUP(AG22,Points!$A$2:$B$14,2,FALSE)," ")))</f>
        <v xml:space="preserve"> </v>
      </c>
      <c r="AJ22" s="9">
        <f>IF(Table622027323334171819304652[[#This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25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IF(Table622027323334171819304652[[#This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IF(Table622027323334171819304652[[#This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IF(Table622027323334171819304652[[#This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IF(Table622027323334171819304652[[#This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IF(Table622027323334171819304652[[#This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IF(Table622027323334171819304652[[#This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IF(Table622027323334171819304652[[#This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IF(Table622027323334171819304652[[#This Row],[Non-Member]]="X"," ",IF(AH23=" "," ",IFERROR(VLOOKUP(AG23,Points!$A$2:$B$14,2,FALSE)," ")))</f>
        <v xml:space="preserve"> </v>
      </c>
      <c r="AJ23" s="9">
        <f>IF(Table622027323334171819304652[[#This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4" thickBot="1" x14ac:dyDescent="0.3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IF(Table622027323334171819304652[[#This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IF(Table622027323334171819304652[[#This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IF(Table622027323334171819304652[[#This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IF(Table622027323334171819304652[[#This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IF(Table622027323334171819304652[[#This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IF(Table622027323334171819304652[[#This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IF(Table622027323334171819304652[[#This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IF(Table622027323334171819304652[[#This Row],[Non-Member]]="X"," ",IF(AH24=" "," ",IFERROR(VLOOKUP(AG24,Points!$A$2:$B$14,2,FALSE)," ")))</f>
        <v xml:space="preserve"> </v>
      </c>
      <c r="AJ24" s="9">
        <f>IF(Table622027323334171819304652[[#This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25">
      <c r="AG25" s="20"/>
    </row>
    <row r="27" spans="2:38" x14ac:dyDescent="0.25">
      <c r="F27" s="20"/>
    </row>
    <row r="28" spans="2:38" x14ac:dyDescent="0.25">
      <c r="F28" s="20"/>
    </row>
    <row r="29" spans="2:38" x14ac:dyDescent="0.25">
      <c r="H29" s="3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39214-5173-4852-B2AE-E1E6E8CB00AA}">
  <sheetPr codeName="Sheet91">
    <tabColor theme="9" tint="0.59999389629810485"/>
  </sheetPr>
  <dimension ref="B1:N24"/>
  <sheetViews>
    <sheetView showGridLines="0" zoomScaleNormal="100" workbookViewId="0">
      <pane xSplit="2" topLeftCell="C1" activePane="topRight" state="frozen"/>
      <selection activeCell="B22" sqref="B22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24.6640625" style="58" customWidth="1"/>
    <col min="5" max="11" width="24.6640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09375" style="62"/>
  </cols>
  <sheetData>
    <row r="1" spans="2:14" ht="18" thickBot="1" x14ac:dyDescent="0.35">
      <c r="B1" s="54"/>
      <c r="C1" s="55"/>
    </row>
    <row r="2" spans="2:14" s="64" customFormat="1" ht="17.399999999999999" x14ac:dyDescent="0.3">
      <c r="B2" s="168" t="s">
        <v>125</v>
      </c>
      <c r="C2" s="169"/>
      <c r="D2" s="130">
        <v>43590</v>
      </c>
      <c r="E2" s="130">
        <v>43632</v>
      </c>
      <c r="F2" s="130">
        <v>43659</v>
      </c>
      <c r="G2" s="130">
        <v>43660</v>
      </c>
      <c r="H2" s="130">
        <v>43681</v>
      </c>
      <c r="I2" s="130" t="s">
        <v>183</v>
      </c>
      <c r="J2" s="130" t="s">
        <v>184</v>
      </c>
      <c r="K2" s="131" t="s">
        <v>3</v>
      </c>
      <c r="L2" s="63"/>
      <c r="M2" s="166" t="s">
        <v>4</v>
      </c>
      <c r="N2" s="167"/>
    </row>
    <row r="3" spans="2:14" s="74" customFormat="1" ht="14.4" thickBot="1" x14ac:dyDescent="0.3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2" t="s">
        <v>2</v>
      </c>
      <c r="L3" s="68"/>
      <c r="M3" s="72" t="s">
        <v>2</v>
      </c>
      <c r="N3" s="73" t="s">
        <v>1</v>
      </c>
    </row>
    <row r="4" spans="2:14" s="74" customFormat="1" ht="18" hidden="1" thickBot="1" x14ac:dyDescent="0.3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3" t="s">
        <v>36</v>
      </c>
      <c r="L4" s="78" t="s">
        <v>40</v>
      </c>
      <c r="M4" s="82" t="s">
        <v>16</v>
      </c>
      <c r="N4" s="78" t="s">
        <v>37</v>
      </c>
    </row>
    <row r="5" spans="2:14" x14ac:dyDescent="0.25">
      <c r="B5" s="83" t="s">
        <v>170</v>
      </c>
      <c r="C5" s="84"/>
      <c r="D5" s="134">
        <v>33</v>
      </c>
      <c r="E5" s="134"/>
      <c r="F5" s="134"/>
      <c r="G5" s="134"/>
      <c r="H5" s="134">
        <v>12</v>
      </c>
      <c r="I5" s="134">
        <v>18</v>
      </c>
      <c r="J5" s="134">
        <v>18</v>
      </c>
      <c r="K5" s="134">
        <v>33</v>
      </c>
      <c r="L5" s="86">
        <f>IF(Table622027323334171819305147[[#This Row],[Non-Member]]="X"," ",((IF(D5=" ",0,D5))+(IF(E5=" ",0,E5))+(IF(F5=" ",0,F5))+(IF(G5=" ",0,G5))+(IF(H5=" ",0,H5))+(IF(I5=" ",0,I5))+(IF(J5=" ",0,J5))+(IF(K5=" ",0,K5))))</f>
        <v>114</v>
      </c>
      <c r="M5" s="88">
        <f t="shared" ref="M5:M24" si="0">IF(L5=0," ",L5)</f>
        <v>114</v>
      </c>
      <c r="N5" s="89">
        <f t="shared" ref="N5:N24" si="1">IF(M5=" "," ",RANK(M5,$M$5:$M$24))</f>
        <v>1</v>
      </c>
    </row>
    <row r="6" spans="2:14" x14ac:dyDescent="0.25">
      <c r="B6" s="90" t="s">
        <v>167</v>
      </c>
      <c r="C6" s="91"/>
      <c r="D6" s="135"/>
      <c r="E6" s="135"/>
      <c r="F6" s="135">
        <v>18</v>
      </c>
      <c r="G6" s="135">
        <v>15</v>
      </c>
      <c r="H6" s="135"/>
      <c r="I6" s="135"/>
      <c r="J6" s="135">
        <v>15</v>
      </c>
      <c r="K6" s="135">
        <v>12</v>
      </c>
      <c r="L6" s="93">
        <f>IF(Table622027323334171819305147[[#This Row],[Non-Member]]="X"," ",((IF(D6=" ",0,D6))+(IF(E6=" ",0,E6))+(IF(F6=" ",0,F6))+(IF(G6=" ",0,G6))+(IF(H6=" ",0,H6))+(IF(I6=" ",0,I6))+(IF(J6=" ",0,J6))+(IF(K6=" ",0,K6))))</f>
        <v>60</v>
      </c>
      <c r="M6" s="95">
        <f t="shared" si="0"/>
        <v>60</v>
      </c>
      <c r="N6" s="96">
        <f t="shared" si="1"/>
        <v>2</v>
      </c>
    </row>
    <row r="7" spans="2:14" x14ac:dyDescent="0.25">
      <c r="B7" s="90" t="s">
        <v>259</v>
      </c>
      <c r="C7" s="91"/>
      <c r="D7" s="135"/>
      <c r="E7" s="135"/>
      <c r="F7" s="135">
        <v>15</v>
      </c>
      <c r="G7" s="135">
        <v>18</v>
      </c>
      <c r="H7" s="135"/>
      <c r="I7" s="135">
        <v>15</v>
      </c>
      <c r="J7" s="135"/>
      <c r="K7" s="135">
        <v>9</v>
      </c>
      <c r="L7" s="93">
        <f>IF(Table622027323334171819305147[[#This Row],[Non-Member]]="X"," ",((IF(D7=" ",0,D7))+(IF(E7=" ",0,E7))+(IF(F7=" ",0,F7))+(IF(G7=" ",0,G7))+(IF(H7=" ",0,H7))+(IF(I7=" ",0,I7))+(IF(J7=" ",0,J7))+(IF(K7=" ",0,K7))))</f>
        <v>57</v>
      </c>
      <c r="M7" s="95">
        <f t="shared" si="0"/>
        <v>57</v>
      </c>
      <c r="N7" s="96">
        <f t="shared" si="1"/>
        <v>3</v>
      </c>
    </row>
    <row r="8" spans="2:14" x14ac:dyDescent="0.25">
      <c r="B8" s="90" t="s">
        <v>195</v>
      </c>
      <c r="C8" s="91"/>
      <c r="D8" s="135">
        <v>12</v>
      </c>
      <c r="E8" s="135">
        <v>18</v>
      </c>
      <c r="F8" s="135"/>
      <c r="G8" s="135"/>
      <c r="H8" s="135">
        <v>18</v>
      </c>
      <c r="I8" s="135"/>
      <c r="J8" s="135"/>
      <c r="K8" s="135"/>
      <c r="L8" s="93">
        <f>IF(Table622027323334171819305147[[#This Row],[Non-Member]]="X"," ",((IF(D8=" ",0,D8))+(IF(E8=" ",0,E8))+(IF(F8=" ",0,F8))+(IF(G8=" ",0,G8))+(IF(H8=" ",0,H8))+(IF(I8=" ",0,I8))+(IF(J8=" ",0,J8))+(IF(K8=" ",0,K8))))</f>
        <v>48</v>
      </c>
      <c r="M8" s="95">
        <f t="shared" si="0"/>
        <v>48</v>
      </c>
      <c r="N8" s="96">
        <f t="shared" si="1"/>
        <v>4</v>
      </c>
    </row>
    <row r="9" spans="2:14" x14ac:dyDescent="0.25">
      <c r="B9" s="90" t="s">
        <v>169</v>
      </c>
      <c r="C9" s="91"/>
      <c r="D9" s="135"/>
      <c r="E9" s="135">
        <v>15</v>
      </c>
      <c r="F9" s="135"/>
      <c r="G9" s="135"/>
      <c r="H9" s="135">
        <v>15</v>
      </c>
      <c r="I9" s="135"/>
      <c r="J9" s="135"/>
      <c r="K9" s="135"/>
      <c r="L9" s="93">
        <f>IF(Table622027323334171819305147[[#This Row],[Non-Member]]="X"," ",((IF(D9=" ",0,D9))+(IF(E9=" ",0,E9))+(IF(F9=" ",0,F9))+(IF(G9=" ",0,G9))+(IF(H9=" ",0,H9))+(IF(I9=" ",0,I9))+(IF(J9=" ",0,J9))+(IF(K9=" ",0,K9))))</f>
        <v>30</v>
      </c>
      <c r="M9" s="95">
        <f t="shared" si="0"/>
        <v>30</v>
      </c>
      <c r="N9" s="96">
        <f t="shared" si="1"/>
        <v>5</v>
      </c>
    </row>
    <row r="10" spans="2:14" x14ac:dyDescent="0.25">
      <c r="B10" s="90"/>
      <c r="C10" s="91"/>
      <c r="D10" s="135"/>
      <c r="E10" s="135"/>
      <c r="F10" s="135"/>
      <c r="G10" s="135"/>
      <c r="H10" s="135"/>
      <c r="I10" s="135"/>
      <c r="J10" s="135"/>
      <c r="K10" s="135"/>
      <c r="L10" s="93">
        <f>IF(Table622027323334171819305147[[#This Row],[Non-Member]]="X"," ",((IF(D10=" ",0,D10))+(IF(E10=" ",0,E10))+(IF(F10=" ",0,F10))+(IF(G10=" ",0,G10))+(IF(H10=" ",0,H10))+(IF(I10=" ",0,I10))+(IF(J10=" ",0,J10))+(IF(K10=" ",0,K10))))</f>
        <v>0</v>
      </c>
      <c r="M10" s="95" t="str">
        <f t="shared" si="0"/>
        <v xml:space="preserve"> </v>
      </c>
      <c r="N10" s="96" t="str">
        <f t="shared" si="1"/>
        <v xml:space="preserve"> </v>
      </c>
    </row>
    <row r="11" spans="2:14" x14ac:dyDescent="0.25">
      <c r="B11" s="90"/>
      <c r="C11" s="91"/>
      <c r="D11" s="135"/>
      <c r="E11" s="135"/>
      <c r="F11" s="135"/>
      <c r="G11" s="135"/>
      <c r="H11" s="135"/>
      <c r="I11" s="135"/>
      <c r="J11" s="135"/>
      <c r="K11" s="135"/>
      <c r="L11" s="93">
        <f>IF(Table622027323334171819305147[[#This Row],[Non-Member]]="X"," ",((IF(D11=" ",0,D11))+(IF(E11=" ",0,E11))+(IF(F11=" ",0,F11))+(IF(G11=" ",0,G11))+(IF(H11=" ",0,H11))+(IF(I11=" ",0,I11))+(IF(J11=" ",0,J11))+(IF(K11=" ",0,K11))))</f>
        <v>0</v>
      </c>
      <c r="M11" s="95" t="str">
        <f t="shared" si="0"/>
        <v xml:space="preserve"> </v>
      </c>
      <c r="N11" s="96" t="str">
        <f t="shared" si="1"/>
        <v xml:space="preserve"> </v>
      </c>
    </row>
    <row r="12" spans="2:14" x14ac:dyDescent="0.25">
      <c r="B12" s="90"/>
      <c r="C12" s="91"/>
      <c r="D12" s="135"/>
      <c r="E12" s="135"/>
      <c r="F12" s="135"/>
      <c r="G12" s="135"/>
      <c r="H12" s="135"/>
      <c r="I12" s="135"/>
      <c r="J12" s="135"/>
      <c r="K12" s="135"/>
      <c r="L12" s="93">
        <f>IF(Table622027323334171819305147[[#This Row],[Non-Member]]="X"," ",((IF(D12=" ",0,D12))+(IF(E12=" ",0,E12))+(IF(F12=" ",0,F12))+(IF(G12=" ",0,G12))+(IF(H12=" ",0,H12))+(IF(I12=" ",0,I12))+(IF(J12=" ",0,J12))+(IF(K12=" ",0,K12))))</f>
        <v>0</v>
      </c>
      <c r="M12" s="95" t="str">
        <f t="shared" si="0"/>
        <v xml:space="preserve"> </v>
      </c>
      <c r="N12" s="96" t="str">
        <f t="shared" si="1"/>
        <v xml:space="preserve"> </v>
      </c>
    </row>
    <row r="13" spans="2:14" x14ac:dyDescent="0.25">
      <c r="B13" s="90"/>
      <c r="C13" s="91"/>
      <c r="D13" s="135"/>
      <c r="E13" s="135"/>
      <c r="F13" s="135"/>
      <c r="G13" s="135"/>
      <c r="H13" s="135"/>
      <c r="I13" s="135"/>
      <c r="J13" s="135"/>
      <c r="K13" s="135"/>
      <c r="L13" s="93">
        <f>IF(Table622027323334171819305147[[#This Row],[Non-Member]]="X"," ",((IF(D13=" ",0,D13))+(IF(E13=" ",0,E13))+(IF(F13=" ",0,F13))+(IF(G13=" ",0,G13))+(IF(H13=" ",0,H13))+(IF(I13=" ",0,I13))+(IF(J13=" ",0,J13))+(IF(K13=" ",0,K13))))</f>
        <v>0</v>
      </c>
      <c r="M13" s="95" t="str">
        <f t="shared" si="0"/>
        <v xml:space="preserve"> </v>
      </c>
      <c r="N13" s="96" t="str">
        <f t="shared" si="1"/>
        <v xml:space="preserve"> </v>
      </c>
    </row>
    <row r="14" spans="2:14" x14ac:dyDescent="0.25">
      <c r="B14" s="90"/>
      <c r="C14" s="91"/>
      <c r="D14" s="135"/>
      <c r="E14" s="135"/>
      <c r="F14" s="135"/>
      <c r="G14" s="135"/>
      <c r="H14" s="135"/>
      <c r="I14" s="135"/>
      <c r="J14" s="135"/>
      <c r="K14" s="135"/>
      <c r="L14" s="93">
        <f>IF(Table622027323334171819305147[[#This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25">
      <c r="B15" s="90"/>
      <c r="C15" s="91"/>
      <c r="D15" s="135"/>
      <c r="E15" s="135"/>
      <c r="F15" s="135"/>
      <c r="G15" s="135"/>
      <c r="H15" s="135"/>
      <c r="I15" s="135"/>
      <c r="J15" s="135"/>
      <c r="K15" s="135"/>
      <c r="L15" s="93">
        <f>IF(Table622027323334171819305147[[#This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6" t="str">
        <f t="shared" si="1"/>
        <v xml:space="preserve"> </v>
      </c>
    </row>
    <row r="16" spans="2:14" x14ac:dyDescent="0.25">
      <c r="B16" s="90"/>
      <c r="C16" s="91"/>
      <c r="D16" s="135"/>
      <c r="E16" s="135"/>
      <c r="F16" s="135"/>
      <c r="G16" s="135"/>
      <c r="H16" s="135"/>
      <c r="I16" s="135"/>
      <c r="J16" s="135"/>
      <c r="K16" s="135"/>
      <c r="L16" s="97">
        <f>IF(Table622027323334171819305147[[#This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8" t="str">
        <f t="shared" si="1"/>
        <v xml:space="preserve"> </v>
      </c>
    </row>
    <row r="17" spans="2:14" x14ac:dyDescent="0.25">
      <c r="B17" s="90"/>
      <c r="C17" s="91"/>
      <c r="D17" s="135"/>
      <c r="E17" s="135"/>
      <c r="F17" s="135"/>
      <c r="G17" s="135"/>
      <c r="H17" s="135"/>
      <c r="I17" s="135"/>
      <c r="J17" s="135"/>
      <c r="K17" s="135"/>
      <c r="L17" s="97">
        <f>IF(Table622027323334171819305147[[#This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8" t="str">
        <f t="shared" si="1"/>
        <v xml:space="preserve"> </v>
      </c>
    </row>
    <row r="18" spans="2:14" x14ac:dyDescent="0.25">
      <c r="B18" s="90"/>
      <c r="C18" s="91"/>
      <c r="D18" s="135"/>
      <c r="E18" s="135"/>
      <c r="F18" s="135"/>
      <c r="G18" s="135"/>
      <c r="H18" s="135"/>
      <c r="I18" s="135"/>
      <c r="J18" s="135"/>
      <c r="K18" s="135"/>
      <c r="L18" s="97">
        <f>IF(Table622027323334171819305147[[#This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8" t="str">
        <f t="shared" si="1"/>
        <v xml:space="preserve"> </v>
      </c>
    </row>
    <row r="19" spans="2:14" x14ac:dyDescent="0.25">
      <c r="B19" s="90"/>
      <c r="C19" s="91"/>
      <c r="D19" s="135"/>
      <c r="E19" s="135"/>
      <c r="F19" s="135"/>
      <c r="G19" s="135"/>
      <c r="H19" s="135"/>
      <c r="I19" s="135"/>
      <c r="J19" s="135"/>
      <c r="K19" s="135"/>
      <c r="L19" s="93">
        <f>IF(Table622027323334171819305147[[#This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25">
      <c r="B20" s="90"/>
      <c r="C20" s="91"/>
      <c r="D20" s="135"/>
      <c r="E20" s="135"/>
      <c r="F20" s="135"/>
      <c r="G20" s="135"/>
      <c r="H20" s="135"/>
      <c r="I20" s="135"/>
      <c r="J20" s="135"/>
      <c r="K20" s="135"/>
      <c r="L20" s="93">
        <f>IF(Table622027323334171819305147[[#This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25">
      <c r="B21" s="90"/>
      <c r="C21" s="91"/>
      <c r="D21" s="135"/>
      <c r="E21" s="135"/>
      <c r="F21" s="135"/>
      <c r="G21" s="135"/>
      <c r="H21" s="135"/>
      <c r="I21" s="135"/>
      <c r="J21" s="135"/>
      <c r="K21" s="135"/>
      <c r="L21" s="93">
        <f>IF(Table622027323334171819305147[[#This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6" t="str">
        <f t="shared" si="1"/>
        <v xml:space="preserve"> </v>
      </c>
    </row>
    <row r="22" spans="2:14" x14ac:dyDescent="0.25">
      <c r="B22" s="90"/>
      <c r="C22" s="91"/>
      <c r="D22" s="135"/>
      <c r="E22" s="135"/>
      <c r="F22" s="135"/>
      <c r="G22" s="135"/>
      <c r="H22" s="135"/>
      <c r="I22" s="135"/>
      <c r="J22" s="135"/>
      <c r="K22" s="135"/>
      <c r="L22" s="93">
        <f>IF(Table622027323334171819305147[[#This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25">
      <c r="B23" s="90"/>
      <c r="C23" s="91"/>
      <c r="D23" s="135"/>
      <c r="E23" s="135"/>
      <c r="F23" s="135"/>
      <c r="G23" s="135"/>
      <c r="H23" s="135"/>
      <c r="I23" s="135"/>
      <c r="J23" s="135"/>
      <c r="K23" s="135"/>
      <c r="L23" s="93">
        <f>IF(Table622027323334171819305147[[#This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4" thickBot="1" x14ac:dyDescent="0.3">
      <c r="B24" s="100"/>
      <c r="C24" s="101"/>
      <c r="D24" s="135"/>
      <c r="E24" s="135"/>
      <c r="F24" s="135"/>
      <c r="G24" s="135"/>
      <c r="H24" s="135"/>
      <c r="I24" s="135"/>
      <c r="J24" s="135"/>
      <c r="K24" s="135"/>
      <c r="L24" s="93">
        <f>IF(Table622027323334171819305147[[#This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xSi9I9mFd20P+70pefrow0LuTiBF2x5Xcz9hxd8fOqn0PZYMKYWVOcGkq5v0gkJrCk6slEm2lVyIuHwa5x53PQ==" saltValue="CHuNGeXXcKHMtLrgvbaZgg==" spinCount="100000" sheet="1" objects="1" scenarios="1"/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E7F9-BE89-4E13-B762-4F20B63FE9F7}">
  <sheetPr codeName="Sheet85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C36" sqref="C36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126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149</v>
      </c>
      <c r="C5" s="84"/>
      <c r="D5" s="85">
        <v>12.78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IF(Table6220273233162753[[#This Row],[Non-Member]]="X"," ",IF(F5=" "," ",IFERROR(VLOOKUP(E5,Points!$A$2:$B$14,2,FALSE)," ")))</f>
        <v>18</v>
      </c>
      <c r="H5" s="85">
        <v>17.75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IF(Table6220273233162753[[#This Row],[Non-Member]]="X"," ",IF(J5=" "," ",IFERROR(VLOOKUP(I5,Points!$A$2:$B$14,2,FALSE)," ")))</f>
        <v>18</v>
      </c>
      <c r="L5" s="85">
        <v>22.44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IF(Table6220273233162753[[#This Row],[Non-Member]]="X"," ",IF(N5=" "," ",IFERROR(VLOOKUP(M5,Points!$A$2:$B$14,2,FALSE)," ")))</f>
        <v>15</v>
      </c>
      <c r="P5" s="85">
        <v>11.56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IF(Table6220273233162753[[#This Row],[Non-Member]]="X"," ",IF(R5=" "," ",IFERROR(VLOOKUP(Q5,Points!$A$2:$B$14,2,FALSE)," ")))</f>
        <v>18</v>
      </c>
      <c r="T5" s="85">
        <v>0</v>
      </c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IF(Table6220273233162753[[#This Row],[Non-Member]]="X"," ",IF(V5=" "," ",IFERROR(VLOOKUP(U5,Points!$A$2:$B$14,2,FALSE)," ")))</f>
        <v xml:space="preserve"> </v>
      </c>
      <c r="X5" s="85">
        <v>12.95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IF(Table6220273233162753[[#This Row],[Non-Member]]="X"," ",IF(Z5=" "," ",IFERROR(VLOOKUP(Y5,Points!$A$2:$B$14,2,FALSE)," ")))</f>
        <v>18</v>
      </c>
      <c r="AB5" s="85">
        <v>10.31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IF(Table6220273233162753[[#This Row],[Non-Member]]="X"," ",IF(AD5=" "," ",IFERROR(VLOOKUP(AC5,Points!$A$2:$B$14,2,FALSE)," ")))</f>
        <v>18</v>
      </c>
      <c r="AF5" s="85">
        <f>IF(OR(X5=0,AB5=0)," ",X5+AB5)</f>
        <v>23.259999999999998</v>
      </c>
      <c r="AG5" s="86">
        <f>IF(OR(AF5=0,AF5=" ")," ",_xlfn.RANK.AVG(AF5,AF$5:AF$24,1)-COUNTIF(AF$5:AF$24,0))</f>
        <v>1</v>
      </c>
      <c r="AH5" s="86">
        <f>IF(OR(AF5=0,AF5=" ")," ",IF((RANK(AF5,AF$5:AF$24,1)-COUNTIF(AF$5:AF$24,0)&gt;6)," ",RANK(AF5,AF$5:AF$24,1)-COUNTIF(AF$5:AF$24,0)))</f>
        <v>1</v>
      </c>
      <c r="AI5" s="87">
        <f>IF(Table6220273233162753[[#This Row],[Non-Member]]="X"," ",IF(AH5=" "," ",IFERROR(VLOOKUP(AG5,Points!$A$2:$B$14,2,FALSE)," ")))</f>
        <v>18</v>
      </c>
      <c r="AJ5" s="86">
        <f>IF(Table6220273233162753[[#This Row],[Non-Member]]="X"," ",((IF(G5=" ",0,G5))+(IF(K5=" ",0,K5))+(IF(O5=" ",0,O5))+(IF(S5=" ",0,S5))+(IF(W5=" ",0,W5))+(IF(AA5=" ",0,AA5))+(IF(AE5=" ",0,AE5))+(IF(AI5=" ",0,AI5))))</f>
        <v>123</v>
      </c>
      <c r="AK5" s="88">
        <f t="shared" ref="AK5:AK24" si="14">IF(AJ5=0," ",AJ5)</f>
        <v>123</v>
      </c>
      <c r="AL5" s="89">
        <f t="shared" ref="AL5:AL24" si="15">IF(AK5=" "," ",RANK(AK5,$AK$5:$AK$24))</f>
        <v>1</v>
      </c>
    </row>
    <row r="6" spans="2:38" x14ac:dyDescent="0.25">
      <c r="B6" s="90" t="s">
        <v>150</v>
      </c>
      <c r="C6" s="91"/>
      <c r="D6" s="136">
        <v>19</v>
      </c>
      <c r="E6" s="93">
        <f t="shared" si="0"/>
        <v>2</v>
      </c>
      <c r="F6" s="93">
        <f t="shared" si="1"/>
        <v>2</v>
      </c>
      <c r="G6" s="94">
        <f>IF(Table6220273233162753[[#This Row],[Non-Member]]="X"," ",IF(F6=" "," ",IFERROR(VLOOKUP(E6,Points!$A$2:$B$14,2,FALSE)," ")))</f>
        <v>15</v>
      </c>
      <c r="H6" s="92">
        <v>18.97</v>
      </c>
      <c r="I6" s="93">
        <f t="shared" si="2"/>
        <v>2</v>
      </c>
      <c r="J6" s="93">
        <f t="shared" si="3"/>
        <v>2</v>
      </c>
      <c r="K6" s="94">
        <f>IF(Table6220273233162753[[#This Row],[Non-Member]]="X"," ",IF(J6=" "," ",IFERROR(VLOOKUP(I6,Points!$A$2:$B$14,2,FALSE)," ")))</f>
        <v>15</v>
      </c>
      <c r="L6" s="92">
        <v>21.53</v>
      </c>
      <c r="M6" s="93">
        <f t="shared" si="4"/>
        <v>1</v>
      </c>
      <c r="N6" s="93">
        <f t="shared" si="5"/>
        <v>1</v>
      </c>
      <c r="O6" s="94">
        <f>IF(Table6220273233162753[[#This Row],[Non-Member]]="X"," ",IF(N6=" "," ",IFERROR(VLOOKUP(M6,Points!$A$2:$B$14,2,FALSE)," ")))</f>
        <v>18</v>
      </c>
      <c r="P6" s="92">
        <v>17.2</v>
      </c>
      <c r="Q6" s="93">
        <f t="shared" si="6"/>
        <v>2</v>
      </c>
      <c r="R6" s="93">
        <f t="shared" si="7"/>
        <v>2</v>
      </c>
      <c r="S6" s="94">
        <f>IF(Table6220273233162753[[#This Row],[Non-Member]]="X"," ",IF(R6=" "," ",IFERROR(VLOOKUP(Q6,Points!$A$2:$B$14,2,FALSE)," ")))</f>
        <v>15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IF(Table6220273233162753[[#This Row],[Non-Member]]="X"," ",IF(V6=" "," ",IFERROR(VLOOKUP(U6,Points!$A$2:$B$14,2,FALSE)," ")))</f>
        <v xml:space="preserve"> </v>
      </c>
      <c r="X6" s="92">
        <v>19.649999999999999</v>
      </c>
      <c r="Y6" s="93">
        <f t="shared" si="10"/>
        <v>5</v>
      </c>
      <c r="Z6" s="93">
        <f t="shared" si="11"/>
        <v>5</v>
      </c>
      <c r="AA6" s="94">
        <f>IF(Table6220273233162753[[#This Row],[Non-Member]]="X"," ",IF(Z6=" "," ",IFERROR(VLOOKUP(Y6,Points!$A$2:$B$14,2,FALSE)," ")))</f>
        <v>6</v>
      </c>
      <c r="AB6" s="92">
        <v>16.899999999999999</v>
      </c>
      <c r="AC6" s="93">
        <f t="shared" si="12"/>
        <v>2</v>
      </c>
      <c r="AD6" s="93">
        <f t="shared" si="13"/>
        <v>2</v>
      </c>
      <c r="AE6" s="94">
        <f>IF(Table6220273233162753[[#This Row],[Non-Member]]="X"," ",IF(AD6=" "," ",IFERROR(VLOOKUP(AC6,Points!$A$2:$B$14,2,FALSE)," ")))</f>
        <v>15</v>
      </c>
      <c r="AF6" s="92">
        <f>IF(OR(X6=0,AB6=0)," ",X6+AB6)</f>
        <v>36.549999999999997</v>
      </c>
      <c r="AG6" s="93">
        <f>IF(OR(AF6=0,AF6=" ")," ",_xlfn.RANK.AVG(AF6,AF$5:AF$24,1)-COUNTIF(AF$5:AF$24,0))</f>
        <v>2</v>
      </c>
      <c r="AH6" s="93">
        <f>IF(OR(AF6=0,AF6=" ")," ",IF((RANK(AF6,AF$5:AF$24,1)-COUNTIF(AF$5:AF$24,0)&gt;6)," ",RANK(AF6,AF$5:AF$24,1)-COUNTIF(AF$5:AF$24,0)))</f>
        <v>2</v>
      </c>
      <c r="AI6" s="94">
        <f>IF(Table6220273233162753[[#This Row],[Non-Member]]="X"," ",IF(AH6=" "," ",IFERROR(VLOOKUP(AG6,Points!$A$2:$B$14,2,FALSE)," ")))</f>
        <v>15</v>
      </c>
      <c r="AJ6" s="93">
        <f>IF(Table6220273233162753[[#This Row],[Non-Member]]="X"," ",((IF(G6=" ",0,G6))+(IF(K6=" ",0,K6))+(IF(O6=" ",0,O6))+(IF(S6=" ",0,S6))+(IF(W6=" ",0,W6))+(IF(AA6=" ",0,AA6))+(IF(AE6=" ",0,AE6))+(IF(AI6=" ",0,AI6))))</f>
        <v>99</v>
      </c>
      <c r="AK6" s="95">
        <f t="shared" si="14"/>
        <v>99</v>
      </c>
      <c r="AL6" s="96">
        <f t="shared" si="15"/>
        <v>2</v>
      </c>
    </row>
    <row r="7" spans="2:38" x14ac:dyDescent="0.25">
      <c r="B7" s="90" t="s">
        <v>195</v>
      </c>
      <c r="C7" s="91"/>
      <c r="D7" s="136">
        <v>21.4</v>
      </c>
      <c r="E7" s="93">
        <f t="shared" si="0"/>
        <v>3</v>
      </c>
      <c r="F7" s="93">
        <f t="shared" si="1"/>
        <v>3</v>
      </c>
      <c r="G7" s="94">
        <f>IF(Table6220273233162753[[#This Row],[Non-Member]]="X"," ",IF(F7=" "," ",IFERROR(VLOOKUP(E7,Points!$A$2:$B$14,2,FALSE)," ")))</f>
        <v>12</v>
      </c>
      <c r="H7" s="92">
        <v>21.9</v>
      </c>
      <c r="I7" s="93">
        <f t="shared" si="2"/>
        <v>3</v>
      </c>
      <c r="J7" s="93">
        <f t="shared" si="3"/>
        <v>3</v>
      </c>
      <c r="K7" s="94">
        <f>IF(Table6220273233162753[[#This Row],[Non-Member]]="X"," ",IF(J7=" "," ",IFERROR(VLOOKUP(I7,Points!$A$2:$B$14,2,FALSE)," ")))</f>
        <v>12</v>
      </c>
      <c r="L7" s="92"/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IF(Table6220273233162753[[#This Row],[Non-Member]]="X"," ",IF(N7=" "," ",IFERROR(VLOOKUP(M7,Points!$A$2:$B$14,2,FALSE)," ")))</f>
        <v xml:space="preserve"> </v>
      </c>
      <c r="P7" s="92">
        <v>20.58</v>
      </c>
      <c r="Q7" s="93">
        <f t="shared" si="6"/>
        <v>3</v>
      </c>
      <c r="R7" s="93">
        <f t="shared" si="7"/>
        <v>3</v>
      </c>
      <c r="S7" s="94">
        <f>IF(Table6220273233162753[[#This Row],[Non-Member]]="X"," ",IF(R7=" "," ",IFERROR(VLOOKUP(Q7,Points!$A$2:$B$14,2,FALSE)," ")))</f>
        <v>12</v>
      </c>
      <c r="T7" s="92">
        <v>17.559999999999999</v>
      </c>
      <c r="U7" s="93">
        <f t="shared" si="8"/>
        <v>1</v>
      </c>
      <c r="V7" s="93">
        <f t="shared" si="9"/>
        <v>1</v>
      </c>
      <c r="W7" s="94">
        <f>IF(Table6220273233162753[[#This Row],[Non-Member]]="X"," ",IF(V7=" "," ",IFERROR(VLOOKUP(U7,Points!$A$2:$B$14,2,FALSE)," ")))</f>
        <v>18</v>
      </c>
      <c r="X7" s="92">
        <v>0</v>
      </c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IF(Table6220273233162753[[#This Row],[Non-Member]]="X"," ",IF(Z7=" "," ",IFERROR(VLOOKUP(Y7,Points!$A$2:$B$14,2,FALSE)," ")))</f>
        <v xml:space="preserve"> </v>
      </c>
      <c r="AB7" s="92">
        <v>0</v>
      </c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IF(Table6220273233162753[[#This Row],[Non-Member]]="X"," ",IF(AD7=" "," ",IFERROR(VLOOKUP(AC7,Points!$A$2:$B$14,2,FALSE)," ")))</f>
        <v xml:space="preserve"> </v>
      </c>
      <c r="AF7" s="92" t="str">
        <f>IF(OR(X7=0,AB7=0)," ",X7+AB7)</f>
        <v xml:space="preserve"> </v>
      </c>
      <c r="AG7" s="93" t="str">
        <f>IF(OR(AF7=0,AF7=" ")," ",_xlfn.RANK.AVG(AF7,AF$5:AF$24,1)-COUNTIF(AF$5:AF$24,0))</f>
        <v xml:space="preserve"> </v>
      </c>
      <c r="AH7" s="93" t="str">
        <f>IF(OR(AF7=0,AF7=" ")," ",IF((RANK(AF7,AF$5:AF$24,1)-COUNTIF(AF$5:AF$24,0)&gt;6)," ",RANK(AF7,AF$5:AF$24,1)-COUNTIF(AF$5:AF$24,0)))</f>
        <v xml:space="preserve"> </v>
      </c>
      <c r="AI7" s="94" t="str">
        <f>IF(Table6220273233162753[[#This Row],[Non-Member]]="X"," ",IF(AH7=" "," ",IFERROR(VLOOKUP(AG7,Points!$A$2:$B$14,2,FALSE)," ")))</f>
        <v xml:space="preserve"> </v>
      </c>
      <c r="AJ7" s="93">
        <f>IF(Table6220273233162753[[#This Row],[Non-Member]]="X"," ",((IF(G7=" ",0,G7))+(IF(K7=" ",0,K7))+(IF(O7=" ",0,O7))+(IF(S7=" ",0,S7))+(IF(W7=" ",0,W7))+(IF(AA7=" ",0,AA7))+(IF(AE7=" ",0,AE7))+(IF(AI7=" ",0,AI7))))</f>
        <v>54</v>
      </c>
      <c r="AK7" s="95">
        <f t="shared" si="14"/>
        <v>54</v>
      </c>
      <c r="AL7" s="96">
        <f t="shared" si="15"/>
        <v>3</v>
      </c>
    </row>
    <row r="8" spans="2:38" x14ac:dyDescent="0.25">
      <c r="B8" s="90" t="s">
        <v>196</v>
      </c>
      <c r="C8" s="91"/>
      <c r="D8" s="92">
        <v>33.54</v>
      </c>
      <c r="E8" s="93">
        <f t="shared" si="0"/>
        <v>5</v>
      </c>
      <c r="F8" s="93">
        <f t="shared" si="1"/>
        <v>5</v>
      </c>
      <c r="G8" s="94">
        <f>IF(Table6220273233162753[[#This Row],[Non-Member]]="X"," ",IF(F8=" "," ",IFERROR(VLOOKUP(E8,Points!$A$2:$B$14,2,FALSE)," ")))</f>
        <v>6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IF(Table6220273233162753[[#This Row],[Non-Member]]="X"," ",IF(J8=" "," ",IFERROR(VLOOKUP(I8,Points!$A$2:$B$14,2,FALSE)," ")))</f>
        <v xml:space="preserve"> </v>
      </c>
      <c r="L8" s="92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IF(Table6220273233162753[[#This Row],[Non-Member]]="X"," ",IF(N8=" "," ",IFERROR(VLOOKUP(M8,Points!$A$2:$B$14,2,FALSE)," ")))</f>
        <v xml:space="preserve"> 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IF(Table6220273233162753[[#This Row],[Non-Member]]="X"," ",IF(R8=" "," ",IFERROR(VLOOKUP(Q8,Points!$A$2:$B$14,2,FALSE)," ")))</f>
        <v xml:space="preserve"> </v>
      </c>
      <c r="T8" s="92">
        <v>20</v>
      </c>
      <c r="U8" s="93">
        <f t="shared" si="8"/>
        <v>2</v>
      </c>
      <c r="V8" s="93">
        <f t="shared" si="9"/>
        <v>2</v>
      </c>
      <c r="W8" s="94">
        <f>IF(Table6220273233162753[[#This Row],[Non-Member]]="X"," ",IF(V8=" "," ",IFERROR(VLOOKUP(U8,Points!$A$2:$B$14,2,FALSE)," ")))</f>
        <v>15</v>
      </c>
      <c r="X8" s="92">
        <v>18.55</v>
      </c>
      <c r="Y8" s="93">
        <f t="shared" si="10"/>
        <v>4</v>
      </c>
      <c r="Z8" s="93">
        <f t="shared" si="11"/>
        <v>4</v>
      </c>
      <c r="AA8" s="94">
        <f>IF(Table6220273233162753[[#This Row],[Non-Member]]="X"," ",IF(Z8=" "," ",IFERROR(VLOOKUP(Y8,Points!$A$2:$B$14,2,FALSE)," ")))</f>
        <v>9</v>
      </c>
      <c r="AB8" s="92">
        <v>23.69</v>
      </c>
      <c r="AC8" s="93">
        <f t="shared" si="12"/>
        <v>3</v>
      </c>
      <c r="AD8" s="93">
        <f t="shared" si="13"/>
        <v>3</v>
      </c>
      <c r="AE8" s="94">
        <f>IF(Table6220273233162753[[#This Row],[Non-Member]]="X"," ",IF(AD8=" "," ",IFERROR(VLOOKUP(AC8,Points!$A$2:$B$14,2,FALSE)," ")))</f>
        <v>12</v>
      </c>
      <c r="AF8" s="92">
        <f>IF(OR(X8=0,AB8=0)," ",X8+AB8)</f>
        <v>42.24</v>
      </c>
      <c r="AG8" s="93">
        <f>IF(OR(AF8=0,AF8=" ")," ",_xlfn.RANK.AVG(AF8,AF$5:AF$24,1)-COUNTIF(AF$5:AF$24,0))</f>
        <v>3</v>
      </c>
      <c r="AH8" s="93">
        <f>IF(OR(AF8=0,AF8=" ")," ",IF((RANK(AF8,AF$5:AF$24,1)-COUNTIF(AF$5:AF$24,0)&gt;6)," ",RANK(AF8,AF$5:AF$24,1)-COUNTIF(AF$5:AF$24,0)))</f>
        <v>3</v>
      </c>
      <c r="AI8" s="94">
        <f>IF(Table6220273233162753[[#This Row],[Non-Member]]="X"," ",IF(AH8=" "," ",IFERROR(VLOOKUP(AG8,Points!$A$2:$B$14,2,FALSE)," ")))</f>
        <v>12</v>
      </c>
      <c r="AJ8" s="93">
        <f>IF(Table6220273233162753[[#This Row],[Non-Member]]="X"," ",((IF(G8=" ",0,G8))+(IF(K8=" ",0,K8))+(IF(O8=" ",0,O8))+(IF(S8=" ",0,S8))+(IF(W8=" ",0,W8))+(IF(AA8=" ",0,AA8))+(IF(AE8=" ",0,AE8))+(IF(AI8=" ",0,AI8))))</f>
        <v>54</v>
      </c>
      <c r="AK8" s="95">
        <f t="shared" si="14"/>
        <v>54</v>
      </c>
      <c r="AL8" s="96">
        <f t="shared" si="15"/>
        <v>3</v>
      </c>
    </row>
    <row r="9" spans="2:38" x14ac:dyDescent="0.25">
      <c r="B9" s="90" t="s">
        <v>170</v>
      </c>
      <c r="C9" s="91"/>
      <c r="D9" s="92">
        <v>21.44</v>
      </c>
      <c r="E9" s="93">
        <f t="shared" si="0"/>
        <v>4</v>
      </c>
      <c r="F9" s="93">
        <f t="shared" si="1"/>
        <v>4</v>
      </c>
      <c r="G9" s="94">
        <f>IF(Table6220273233162753[[#This Row],[Non-Member]]="X"," ",IF(F9=" "," ",IFERROR(VLOOKUP(E9,Points!$A$2:$B$14,2,FALSE)," ")))</f>
        <v>9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IF(Table6220273233162753[[#This Row],[Non-Member]]="X"," ",IF(J9=" "," ",IFERROR(VLOOKUP(I9,Points!$A$2:$B$14,2,FALSE)," ")))</f>
        <v xml:space="preserve"> </v>
      </c>
      <c r="L9" s="92"/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IF(Table6220273233162753[[#This Row],[Non-Member]]="X"," ",IF(N9=" "," ",IFERROR(VLOOKUP(M9,Points!$A$2:$B$14,2,FALSE)," ")))</f>
        <v xml:space="preserve"> 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IF(Table6220273233162753[[#This Row],[Non-Member]]="X"," ",IF(R9=" "," ",IFERROR(VLOOKUP(Q9,Points!$A$2:$B$14,2,FALSE)," ")))</f>
        <v xml:space="preserve"> 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IF(Table6220273233162753[[#This Row],[Non-Member]]="X"," ",IF(V9=" "," ",IFERROR(VLOOKUP(U9,Points!$A$2:$B$14,2,FALSE)," ")))</f>
        <v xml:space="preserve"> </v>
      </c>
      <c r="X9" s="92">
        <v>15.23</v>
      </c>
      <c r="Y9" s="93">
        <f t="shared" si="10"/>
        <v>2</v>
      </c>
      <c r="Z9" s="93">
        <f t="shared" si="11"/>
        <v>2</v>
      </c>
      <c r="AA9" s="94">
        <f>IF(Table6220273233162753[[#This Row],[Non-Member]]="X"," ",IF(Z9=" "," ",IFERROR(VLOOKUP(Y9,Points!$A$2:$B$14,2,FALSE)," ")))</f>
        <v>15</v>
      </c>
      <c r="AB9" s="92">
        <v>0</v>
      </c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IF(Table6220273233162753[[#This Row],[Non-Member]]="X"," ",IF(AD9=" "," ",IFERROR(VLOOKUP(AC9,Points!$A$2:$B$14,2,FALSE)," ")))</f>
        <v xml:space="preserve"> </v>
      </c>
      <c r="AF9" s="163" t="s">
        <v>302</v>
      </c>
      <c r="AG9" s="93">
        <v>4</v>
      </c>
      <c r="AH9" s="93">
        <v>4</v>
      </c>
      <c r="AI9" s="94">
        <f>IF(Table6220273233162753[[#This Row],[Non-Member]]="X"," ",IF(AH9=" "," ",IFERROR(VLOOKUP(AG9,Points!$A$2:$B$14,2,FALSE)," ")))</f>
        <v>9</v>
      </c>
      <c r="AJ9" s="93">
        <f>IF(Table6220273233162753[[#This Row],[Non-Member]]="X"," ",((IF(G9=" ",0,G9))+(IF(K9=" ",0,K9))+(IF(O9=" ",0,O9))+(IF(S9=" ",0,S9))+(IF(W9=" ",0,W9))+(IF(AA9=" ",0,AA9))+(IF(AE9=" ",0,AE9))+(IF(AI9=" ",0,AI9))))</f>
        <v>33</v>
      </c>
      <c r="AK9" s="95">
        <f t="shared" si="14"/>
        <v>33</v>
      </c>
      <c r="AL9" s="96">
        <f t="shared" si="15"/>
        <v>5</v>
      </c>
    </row>
    <row r="10" spans="2:38" x14ac:dyDescent="0.25">
      <c r="B10" s="90" t="s">
        <v>136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IF(Table6220273233162753[[#This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IF(Table6220273233162753[[#This Row],[Non-Member]]="X"," ",IF(J10=" "," ",IFERROR(VLOOKUP(I10,Points!$A$2:$B$14,2,FALSE)," ")))</f>
        <v xml:space="preserve"> </v>
      </c>
      <c r="L10" s="92">
        <v>33.35</v>
      </c>
      <c r="M10" s="93">
        <f t="shared" si="4"/>
        <v>3</v>
      </c>
      <c r="N10" s="93">
        <f t="shared" si="5"/>
        <v>3</v>
      </c>
      <c r="O10" s="94">
        <f>IF(Table6220273233162753[[#This Row],[Non-Member]]="X"," ",IF(N10=" "," ",IFERROR(VLOOKUP(M10,Points!$A$2:$B$14,2,FALSE)," ")))</f>
        <v>12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IF(Table6220273233162753[[#This Row],[Non-Member]]="X"," ",IF(R10=" "," ",IFERROR(VLOOKUP(Q10,Points!$A$2:$B$14,2,FALSE)," ")))</f>
        <v xml:space="preserve"> 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IF(Table6220273233162753[[#This Row],[Non-Member]]="X"," ",IF(V10=" "," ",IFERROR(VLOOKUP(U10,Points!$A$2:$B$14,2,FALSE)," ")))</f>
        <v xml:space="preserve"> </v>
      </c>
      <c r="X10" s="92">
        <v>16.68</v>
      </c>
      <c r="Y10" s="93">
        <f t="shared" si="10"/>
        <v>3</v>
      </c>
      <c r="Z10" s="93">
        <f t="shared" si="11"/>
        <v>3</v>
      </c>
      <c r="AA10" s="94">
        <f>IF(Table6220273233162753[[#This Row],[Non-Member]]="X"," ",IF(Z10=" "," ",IFERROR(VLOOKUP(Y10,Points!$A$2:$B$14,2,FALSE)," ")))</f>
        <v>12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IF(Table6220273233162753[[#This Row],[Non-Member]]="X"," ",IF(AD10=" "," ",IFERROR(VLOOKUP(AC10,Points!$A$2:$B$14,2,FALSE)," ")))</f>
        <v xml:space="preserve"> </v>
      </c>
      <c r="AF10" s="163" t="s">
        <v>301</v>
      </c>
      <c r="AG10" s="93">
        <v>5</v>
      </c>
      <c r="AH10" s="93">
        <v>5</v>
      </c>
      <c r="AI10" s="94">
        <f>IF(Table6220273233162753[[#This Row],[Non-Member]]="X"," ",IF(AH10=" "," ",IFERROR(VLOOKUP(AG10,Points!$A$2:$B$14,2,FALSE)," ")))</f>
        <v>6</v>
      </c>
      <c r="AJ10" s="93">
        <f>IF(Table6220273233162753[[#This Row],[Non-Member]]="X"," ",((IF(G10=" ",0,G10))+(IF(K10=" ",0,K10))+(IF(O10=" ",0,O10))+(IF(S10=" ",0,S10))+(IF(W10=" ",0,W10))+(IF(AA10=" ",0,AA10))+(IF(AE10=" ",0,AE10))+(IF(AI10=" ",0,AI10))))</f>
        <v>30</v>
      </c>
      <c r="AK10" s="95">
        <f t="shared" si="14"/>
        <v>30</v>
      </c>
      <c r="AL10" s="96">
        <f t="shared" si="15"/>
        <v>6</v>
      </c>
    </row>
    <row r="11" spans="2:38" x14ac:dyDescent="0.25">
      <c r="B11" s="90" t="s">
        <v>270</v>
      </c>
      <c r="C11" s="91" t="s">
        <v>95</v>
      </c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IF(Table6220273233162753[[#This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IF(Table6220273233162753[[#This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IF(Table6220273233162753[[#This Row],[Non-Member]]="X"," ",IF(N11=" "," ",IFERROR(VLOOKUP(M11,Points!$A$2:$B$14,2,FALSE)," ")))</f>
        <v xml:space="preserve"> 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IF(Table6220273233162753[[#This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IF(Table6220273233162753[[#This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IF(Table6220273233162753[[#This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IF(Table6220273233162753[[#This Row],[Non-Member]]="X"," ",IF(AD11=" "," ",IFERROR(VLOOKUP(AC11,Points!$A$2:$B$14,2,FALSE)," ")))</f>
        <v xml:space="preserve"> </v>
      </c>
      <c r="AF11" s="92" t="str">
        <f t="shared" ref="AF11:AF24" si="16">IF(OR(X11=0,AB11=0)," ",X11+AB11)</f>
        <v xml:space="preserve"> </v>
      </c>
      <c r="AG11" s="93" t="str">
        <f t="shared" ref="AG11:AG24" si="17">IF(OR(AF11=0,AF11=" ")," ",_xlfn.RANK.AVG(AF11,AF$5:AF$24,1)-COUNTIF(AF$5:AF$24,0))</f>
        <v xml:space="preserve"> </v>
      </c>
      <c r="AH11" s="93" t="str">
        <f t="shared" ref="AH11:AH24" si="18">IF(OR(AF11=0,AF11=" ")," ",IF((RANK(AF11,AF$5:AF$24,1)-COUNTIF(AF$5:AF$24,0)&gt;6)," ",RANK(AF11,AF$5:AF$24,1)-COUNTIF(AF$5:AF$24,0)))</f>
        <v xml:space="preserve"> </v>
      </c>
      <c r="AI11" s="94" t="str">
        <f>IF(Table6220273233162753[[#This Row],[Non-Member]]="X"," ",IF(AH11=" "," ",IFERROR(VLOOKUP(AG11,Points!$A$2:$B$14,2,FALSE)," ")))</f>
        <v xml:space="preserve"> </v>
      </c>
      <c r="AJ11" s="93" t="str">
        <f>IF(Table6220273233162753[[#This Row],[Non-Member]]="X"," ",((IF(G11=" ",0,G11))+(IF(K11=" ",0,K11))+(IF(O11=" ",0,O11))+(IF(S11=" ",0,S11))+(IF(W11=" ",0,W11))+(IF(AA11=" ",0,AA11))+(IF(AE11=" ",0,AE11))+(IF(AI11=" ",0,AI11))))</f>
        <v xml:space="preserve"> </v>
      </c>
      <c r="AK11" s="95" t="str">
        <f t="shared" si="14"/>
        <v xml:space="preserve"> </v>
      </c>
      <c r="AL11" s="96" t="str">
        <f t="shared" si="15"/>
        <v xml:space="preserve"> </v>
      </c>
    </row>
    <row r="12" spans="2:38" x14ac:dyDescent="0.25">
      <c r="B12" s="90" t="s">
        <v>271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IF(Table6220273233162753[[#This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IF(Table6220273233162753[[#This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IF(Table6220273233162753[[#This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IF(Table6220273233162753[[#This Row],[Non-Member]]="X"," ",IF(R12=" "," ",IFERROR(VLOOKUP(Q12,Points!$A$2:$B$14,2,FALSE)," ")))</f>
        <v xml:space="preserve"> </v>
      </c>
      <c r="T12" s="92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IF(Table6220273233162753[[#This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IF(Table6220273233162753[[#This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IF(Table6220273233162753[[#This Row],[Non-Member]]="X"," ",IF(AD12=" "," ",IFERROR(VLOOKUP(AC12,Points!$A$2:$B$14,2,FALSE)," ")))</f>
        <v xml:space="preserve"> </v>
      </c>
      <c r="AF12" s="92" t="str">
        <f t="shared" si="16"/>
        <v xml:space="preserve"> </v>
      </c>
      <c r="AG12" s="93" t="str">
        <f t="shared" si="17"/>
        <v xml:space="preserve"> </v>
      </c>
      <c r="AH12" s="93" t="str">
        <f t="shared" si="18"/>
        <v xml:space="preserve"> </v>
      </c>
      <c r="AI12" s="94" t="str">
        <f>IF(Table6220273233162753[[#This Row],[Non-Member]]="X"," ",IF(AH12=" "," ",IFERROR(VLOOKUP(AG12,Points!$A$2:$B$14,2,FALSE)," ")))</f>
        <v xml:space="preserve"> </v>
      </c>
      <c r="AJ12" s="93">
        <f>IF(Table6220273233162753[[#This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4"/>
        <v xml:space="preserve"> </v>
      </c>
      <c r="AL12" s="96" t="str">
        <f t="shared" si="15"/>
        <v xml:space="preserve"> </v>
      </c>
    </row>
    <row r="13" spans="2:38" x14ac:dyDescent="0.25">
      <c r="B13" s="90"/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IF(Table6220273233162753[[#This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IF(Table6220273233162753[[#This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IF(Table6220273233162753[[#This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IF(Table6220273233162753[[#This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IF(Table6220273233162753[[#This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IF(Table6220273233162753[[#This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IF(Table6220273233162753[[#This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IF(Table6220273233162753[[#This Row],[Non-Member]]="X"," ",IF(AH13=" "," ",IFERROR(VLOOKUP(AG13,Points!$A$2:$B$14,2,FALSE)," ")))</f>
        <v xml:space="preserve"> </v>
      </c>
      <c r="AJ13" s="93">
        <f>IF(Table6220273233162753[[#This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4"/>
        <v xml:space="preserve"> </v>
      </c>
      <c r="AL13" s="96" t="str">
        <f t="shared" si="15"/>
        <v xml:space="preserve"> </v>
      </c>
    </row>
    <row r="14" spans="2:38" x14ac:dyDescent="0.25">
      <c r="B14" s="90"/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IF(Table6220273233162753[[#This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IF(Table6220273233162753[[#This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IF(Table6220273233162753[[#This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IF(Table6220273233162753[[#This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IF(Table6220273233162753[[#This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IF(Table6220273233162753[[#This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IF(Table6220273233162753[[#This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IF(Table6220273233162753[[#This Row],[Non-Member]]="X"," ",IF(AH14=" "," ",IFERROR(VLOOKUP(AG14,Points!$A$2:$B$14,2,FALSE)," ")))</f>
        <v xml:space="preserve"> </v>
      </c>
      <c r="AJ14" s="93">
        <f>IF(Table6220273233162753[[#This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25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IF(Table6220273233162753[[#This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IF(Table6220273233162753[[#This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IF(Table6220273233162753[[#This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IF(Table6220273233162753[[#This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IF(Table6220273233162753[[#This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IF(Table6220273233162753[[#This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IF(Table6220273233162753[[#This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3" t="str">
        <f t="shared" si="17"/>
        <v xml:space="preserve"> </v>
      </c>
      <c r="AH15" s="93" t="str">
        <f t="shared" si="18"/>
        <v xml:space="preserve"> </v>
      </c>
      <c r="AI15" s="94" t="str">
        <f>IF(Table6220273233162753[[#This Row],[Non-Member]]="X"," ",IF(AH15=" "," ",IFERROR(VLOOKUP(AG15,Points!$A$2:$B$14,2,FALSE)," ")))</f>
        <v xml:space="preserve"> </v>
      </c>
      <c r="AJ15" s="93">
        <f>IF(Table6220273233162753[[#This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25">
      <c r="B16" s="90"/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IF(Table6220273233162753[[#This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IF(Table6220273233162753[[#This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IF(Table6220273233162753[[#This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IF(Table6220273233162753[[#This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IF(Table6220273233162753[[#This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IF(Table6220273233162753[[#This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IF(Table6220273233162753[[#This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7" t="str">
        <f t="shared" si="17"/>
        <v xml:space="preserve"> </v>
      </c>
      <c r="AH16" s="97" t="str">
        <f t="shared" si="18"/>
        <v xml:space="preserve"> </v>
      </c>
      <c r="AI16" s="94" t="str">
        <f>IF(Table6220273233162753[[#This Row],[Non-Member]]="X"," ",IF(AH16=" "," ",IFERROR(VLOOKUP(AG16,Points!$A$2:$B$14,2,FALSE)," ")))</f>
        <v xml:space="preserve"> </v>
      </c>
      <c r="AJ16" s="97">
        <f>IF(Table6220273233162753[[#This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8" t="str">
        <f t="shared" si="15"/>
        <v xml:space="preserve"> </v>
      </c>
    </row>
    <row r="17" spans="2:38" x14ac:dyDescent="0.25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IF(Table6220273233162753[[#This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IF(Table6220273233162753[[#This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IF(Table6220273233162753[[#This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IF(Table6220273233162753[[#This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IF(Table6220273233162753[[#This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IF(Table6220273233162753[[#This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IF(Table6220273233162753[[#This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7" t="str">
        <f t="shared" si="17"/>
        <v xml:space="preserve"> </v>
      </c>
      <c r="AH17" s="97" t="str">
        <f t="shared" si="18"/>
        <v xml:space="preserve"> </v>
      </c>
      <c r="AI17" s="94" t="str">
        <f>IF(Table6220273233162753[[#This Row],[Non-Member]]="X"," ",IF(AH17=" "," ",IFERROR(VLOOKUP(AG17,Points!$A$2:$B$14,2,FALSE)," ")))</f>
        <v xml:space="preserve"> </v>
      </c>
      <c r="AJ17" s="97">
        <f>IF(Table6220273233162753[[#This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IF(Table6220273233162753[[#This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IF(Table6220273233162753[[#This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IF(Table6220273233162753[[#This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IF(Table6220273233162753[[#This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IF(Table6220273233162753[[#This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IF(Table6220273233162753[[#This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IF(Table6220273233162753[[#This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7" t="str">
        <f t="shared" si="17"/>
        <v xml:space="preserve"> </v>
      </c>
      <c r="AH18" s="97" t="str">
        <f t="shared" si="18"/>
        <v xml:space="preserve"> </v>
      </c>
      <c r="AI18" s="94" t="str">
        <f>IF(Table6220273233162753[[#This Row],[Non-Member]]="X"," ",IF(AH18=" "," ",IFERROR(VLOOKUP(AG18,Points!$A$2:$B$14,2,FALSE)," ")))</f>
        <v xml:space="preserve"> </v>
      </c>
      <c r="AJ18" s="97">
        <f>IF(Table6220273233162753[[#This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IF(Table6220273233162753[[#This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IF(Table6220273233162753[[#This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IF(Table6220273233162753[[#This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IF(Table6220273233162753[[#This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IF(Table6220273233162753[[#This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IF(Table6220273233162753[[#This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IF(Table6220273233162753[[#This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IF(Table6220273233162753[[#This Row],[Non-Member]]="X"," ",IF(AH19=" "," ",IFERROR(VLOOKUP(AG19,Points!$A$2:$B$14,2,FALSE)," ")))</f>
        <v xml:space="preserve"> </v>
      </c>
      <c r="AJ19" s="93">
        <f>IF(Table6220273233162753[[#This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IF(Table6220273233162753[[#This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IF(Table6220273233162753[[#This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IF(Table6220273233162753[[#This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IF(Table6220273233162753[[#This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IF(Table6220273233162753[[#This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IF(Table6220273233162753[[#This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IF(Table6220273233162753[[#This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IF(Table6220273233162753[[#This Row],[Non-Member]]="X"," ",IF(AH20=" "," ",IFERROR(VLOOKUP(AG20,Points!$A$2:$B$14,2,FALSE)," ")))</f>
        <v xml:space="preserve"> </v>
      </c>
      <c r="AJ20" s="93">
        <f>IF(Table6220273233162753[[#This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IF(Table6220273233162753[[#This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IF(Table6220273233162753[[#This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IF(Table6220273233162753[[#This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IF(Table6220273233162753[[#This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IF(Table6220273233162753[[#This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IF(Table6220273233162753[[#This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IF(Table6220273233162753[[#This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IF(Table6220273233162753[[#This Row],[Non-Member]]="X"," ",IF(AH21=" "," ",IFERROR(VLOOKUP(AG21,Points!$A$2:$B$14,2,FALSE)," ")))</f>
        <v xml:space="preserve"> </v>
      </c>
      <c r="AJ21" s="93">
        <f>IF(Table6220273233162753[[#This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IF(Table6220273233162753[[#This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IF(Table6220273233162753[[#This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IF(Table6220273233162753[[#This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IF(Table6220273233162753[[#This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IF(Table6220273233162753[[#This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IF(Table6220273233162753[[#This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IF(Table6220273233162753[[#This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IF(Table6220273233162753[[#This Row],[Non-Member]]="X"," ",IF(AH22=" "," ",IFERROR(VLOOKUP(AG22,Points!$A$2:$B$14,2,FALSE)," ")))</f>
        <v xml:space="preserve"> </v>
      </c>
      <c r="AJ22" s="93">
        <f>IF(Table6220273233162753[[#This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IF(Table6220273233162753[[#This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IF(Table6220273233162753[[#This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IF(Table6220273233162753[[#This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IF(Table6220273233162753[[#This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IF(Table6220273233162753[[#This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IF(Table6220273233162753[[#This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IF(Table6220273233162753[[#This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IF(Table6220273233162753[[#This Row],[Non-Member]]="X"," ",IF(AH23=" "," ",IFERROR(VLOOKUP(AG23,Points!$A$2:$B$14,2,FALSE)," ")))</f>
        <v xml:space="preserve"> </v>
      </c>
      <c r="AJ23" s="93">
        <f>IF(Table6220273233162753[[#This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IF(Table6220273233162753[[#This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IF(Table6220273233162753[[#This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IF(Table6220273233162753[[#This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IF(Table6220273233162753[[#This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IF(Table6220273233162753[[#This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IF(Table6220273233162753[[#This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IF(Table6220273233162753[[#This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IF(Table6220273233162753[[#This Row],[Non-Member]]="X"," ",IF(AH24=" "," ",IFERROR(VLOOKUP(AG24,Points!$A$2:$B$14,2,FALSE)," ")))</f>
        <v xml:space="preserve"> </v>
      </c>
      <c r="AJ24" s="93">
        <f>IF(Table6220273233162753[[#This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r1RlOgqC03Z1Xhph/23LxWQuaQwkj1Nb4rZ+NAl4quzg+tjKd498aPWjTOPhZaw3dBYVw3wE6QI5IpmvY82Vgw==" saltValue="j2rQ3VjwnXAXHD9A0YmY9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ignoredErrors>
    <ignoredError sqref="AF9:AI10" calculatedColumn="1"/>
  </ignoredError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846B5-3221-4BF7-A815-55F546A55564}">
  <sheetPr codeName="Sheet86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E32" sqref="E32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127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/>
      <c r="C5" s="84"/>
      <c r="D5" s="85"/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IF(Table622027323334172854[[#This Row],[Non-Member]]="X"," ",IF(F5=" "," ",IFERROR(VLOOKUP(E5,Points!$A$2:$B$14,2,FALSE)," ")))</f>
        <v xml:space="preserve"> </v>
      </c>
      <c r="H5" s="85"/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IF(Table622027323334172854[[#This Row],[Non-Member]]="X"," ",IF(J5=" "," ",IFERROR(VLOOKUP(I5,Points!$A$2:$B$14,2,FALSE)," ")))</f>
        <v xml:space="preserve"> </v>
      </c>
      <c r="L5" s="137"/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IF(Table622027323334172854[[#This Row],[Non-Member]]="X"," ",IF(N5=" "," ",IFERROR(VLOOKUP(M5,Points!$A$2:$B$14,2,FALSE)," ")))</f>
        <v xml:space="preserve"> </v>
      </c>
      <c r="P5" s="137"/>
      <c r="Q5" s="86" t="str">
        <f t="shared" ref="Q5:Q24" si="6">IF(P5=0," ",_xlfn.RANK.AVG(P5,P$5:P$24,1)-COUNTIF(P$5:P$24,0))</f>
        <v xml:space="preserve"> </v>
      </c>
      <c r="R5" s="86" t="str">
        <f t="shared" ref="R5:R24" si="7">IF(P5=0," ",IF((RANK(P5,P$5:P$24,1)-COUNTIF(P$5:P$24,0)&gt;6)," ",RANK(P5,P$5:P$24,1)-COUNTIF(P$5:P$24,0)))</f>
        <v xml:space="preserve"> </v>
      </c>
      <c r="S5" s="87" t="str">
        <f>IF(Table622027323334172854[[#This Row],[Non-Member]]="X"," ",IF(R5=" "," ",IFERROR(VLOOKUP(Q5,Points!$A$2:$B$14,2,FALSE)," ")))</f>
        <v xml:space="preserve"> </v>
      </c>
      <c r="T5" s="137"/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IF(Table622027323334172854[[#This Row],[Non-Member]]="X"," ",IF(V5=" "," ",IFERROR(VLOOKUP(U5,Points!$A$2:$B$14,2,FALSE)," ")))</f>
        <v xml:space="preserve"> </v>
      </c>
      <c r="X5" s="85"/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IF(Table622027323334172854[[#This Row],[Non-Member]]="X"," ",IF(Z5=" "," ",IFERROR(VLOOKUP(Y5,Points!$A$2:$B$14,2,FALSE)," ")))</f>
        <v xml:space="preserve"> </v>
      </c>
      <c r="AB5" s="85"/>
      <c r="AC5" s="86" t="str">
        <f t="shared" ref="AC5:AC24" si="12">IF(AB5=0," ",_xlfn.RANK.AVG(AB5,AB$5:AB$24,1)-COUNTIF(AB$5:AB$24,0))</f>
        <v xml:space="preserve"> </v>
      </c>
      <c r="AD5" s="86" t="str">
        <f t="shared" ref="AD5:AD24" si="13">IF(AB5=0," ",IF((RANK(AB5,AB$5:AB$24,1)-COUNTIF(AB$5:AB$24,0)&gt;6)," ",RANK(AB5,AB$5:AB$24,1)-COUNTIF(AB$5:AB$24,0)))</f>
        <v xml:space="preserve"> </v>
      </c>
      <c r="AE5" s="87" t="str">
        <f>IF(Table622027323334172854[[#This Row],[Non-Member]]="X"," ",IF(AD5=" "," ",IFERROR(VLOOKUP(AC5,Points!$A$2:$B$14,2,FALSE)," ")))</f>
        <v xml:space="preserve"> </v>
      </c>
      <c r="AF5" s="85" t="str">
        <f t="shared" ref="AF5:AF24" si="14">IF(OR(X5=0,AB5=0)," ",X5+AB5)</f>
        <v xml:space="preserve"> </v>
      </c>
      <c r="AG5" s="86" t="str">
        <f t="shared" ref="AG5:AG24" si="15">IF(OR(AF5=0,AF5=" ")," ",_xlfn.RANK.AVG(AF5,AF$5:AF$24,1)-COUNTIF(AF$5:AF$24,0))</f>
        <v xml:space="preserve"> </v>
      </c>
      <c r="AH5" s="86" t="str">
        <f t="shared" ref="AH5:AH24" si="16">IF(OR(AF5=0,AF5=" ")," ",IF((RANK(AF5,AF$5:AF$24,1)-COUNTIF(AF$5:AF$24,0)&gt;6)," ",RANK(AF5,AF$5:AF$24,1)-COUNTIF(AF$5:AF$24,0)))</f>
        <v xml:space="preserve"> </v>
      </c>
      <c r="AI5" s="87" t="str">
        <f>IF(Table622027323334172854[[#This Row],[Non-Member]]="X"," ",IF(AH5=" "," ",IFERROR(VLOOKUP(AG5,Points!$A$2:$B$14,2,FALSE)," ")))</f>
        <v xml:space="preserve"> </v>
      </c>
      <c r="AJ5" s="86">
        <f>IF(Table622027323334172854[[#This Row],[Non-Member]]="X"," ",((IF(G5=" ",0,G5))+(IF(K5=" ",0,K5))+(IF(O5=" ",0,O5))+(IF(S5=" ",0,S5))+(IF(W5=" ",0,W5))+(IF(AA5=" ",0,AA5))+(IF(AE5=" ",0,AE5))+(IF(AI5=" ",0,AI5))))</f>
        <v>0</v>
      </c>
      <c r="AK5" s="88" t="str">
        <f t="shared" ref="AK5:AK24" si="17">IF(AJ5=0," ",AJ5)</f>
        <v xml:space="preserve"> </v>
      </c>
      <c r="AL5" s="89" t="str">
        <f t="shared" ref="AL5:AL24" si="18">IF(AK5=" "," ",RANK(AK5,$AK$5:$AK$24))</f>
        <v xml:space="preserve"> </v>
      </c>
    </row>
    <row r="6" spans="2:38" x14ac:dyDescent="0.25">
      <c r="B6" s="90"/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IF(Table622027323334172854[[#This Row],[Non-Member]]="X"," ",IF(F6=" "," ",IFERROR(VLOOKUP(E6,Points!$A$2:$B$14,2,FALSE)," ")))</f>
        <v xml:space="preserve"> </v>
      </c>
      <c r="H6" s="92"/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IF(Table622027323334172854[[#This Row],[Non-Member]]="X"," ",IF(J6=" "," ",IFERROR(VLOOKUP(I6,Points!$A$2:$B$14,2,FALSE)," ")))</f>
        <v xml:space="preserve"> </v>
      </c>
      <c r="L6" s="92"/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IF(Table622027323334172854[[#This Row],[Non-Member]]="X"," ",IF(N6=" "," ",IFERROR(VLOOKUP(M6,Points!$A$2:$B$14,2,FALSE)," ")))</f>
        <v xml:space="preserve"> </v>
      </c>
      <c r="P6" s="92"/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IF(Table622027323334172854[[#This Row],[Non-Member]]="X"," ",IF(R6=" "," ",IFERROR(VLOOKUP(Q6,Points!$A$2:$B$14,2,FALSE)," ")))</f>
        <v xml:space="preserve"> </v>
      </c>
      <c r="T6" s="92"/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IF(Table622027323334172854[[#This Row],[Non-Member]]="X"," ",IF(V6=" "," ",IFERROR(VLOOKUP(U6,Points!$A$2:$B$14,2,FALSE)," ")))</f>
        <v xml:space="preserve"> </v>
      </c>
      <c r="X6" s="92"/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IF(Table622027323334172854[[#This Row],[Non-Member]]="X"," ",IF(Z6=" "," ",IFERROR(VLOOKUP(Y6,Points!$A$2:$B$14,2,FALSE)," ")))</f>
        <v xml:space="preserve"> </v>
      </c>
      <c r="AB6" s="92"/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IF(Table622027323334172854[[#This Row],[Non-Member]]="X"," ",IF(AD6=" "," ",IFERROR(VLOOKUP(AC6,Points!$A$2:$B$14,2,FALSE)," ")))</f>
        <v xml:space="preserve"> </v>
      </c>
      <c r="AF6" s="92" t="str">
        <f t="shared" si="14"/>
        <v xml:space="preserve"> </v>
      </c>
      <c r="AG6" s="93" t="str">
        <f t="shared" si="15"/>
        <v xml:space="preserve"> </v>
      </c>
      <c r="AH6" s="93" t="str">
        <f t="shared" si="16"/>
        <v xml:space="preserve"> </v>
      </c>
      <c r="AI6" s="94" t="str">
        <f>IF(Table622027323334172854[[#This Row],[Non-Member]]="X"," ",IF(AH6=" "," ",IFERROR(VLOOKUP(AG6,Points!$A$2:$B$14,2,FALSE)," ")))</f>
        <v xml:space="preserve"> </v>
      </c>
      <c r="AJ6" s="93">
        <f>IF(Table622027323334172854[[#This Row],[Non-Member]]="X"," ",((IF(G6=" ",0,G6))+(IF(K6=" ",0,K6))+(IF(O6=" ",0,O6))+(IF(S6=" ",0,S6))+(IF(W6=" ",0,W6))+(IF(AA6=" ",0,AA6))+(IF(AE6=" ",0,AE6))+(IF(AI6=" ",0,AI6))))</f>
        <v>0</v>
      </c>
      <c r="AK6" s="95" t="str">
        <f t="shared" si="17"/>
        <v xml:space="preserve"> </v>
      </c>
      <c r="AL6" s="96" t="str">
        <f t="shared" si="18"/>
        <v xml:space="preserve"> </v>
      </c>
    </row>
    <row r="7" spans="2:38" x14ac:dyDescent="0.25">
      <c r="B7" s="90"/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IF(Table622027323334172854[[#This Row],[Non-Member]]="X"," ",IF(F7=" "," ",IFERROR(VLOOKUP(E7,Points!$A$2:$B$14,2,FALSE)," ")))</f>
        <v xml:space="preserve"> </v>
      </c>
      <c r="H7" s="92"/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IF(Table622027323334172854[[#This Row],[Non-Member]]="X"," ",IF(J7=" "," ",IFERROR(VLOOKUP(I7,Points!$A$2:$B$14,2,FALSE)," ")))</f>
        <v xml:space="preserve"> </v>
      </c>
      <c r="L7" s="92"/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IF(Table622027323334172854[[#This Row],[Non-Member]]="X"," ",IF(N7=" "," ",IFERROR(VLOOKUP(M7,Points!$A$2:$B$14,2,FALSE)," ")))</f>
        <v xml:space="preserve"> </v>
      </c>
      <c r="P7" s="92"/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IF(Table622027323334172854[[#This Row],[Non-Member]]="X"," ",IF(R7=" "," ",IFERROR(VLOOKUP(Q7,Points!$A$2:$B$14,2,FALSE)," ")))</f>
        <v xml:space="preserve"> </v>
      </c>
      <c r="T7" s="92"/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IF(Table622027323334172854[[#This Row],[Non-Member]]="X"," ",IF(V7=" "," ",IFERROR(VLOOKUP(U7,Points!$A$2:$B$14,2,FALSE)," ")))</f>
        <v xml:space="preserve"> 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IF(Table622027323334172854[[#This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IF(Table622027323334172854[[#This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IF(Table622027323334172854[[#This Row],[Non-Member]]="X"," ",IF(AH7=" "," ",IFERROR(VLOOKUP(AG7,Points!$A$2:$B$14,2,FALSE)," ")))</f>
        <v xml:space="preserve"> </v>
      </c>
      <c r="AJ7" s="93">
        <f>IF(Table622027323334172854[[#This Row],[Non-Member]]="X"," ",((IF(G7=" ",0,G7))+(IF(K7=" ",0,K7))+(IF(O7=" ",0,O7))+(IF(S7=" ",0,S7))+(IF(W7=" ",0,W7))+(IF(AA7=" ",0,AA7))+(IF(AE7=" ",0,AE7))+(IF(AI7=" ",0,AI7))))</f>
        <v>0</v>
      </c>
      <c r="AK7" s="95" t="str">
        <f t="shared" si="17"/>
        <v xml:space="preserve"> </v>
      </c>
      <c r="AL7" s="96" t="str">
        <f t="shared" si="18"/>
        <v xml:space="preserve"> </v>
      </c>
    </row>
    <row r="8" spans="2:38" x14ac:dyDescent="0.25">
      <c r="B8" s="90"/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IF(Table622027323334172854[[#This Row],[Non-Member]]="X"," ",IF(F8=" "," ",IFERROR(VLOOKUP(E8,Points!$A$2:$B$14,2,FALSE)," ")))</f>
        <v xml:space="preserve"> </v>
      </c>
      <c r="H8" s="92"/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IF(Table622027323334172854[[#This Row],[Non-Member]]="X"," ",IF(J8=" "," ",IFERROR(VLOOKUP(I8,Points!$A$2:$B$14,2,FALSE)," ")))</f>
        <v xml:space="preserve"> </v>
      </c>
      <c r="L8" s="92"/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IF(Table622027323334172854[[#This Row],[Non-Member]]="X"," ",IF(N8=" "," ",IFERROR(VLOOKUP(M8,Points!$A$2:$B$14,2,FALSE)," ")))</f>
        <v xml:space="preserve"> </v>
      </c>
      <c r="P8" s="92"/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IF(Table622027323334172854[[#This Row],[Non-Member]]="X"," ",IF(R8=" "," ",IFERROR(VLOOKUP(Q8,Points!$A$2:$B$14,2,FALSE)," ")))</f>
        <v xml:space="preserve"> 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IF(Table622027323334172854[[#This Row],[Non-Member]]="X"," ",IF(V8=" "," ",IFERROR(VLOOKUP(U8,Points!$A$2:$B$14,2,FALSE)," ")))</f>
        <v xml:space="preserve"> </v>
      </c>
      <c r="X8" s="92"/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IF(Table622027323334172854[[#This Row],[Non-Member]]="X"," ",IF(Z8=" "," ",IFERROR(VLOOKUP(Y8,Points!$A$2:$B$14,2,FALSE)," ")))</f>
        <v xml:space="preserve"> </v>
      </c>
      <c r="AB8" s="92"/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IF(Table622027323334172854[[#This Row],[Non-Member]]="X"," ",IF(AD8=" "," ",IFERROR(VLOOKUP(AC8,Points!$A$2:$B$14,2,FALSE)," ")))</f>
        <v xml:space="preserve"> </v>
      </c>
      <c r="AF8" s="92" t="str">
        <f t="shared" si="14"/>
        <v xml:space="preserve"> </v>
      </c>
      <c r="AG8" s="93" t="str">
        <f t="shared" si="15"/>
        <v xml:space="preserve"> </v>
      </c>
      <c r="AH8" s="93" t="str">
        <f t="shared" si="16"/>
        <v xml:space="preserve"> </v>
      </c>
      <c r="AI8" s="94" t="str">
        <f>IF(Table622027323334172854[[#This Row],[Non-Member]]="X"," ",IF(AH8=" "," ",IFERROR(VLOOKUP(AG8,Points!$A$2:$B$14,2,FALSE)," ")))</f>
        <v xml:space="preserve"> </v>
      </c>
      <c r="AJ8" s="93">
        <f>IF(Table622027323334172854[[#This Row],[Non-Member]]="X"," ",((IF(G8=" ",0,G8))+(IF(K8=" ",0,K8))+(IF(O8=" ",0,O8))+(IF(S8=" ",0,S8))+(IF(W8=" ",0,W8))+(IF(AA8=" ",0,AA8))+(IF(AE8=" ",0,AE8))+(IF(AI8=" ",0,AI8))))</f>
        <v>0</v>
      </c>
      <c r="AK8" s="95" t="str">
        <f t="shared" si="17"/>
        <v xml:space="preserve"> </v>
      </c>
      <c r="AL8" s="96" t="str">
        <f t="shared" si="18"/>
        <v xml:space="preserve"> </v>
      </c>
    </row>
    <row r="9" spans="2:38" x14ac:dyDescent="0.25">
      <c r="B9" s="90"/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IF(Table622027323334172854[[#This Row],[Non-Member]]="X"," ",IF(F9=" "," ",IFERROR(VLOOKUP(E9,Points!$A$2:$B$14,2,FALSE)," ")))</f>
        <v xml:space="preserve"> </v>
      </c>
      <c r="H9" s="92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IF(Table622027323334172854[[#This Row],[Non-Member]]="X"," ",IF(J9=" "," ",IFERROR(VLOOKUP(I9,Points!$A$2:$B$14,2,FALSE)," ")))</f>
        <v xml:space="preserve"> </v>
      </c>
      <c r="L9" s="92"/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IF(Table622027323334172854[[#This Row],[Non-Member]]="X"," ",IF(N9=" "," ",IFERROR(VLOOKUP(M9,Points!$A$2:$B$14,2,FALSE)," ")))</f>
        <v xml:space="preserve"> </v>
      </c>
      <c r="P9" s="92"/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IF(Table622027323334172854[[#This Row],[Non-Member]]="X"," ",IF(R9=" "," ",IFERROR(VLOOKUP(Q9,Points!$A$2:$B$14,2,FALSE)," ")))</f>
        <v xml:space="preserve"> 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IF(Table622027323334172854[[#This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IF(Table622027323334172854[[#This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IF(Table622027323334172854[[#This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IF(Table622027323334172854[[#This Row],[Non-Member]]="X"," ",IF(AH9=" "," ",IFERROR(VLOOKUP(AG9,Points!$A$2:$B$14,2,FALSE)," ")))</f>
        <v xml:space="preserve"> </v>
      </c>
      <c r="AJ9" s="93">
        <f>IF(Table622027323334172854[[#This Row],[Non-Member]]="X"," ",((IF(G9=" ",0,G9))+(IF(K9=" ",0,K9))+(IF(O9=" ",0,O9))+(IF(S9=" ",0,S9))+(IF(W9=" ",0,W9))+(IF(AA9=" ",0,AA9))+(IF(AE9=" ",0,AE9))+(IF(AI9=" ",0,AI9))))</f>
        <v>0</v>
      </c>
      <c r="AK9" s="95" t="str">
        <f t="shared" si="17"/>
        <v xml:space="preserve"> </v>
      </c>
      <c r="AL9" s="96" t="str">
        <f t="shared" si="18"/>
        <v xml:space="preserve"> </v>
      </c>
    </row>
    <row r="10" spans="2:38" x14ac:dyDescent="0.25">
      <c r="B10" s="90"/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IF(Table622027323334172854[[#This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IF(Table622027323334172854[[#This Row],[Non-Member]]="X"," ",IF(J10=" "," ",IFERROR(VLOOKUP(I10,Points!$A$2:$B$14,2,FALSE)," ")))</f>
        <v xml:space="preserve"> </v>
      </c>
      <c r="L10" s="92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IF(Table622027323334172854[[#This Row],[Non-Member]]="X"," ",IF(N10=" "," ",IFERROR(VLOOKUP(M10,Points!$A$2:$B$14,2,FALSE)," ")))</f>
        <v xml:space="preserve"> </v>
      </c>
      <c r="P10" s="92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IF(Table622027323334172854[[#This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IF(Table622027323334172854[[#This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IF(Table622027323334172854[[#This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IF(Table622027323334172854[[#This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IF(Table622027323334172854[[#This Row],[Non-Member]]="X"," ",IF(AH10=" "," ",IFERROR(VLOOKUP(AG10,Points!$A$2:$B$14,2,FALSE)," ")))</f>
        <v xml:space="preserve"> </v>
      </c>
      <c r="AJ10" s="93">
        <f>IF(Table622027323334172854[[#This Row],[Non-Member]]="X"," ",((IF(G10=" ",0,G10))+(IF(K10=" ",0,K10))+(IF(O10=" ",0,O10))+(IF(S10=" ",0,S10))+(IF(W10=" ",0,W10))+(IF(AA10=" ",0,AA10))+(IF(AE10=" ",0,AE10))+(IF(AI10=" ",0,AI10))))</f>
        <v>0</v>
      </c>
      <c r="AK10" s="95" t="str">
        <f t="shared" si="17"/>
        <v xml:space="preserve"> </v>
      </c>
      <c r="AL10" s="96" t="str">
        <f t="shared" si="18"/>
        <v xml:space="preserve"> </v>
      </c>
    </row>
    <row r="11" spans="2:38" x14ac:dyDescent="0.25">
      <c r="B11" s="90"/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IF(Table622027323334172854[[#This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IF(Table622027323334172854[[#This Row],[Non-Member]]="X"," ",IF(J11=" "," ",IFERROR(VLOOKUP(I11,Points!$A$2:$B$14,2,FALSE)," ")))</f>
        <v xml:space="preserve"> 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IF(Table622027323334172854[[#This Row],[Non-Member]]="X"," ",IF(N11=" "," ",IFERROR(VLOOKUP(M11,Points!$A$2:$B$14,2,FALSE)," ")))</f>
        <v xml:space="preserve"> 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IF(Table622027323334172854[[#This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IF(Table622027323334172854[[#This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IF(Table622027323334172854[[#This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IF(Table622027323334172854[[#This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IF(Table622027323334172854[[#This Row],[Non-Member]]="X"," ",IF(AH11=" "," ",IFERROR(VLOOKUP(AG11,Points!$A$2:$B$14,2,FALSE)," ")))</f>
        <v xml:space="preserve"> </v>
      </c>
      <c r="AJ11" s="93">
        <f>IF(Table622027323334172854[[#This Row],[Non-Member]]="X"," ",((IF(G11=" ",0,G11))+(IF(K11=" ",0,K11))+(IF(O11=" ",0,O11))+(IF(S11=" ",0,S11))+(IF(W11=" ",0,W11))+(IF(AA11=" ",0,AA11))+(IF(AE11=" ",0,AE11))+(IF(AI11=" ",0,AI11))))</f>
        <v>0</v>
      </c>
      <c r="AK11" s="95" t="str">
        <f t="shared" si="17"/>
        <v xml:space="preserve"> </v>
      </c>
      <c r="AL11" s="96" t="str">
        <f t="shared" si="18"/>
        <v xml:space="preserve"> </v>
      </c>
    </row>
    <row r="12" spans="2:38" x14ac:dyDescent="0.25">
      <c r="B12" s="90"/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IF(Table622027323334172854[[#This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IF(Table622027323334172854[[#This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IF(Table622027323334172854[[#This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IF(Table622027323334172854[[#This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IF(Table622027323334172854[[#This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IF(Table622027323334172854[[#This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IF(Table622027323334172854[[#This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IF(Table622027323334172854[[#This Row],[Non-Member]]="X"," ",IF(AH12=" "," ",IFERROR(VLOOKUP(AG12,Points!$A$2:$B$14,2,FALSE)," ")))</f>
        <v xml:space="preserve"> </v>
      </c>
      <c r="AJ12" s="93">
        <f>IF(Table622027323334172854[[#This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7"/>
        <v xml:space="preserve"> </v>
      </c>
      <c r="AL12" s="96" t="str">
        <f t="shared" si="18"/>
        <v xml:space="preserve"> </v>
      </c>
    </row>
    <row r="13" spans="2:38" x14ac:dyDescent="0.25">
      <c r="B13" s="90"/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IF(Table622027323334172854[[#This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IF(Table622027323334172854[[#This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IF(Table622027323334172854[[#This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IF(Table622027323334172854[[#This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IF(Table622027323334172854[[#This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IF(Table622027323334172854[[#This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IF(Table622027323334172854[[#This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IF(Table622027323334172854[[#This Row],[Non-Member]]="X"," ",IF(AH13=" "," ",IFERROR(VLOOKUP(AG13,Points!$A$2:$B$14,2,FALSE)," ")))</f>
        <v xml:space="preserve"> </v>
      </c>
      <c r="AJ13" s="93">
        <f>IF(Table622027323334172854[[#This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25">
      <c r="B14" s="90"/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IF(Table622027323334172854[[#This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IF(Table622027323334172854[[#This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IF(Table622027323334172854[[#This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IF(Table622027323334172854[[#This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IF(Table622027323334172854[[#This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IF(Table622027323334172854[[#This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IF(Table622027323334172854[[#This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IF(Table622027323334172854[[#This Row],[Non-Member]]="X"," ",IF(AH14=" "," ",IFERROR(VLOOKUP(AG14,Points!$A$2:$B$14,2,FALSE)," ")))</f>
        <v xml:space="preserve"> </v>
      </c>
      <c r="AJ14" s="93">
        <f>IF(Table622027323334172854[[#This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25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IF(Table622027323334172854[[#This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IF(Table622027323334172854[[#This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IF(Table622027323334172854[[#This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IF(Table622027323334172854[[#This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IF(Table622027323334172854[[#This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IF(Table622027323334172854[[#This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IF(Table622027323334172854[[#This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IF(Table622027323334172854[[#This Row],[Non-Member]]="X"," ",IF(AH15=" "," ",IFERROR(VLOOKUP(AG15,Points!$A$2:$B$14,2,FALSE)," ")))</f>
        <v xml:space="preserve"> </v>
      </c>
      <c r="AJ15" s="93">
        <f>IF(Table622027323334172854[[#This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/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IF(Table622027323334172854[[#This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IF(Table622027323334172854[[#This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IF(Table622027323334172854[[#This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IF(Table622027323334172854[[#This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IF(Table622027323334172854[[#This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IF(Table622027323334172854[[#This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IF(Table622027323334172854[[#This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IF(Table622027323334172854[[#This Row],[Non-Member]]="X"," ",IF(AH16=" "," ",IFERROR(VLOOKUP(AG16,Points!$A$2:$B$14,2,FALSE)," ")))</f>
        <v xml:space="preserve"> </v>
      </c>
      <c r="AJ16" s="97">
        <f>IF(Table622027323334172854[[#This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25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IF(Table622027323334172854[[#This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IF(Table622027323334172854[[#This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IF(Table622027323334172854[[#This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IF(Table622027323334172854[[#This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IF(Table622027323334172854[[#This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IF(Table622027323334172854[[#This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IF(Table622027323334172854[[#This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IF(Table622027323334172854[[#This Row],[Non-Member]]="X"," ",IF(AH17=" "," ",IFERROR(VLOOKUP(AG17,Points!$A$2:$B$14,2,FALSE)," ")))</f>
        <v xml:space="preserve"> </v>
      </c>
      <c r="AJ17" s="97">
        <f>IF(Table622027323334172854[[#This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IF(Table622027323334172854[[#This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IF(Table622027323334172854[[#This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IF(Table622027323334172854[[#This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IF(Table622027323334172854[[#This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IF(Table622027323334172854[[#This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IF(Table622027323334172854[[#This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IF(Table622027323334172854[[#This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IF(Table622027323334172854[[#This Row],[Non-Member]]="X"," ",IF(AH18=" "," ",IFERROR(VLOOKUP(AG18,Points!$A$2:$B$14,2,FALSE)," ")))</f>
        <v xml:space="preserve"> </v>
      </c>
      <c r="AJ18" s="97">
        <f>IF(Table622027323334172854[[#This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IF(Table622027323334172854[[#This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IF(Table622027323334172854[[#This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IF(Table622027323334172854[[#This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IF(Table622027323334172854[[#This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IF(Table622027323334172854[[#This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IF(Table622027323334172854[[#This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IF(Table622027323334172854[[#This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IF(Table622027323334172854[[#This Row],[Non-Member]]="X"," ",IF(AH19=" "," ",IFERROR(VLOOKUP(AG19,Points!$A$2:$B$14,2,FALSE)," ")))</f>
        <v xml:space="preserve"> </v>
      </c>
      <c r="AJ19" s="93">
        <f>IF(Table622027323334172854[[#This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IF(Table622027323334172854[[#This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IF(Table622027323334172854[[#This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IF(Table622027323334172854[[#This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IF(Table622027323334172854[[#This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IF(Table622027323334172854[[#This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IF(Table622027323334172854[[#This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IF(Table622027323334172854[[#This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IF(Table622027323334172854[[#This Row],[Non-Member]]="X"," ",IF(AH20=" "," ",IFERROR(VLOOKUP(AG20,Points!$A$2:$B$14,2,FALSE)," ")))</f>
        <v xml:space="preserve"> </v>
      </c>
      <c r="AJ20" s="93">
        <f>IF(Table622027323334172854[[#This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IF(Table622027323334172854[[#This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IF(Table622027323334172854[[#This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IF(Table622027323334172854[[#This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IF(Table622027323334172854[[#This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IF(Table622027323334172854[[#This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IF(Table622027323334172854[[#This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IF(Table622027323334172854[[#This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IF(Table622027323334172854[[#This Row],[Non-Member]]="X"," ",IF(AH21=" "," ",IFERROR(VLOOKUP(AG21,Points!$A$2:$B$14,2,FALSE)," ")))</f>
        <v xml:space="preserve"> </v>
      </c>
      <c r="AJ21" s="93">
        <f>IF(Table622027323334172854[[#This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IF(Table622027323334172854[[#This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IF(Table622027323334172854[[#This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IF(Table622027323334172854[[#This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IF(Table622027323334172854[[#This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IF(Table622027323334172854[[#This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IF(Table622027323334172854[[#This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IF(Table622027323334172854[[#This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IF(Table622027323334172854[[#This Row],[Non-Member]]="X"," ",IF(AH22=" "," ",IFERROR(VLOOKUP(AG22,Points!$A$2:$B$14,2,FALSE)," ")))</f>
        <v xml:space="preserve"> </v>
      </c>
      <c r="AJ22" s="93">
        <f>IF(Table622027323334172854[[#This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IF(Table622027323334172854[[#This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IF(Table622027323334172854[[#This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IF(Table622027323334172854[[#This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IF(Table622027323334172854[[#This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IF(Table622027323334172854[[#This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IF(Table622027323334172854[[#This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IF(Table622027323334172854[[#This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IF(Table622027323334172854[[#This Row],[Non-Member]]="X"," ",IF(AH23=" "," ",IFERROR(VLOOKUP(AG23,Points!$A$2:$B$14,2,FALSE)," ")))</f>
        <v xml:space="preserve"> </v>
      </c>
      <c r="AJ23" s="93">
        <f>IF(Table622027323334172854[[#This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IF(Table622027323334172854[[#This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IF(Table622027323334172854[[#This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IF(Table622027323334172854[[#This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IF(Table622027323334172854[[#This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IF(Table622027323334172854[[#This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IF(Table622027323334172854[[#This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IF(Table622027323334172854[[#This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IF(Table622027323334172854[[#This Row],[Non-Member]]="X"," ",IF(AH24=" "," ",IFERROR(VLOOKUP(AG24,Points!$A$2:$B$14,2,FALSE)," ")))</f>
        <v xml:space="preserve"> </v>
      </c>
      <c r="AJ24" s="93">
        <f>IF(Table622027323334172854[[#This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7x+jq7MbRNt2Iz4Kk4Fe5YXXxKH8YTSTlUDi4s4yADBydrtfKyX6+aN9td+AGKBorHZ+i6cd4cyZyni877zJZQ==" saltValue="m5JewdjfrGT2IaKMbclok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EE84-4CEE-4001-8FDE-450FD81566AD}">
  <sheetPr codeName="Sheet95">
    <tabColor theme="9" tint="0.39997558519241921"/>
  </sheetPr>
  <dimension ref="B1:AL29"/>
  <sheetViews>
    <sheetView showGridLines="0" zoomScaleNormal="100" workbookViewId="0">
      <pane xSplit="2" topLeftCell="C1" activePane="topRight" state="frozen"/>
      <selection activeCell="E32" sqref="E32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197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149</v>
      </c>
      <c r="C5" s="84"/>
      <c r="D5" s="85">
        <v>9.4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IF(Table6220273233341728543[[#This Row],[Non-Member]]="X"," ",IF(F5=" "," ",IFERROR(VLOOKUP(E5,Points!$A$2:$B$14,2,FALSE)," ")))</f>
        <v>18</v>
      </c>
      <c r="H5" s="85">
        <v>2.72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IF(Table6220273233341728543[[#This Row],[Non-Member]]="X"," ",IF(J5=" "," ",IFERROR(VLOOKUP(I5,Points!$A$2:$B$14,2,FALSE)," ")))</f>
        <v>18</v>
      </c>
      <c r="L5" s="137">
        <v>29.4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IF(Table6220273233341728543[[#This Row],[Non-Member]]="X"," ",IF(N5=" "," ",IFERROR(VLOOKUP(M5,Points!$A$2:$B$14,2,FALSE)," ")))</f>
        <v>15</v>
      </c>
      <c r="P5" s="137">
        <v>5.26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IF(Table6220273233341728543[[#This Row],[Non-Member]]="X"," ",IF(R5=" "," ",IFERROR(VLOOKUP(Q5,Points!$A$2:$B$14,2,FALSE)," ")))</f>
        <v>18</v>
      </c>
      <c r="T5" s="137">
        <v>5.42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IF(Table6220273233341728543[[#This Row],[Non-Member]]="X"," ",IF(V5=" "," ",IFERROR(VLOOKUP(U5,Points!$A$2:$B$14,2,FALSE)," ")))</f>
        <v>18</v>
      </c>
      <c r="X5" s="85">
        <v>5.56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IF(Table6220273233341728543[[#This Row],[Non-Member]]="X"," ",IF(Z5=" "," ",IFERROR(VLOOKUP(Y5,Points!$A$2:$B$14,2,FALSE)," ")))</f>
        <v>18</v>
      </c>
      <c r="AB5" s="85">
        <v>15.41</v>
      </c>
      <c r="AC5" s="86">
        <f t="shared" ref="AC5:AC24" si="12">IF(AB5=0," ",_xlfn.RANK.AVG(AB5,AB$5:AB$24,1)-COUNTIF(AB$5:AB$24,0))</f>
        <v>3</v>
      </c>
      <c r="AD5" s="86">
        <f t="shared" ref="AD5:AD24" si="13">IF(AB5=0," ",IF((RANK(AB5,AB$5:AB$24,1)-COUNTIF(AB$5:AB$24,0)&gt;6)," ",RANK(AB5,AB$5:AB$24,1)-COUNTIF(AB$5:AB$24,0)))</f>
        <v>3</v>
      </c>
      <c r="AE5" s="87">
        <f>IF(Table6220273233341728543[[#This Row],[Non-Member]]="X"," ",IF(AD5=" "," ",IFERROR(VLOOKUP(AC5,Points!$A$2:$B$14,2,FALSE)," ")))</f>
        <v>12</v>
      </c>
      <c r="AF5" s="85">
        <f>IF(OR(X5=0,AB5=0)," ",X5+AB5)</f>
        <v>20.97</v>
      </c>
      <c r="AG5" s="86">
        <f>IF(OR(AF5=0,AF5=" ")," ",_xlfn.RANK.AVG(AF5,AF$5:AF$24,1)-COUNTIF(AF$5:AF$24,0))</f>
        <v>2</v>
      </c>
      <c r="AH5" s="86">
        <f>IF(OR(AF5=0,AF5=" ")," ",IF((RANK(AF5,AF$5:AF$24,1)-COUNTIF(AF$5:AF$24,0)&gt;6)," ",RANK(AF5,AF$5:AF$24,1)-COUNTIF(AF$5:AF$24,0)))</f>
        <v>2</v>
      </c>
      <c r="AI5" s="87">
        <f>IF(Table6220273233341728543[[#This Row],[Non-Member]]="X"," ",IF(AH5=" "," ",IFERROR(VLOOKUP(AG5,Points!$A$2:$B$14,2,FALSE)," ")))</f>
        <v>15</v>
      </c>
      <c r="AJ5" s="86">
        <f>IF(Table6220273233341728543[[#This Row],[Non-Member]]="X"," ",((IF(G5=" ",0,G5))+(IF(K5=" ",0,K5))+(IF(O5=" ",0,O5))+(IF(S5=" ",0,S5))+(IF(W5=" ",0,W5))+(IF(AA5=" ",0,AA5))+(IF(AE5=" ",0,AE5))+(IF(AI5=" ",0,AI5))))</f>
        <v>132</v>
      </c>
      <c r="AK5" s="88">
        <f t="shared" ref="AK5:AK24" si="14">IF(AJ5=0," ",AJ5)</f>
        <v>132</v>
      </c>
      <c r="AL5" s="89">
        <f t="shared" ref="AL5:AL24" si="15">IF(AK5=" "," ",RANK(AK5,$AK$5:$AK$24))</f>
        <v>1</v>
      </c>
    </row>
    <row r="6" spans="2:38" x14ac:dyDescent="0.25">
      <c r="B6" s="90" t="s">
        <v>263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IF(Table6220273233341728543[[#This Row],[Non-Member]]="X"," ",IF(F6=" "," ",IFERROR(VLOOKUP(E6,Points!$A$2:$B$14,2,FALSE)," ")))</f>
        <v xml:space="preserve"> </v>
      </c>
      <c r="H6" s="92">
        <v>8.3800000000000008</v>
      </c>
      <c r="I6" s="93">
        <f t="shared" si="2"/>
        <v>2</v>
      </c>
      <c r="J6" s="93">
        <f t="shared" si="3"/>
        <v>2</v>
      </c>
      <c r="K6" s="94">
        <f>IF(Table6220273233341728543[[#This Row],[Non-Member]]="X"," ",IF(J6=" "," ",IFERROR(VLOOKUP(I6,Points!$A$2:$B$14,2,FALSE)," ")))</f>
        <v>15</v>
      </c>
      <c r="L6" s="92"/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IF(Table6220273233341728543[[#This Row],[Non-Member]]="X"," ",IF(N6=" "," ",IFERROR(VLOOKUP(M6,Points!$A$2:$B$14,2,FALSE)," ")))</f>
        <v xml:space="preserve"> </v>
      </c>
      <c r="P6" s="92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IF(Table6220273233341728543[[#This Row],[Non-Member]]="X"," ",IF(R6=" "," ",IFERROR(VLOOKUP(Q6,Points!$A$2:$B$14,2,FALSE)," ")))</f>
        <v xml:space="preserve"> </v>
      </c>
      <c r="T6" s="92">
        <v>17.07</v>
      </c>
      <c r="U6" s="93">
        <f t="shared" si="8"/>
        <v>3</v>
      </c>
      <c r="V6" s="93">
        <f t="shared" si="9"/>
        <v>3</v>
      </c>
      <c r="W6" s="94">
        <f>IF(Table6220273233341728543[[#This Row],[Non-Member]]="X"," ",IF(V6=" "," ",IFERROR(VLOOKUP(U6,Points!$A$2:$B$14,2,FALSE)," ")))</f>
        <v>12</v>
      </c>
      <c r="X6" s="92">
        <v>5.97</v>
      </c>
      <c r="Y6" s="93">
        <f t="shared" si="10"/>
        <v>2</v>
      </c>
      <c r="Z6" s="93">
        <f t="shared" si="11"/>
        <v>2</v>
      </c>
      <c r="AA6" s="94">
        <f>IF(Table6220273233341728543[[#This Row],[Non-Member]]="X"," ",IF(Z6=" "," ",IFERROR(VLOOKUP(Y6,Points!$A$2:$B$14,2,FALSE)," ")))</f>
        <v>15</v>
      </c>
      <c r="AB6" s="92">
        <v>6.69</v>
      </c>
      <c r="AC6" s="93">
        <f t="shared" si="12"/>
        <v>1</v>
      </c>
      <c r="AD6" s="93">
        <f t="shared" si="13"/>
        <v>1</v>
      </c>
      <c r="AE6" s="94">
        <f>IF(Table6220273233341728543[[#This Row],[Non-Member]]="X"," ",IF(AD6=" "," ",IFERROR(VLOOKUP(AC6,Points!$A$2:$B$14,2,FALSE)," ")))</f>
        <v>18</v>
      </c>
      <c r="AF6" s="92">
        <f>IF(OR(X6=0,AB6=0)," ",X6+AB6)</f>
        <v>12.66</v>
      </c>
      <c r="AG6" s="93">
        <f>IF(OR(AF6=0,AF6=" ")," ",_xlfn.RANK.AVG(AF6,AF$5:AF$24,1)-COUNTIF(AF$5:AF$24,0))</f>
        <v>1</v>
      </c>
      <c r="AH6" s="93">
        <f>IF(OR(AF6=0,AF6=" ")," ",IF((RANK(AF6,AF$5:AF$24,1)-COUNTIF(AF$5:AF$24,0)&gt;6)," ",RANK(AF6,AF$5:AF$24,1)-COUNTIF(AF$5:AF$24,0)))</f>
        <v>1</v>
      </c>
      <c r="AI6" s="94">
        <f>IF(Table6220273233341728543[[#This Row],[Non-Member]]="X"," ",IF(AH6=" "," ",IFERROR(VLOOKUP(AG6,Points!$A$2:$B$14,2,FALSE)," ")))</f>
        <v>18</v>
      </c>
      <c r="AJ6" s="93">
        <f>IF(Table6220273233341728543[[#This Row],[Non-Member]]="X"," ",((IF(G6=" ",0,G6))+(IF(K6=" ",0,K6))+(IF(O6=" ",0,O6))+(IF(S6=" ",0,S6))+(IF(W6=" ",0,W6))+(IF(AA6=" ",0,AA6))+(IF(AE6=" ",0,AE6))+(IF(AI6=" ",0,AI6))))</f>
        <v>78</v>
      </c>
      <c r="AK6" s="95">
        <f t="shared" si="14"/>
        <v>78</v>
      </c>
      <c r="AL6" s="96">
        <f t="shared" si="15"/>
        <v>2</v>
      </c>
    </row>
    <row r="7" spans="2:38" x14ac:dyDescent="0.25">
      <c r="B7" s="90" t="s">
        <v>170</v>
      </c>
      <c r="C7" s="91"/>
      <c r="D7" s="92"/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IF(Table6220273233341728543[[#This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IF(Table6220273233341728543[[#This Row],[Non-Member]]="X"," ",IF(J7=" "," ",IFERROR(VLOOKUP(I7,Points!$A$2:$B$14,2,FALSE)," ")))</f>
        <v xml:space="preserve"> </v>
      </c>
      <c r="L7" s="92"/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IF(Table6220273233341728543[[#This Row],[Non-Member]]="X"," ",IF(N7=" "," ",IFERROR(VLOOKUP(M7,Points!$A$2:$B$14,2,FALSE)," ")))</f>
        <v xml:space="preserve"> </v>
      </c>
      <c r="P7" s="92">
        <v>27.3</v>
      </c>
      <c r="Q7" s="93">
        <f t="shared" si="6"/>
        <v>2</v>
      </c>
      <c r="R7" s="93">
        <f t="shared" si="7"/>
        <v>2</v>
      </c>
      <c r="S7" s="94">
        <f>IF(Table6220273233341728543[[#This Row],[Non-Member]]="X"," ",IF(R7=" "," ",IFERROR(VLOOKUP(Q7,Points!$A$2:$B$14,2,FALSE)," ")))</f>
        <v>15</v>
      </c>
      <c r="T7" s="92">
        <v>10.050000000000001</v>
      </c>
      <c r="U7" s="93">
        <f t="shared" si="8"/>
        <v>2</v>
      </c>
      <c r="V7" s="93">
        <f t="shared" si="9"/>
        <v>2</v>
      </c>
      <c r="W7" s="94">
        <f>IF(Table6220273233341728543[[#This Row],[Non-Member]]="X"," ",IF(V7=" "," ",IFERROR(VLOOKUP(U7,Points!$A$2:$B$14,2,FALSE)," ")))</f>
        <v>15</v>
      </c>
      <c r="X7" s="92">
        <v>0</v>
      </c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IF(Table6220273233341728543[[#This Row],[Non-Member]]="X"," ",IF(Z7=" "," ",IFERROR(VLOOKUP(Y7,Points!$A$2:$B$14,2,FALSE)," ")))</f>
        <v xml:space="preserve"> </v>
      </c>
      <c r="AB7" s="92">
        <v>15.19</v>
      </c>
      <c r="AC7" s="93">
        <f t="shared" si="12"/>
        <v>2</v>
      </c>
      <c r="AD7" s="93">
        <f t="shared" si="13"/>
        <v>2</v>
      </c>
      <c r="AE7" s="94">
        <f>IF(Table6220273233341728543[[#This Row],[Non-Member]]="X"," ",IF(AD7=" "," ",IFERROR(VLOOKUP(AC7,Points!$A$2:$B$14,2,FALSE)," ")))</f>
        <v>15</v>
      </c>
      <c r="AF7" s="163" t="s">
        <v>303</v>
      </c>
      <c r="AG7" s="93">
        <v>3</v>
      </c>
      <c r="AH7" s="93">
        <v>3</v>
      </c>
      <c r="AI7" s="94">
        <f>IF(Table6220273233341728543[[#This Row],[Non-Member]]="X"," ",IF(AH7=" "," ",IFERROR(VLOOKUP(AG7,Points!$A$2:$B$14,2,FALSE)," ")))</f>
        <v>12</v>
      </c>
      <c r="AJ7" s="93">
        <f>IF(Table6220273233341728543[[#This Row],[Non-Member]]="X"," ",((IF(G7=" ",0,G7))+(IF(K7=" ",0,K7))+(IF(O7=" ",0,O7))+(IF(S7=" ",0,S7))+(IF(W7=" ",0,W7))+(IF(AA7=" ",0,AA7))+(IF(AE7=" ",0,AE7))+(IF(AI7=" ",0,AI7))))</f>
        <v>57</v>
      </c>
      <c r="AK7" s="95">
        <f t="shared" si="14"/>
        <v>57</v>
      </c>
      <c r="AL7" s="96">
        <f t="shared" si="15"/>
        <v>3</v>
      </c>
    </row>
    <row r="8" spans="2:38" x14ac:dyDescent="0.25">
      <c r="B8" s="90" t="s">
        <v>196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IF(Table6220273233341728543[[#This Row],[Non-Member]]="X"," ",IF(F8=" "," ",IFERROR(VLOOKUP(E8,Points!$A$2:$B$14,2,FALSE)," ")))</f>
        <v xml:space="preserve"> </v>
      </c>
      <c r="H8" s="92"/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IF(Table6220273233341728543[[#This Row],[Non-Member]]="X"," ",IF(J8=" "," ",IFERROR(VLOOKUP(I8,Points!$A$2:$B$14,2,FALSE)," ")))</f>
        <v xml:space="preserve"> </v>
      </c>
      <c r="L8" s="92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IF(Table6220273233341728543[[#This Row],[Non-Member]]="X"," ",IF(N8=" "," ",IFERROR(VLOOKUP(M8,Points!$A$2:$B$14,2,FALSE)," ")))</f>
        <v xml:space="preserve"> 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IF(Table6220273233341728543[[#This Row],[Non-Member]]="X"," ",IF(R8=" "," ",IFERROR(VLOOKUP(Q8,Points!$A$2:$B$14,2,FALSE)," ")))</f>
        <v xml:space="preserve"> 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IF(Table6220273233341728543[[#This Row],[Non-Member]]="X"," ",IF(V8=" "," ",IFERROR(VLOOKUP(U8,Points!$A$2:$B$14,2,FALSE)," ")))</f>
        <v xml:space="preserve"> </v>
      </c>
      <c r="X8" s="92">
        <v>39.44</v>
      </c>
      <c r="Y8" s="93">
        <f t="shared" si="10"/>
        <v>3</v>
      </c>
      <c r="Z8" s="93">
        <f t="shared" si="11"/>
        <v>3</v>
      </c>
      <c r="AA8" s="94">
        <f>IF(Table6220273233341728543[[#This Row],[Non-Member]]="X"," ",IF(Z8=" "," ",IFERROR(VLOOKUP(Y8,Points!$A$2:$B$14,2,FALSE)," ")))</f>
        <v>12</v>
      </c>
      <c r="AB8" s="92">
        <v>0</v>
      </c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IF(Table6220273233341728543[[#This Row],[Non-Member]]="X"," ",IF(AD8=" "," ",IFERROR(VLOOKUP(AC8,Points!$A$2:$B$14,2,FALSE)," ")))</f>
        <v xml:space="preserve"> </v>
      </c>
      <c r="AF8" s="163" t="s">
        <v>304</v>
      </c>
      <c r="AG8" s="93">
        <v>4</v>
      </c>
      <c r="AH8" s="93">
        <v>4</v>
      </c>
      <c r="AI8" s="94">
        <f>IF(Table6220273233341728543[[#This Row],[Non-Member]]="X"," ",IF(AH8=" "," ",IFERROR(VLOOKUP(AG8,Points!$A$2:$B$14,2,FALSE)," ")))</f>
        <v>9</v>
      </c>
      <c r="AJ8" s="93">
        <f>IF(Table6220273233341728543[[#This Row],[Non-Member]]="X"," ",((IF(G8=" ",0,G8))+(IF(K8=" ",0,K8))+(IF(O8=" ",0,O8))+(IF(S8=" ",0,S8))+(IF(W8=" ",0,W8))+(IF(AA8=" ",0,AA8))+(IF(AE8=" ",0,AE8))+(IF(AI8=" ",0,AI8))))</f>
        <v>21</v>
      </c>
      <c r="AK8" s="95">
        <f t="shared" si="14"/>
        <v>21</v>
      </c>
      <c r="AL8" s="96">
        <f t="shared" si="15"/>
        <v>4</v>
      </c>
    </row>
    <row r="9" spans="2:38" x14ac:dyDescent="0.25">
      <c r="B9" s="90" t="s">
        <v>270</v>
      </c>
      <c r="C9" s="91" t="s">
        <v>95</v>
      </c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IF(Table6220273233341728543[[#This Row],[Non-Member]]="X"," ",IF(F9=" "," ",IFERROR(VLOOKUP(E9,Points!$A$2:$B$14,2,FALSE)," ")))</f>
        <v xml:space="preserve"> </v>
      </c>
      <c r="H9" s="92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IF(Table6220273233341728543[[#This Row],[Non-Member]]="X"," ",IF(J9=" "," ",IFERROR(VLOOKUP(I9,Points!$A$2:$B$14,2,FALSE)," ")))</f>
        <v xml:space="preserve"> </v>
      </c>
      <c r="L9" s="92">
        <v>21.25</v>
      </c>
      <c r="M9" s="93">
        <f t="shared" si="4"/>
        <v>1</v>
      </c>
      <c r="N9" s="93">
        <f t="shared" si="5"/>
        <v>1</v>
      </c>
      <c r="O9" s="94" t="str">
        <f>IF(Table6220273233341728543[[#This Row],[Non-Member]]="X"," ",IF(N9=" "," ",IFERROR(VLOOKUP(M9,Points!$A$2:$B$14,2,FALSE)," ")))</f>
        <v xml:space="preserve"> </v>
      </c>
      <c r="P9" s="92"/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IF(Table6220273233341728543[[#This Row],[Non-Member]]="X"," ",IF(R9=" "," ",IFERROR(VLOOKUP(Q9,Points!$A$2:$B$14,2,FALSE)," ")))</f>
        <v xml:space="preserve"> </v>
      </c>
      <c r="T9" s="92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IF(Table6220273233341728543[[#This Row],[Non-Member]]="X"," ",IF(V9=" "," ",IFERROR(VLOOKUP(U9,Points!$A$2:$B$14,2,FALSE)," ")))</f>
        <v xml:space="preserve"> </v>
      </c>
      <c r="X9" s="92"/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IF(Table6220273233341728543[[#This Row],[Non-Member]]="X"," ",IF(Z9=" "," ",IFERROR(VLOOKUP(Y9,Points!$A$2:$B$14,2,FALSE)," ")))</f>
        <v xml:space="preserve"> </v>
      </c>
      <c r="AB9" s="92"/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IF(Table6220273233341728543[[#This Row],[Non-Member]]="X"," ",IF(AD9=" "," ",IFERROR(VLOOKUP(AC9,Points!$A$2:$B$14,2,FALSE)," ")))</f>
        <v xml:space="preserve"> </v>
      </c>
      <c r="AF9" s="92" t="str">
        <f t="shared" ref="AF9:AF24" si="16">IF(OR(X9=0,AB9=0)," ",X9+AB9)</f>
        <v xml:space="preserve"> </v>
      </c>
      <c r="AG9" s="93" t="str">
        <f t="shared" ref="AG9:AG24" si="17">IF(OR(AF9=0,AF9=" ")," ",_xlfn.RANK.AVG(AF9,AF$5:AF$24,1)-COUNTIF(AF$5:AF$24,0))</f>
        <v xml:space="preserve"> </v>
      </c>
      <c r="AH9" s="93" t="str">
        <f t="shared" ref="AH9:AH24" si="18">IF(OR(AF9=0,AF9=" ")," ",IF((RANK(AF9,AF$5:AF$24,1)-COUNTIF(AF$5:AF$24,0)&gt;6)," ",RANK(AF9,AF$5:AF$24,1)-COUNTIF(AF$5:AF$24,0)))</f>
        <v xml:space="preserve"> </v>
      </c>
      <c r="AI9" s="94" t="str">
        <f>IF(Table6220273233341728543[[#This Row],[Non-Member]]="X"," ",IF(AH9=" "," ",IFERROR(VLOOKUP(AG9,Points!$A$2:$B$14,2,FALSE)," ")))</f>
        <v xml:space="preserve"> </v>
      </c>
      <c r="AJ9" s="93" t="str">
        <f>IF(Table6220273233341728543[[#This Row],[Non-Member]]="X"," ",((IF(G9=" ",0,G9))+(IF(K9=" ",0,K9))+(IF(O9=" ",0,O9))+(IF(S9=" ",0,S9))+(IF(W9=" ",0,W9))+(IF(AA9=" ",0,AA9))+(IF(AE9=" ",0,AE9))+(IF(AI9=" ",0,AI9))))</f>
        <v xml:space="preserve"> </v>
      </c>
      <c r="AK9" s="95" t="str">
        <f t="shared" si="14"/>
        <v xml:space="preserve"> </v>
      </c>
      <c r="AL9" s="96" t="str">
        <f t="shared" si="15"/>
        <v xml:space="preserve"> </v>
      </c>
    </row>
    <row r="10" spans="2:38" x14ac:dyDescent="0.25">
      <c r="B10" s="90" t="s">
        <v>271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IF(Table6220273233341728543[[#This Row],[Non-Member]]="X"," ",IF(F10=" "," ",IFERROR(VLOOKUP(E10,Points!$A$2:$B$14,2,FALSE)," ")))</f>
        <v xml:space="preserve"> </v>
      </c>
      <c r="H10" s="92"/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IF(Table6220273233341728543[[#This Row],[Non-Member]]="X"," ",IF(J10=" "," ",IFERROR(VLOOKUP(I10,Points!$A$2:$B$14,2,FALSE)," ")))</f>
        <v xml:space="preserve"> </v>
      </c>
      <c r="L10" s="92"/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IF(Table6220273233341728543[[#This Row],[Non-Member]]="X"," ",IF(N10=" "," ",IFERROR(VLOOKUP(M10,Points!$A$2:$B$14,2,FALSE)," ")))</f>
        <v xml:space="preserve"> </v>
      </c>
      <c r="P10" s="92"/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IF(Table6220273233341728543[[#This Row],[Non-Member]]="X"," ",IF(R10=" "," ",IFERROR(VLOOKUP(Q10,Points!$A$2:$B$14,2,FALSE)," ")))</f>
        <v xml:space="preserve"> 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IF(Table6220273233341728543[[#This Row],[Non-Member]]="X"," ",IF(V10=" "," ",IFERROR(VLOOKUP(U10,Points!$A$2:$B$14,2,FALSE)," ")))</f>
        <v xml:space="preserve"> 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IF(Table6220273233341728543[[#This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IF(Table6220273233341728543[[#This Row],[Non-Member]]="X"," ",IF(AD10=" "," ",IFERROR(VLOOKUP(AC10,Points!$A$2:$B$14,2,FALSE)," ")))</f>
        <v xml:space="preserve"> </v>
      </c>
      <c r="AF10" s="92" t="str">
        <f t="shared" si="16"/>
        <v xml:space="preserve"> </v>
      </c>
      <c r="AG10" s="93" t="str">
        <f t="shared" si="17"/>
        <v xml:space="preserve"> </v>
      </c>
      <c r="AH10" s="93" t="str">
        <f t="shared" si="18"/>
        <v xml:space="preserve"> </v>
      </c>
      <c r="AI10" s="94" t="str">
        <f>IF(Table6220273233341728543[[#This Row],[Non-Member]]="X"," ",IF(AH10=" "," ",IFERROR(VLOOKUP(AG10,Points!$A$2:$B$14,2,FALSE)," ")))</f>
        <v xml:space="preserve"> </v>
      </c>
      <c r="AJ10" s="93">
        <f>IF(Table6220273233341728543[[#This Row],[Non-Member]]="X"," ",((IF(G10=" ",0,G10))+(IF(K10=" ",0,K10))+(IF(O10=" ",0,O10))+(IF(S10=" ",0,S10))+(IF(W10=" ",0,W10))+(IF(AA10=" ",0,AA10))+(IF(AE10=" ",0,AE10))+(IF(AI10=" ",0,AI10))))</f>
        <v>0</v>
      </c>
      <c r="AK10" s="95" t="str">
        <f t="shared" si="14"/>
        <v xml:space="preserve"> </v>
      </c>
      <c r="AL10" s="96" t="str">
        <f t="shared" si="15"/>
        <v xml:space="preserve"> </v>
      </c>
    </row>
    <row r="11" spans="2:38" x14ac:dyDescent="0.25">
      <c r="B11" s="90" t="s">
        <v>151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IF(Table6220273233341728543[[#This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IF(Table6220273233341728543[[#This Row],[Non-Member]]="X"," ",IF(J11=" "," ",IFERROR(VLOOKUP(I11,Points!$A$2:$B$14,2,FALSE)," ")))</f>
        <v xml:space="preserve"> 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IF(Table6220273233341728543[[#This Row],[Non-Member]]="X"," ",IF(N11=" "," ",IFERROR(VLOOKUP(M11,Points!$A$2:$B$14,2,FALSE)," ")))</f>
        <v xml:space="preserve"> 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IF(Table6220273233341728543[[#This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IF(Table6220273233341728543[[#This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IF(Table6220273233341728543[[#This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IF(Table6220273233341728543[[#This Row],[Non-Member]]="X"," ",IF(AD11=" "," ",IFERROR(VLOOKUP(AC11,Points!$A$2:$B$14,2,FALSE)," ")))</f>
        <v xml:space="preserve"> </v>
      </c>
      <c r="AF11" s="92" t="str">
        <f t="shared" si="16"/>
        <v xml:space="preserve"> </v>
      </c>
      <c r="AG11" s="93" t="str">
        <f t="shared" si="17"/>
        <v xml:space="preserve"> </v>
      </c>
      <c r="AH11" s="93" t="str">
        <f t="shared" si="18"/>
        <v xml:space="preserve"> </v>
      </c>
      <c r="AI11" s="94" t="str">
        <f>IF(Table6220273233341728543[[#This Row],[Non-Member]]="X"," ",IF(AH11=" "," ",IFERROR(VLOOKUP(AG11,Points!$A$2:$B$14,2,FALSE)," ")))</f>
        <v xml:space="preserve"> </v>
      </c>
      <c r="AJ11" s="93">
        <f>IF(Table6220273233341728543[[#This Row],[Non-Member]]="X"," ",((IF(G11=" ",0,G11))+(IF(K11=" ",0,K11))+(IF(O11=" ",0,O11))+(IF(S11=" ",0,S11))+(IF(W11=" ",0,W11))+(IF(AA11=" ",0,AA11))+(IF(AE11=" ",0,AE11))+(IF(AI11=" ",0,AI11))))</f>
        <v>0</v>
      </c>
      <c r="AK11" s="95" t="str">
        <f t="shared" si="14"/>
        <v xml:space="preserve"> </v>
      </c>
      <c r="AL11" s="96" t="str">
        <f t="shared" si="15"/>
        <v xml:space="preserve"> </v>
      </c>
    </row>
    <row r="12" spans="2:38" x14ac:dyDescent="0.25">
      <c r="B12" s="90"/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IF(Table6220273233341728543[[#This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IF(Table6220273233341728543[[#This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IF(Table6220273233341728543[[#This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IF(Table6220273233341728543[[#This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IF(Table6220273233341728543[[#This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IF(Table6220273233341728543[[#This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IF(Table6220273233341728543[[#This Row],[Non-Member]]="X"," ",IF(AD12=" "," ",IFERROR(VLOOKUP(AC12,Points!$A$2:$B$14,2,FALSE)," ")))</f>
        <v xml:space="preserve"> </v>
      </c>
      <c r="AF12" s="92" t="str">
        <f t="shared" si="16"/>
        <v xml:space="preserve"> </v>
      </c>
      <c r="AG12" s="93" t="str">
        <f t="shared" si="17"/>
        <v xml:space="preserve"> </v>
      </c>
      <c r="AH12" s="93" t="str">
        <f t="shared" si="18"/>
        <v xml:space="preserve"> </v>
      </c>
      <c r="AI12" s="94" t="str">
        <f>IF(Table6220273233341728543[[#This Row],[Non-Member]]="X"," ",IF(AH12=" "," ",IFERROR(VLOOKUP(AG12,Points!$A$2:$B$14,2,FALSE)," ")))</f>
        <v xml:space="preserve"> </v>
      </c>
      <c r="AJ12" s="93">
        <f>IF(Table6220273233341728543[[#This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4"/>
        <v xml:space="preserve"> </v>
      </c>
      <c r="AL12" s="96" t="str">
        <f t="shared" si="15"/>
        <v xml:space="preserve"> </v>
      </c>
    </row>
    <row r="13" spans="2:38" x14ac:dyDescent="0.25">
      <c r="B13" s="90"/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IF(Table6220273233341728543[[#This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IF(Table6220273233341728543[[#This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IF(Table6220273233341728543[[#This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IF(Table6220273233341728543[[#This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IF(Table6220273233341728543[[#This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IF(Table6220273233341728543[[#This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IF(Table6220273233341728543[[#This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IF(Table6220273233341728543[[#This Row],[Non-Member]]="X"," ",IF(AH13=" "," ",IFERROR(VLOOKUP(AG13,Points!$A$2:$B$14,2,FALSE)," ")))</f>
        <v xml:space="preserve"> </v>
      </c>
      <c r="AJ13" s="93">
        <f>IF(Table6220273233341728543[[#This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4"/>
        <v xml:space="preserve"> </v>
      </c>
      <c r="AL13" s="96" t="str">
        <f t="shared" si="15"/>
        <v xml:space="preserve"> </v>
      </c>
    </row>
    <row r="14" spans="2:38" x14ac:dyDescent="0.25">
      <c r="B14" s="90"/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IF(Table6220273233341728543[[#This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IF(Table6220273233341728543[[#This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IF(Table6220273233341728543[[#This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IF(Table6220273233341728543[[#This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IF(Table6220273233341728543[[#This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IF(Table6220273233341728543[[#This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IF(Table6220273233341728543[[#This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IF(Table6220273233341728543[[#This Row],[Non-Member]]="X"," ",IF(AH14=" "," ",IFERROR(VLOOKUP(AG14,Points!$A$2:$B$14,2,FALSE)," ")))</f>
        <v xml:space="preserve"> </v>
      </c>
      <c r="AJ14" s="93">
        <f>IF(Table6220273233341728543[[#This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25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IF(Table6220273233341728543[[#This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IF(Table6220273233341728543[[#This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IF(Table6220273233341728543[[#This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IF(Table6220273233341728543[[#This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IF(Table6220273233341728543[[#This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IF(Table6220273233341728543[[#This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IF(Table6220273233341728543[[#This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3" t="str">
        <f t="shared" si="17"/>
        <v xml:space="preserve"> </v>
      </c>
      <c r="AH15" s="93" t="str">
        <f t="shared" si="18"/>
        <v xml:space="preserve"> </v>
      </c>
      <c r="AI15" s="94" t="str">
        <f>IF(Table6220273233341728543[[#This Row],[Non-Member]]="X"," ",IF(AH15=" "," ",IFERROR(VLOOKUP(AG15,Points!$A$2:$B$14,2,FALSE)," ")))</f>
        <v xml:space="preserve"> </v>
      </c>
      <c r="AJ15" s="93">
        <f>IF(Table6220273233341728543[[#This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25">
      <c r="B16" s="90"/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IF(Table6220273233341728543[[#This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IF(Table6220273233341728543[[#This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IF(Table6220273233341728543[[#This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IF(Table6220273233341728543[[#This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IF(Table6220273233341728543[[#This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IF(Table6220273233341728543[[#This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IF(Table6220273233341728543[[#This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7" t="str">
        <f t="shared" si="17"/>
        <v xml:space="preserve"> </v>
      </c>
      <c r="AH16" s="97" t="str">
        <f t="shared" si="18"/>
        <v xml:space="preserve"> </v>
      </c>
      <c r="AI16" s="94" t="str">
        <f>IF(Table6220273233341728543[[#This Row],[Non-Member]]="X"," ",IF(AH16=" "," ",IFERROR(VLOOKUP(AG16,Points!$A$2:$B$14,2,FALSE)," ")))</f>
        <v xml:space="preserve"> </v>
      </c>
      <c r="AJ16" s="97">
        <f>IF(Table6220273233341728543[[#This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8" t="str">
        <f t="shared" si="15"/>
        <v xml:space="preserve"> </v>
      </c>
    </row>
    <row r="17" spans="2:38" x14ac:dyDescent="0.25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IF(Table6220273233341728543[[#This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IF(Table6220273233341728543[[#This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IF(Table6220273233341728543[[#This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IF(Table6220273233341728543[[#This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IF(Table6220273233341728543[[#This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IF(Table6220273233341728543[[#This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IF(Table6220273233341728543[[#This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7" t="str">
        <f t="shared" si="17"/>
        <v xml:space="preserve"> </v>
      </c>
      <c r="AH17" s="97" t="str">
        <f t="shared" si="18"/>
        <v xml:space="preserve"> </v>
      </c>
      <c r="AI17" s="94" t="str">
        <f>IF(Table6220273233341728543[[#This Row],[Non-Member]]="X"," ",IF(AH17=" "," ",IFERROR(VLOOKUP(AG17,Points!$A$2:$B$14,2,FALSE)," ")))</f>
        <v xml:space="preserve"> </v>
      </c>
      <c r="AJ17" s="97">
        <f>IF(Table6220273233341728543[[#This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IF(Table6220273233341728543[[#This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IF(Table6220273233341728543[[#This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IF(Table6220273233341728543[[#This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IF(Table6220273233341728543[[#This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IF(Table6220273233341728543[[#This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IF(Table6220273233341728543[[#This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IF(Table6220273233341728543[[#This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7" t="str">
        <f t="shared" si="17"/>
        <v xml:space="preserve"> </v>
      </c>
      <c r="AH18" s="97" t="str">
        <f t="shared" si="18"/>
        <v xml:space="preserve"> </v>
      </c>
      <c r="AI18" s="94" t="str">
        <f>IF(Table6220273233341728543[[#This Row],[Non-Member]]="X"," ",IF(AH18=" "," ",IFERROR(VLOOKUP(AG18,Points!$A$2:$B$14,2,FALSE)," ")))</f>
        <v xml:space="preserve"> </v>
      </c>
      <c r="AJ18" s="97">
        <f>IF(Table6220273233341728543[[#This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IF(Table6220273233341728543[[#This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IF(Table6220273233341728543[[#This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IF(Table6220273233341728543[[#This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IF(Table6220273233341728543[[#This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IF(Table6220273233341728543[[#This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IF(Table6220273233341728543[[#This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IF(Table6220273233341728543[[#This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IF(Table6220273233341728543[[#This Row],[Non-Member]]="X"," ",IF(AH19=" "," ",IFERROR(VLOOKUP(AG19,Points!$A$2:$B$14,2,FALSE)," ")))</f>
        <v xml:space="preserve"> </v>
      </c>
      <c r="AJ19" s="93">
        <f>IF(Table6220273233341728543[[#This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IF(Table6220273233341728543[[#This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IF(Table6220273233341728543[[#This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IF(Table6220273233341728543[[#This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IF(Table6220273233341728543[[#This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IF(Table6220273233341728543[[#This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IF(Table6220273233341728543[[#This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IF(Table6220273233341728543[[#This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IF(Table6220273233341728543[[#This Row],[Non-Member]]="X"," ",IF(AH20=" "," ",IFERROR(VLOOKUP(AG20,Points!$A$2:$B$14,2,FALSE)," ")))</f>
        <v xml:space="preserve"> </v>
      </c>
      <c r="AJ20" s="93">
        <f>IF(Table6220273233341728543[[#This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IF(Table6220273233341728543[[#This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IF(Table6220273233341728543[[#This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IF(Table6220273233341728543[[#This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IF(Table6220273233341728543[[#This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IF(Table6220273233341728543[[#This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IF(Table6220273233341728543[[#This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IF(Table6220273233341728543[[#This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IF(Table6220273233341728543[[#This Row],[Non-Member]]="X"," ",IF(AH21=" "," ",IFERROR(VLOOKUP(AG21,Points!$A$2:$B$14,2,FALSE)," ")))</f>
        <v xml:space="preserve"> </v>
      </c>
      <c r="AJ21" s="93">
        <f>IF(Table6220273233341728543[[#This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IF(Table6220273233341728543[[#This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IF(Table6220273233341728543[[#This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IF(Table6220273233341728543[[#This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IF(Table6220273233341728543[[#This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IF(Table6220273233341728543[[#This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IF(Table6220273233341728543[[#This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IF(Table6220273233341728543[[#This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IF(Table6220273233341728543[[#This Row],[Non-Member]]="X"," ",IF(AH22=" "," ",IFERROR(VLOOKUP(AG22,Points!$A$2:$B$14,2,FALSE)," ")))</f>
        <v xml:space="preserve"> </v>
      </c>
      <c r="AJ22" s="93">
        <f>IF(Table6220273233341728543[[#This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IF(Table6220273233341728543[[#This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IF(Table6220273233341728543[[#This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IF(Table6220273233341728543[[#This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IF(Table6220273233341728543[[#This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IF(Table6220273233341728543[[#This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IF(Table6220273233341728543[[#This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IF(Table6220273233341728543[[#This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IF(Table6220273233341728543[[#This Row],[Non-Member]]="X"," ",IF(AH23=" "," ",IFERROR(VLOOKUP(AG23,Points!$A$2:$B$14,2,FALSE)," ")))</f>
        <v xml:space="preserve"> </v>
      </c>
      <c r="AJ23" s="93">
        <f>IF(Table6220273233341728543[[#This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IF(Table6220273233341728543[[#This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IF(Table6220273233341728543[[#This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IF(Table6220273233341728543[[#This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IF(Table6220273233341728543[[#This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IF(Table6220273233341728543[[#This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IF(Table6220273233341728543[[#This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IF(Table6220273233341728543[[#This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IF(Table6220273233341728543[[#This Row],[Non-Member]]="X"," ",IF(AH24=" "," ",IFERROR(VLOOKUP(AG24,Points!$A$2:$B$14,2,FALSE)," ")))</f>
        <v xml:space="preserve"> </v>
      </c>
      <c r="AJ24" s="93">
        <f>IF(Table6220273233341728543[[#This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yUJmRFrGwTuY/ScjMUezsP1inPm3b3udlopnvRcbwOkALbQE52EKtJymzplOg66dEZruhJyswGl1e8nh6BR4rA==" saltValue="fJqk3jG9zo4vEaFxbkvhM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ignoredErrors>
    <ignoredError sqref="AF7:AH8" calculatedColumn="1"/>
  </ignoredErrors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6C07-09EA-4A82-A672-F53754BFE846}">
  <sheetPr codeName="Sheet88">
    <tabColor theme="9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C36" sqref="C36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47" style="62" customWidth="1"/>
    <col min="3" max="3" width="11.6640625" style="60" hidden="1" customWidth="1"/>
    <col min="4" max="4" width="11.6640625" style="60" customWidth="1"/>
    <col min="5" max="5" width="11.6640625" style="57" customWidth="1"/>
    <col min="6" max="6" width="11.6640625" style="60" hidden="1" customWidth="1"/>
    <col min="7" max="7" width="11.6640625" style="60" customWidth="1"/>
    <col min="8" max="8" width="11.6640625" style="57" customWidth="1"/>
    <col min="9" max="9" width="11.6640625" style="60" hidden="1" customWidth="1"/>
    <col min="10" max="10" width="11.6640625" style="60" customWidth="1"/>
    <col min="11" max="11" width="11.6640625" style="57" customWidth="1"/>
    <col min="12" max="12" width="11.6640625" style="60" hidden="1" customWidth="1"/>
    <col min="13" max="13" width="11.6640625" style="60" customWidth="1"/>
    <col min="14" max="14" width="11.6640625" style="57" customWidth="1"/>
    <col min="15" max="15" width="11.6640625" style="60" hidden="1" customWidth="1"/>
    <col min="16" max="16" width="11.6640625" style="60" customWidth="1"/>
    <col min="17" max="17" width="11.6640625" style="57" customWidth="1"/>
    <col min="18" max="18" width="11.6640625" style="60" hidden="1" customWidth="1"/>
    <col min="19" max="19" width="11.6640625" style="60" customWidth="1"/>
    <col min="20" max="20" width="11.6640625" style="57" customWidth="1"/>
    <col min="21" max="21" width="11.6640625" style="60" hidden="1" customWidth="1"/>
    <col min="22" max="22" width="11.6640625" style="60" customWidth="1"/>
    <col min="23" max="23" width="11.6640625" style="57" customWidth="1"/>
    <col min="24" max="24" width="11.6640625" style="60" hidden="1" customWidth="1"/>
    <col min="25" max="25" width="11.6640625" style="60" customWidth="1"/>
    <col min="26" max="26" width="11.6640625" style="57" customWidth="1"/>
    <col min="27" max="27" width="11.6640625" style="60" hidden="1" customWidth="1"/>
    <col min="28" max="28" width="11.6640625" style="60" customWidth="1"/>
    <col min="29" max="29" width="11.6640625" style="57" customWidth="1"/>
    <col min="30" max="16384" width="9.109375" style="62"/>
  </cols>
  <sheetData>
    <row r="1" spans="2:29" ht="18" thickBot="1" x14ac:dyDescent="0.35">
      <c r="B1" s="54"/>
    </row>
    <row r="2" spans="2:29" s="64" customFormat="1" ht="17.399999999999999" x14ac:dyDescent="0.3">
      <c r="B2" s="139" t="s">
        <v>129</v>
      </c>
      <c r="C2" s="165">
        <v>43590</v>
      </c>
      <c r="D2" s="166"/>
      <c r="E2" s="167"/>
      <c r="F2" s="165">
        <v>43632</v>
      </c>
      <c r="G2" s="166"/>
      <c r="H2" s="167"/>
      <c r="I2" s="165">
        <v>43659</v>
      </c>
      <c r="J2" s="166"/>
      <c r="K2" s="167"/>
      <c r="L2" s="165">
        <v>43660</v>
      </c>
      <c r="M2" s="166"/>
      <c r="N2" s="167"/>
      <c r="O2" s="165">
        <v>43681</v>
      </c>
      <c r="P2" s="166"/>
      <c r="Q2" s="167"/>
      <c r="R2" s="165" t="s">
        <v>183</v>
      </c>
      <c r="S2" s="166"/>
      <c r="T2" s="167"/>
      <c r="U2" s="165" t="s">
        <v>184</v>
      </c>
      <c r="V2" s="166"/>
      <c r="W2" s="167"/>
      <c r="X2" s="166" t="s">
        <v>3</v>
      </c>
      <c r="Y2" s="166"/>
      <c r="Z2" s="167"/>
      <c r="AA2" s="166" t="s">
        <v>4</v>
      </c>
      <c r="AB2" s="166"/>
      <c r="AC2" s="167"/>
    </row>
    <row r="3" spans="2:29" s="74" customFormat="1" ht="14.4" thickBot="1" x14ac:dyDescent="0.3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3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25">
      <c r="B5" s="140" t="s">
        <v>170</v>
      </c>
      <c r="C5" s="118">
        <f>IFERROR(IF(VLOOKUP($B5,'SR-Team Roping-Header'!$B$5:$N$24,3,FALSE)=" ",0,VLOOKUP($B5,'SR-Team Roping-Header'!$B$5:$N$24,3,FALSE)),0)+IFERROR(IF(VLOOKUP($B5,'SR-Team Roping-Heeler'!$B$5:$N$24,3,FALSE)=" ",0,VLOOKUP($B5,'SR-Team Roping-Heeler'!$B$5:$N$24,3,FALSE)),0)+IFERROR(IF(VLOOKUP($B5,'SR B-Calf Roping'!$B$5:$AI$24,6,FALSE)=" ",0,VLOOKUP($B5,'SR B-Calf Roping'!$B$5:$AI$24,6,FALSE)),0)+IFERROR(IF(VLOOKUP($B5,'SR B-Steer Wrestling'!$B$5:$AI$24,6,FALSE)=" ",0,VLOOKUP($B5,'SR B-Steer Wrestling'!$B$5:$AI$24,6,FALSE)),0)+IFERROR(IF(VLOOKUP($B5,'SR B-Chute Dogging'!$B$5:$AI$24,6,FALSE)=" ",0,VLOOKUP($B5,'SR B-Chute Dogging'!$B$5:$AI$24,6,FALSE)),0)</f>
        <v>42</v>
      </c>
      <c r="D5" s="88">
        <f t="shared" ref="D5:D24" si="0">IF(C5&gt;0,C5," ")</f>
        <v>42</v>
      </c>
      <c r="E5" s="84">
        <f t="shared" ref="E5:E24" si="1">IF(C5=0," ",RANK(C5,C$5:C$24,0))</f>
        <v>1</v>
      </c>
      <c r="F5" s="119">
        <f>IFERROR(IF(VLOOKUP($B5,'SR-Team Roping-Header'!$B$5:$N$24,4,FALSE)=" ",0,VLOOKUP($B5,'SR-Team Roping-Header'!$B$5:$N$24,4,FALSE)),0)+IFERROR(IF(VLOOKUP($B5,'SR-Team Roping-Heeler'!$B$5:$N$24,4,FALSE)=" ",0,VLOOKUP($B5,'SR-Team Roping-Heeler'!$B$5:$N$24,4,FALSE)),0)+IFERROR(IF(VLOOKUP($B5,'SR B-Calf Roping'!$B$5:$AI$24,10,FALSE)=" ",0,VLOOKUP($B5,'SR B-Calf Roping'!$B$5:$AI$24,10,FALSE)),0)+IFERROR(IF(VLOOKUP($B5,'SR B-Steer Wrestling'!$B$5:$AI$24,10,FALSE)=" ",0,VLOOKUP($B5,'SR B-Steer Wrestling'!$B$5:$AI$24,10,FALSE)),0)+IFERROR(IF(VLOOKUP($B5,'SR B-Chute Dogging'!$B$5:$AI$24,10,FALSE)=" ",0,VLOOKUP($B5,'SR B-Chute Dogging'!$B$5:$AI$24,10,FALSE)),0)</f>
        <v>0</v>
      </c>
      <c r="G5" s="88" t="str">
        <f t="shared" ref="G5:G24" si="2">IF(F5&gt;0,F5," ")</f>
        <v xml:space="preserve"> </v>
      </c>
      <c r="H5" s="84" t="str">
        <f t="shared" ref="H5:H24" si="3">IF(F5=0," ",RANK(F5,F$5:F$24,0))</f>
        <v xml:space="preserve"> </v>
      </c>
      <c r="I5" s="119">
        <f>IFERROR(IF(VLOOKUP($B5,'SR-Team Roping-Header'!$B$5:$N$24,5,FALSE)=" ",0,VLOOKUP($B5,'SR-Team Roping-Header'!$B$5:$N$24,5,FALSE)),0)+IFERROR(IF(VLOOKUP($B5,'SR-Team Roping-Heeler'!$B$5:$N$24,5,FALSE)=" ",0,VLOOKUP($B5,'SR-Team Roping-Heeler'!$B$5:$N$24,5,FALSE)),0)+IFERROR(IF(VLOOKUP($B5,'SR B-Calf Roping'!$B$5:$AI$24,14,FALSE)=" ",0,VLOOKUP($B5,'SR B-Calf Roping'!$B$5:$AI$24,14,FALSE)),0)+IFERROR(IF(VLOOKUP($B5,'SR B-Steer Wrestling'!$B$5:$AI$24,14,FALSE)=" ",0,VLOOKUP($B5,'SR B-Steer Wrestling'!$B$5:$AI$24,14,FALSE)),0)+IFERROR(IF(VLOOKUP($B5,'SR B-Chute Dogging'!$B$5:$AI$24,14,FALSE)=" ",0,VLOOKUP($B5,'SR B-Chute Dogging'!$B$5:$AI$24,14,FALSE)),0)</f>
        <v>0</v>
      </c>
      <c r="J5" s="88" t="str">
        <f t="shared" ref="J5:J24" si="4">IF(I5&gt;0,I5," ")</f>
        <v xml:space="preserve"> </v>
      </c>
      <c r="K5" s="84" t="str">
        <f t="shared" ref="K5:K24" si="5">IF(I5=0," ",RANK(I5,I$5:I$24,0))</f>
        <v xml:space="preserve"> </v>
      </c>
      <c r="L5" s="119">
        <f>IFERROR(IF(VLOOKUP($B5,'SR-Team Roping-Header'!$B$5:$N$24,6,FALSE)=" ",0,VLOOKUP($B5,'SR-Team Roping-Header'!$B$5:$N$24,6,FALSE)),0)+IFERROR(IF(VLOOKUP($B5,'SR-Team Roping-Heeler'!$B$5:$N$24,6,FALSE)=" ",0,VLOOKUP($B5,'SR-Team Roping-Heeler'!$B$5:$N$24,6,FALSE)),0)+IFERROR(IF(VLOOKUP($B5,'SR B-Calf Roping'!$B$5:$AI$24,18,FALSE)=" ",0,VLOOKUP($B5,'SR B-Calf Roping'!$B$5:$AI$24,18,FALSE)),0)+IFERROR(IF(VLOOKUP($B5,'SR B-Steer Wrestling'!$B$5:$AI$24,18,FALSE)=" ",0,VLOOKUP($B5,'SR B-Steer Wrestling'!$B$5:$AI$24,18,FALSE)),0)+IFERROR(IF(VLOOKUP($B5,'SR B-Chute Dogging'!$B$5:$AI$24,18,FALSE)=" ",0,VLOOKUP($B5,'SR B-Chute Dogging'!$B$5:$AI$24,18,FALSE)),0)</f>
        <v>15</v>
      </c>
      <c r="M5" s="88">
        <f t="shared" ref="M5:M24" si="6">IF(L5&gt;0,L5," ")</f>
        <v>15</v>
      </c>
      <c r="N5" s="84">
        <f t="shared" ref="N5:N24" si="7">IF(L5=0," ",RANK(L5,L$5:L$24,0))</f>
        <v>2</v>
      </c>
      <c r="O5" s="119">
        <f>IFERROR(IF(VLOOKUP($B5,'SR-Team Roping-Header'!$B$5:$N$24,7,FALSE)=" ",0,VLOOKUP($B5,'SR-Team Roping-Header'!$B$5:$N$24,7,FALSE)),0)+IFERROR(IF(VLOOKUP($B5,'SR-Team Roping-Heeler'!$B$5:$N$24,7,FALSE)=" ",0,VLOOKUP($B5,'SR-Team Roping-Heeler'!$B$5:$N$24,7,FALSE)),0)+IFERROR(IF(VLOOKUP($B5,'SR B-Calf Roping'!$B$5:$AI$24,22,FALSE)=" ",0,VLOOKUP($B5,'SR B-Calf Roping'!$B$5:$AI$24,22,FALSE)),0)+IFERROR(IF(VLOOKUP($B5,'SR B-Steer Wrestling'!$B$5:$AI$24,22,FALSE)=" ",0,VLOOKUP($B5,'SR B-Steer Wrestling'!$B$5:$AI$24,22,FALSE)),0)+IFERROR(IF(VLOOKUP($B5,'SR B-Chute Dogging'!$B$5:$AI$24,22,FALSE)=" ",0,VLOOKUP($B5,'SR B-Chute Dogging'!$B$5:$AI$24,22,FALSE)),0)</f>
        <v>27</v>
      </c>
      <c r="P5" s="88">
        <f t="shared" ref="P5:P24" si="8">IF(O5&gt;0,O5," ")</f>
        <v>27</v>
      </c>
      <c r="Q5" s="84">
        <f t="shared" ref="Q5:Q24" si="9">IF(O5=0," ",RANK(O5,O$5:O$24,0))</f>
        <v>3</v>
      </c>
      <c r="R5" s="119">
        <f>IFERROR(IF(VLOOKUP($B5,'SR-Team Roping-Header'!$B$5:$N$24,8,FALSE)=" ",0,VLOOKUP($B5,'SR-Team Roping-Header'!$B$5:$N$24,8,FALSE)),0)+IFERROR(IF(VLOOKUP($B5,'SR-Team Roping-Heeler'!$B$5:$N$24,8,FALSE)=" ",0,VLOOKUP($B5,'SR-Team Roping-Heeler'!$B$5:$N$24,8,FALSE)),0)+IFERROR(IF(VLOOKUP($B5,'SR B-Calf Roping'!$B$5:$AI$24,26,FALSE)=" ",0,VLOOKUP($B5,'SR B-Calf Roping'!$B$5:$AI$24,26,FALSE)),0)+IFERROR(IF(VLOOKUP($B5,'SR B-Steer Wrestling'!$B$5:$AI$24,26,FALSE)=" ",0,VLOOKUP($B5,'SR B-Steer Wrestling'!$B$5:$AI$24,26,FALSE)),0)+IFERROR(IF(VLOOKUP($B5,'SR B-Chute Dogging'!$B$5:$AI$24,26,FALSE)=" ",0,VLOOKUP($B5,'SR B-Chute Dogging'!$B$5:$AI$24,26,FALSE)),0)</f>
        <v>33</v>
      </c>
      <c r="S5" s="88">
        <f t="shared" ref="S5:S24" si="10">IF(R5&gt;0,R5," ")</f>
        <v>33</v>
      </c>
      <c r="T5" s="84">
        <f t="shared" ref="T5:T24" si="11">IF(R5=0," ",RANK(R5,R$5:R$24,0))</f>
        <v>1</v>
      </c>
      <c r="U5" s="119">
        <f>IFERROR(IF(VLOOKUP($B5,'SR-Team Roping-Header'!$B$5:$N$24,9,FALSE)=" ",0,VLOOKUP($B5,'SR-Team Roping-Header'!$B$5:$N$24,9,FALSE)),0)+IFERROR(IF(VLOOKUP($B5,'SR-Team Roping-Heeler'!$B$5:$N$24,9,FALSE)=" ",0,VLOOKUP($B5,'SR-Team Roping-Heeler'!$B$5:$N$24,9,FALSE)),0)+IFERROR(IF(VLOOKUP($B5,'SR B-Calf Roping'!$B$5:$AI$24,30,FALSE)=" ",0,VLOOKUP($B5,'SR B-Calf Roping'!$B$5:$AI$24,30,FALSE)),0)+IFERROR(IF(VLOOKUP($B5,'SR B-Steer Wrestling'!$B$5:$AI$24,30,FALSE)=" ",0,VLOOKUP($B5,'SR B-Steer Wrestling'!$B$5:$AI$24,30,FALSE)),0)+IFERROR(IF(VLOOKUP($B5,'SR B-Chute Dogging'!$B$5:$AI$24,30,FALSE)=" ",0,VLOOKUP($B5,'SR B-Chute Dogging'!$B$5:$AI$24,30,FALSE)),0)</f>
        <v>33</v>
      </c>
      <c r="V5" s="88">
        <f t="shared" ref="V5:V24" si="12">IF(U5&gt;0,U5," ")</f>
        <v>33</v>
      </c>
      <c r="W5" s="84">
        <f t="shared" ref="W5:W24" si="13">IF(U5=0," ",RANK(U5,U$5:U$24,0))</f>
        <v>1</v>
      </c>
      <c r="X5" s="119">
        <f>IFERROR(IF(VLOOKUP($B5,'SR-Team Roping-Header'!$B$5:$N$24,10,FALSE)=" ",0,VLOOKUP($B5,'SR-Team Roping-Header'!$B$5:$N$24,10,FALSE)),0)+IFERROR(IF(VLOOKUP($B5,'SR-Team Roping-Heeler'!$B$5:$N$24,10,FALSE)=" ",0,VLOOKUP($B5,'SR-Team Roping-Heeler'!$B$5:$N$24,10,FALSE)),0)+IFERROR(IF(VLOOKUP($B5,'SR B-Calf Roping'!$B$5:$AI$24,34,FALSE)=" ",0,VLOOKUP($B5,'SR B-Calf Roping'!$B$5:$AI$24,34,FALSE)),0)+IFERROR(IF(VLOOKUP($B5,'SR B-Steer Wrestling'!$B$5:$AI$24,34,FALSE)=" ",0,VLOOKUP($B5,'SR B-Steer Wrestling'!$B$5:$AI$24,34,FALSE)),0)+IFERROR(IF(VLOOKUP($B5,'SR B-Chute Dogging'!$B$5:$AI$24,34,FALSE)=" ",0,VLOOKUP($B5,'SR B-Chute Dogging'!$B$5:$AI$24,34,FALSE)),0)</f>
        <v>54</v>
      </c>
      <c r="Y5" s="88">
        <f t="shared" ref="Y5:Y24" si="14">IF(X5&gt;0,X5," ")</f>
        <v>54</v>
      </c>
      <c r="Z5" s="84">
        <f t="shared" ref="Z5:Z24" si="15">IF(X5=0," ",RANK(X5,X$5:X$24,0))</f>
        <v>1</v>
      </c>
      <c r="AA5" s="119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204</v>
      </c>
      <c r="AB5" s="88">
        <f t="shared" ref="AB5:AB24" si="16">IF(AA5&gt;0,AA5," ")</f>
        <v>204</v>
      </c>
      <c r="AC5" s="84">
        <f t="shared" ref="AC5:AC24" si="17">IF(AB5=" "," ",RANK(AB5,AB$5:AB$24))</f>
        <v>1</v>
      </c>
    </row>
    <row r="6" spans="2:29" x14ac:dyDescent="0.25">
      <c r="B6" s="141" t="s">
        <v>195</v>
      </c>
      <c r="C6" s="120">
        <f>IFERROR(IF(VLOOKUP($B6,'SR-Team Roping-Header'!$B$5:$N$24,3,FALSE)=" ",0,VLOOKUP($B6,'SR-Team Roping-Header'!$B$5:$N$24,3,FALSE)),0)+IFERROR(IF(VLOOKUP($B6,'SR-Team Roping-Heeler'!$B$5:$N$24,3,FALSE)=" ",0,VLOOKUP($B6,'SR-Team Roping-Heeler'!$B$5:$N$24,3,FALSE)),0)+IFERROR(IF(VLOOKUP($B6,'SR B-Calf Roping'!$B$5:$AI$24,6,FALSE)=" ",0,VLOOKUP($B6,'SR B-Calf Roping'!$B$5:$AI$24,6,FALSE)),0)+IFERROR(IF(VLOOKUP($B6,'SR B-Steer Wrestling'!$B$5:$AI$24,6,FALSE)=" ",0,VLOOKUP($B6,'SR B-Steer Wrestling'!$B$5:$AI$24,6,FALSE)),0)+IFERROR(IF(VLOOKUP($B6,'SR B-Chute Dogging'!$B$5:$AI$24,6,FALSE)=" ",0,VLOOKUP($B6,'SR B-Chute Dogging'!$B$5:$AI$24,6,FALSE)),0)</f>
        <v>39</v>
      </c>
      <c r="D6" s="95">
        <f t="shared" si="0"/>
        <v>39</v>
      </c>
      <c r="E6" s="91">
        <f t="shared" si="1"/>
        <v>2</v>
      </c>
      <c r="F6" s="121">
        <f>IFERROR(IF(VLOOKUP($B6,'SR-Team Roping-Header'!$B$5:$N$24,4,FALSE)=" ",0,VLOOKUP($B6,'SR-Team Roping-Header'!$B$5:$N$24,4,FALSE)),0)+IFERROR(IF(VLOOKUP($B6,'SR-Team Roping-Heeler'!$B$5:$N$24,4,FALSE)=" ",0,VLOOKUP($B6,'SR-Team Roping-Heeler'!$B$5:$N$24,4,FALSE)),0)+IFERROR(IF(VLOOKUP($B6,'SR B-Calf Roping'!$B$5:$AI$24,10,FALSE)=" ",0,VLOOKUP($B6,'SR B-Calf Roping'!$B$5:$AI$24,10,FALSE)),0)+IFERROR(IF(VLOOKUP($B6,'SR B-Steer Wrestling'!$B$5:$AI$24,10,FALSE)=" ",0,VLOOKUP($B6,'SR B-Steer Wrestling'!$B$5:$AI$24,10,FALSE)),0)+IFERROR(IF(VLOOKUP($B6,'SR B-Chute Dogging'!$B$5:$AI$24,10,FALSE)=" ",0,VLOOKUP($B6,'SR B-Chute Dogging'!$B$5:$AI$24,10,FALSE)),0)</f>
        <v>30</v>
      </c>
      <c r="G6" s="95">
        <f t="shared" si="2"/>
        <v>30</v>
      </c>
      <c r="H6" s="91">
        <f t="shared" si="3"/>
        <v>1</v>
      </c>
      <c r="I6" s="121">
        <f>IFERROR(IF(VLOOKUP($B6,'SR-Team Roping-Header'!$B$5:$N$24,5,FALSE)=" ",0,VLOOKUP($B6,'SR-Team Roping-Header'!$B$5:$N$24,5,FALSE)),0)+IFERROR(IF(VLOOKUP($B6,'SR-Team Roping-Heeler'!$B$5:$N$24,5,FALSE)=" ",0,VLOOKUP($B6,'SR-Team Roping-Heeler'!$B$5:$N$24,5,FALSE)),0)+IFERROR(IF(VLOOKUP($B6,'SR B-Calf Roping'!$B$5:$AI$24,14,FALSE)=" ",0,VLOOKUP($B6,'SR B-Calf Roping'!$B$5:$AI$24,14,FALSE)),0)+IFERROR(IF(VLOOKUP($B6,'SR B-Steer Wrestling'!$B$5:$AI$24,14,FALSE)=" ",0,VLOOKUP($B6,'SR B-Steer Wrestling'!$B$5:$AI$24,14,FALSE)),0)+IFERROR(IF(VLOOKUP($B6,'SR B-Chute Dogging'!$B$5:$AI$24,14,FALSE)=" ",0,VLOOKUP($B6,'SR B-Chute Dogging'!$B$5:$AI$24,14,FALSE)),0)</f>
        <v>0</v>
      </c>
      <c r="J6" s="95" t="str">
        <f t="shared" si="4"/>
        <v xml:space="preserve"> </v>
      </c>
      <c r="K6" s="91" t="str">
        <f t="shared" si="5"/>
        <v xml:space="preserve"> </v>
      </c>
      <c r="L6" s="121">
        <f>IFERROR(IF(VLOOKUP($B6,'SR-Team Roping-Header'!$B$5:$N$24,6,FALSE)=" ",0,VLOOKUP($B6,'SR-Team Roping-Header'!$B$5:$N$24,6,FALSE)),0)+IFERROR(IF(VLOOKUP($B6,'SR-Team Roping-Heeler'!$B$5:$N$24,6,FALSE)=" ",0,VLOOKUP($B6,'SR-Team Roping-Heeler'!$B$5:$N$24,6,FALSE)),0)+IFERROR(IF(VLOOKUP($B6,'SR B-Calf Roping'!$B$5:$AI$24,18,FALSE)=" ",0,VLOOKUP($B6,'SR B-Calf Roping'!$B$5:$AI$24,18,FALSE)),0)+IFERROR(IF(VLOOKUP($B6,'SR B-Steer Wrestling'!$B$5:$AI$24,18,FALSE)=" ",0,VLOOKUP($B6,'SR B-Steer Wrestling'!$B$5:$AI$24,18,FALSE)),0)+IFERROR(IF(VLOOKUP($B6,'SR B-Chute Dogging'!$B$5:$AI$24,18,FALSE)=" ",0,VLOOKUP($B6,'SR B-Chute Dogging'!$B$5:$AI$24,18,FALSE)),0)</f>
        <v>30</v>
      </c>
      <c r="M6" s="95">
        <f t="shared" si="6"/>
        <v>30</v>
      </c>
      <c r="N6" s="91">
        <f t="shared" si="7"/>
        <v>1</v>
      </c>
      <c r="O6" s="121">
        <f>IFERROR(IF(VLOOKUP($B6,'SR-Team Roping-Header'!$B$5:$N$24,7,FALSE)=" ",0,VLOOKUP($B6,'SR-Team Roping-Header'!$B$5:$N$24,7,FALSE)),0)+IFERROR(IF(VLOOKUP($B6,'SR-Team Roping-Heeler'!$B$5:$N$24,7,FALSE)=" ",0,VLOOKUP($B6,'SR-Team Roping-Heeler'!$B$5:$N$24,7,FALSE)),0)+IFERROR(IF(VLOOKUP($B6,'SR B-Calf Roping'!$B$5:$AI$24,22,FALSE)=" ",0,VLOOKUP($B6,'SR B-Calf Roping'!$B$5:$AI$24,22,FALSE)),0)+IFERROR(IF(VLOOKUP($B6,'SR B-Steer Wrestling'!$B$5:$AI$24,22,FALSE)=" ",0,VLOOKUP($B6,'SR B-Steer Wrestling'!$B$5:$AI$24,22,FALSE)),0)+IFERROR(IF(VLOOKUP($B6,'SR B-Chute Dogging'!$B$5:$AI$24,22,FALSE)=" ",0,VLOOKUP($B6,'SR B-Chute Dogging'!$B$5:$AI$24,22,FALSE)),0)</f>
        <v>36</v>
      </c>
      <c r="P6" s="95">
        <f t="shared" si="8"/>
        <v>36</v>
      </c>
      <c r="Q6" s="91">
        <f t="shared" si="9"/>
        <v>1</v>
      </c>
      <c r="R6" s="121">
        <f>IFERROR(IF(VLOOKUP($B6,'SR-Team Roping-Header'!$B$5:$N$24,8,FALSE)=" ",0,VLOOKUP($B6,'SR-Team Roping-Header'!$B$5:$N$24,8,FALSE)),0)+IFERROR(IF(VLOOKUP($B6,'SR-Team Roping-Heeler'!$B$5:$N$24,8,FALSE)=" ",0,VLOOKUP($B6,'SR-Team Roping-Heeler'!$B$5:$N$24,8,FALSE)),0)+IFERROR(IF(VLOOKUP($B6,'SR B-Calf Roping'!$B$5:$AI$24,26,FALSE)=" ",0,VLOOKUP($B6,'SR B-Calf Roping'!$B$5:$AI$24,26,FALSE)),0)+IFERROR(IF(VLOOKUP($B6,'SR B-Steer Wrestling'!$B$5:$AI$24,26,FALSE)=" ",0,VLOOKUP($B6,'SR B-Steer Wrestling'!$B$5:$AI$24,26,FALSE)),0)+IFERROR(IF(VLOOKUP($B6,'SR B-Chute Dogging'!$B$5:$AI$24,26,FALSE)=" ",0,VLOOKUP($B6,'SR B-Chute Dogging'!$B$5:$AI$24,26,FALSE)),0)</f>
        <v>18</v>
      </c>
      <c r="S6" s="95">
        <f t="shared" si="10"/>
        <v>18</v>
      </c>
      <c r="T6" s="91">
        <f t="shared" si="11"/>
        <v>3</v>
      </c>
      <c r="U6" s="121">
        <f>IFERROR(IF(VLOOKUP($B6,'SR-Team Roping-Header'!$B$5:$N$24,9,FALSE)=" ",0,VLOOKUP($B6,'SR-Team Roping-Header'!$B$5:$N$24,9,FALSE)),0)+IFERROR(IF(VLOOKUP($B6,'SR-Team Roping-Heeler'!$B$5:$N$24,9,FALSE)=" ",0,VLOOKUP($B6,'SR-Team Roping-Heeler'!$B$5:$N$24,9,FALSE)),0)+IFERROR(IF(VLOOKUP($B6,'SR B-Calf Roping'!$B$5:$AI$24,30,FALSE)=" ",0,VLOOKUP($B6,'SR B-Calf Roping'!$B$5:$AI$24,30,FALSE)),0)+IFERROR(IF(VLOOKUP($B6,'SR B-Steer Wrestling'!$B$5:$AI$24,30,FALSE)=" ",0,VLOOKUP($B6,'SR B-Steer Wrestling'!$B$5:$AI$24,30,FALSE)),0)+IFERROR(IF(VLOOKUP($B6,'SR B-Chute Dogging'!$B$5:$AI$24,30,FALSE)=" ",0,VLOOKUP($B6,'SR B-Chute Dogging'!$B$5:$AI$24,30,FALSE)),0)</f>
        <v>0</v>
      </c>
      <c r="V6" s="95" t="str">
        <f t="shared" si="12"/>
        <v xml:space="preserve"> </v>
      </c>
      <c r="W6" s="91" t="str">
        <f t="shared" si="13"/>
        <v xml:space="preserve"> </v>
      </c>
      <c r="X6" s="121">
        <f>IFERROR(IF(VLOOKUP($B6,'SR-Team Roping-Header'!$B$5:$N$24,10,FALSE)=" ",0,VLOOKUP($B6,'SR-Team Roping-Header'!$B$5:$N$24,10,FALSE)),0)+IFERROR(IF(VLOOKUP($B6,'SR-Team Roping-Heeler'!$B$5:$N$24,10,FALSE)=" ",0,VLOOKUP($B6,'SR-Team Roping-Heeler'!$B$5:$N$24,10,FALSE)),0)+IFERROR(IF(VLOOKUP($B6,'SR B-Calf Roping'!$B$5:$AI$24,34,FALSE)=" ",0,VLOOKUP($B6,'SR B-Calf Roping'!$B$5:$AI$24,34,FALSE)),0)+IFERROR(IF(VLOOKUP($B6,'SR B-Steer Wrestling'!$B$5:$AI$24,34,FALSE)=" ",0,VLOOKUP($B6,'SR B-Steer Wrestling'!$B$5:$AI$24,34,FALSE)),0)+IFERROR(IF(VLOOKUP($B6,'SR B-Chute Dogging'!$B$5:$AI$24,34,FALSE)=" ",0,VLOOKUP($B6,'SR B-Chute Dogging'!$B$5:$AI$24,34,FALSE)),0)</f>
        <v>18</v>
      </c>
      <c r="Y6" s="95">
        <f t="shared" si="14"/>
        <v>18</v>
      </c>
      <c r="Z6" s="91">
        <f t="shared" si="15"/>
        <v>3</v>
      </c>
      <c r="AA6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171</v>
      </c>
      <c r="AB6" s="95">
        <f t="shared" si="16"/>
        <v>171</v>
      </c>
      <c r="AC6" s="91">
        <f t="shared" si="17"/>
        <v>2</v>
      </c>
    </row>
    <row r="7" spans="2:29" x14ac:dyDescent="0.25">
      <c r="B7" s="141" t="s">
        <v>196</v>
      </c>
      <c r="C7" s="120">
        <f>IFERROR(IF(VLOOKUP($B7,'SR-Team Roping-Header'!$B$5:$N$24,3,FALSE)=" ",0,VLOOKUP($B7,'SR-Team Roping-Header'!$B$5:$N$24,3,FALSE)),0)+IFERROR(IF(VLOOKUP($B7,'SR-Team Roping-Heeler'!$B$5:$N$24,3,FALSE)=" ",0,VLOOKUP($B7,'SR-Team Roping-Heeler'!$B$5:$N$24,3,FALSE)),0)+IFERROR(IF(VLOOKUP($B7,'SR B-Calf Roping'!$B$5:$AI$24,6,FALSE)=" ",0,VLOOKUP($B7,'SR B-Calf Roping'!$B$5:$AI$24,6,FALSE)),0)+IFERROR(IF(VLOOKUP($B7,'SR B-Steer Wrestling'!$B$5:$AI$24,6,FALSE)=" ",0,VLOOKUP($B7,'SR B-Steer Wrestling'!$B$5:$AI$24,6,FALSE)),0)+IFERROR(IF(VLOOKUP($B7,'SR B-Chute Dogging'!$B$5:$AI$24,6,FALSE)=" ",0,VLOOKUP($B7,'SR B-Chute Dogging'!$B$5:$AI$24,6,FALSE)),0)</f>
        <v>18</v>
      </c>
      <c r="D7" s="95">
        <f t="shared" si="0"/>
        <v>18</v>
      </c>
      <c r="E7" s="91">
        <f t="shared" si="1"/>
        <v>3</v>
      </c>
      <c r="F7" s="121">
        <f>IFERROR(IF(VLOOKUP($B7,'SR-Team Roping-Header'!$B$5:$N$24,4,FALSE)=" ",0,VLOOKUP($B7,'SR-Team Roping-Header'!$B$5:$N$24,4,FALSE)),0)+IFERROR(IF(VLOOKUP($B7,'SR-Team Roping-Heeler'!$B$5:$N$24,4,FALSE)=" ",0,VLOOKUP($B7,'SR-Team Roping-Heeler'!$B$5:$N$24,4,FALSE)),0)+IFERROR(IF(VLOOKUP($B7,'SR B-Calf Roping'!$B$5:$AI$24,10,FALSE)=" ",0,VLOOKUP($B7,'SR B-Calf Roping'!$B$5:$AI$24,10,FALSE)),0)+IFERROR(IF(VLOOKUP($B7,'SR B-Steer Wrestling'!$B$5:$AI$24,10,FALSE)=" ",0,VLOOKUP($B7,'SR B-Steer Wrestling'!$B$5:$AI$24,10,FALSE)),0)+IFERROR(IF(VLOOKUP($B7,'SR B-Chute Dogging'!$B$5:$AI$24,10,FALSE)=" ",0,VLOOKUP($B7,'SR B-Chute Dogging'!$B$5:$AI$24,10,FALSE)),0)</f>
        <v>18</v>
      </c>
      <c r="G7" s="95">
        <f t="shared" si="2"/>
        <v>18</v>
      </c>
      <c r="H7" s="91">
        <f t="shared" si="3"/>
        <v>2</v>
      </c>
      <c r="I7" s="121">
        <f>IFERROR(IF(VLOOKUP($B7,'SR-Team Roping-Header'!$B$5:$N$24,5,FALSE)=" ",0,VLOOKUP($B7,'SR-Team Roping-Header'!$B$5:$N$24,5,FALSE)),0)+IFERROR(IF(VLOOKUP($B7,'SR-Team Roping-Heeler'!$B$5:$N$24,5,FALSE)=" ",0,VLOOKUP($B7,'SR-Team Roping-Heeler'!$B$5:$N$24,5,FALSE)),0)+IFERROR(IF(VLOOKUP($B7,'SR B-Calf Roping'!$B$5:$AI$24,14,FALSE)=" ",0,VLOOKUP($B7,'SR B-Calf Roping'!$B$5:$AI$24,14,FALSE)),0)+IFERROR(IF(VLOOKUP($B7,'SR B-Steer Wrestling'!$B$5:$AI$24,14,FALSE)=" ",0,VLOOKUP($B7,'SR B-Steer Wrestling'!$B$5:$AI$24,14,FALSE)),0)+IFERROR(IF(VLOOKUP($B7,'SR B-Chute Dogging'!$B$5:$AI$24,14,FALSE)=" ",0,VLOOKUP($B7,'SR B-Chute Dogging'!$B$5:$AI$24,14,FALSE)),0)</f>
        <v>0</v>
      </c>
      <c r="J7" s="95" t="str">
        <f t="shared" si="4"/>
        <v xml:space="preserve"> </v>
      </c>
      <c r="K7" s="91" t="str">
        <f t="shared" si="5"/>
        <v xml:space="preserve"> </v>
      </c>
      <c r="L7" s="121">
        <f>IFERROR(IF(VLOOKUP($B7,'SR-Team Roping-Header'!$B$5:$N$24,6,FALSE)=" ",0,VLOOKUP($B7,'SR-Team Roping-Header'!$B$5:$N$24,6,FALSE)),0)+IFERROR(IF(VLOOKUP($B7,'SR-Team Roping-Heeler'!$B$5:$N$24,6,FALSE)=" ",0,VLOOKUP($B7,'SR-Team Roping-Heeler'!$B$5:$N$24,6,FALSE)),0)+IFERROR(IF(VLOOKUP($B7,'SR B-Calf Roping'!$B$5:$AI$24,18,FALSE)=" ",0,VLOOKUP($B7,'SR B-Calf Roping'!$B$5:$AI$24,18,FALSE)),0)+IFERROR(IF(VLOOKUP($B7,'SR B-Steer Wrestling'!$B$5:$AI$24,18,FALSE)=" ",0,VLOOKUP($B7,'SR B-Steer Wrestling'!$B$5:$AI$24,18,FALSE)),0)+IFERROR(IF(VLOOKUP($B7,'SR B-Chute Dogging'!$B$5:$AI$24,18,FALSE)=" ",0,VLOOKUP($B7,'SR B-Chute Dogging'!$B$5:$AI$24,18,FALSE)),0)</f>
        <v>15</v>
      </c>
      <c r="M7" s="95">
        <f t="shared" si="6"/>
        <v>15</v>
      </c>
      <c r="N7" s="91">
        <f t="shared" si="7"/>
        <v>2</v>
      </c>
      <c r="O7" s="121">
        <f>IFERROR(IF(VLOOKUP($B7,'SR-Team Roping-Header'!$B$5:$N$24,7,FALSE)=" ",0,VLOOKUP($B7,'SR-Team Roping-Header'!$B$5:$N$24,7,FALSE)),0)+IFERROR(IF(VLOOKUP($B7,'SR-Team Roping-Heeler'!$B$5:$N$24,7,FALSE)=" ",0,VLOOKUP($B7,'SR-Team Roping-Heeler'!$B$5:$N$24,7,FALSE)),0)+IFERROR(IF(VLOOKUP($B7,'SR B-Calf Roping'!$B$5:$AI$24,22,FALSE)=" ",0,VLOOKUP($B7,'SR B-Calf Roping'!$B$5:$AI$24,22,FALSE)),0)+IFERROR(IF(VLOOKUP($B7,'SR B-Steer Wrestling'!$B$5:$AI$24,22,FALSE)=" ",0,VLOOKUP($B7,'SR B-Steer Wrestling'!$B$5:$AI$24,22,FALSE)),0)+IFERROR(IF(VLOOKUP($B7,'SR B-Chute Dogging'!$B$5:$AI$24,22,FALSE)=" ",0,VLOOKUP($B7,'SR B-Chute Dogging'!$B$5:$AI$24,22,FALSE)),0)</f>
        <v>33</v>
      </c>
      <c r="P7" s="95">
        <f t="shared" si="8"/>
        <v>33</v>
      </c>
      <c r="Q7" s="91">
        <f t="shared" si="9"/>
        <v>2</v>
      </c>
      <c r="R7" s="121">
        <f>IFERROR(IF(VLOOKUP($B7,'SR-Team Roping-Header'!$B$5:$N$24,8,FALSE)=" ",0,VLOOKUP($B7,'SR-Team Roping-Header'!$B$5:$N$24,8,FALSE)),0)+IFERROR(IF(VLOOKUP($B7,'SR-Team Roping-Heeler'!$B$5:$N$24,8,FALSE)=" ",0,VLOOKUP($B7,'SR-Team Roping-Heeler'!$B$5:$N$24,8,FALSE)),0)+IFERROR(IF(VLOOKUP($B7,'SR B-Calf Roping'!$B$5:$AI$24,26,FALSE)=" ",0,VLOOKUP($B7,'SR B-Calf Roping'!$B$5:$AI$24,26,FALSE)),0)+IFERROR(IF(VLOOKUP($B7,'SR B-Steer Wrestling'!$B$5:$AI$24,26,FALSE)=" ",0,VLOOKUP($B7,'SR B-Steer Wrestling'!$B$5:$AI$24,26,FALSE)),0)+IFERROR(IF(VLOOKUP($B7,'SR B-Chute Dogging'!$B$5:$AI$24,26,FALSE)=" ",0,VLOOKUP($B7,'SR B-Chute Dogging'!$B$5:$AI$24,26,FALSE)),0)</f>
        <v>21</v>
      </c>
      <c r="S7" s="95">
        <f t="shared" si="10"/>
        <v>21</v>
      </c>
      <c r="T7" s="91">
        <f t="shared" si="11"/>
        <v>2</v>
      </c>
      <c r="U7" s="121">
        <f>IFERROR(IF(VLOOKUP($B7,'SR-Team Roping-Header'!$B$5:$N$24,9,FALSE)=" ",0,VLOOKUP($B7,'SR-Team Roping-Header'!$B$5:$N$24,9,FALSE)),0)+IFERROR(IF(VLOOKUP($B7,'SR-Team Roping-Heeler'!$B$5:$N$24,9,FALSE)=" ",0,VLOOKUP($B7,'SR-Team Roping-Heeler'!$B$5:$N$24,9,FALSE)),0)+IFERROR(IF(VLOOKUP($B7,'SR B-Calf Roping'!$B$5:$AI$24,30,FALSE)=" ",0,VLOOKUP($B7,'SR B-Calf Roping'!$B$5:$AI$24,30,FALSE)),0)+IFERROR(IF(VLOOKUP($B7,'SR B-Steer Wrestling'!$B$5:$AI$24,30,FALSE)=" ",0,VLOOKUP($B7,'SR B-Steer Wrestling'!$B$5:$AI$24,30,FALSE)),0)+IFERROR(IF(VLOOKUP($B7,'SR B-Chute Dogging'!$B$5:$AI$24,30,FALSE)=" ",0,VLOOKUP($B7,'SR B-Chute Dogging'!$B$5:$AI$24,30,FALSE)),0)</f>
        <v>27</v>
      </c>
      <c r="V7" s="95">
        <f t="shared" si="12"/>
        <v>27</v>
      </c>
      <c r="W7" s="91">
        <f t="shared" si="13"/>
        <v>2</v>
      </c>
      <c r="X7" s="121">
        <f>IFERROR(IF(VLOOKUP($B7,'SR-Team Roping-Header'!$B$5:$N$24,10,FALSE)=" ",0,VLOOKUP($B7,'SR-Team Roping-Header'!$B$5:$N$24,10,FALSE)),0)+IFERROR(IF(VLOOKUP($B7,'SR-Team Roping-Heeler'!$B$5:$N$24,10,FALSE)=" ",0,VLOOKUP($B7,'SR-Team Roping-Heeler'!$B$5:$N$24,10,FALSE)),0)+IFERROR(IF(VLOOKUP($B7,'SR B-Calf Roping'!$B$5:$AI$24,34,FALSE)=" ",0,VLOOKUP($B7,'SR B-Calf Roping'!$B$5:$AI$24,34,FALSE)),0)+IFERROR(IF(VLOOKUP($B7,'SR B-Steer Wrestling'!$B$5:$AI$24,34,FALSE)=" ",0,VLOOKUP($B7,'SR B-Steer Wrestling'!$B$5:$AI$24,34,FALSE)),0)+IFERROR(IF(VLOOKUP($B7,'SR B-Chute Dogging'!$B$5:$AI$24,34,FALSE)=" ",0,VLOOKUP($B7,'SR B-Chute Dogging'!$B$5:$AI$24,34,FALSE)),0)</f>
        <v>33</v>
      </c>
      <c r="Y7" s="95">
        <f t="shared" si="14"/>
        <v>33</v>
      </c>
      <c r="Z7" s="91">
        <f t="shared" si="15"/>
        <v>2</v>
      </c>
      <c r="AA7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165</v>
      </c>
      <c r="AB7" s="95">
        <f t="shared" si="16"/>
        <v>165</v>
      </c>
      <c r="AC7" s="91">
        <f t="shared" si="17"/>
        <v>3</v>
      </c>
    </row>
    <row r="8" spans="2:29" x14ac:dyDescent="0.25">
      <c r="B8" s="142" t="s">
        <v>263</v>
      </c>
      <c r="C8" s="120">
        <f>IFERROR(IF(VLOOKUP($B8,'SR-Team Roping-Header'!$B$5:$N$24,3,FALSE)=" ",0,VLOOKUP($B8,'SR-Team Roping-Header'!$B$5:$N$24,3,FALSE)),0)+IFERROR(IF(VLOOKUP($B8,'SR-Team Roping-Heeler'!$B$5:$N$24,3,FALSE)=" ",0,VLOOKUP($B8,'SR-Team Roping-Heeler'!$B$5:$N$24,3,FALSE)),0)+IFERROR(IF(VLOOKUP($B8,'SR B-Calf Roping'!$B$5:$AI$24,6,FALSE)=" ",0,VLOOKUP($B8,'SR B-Calf Roping'!$B$5:$AI$24,6,FALSE)),0)+IFERROR(IF(VLOOKUP($B8,'SR B-Steer Wrestling'!$B$5:$AI$24,6,FALSE)=" ",0,VLOOKUP($B8,'SR B-Steer Wrestling'!$B$5:$AI$24,6,FALSE)),0)+IFERROR(IF(VLOOKUP($B8,'SR B-Chute Dogging'!$B$5:$AI$24,6,FALSE)=" ",0,VLOOKUP($B8,'SR B-Chute Dogging'!$B$5:$AI$24,6,FALSE)),0)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IFERROR(IF(VLOOKUP($B8,'SR-Team Roping-Header'!$B$5:$N$24,4,FALSE)=" ",0,VLOOKUP($B8,'SR-Team Roping-Header'!$B$5:$N$24,4,FALSE)),0)+IFERROR(IF(VLOOKUP($B8,'SR-Team Roping-Heeler'!$B$5:$N$24,4,FALSE)=" ",0,VLOOKUP($B8,'SR-Team Roping-Heeler'!$B$5:$N$24,4,FALSE)),0)+IFERROR(IF(VLOOKUP($B8,'SR B-Calf Roping'!$B$5:$AI$24,10,FALSE)=" ",0,VLOOKUP($B8,'SR B-Calf Roping'!$B$5:$AI$24,10,FALSE)),0)+IFERROR(IF(VLOOKUP($B8,'SR B-Steer Wrestling'!$B$5:$AI$24,10,FALSE)=" ",0,VLOOKUP($B8,'SR B-Steer Wrestling'!$B$5:$AI$24,10,FALSE)),0)+IFERROR(IF(VLOOKUP($B8,'SR B-Chute Dogging'!$B$5:$AI$24,10,FALSE)=" ",0,VLOOKUP($B8,'SR B-Chute Dogging'!$B$5:$AI$24,10,FALSE)),0)</f>
        <v>15</v>
      </c>
      <c r="G8" s="95">
        <f t="shared" si="2"/>
        <v>15</v>
      </c>
      <c r="H8" s="91">
        <f t="shared" si="3"/>
        <v>3</v>
      </c>
      <c r="I8" s="121">
        <f>IFERROR(IF(VLOOKUP($B8,'SR-Team Roping-Header'!$B$5:$N$24,5,FALSE)=" ",0,VLOOKUP($B8,'SR-Team Roping-Header'!$B$5:$N$24,5,FALSE)),0)+IFERROR(IF(VLOOKUP($B8,'SR-Team Roping-Heeler'!$B$5:$N$24,5,FALSE)=" ",0,VLOOKUP($B8,'SR-Team Roping-Heeler'!$B$5:$N$24,5,FALSE)),0)+IFERROR(IF(VLOOKUP($B8,'SR B-Calf Roping'!$B$5:$AI$24,14,FALSE)=" ",0,VLOOKUP($B8,'SR B-Calf Roping'!$B$5:$AI$24,14,FALSE)),0)+IFERROR(IF(VLOOKUP($B8,'SR B-Steer Wrestling'!$B$5:$AI$24,14,FALSE)=" ",0,VLOOKUP($B8,'SR B-Steer Wrestling'!$B$5:$AI$24,14,FALSE)),0)+IFERROR(IF(VLOOKUP($B8,'SR B-Chute Dogging'!$B$5:$AI$24,14,FALSE)=" ",0,VLOOKUP($B8,'SR B-Chute Dogging'!$B$5:$AI$24,14,FALSE)),0)</f>
        <v>0</v>
      </c>
      <c r="J8" s="95" t="str">
        <f t="shared" si="4"/>
        <v xml:space="preserve"> </v>
      </c>
      <c r="K8" s="91" t="str">
        <f t="shared" si="5"/>
        <v xml:space="preserve"> </v>
      </c>
      <c r="L8" s="121">
        <f>IFERROR(IF(VLOOKUP($B8,'SR-Team Roping-Header'!$B$5:$N$24,6,FALSE)=" ",0,VLOOKUP($B8,'SR-Team Roping-Header'!$B$5:$N$24,6,FALSE)),0)+IFERROR(IF(VLOOKUP($B8,'SR-Team Roping-Heeler'!$B$5:$N$24,6,FALSE)=" ",0,VLOOKUP($B8,'SR-Team Roping-Heeler'!$B$5:$N$24,6,FALSE)),0)+IFERROR(IF(VLOOKUP($B8,'SR B-Calf Roping'!$B$5:$AI$24,18,FALSE)=" ",0,VLOOKUP($B8,'SR B-Calf Roping'!$B$5:$AI$24,18,FALSE)),0)+IFERROR(IF(VLOOKUP($B8,'SR B-Steer Wrestling'!$B$5:$AI$24,18,FALSE)=" ",0,VLOOKUP($B8,'SR B-Steer Wrestling'!$B$5:$AI$24,18,FALSE)),0)+IFERROR(IF(VLOOKUP($B8,'SR B-Chute Dogging'!$B$5:$AI$24,18,FALSE)=" ",0,VLOOKUP($B8,'SR B-Chute Dogging'!$B$5:$AI$24,18,FALSE)),0)</f>
        <v>0</v>
      </c>
      <c r="M8" s="95" t="str">
        <f t="shared" si="6"/>
        <v xml:space="preserve"> </v>
      </c>
      <c r="N8" s="91" t="str">
        <f t="shared" si="7"/>
        <v xml:space="preserve"> </v>
      </c>
      <c r="O8" s="121">
        <f>IFERROR(IF(VLOOKUP($B8,'SR-Team Roping-Header'!$B$5:$N$24,7,FALSE)=" ",0,VLOOKUP($B8,'SR-Team Roping-Header'!$B$5:$N$24,7,FALSE)),0)+IFERROR(IF(VLOOKUP($B8,'SR-Team Roping-Heeler'!$B$5:$N$24,7,FALSE)=" ",0,VLOOKUP($B8,'SR-Team Roping-Heeler'!$B$5:$N$24,7,FALSE)),0)+IFERROR(IF(VLOOKUP($B8,'SR B-Calf Roping'!$B$5:$AI$24,22,FALSE)=" ",0,VLOOKUP($B8,'SR B-Calf Roping'!$B$5:$AI$24,22,FALSE)),0)+IFERROR(IF(VLOOKUP($B8,'SR B-Steer Wrestling'!$B$5:$AI$24,22,FALSE)=" ",0,VLOOKUP($B8,'SR B-Steer Wrestling'!$B$5:$AI$24,22,FALSE)),0)+IFERROR(IF(VLOOKUP($B8,'SR B-Chute Dogging'!$B$5:$AI$24,22,FALSE)=" ",0,VLOOKUP($B8,'SR B-Chute Dogging'!$B$5:$AI$24,22,FALSE)),0)</f>
        <v>12</v>
      </c>
      <c r="P8" s="95">
        <f t="shared" si="8"/>
        <v>12</v>
      </c>
      <c r="Q8" s="91">
        <f t="shared" si="9"/>
        <v>4</v>
      </c>
      <c r="R8" s="121">
        <f>IFERROR(IF(VLOOKUP($B8,'SR-Team Roping-Header'!$B$5:$N$24,8,FALSE)=" ",0,VLOOKUP($B8,'SR-Team Roping-Header'!$B$5:$N$24,8,FALSE)),0)+IFERROR(IF(VLOOKUP($B8,'SR-Team Roping-Heeler'!$B$5:$N$24,8,FALSE)=" ",0,VLOOKUP($B8,'SR-Team Roping-Heeler'!$B$5:$N$24,8,FALSE)),0)+IFERROR(IF(VLOOKUP($B8,'SR B-Calf Roping'!$B$5:$AI$24,26,FALSE)=" ",0,VLOOKUP($B8,'SR B-Calf Roping'!$B$5:$AI$24,26,FALSE)),0)+IFERROR(IF(VLOOKUP($B8,'SR B-Steer Wrestling'!$B$5:$AI$24,26,FALSE)=" ",0,VLOOKUP($B8,'SR B-Steer Wrestling'!$B$5:$AI$24,26,FALSE)),0)+IFERROR(IF(VLOOKUP($B8,'SR B-Chute Dogging'!$B$5:$AI$24,26,FALSE)=" ",0,VLOOKUP($B8,'SR B-Chute Dogging'!$B$5:$AI$24,26,FALSE)),0)</f>
        <v>15</v>
      </c>
      <c r="S8" s="95">
        <f t="shared" si="10"/>
        <v>15</v>
      </c>
      <c r="T8" s="91">
        <f t="shared" si="11"/>
        <v>4</v>
      </c>
      <c r="U8" s="121">
        <f>IFERROR(IF(VLOOKUP($B8,'SR-Team Roping-Header'!$B$5:$N$24,9,FALSE)=" ",0,VLOOKUP($B8,'SR-Team Roping-Header'!$B$5:$N$24,9,FALSE)),0)+IFERROR(IF(VLOOKUP($B8,'SR-Team Roping-Heeler'!$B$5:$N$24,9,FALSE)=" ",0,VLOOKUP($B8,'SR-Team Roping-Heeler'!$B$5:$N$24,9,FALSE)),0)+IFERROR(IF(VLOOKUP($B8,'SR B-Calf Roping'!$B$5:$AI$24,30,FALSE)=" ",0,VLOOKUP($B8,'SR B-Calf Roping'!$B$5:$AI$24,30,FALSE)),0)+IFERROR(IF(VLOOKUP($B8,'SR B-Steer Wrestling'!$B$5:$AI$24,30,FALSE)=" ",0,VLOOKUP($B8,'SR B-Steer Wrestling'!$B$5:$AI$24,30,FALSE)),0)+IFERROR(IF(VLOOKUP($B8,'SR B-Chute Dogging'!$B$5:$AI$24,30,FALSE)=" ",0,VLOOKUP($B8,'SR B-Chute Dogging'!$B$5:$AI$24,30,FALSE)),0)</f>
        <v>18</v>
      </c>
      <c r="V8" s="95">
        <f t="shared" si="12"/>
        <v>18</v>
      </c>
      <c r="W8" s="91">
        <f t="shared" si="13"/>
        <v>3</v>
      </c>
      <c r="X8" s="121">
        <f>IFERROR(IF(VLOOKUP($B8,'SR-Team Roping-Header'!$B$5:$N$24,10,FALSE)=" ",0,VLOOKUP($B8,'SR-Team Roping-Header'!$B$5:$N$24,10,FALSE)),0)+IFERROR(IF(VLOOKUP($B8,'SR-Team Roping-Heeler'!$B$5:$N$24,10,FALSE)=" ",0,VLOOKUP($B8,'SR-Team Roping-Heeler'!$B$5:$N$24,10,FALSE)),0)+IFERROR(IF(VLOOKUP($B8,'SR B-Calf Roping'!$B$5:$AI$24,34,FALSE)=" ",0,VLOOKUP($B8,'SR B-Calf Roping'!$B$5:$AI$24,34,FALSE)),0)+IFERROR(IF(VLOOKUP($B8,'SR B-Steer Wrestling'!$B$5:$AI$24,34,FALSE)=" ",0,VLOOKUP($B8,'SR B-Steer Wrestling'!$B$5:$AI$24,34,FALSE)),0)+IFERROR(IF(VLOOKUP($B8,'SR B-Chute Dogging'!$B$5:$AI$24,34,FALSE)=" ",0,VLOOKUP($B8,'SR B-Chute Dogging'!$B$5:$AI$24,34,FALSE)),0)</f>
        <v>18</v>
      </c>
      <c r="Y8" s="95">
        <f t="shared" si="14"/>
        <v>18</v>
      </c>
      <c r="Z8" s="91">
        <f t="shared" si="15"/>
        <v>3</v>
      </c>
      <c r="AA8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78</v>
      </c>
      <c r="AB8" s="95">
        <f t="shared" si="16"/>
        <v>78</v>
      </c>
      <c r="AC8" s="91">
        <f t="shared" si="17"/>
        <v>4</v>
      </c>
    </row>
    <row r="9" spans="2:29" x14ac:dyDescent="0.25">
      <c r="B9" s="141"/>
      <c r="C9" s="120">
        <f>IFERROR(IF(VLOOKUP($B9,'SR-Team Roping-Header'!$B$5:$N$24,3,FALSE)=" ",0,VLOOKUP($B9,'SR-Team Roping-Header'!$B$5:$N$24,3,FALSE)),0)+IFERROR(IF(VLOOKUP($B9,'SR-Team Roping-Heeler'!$B$5:$N$24,3,FALSE)=" ",0,VLOOKUP($B9,'SR-Team Roping-Heeler'!$B$5:$N$24,3,FALSE)),0)+IFERROR(IF(VLOOKUP($B9,'SR B-Calf Roping'!$B$5:$AI$24,6,FALSE)=" ",0,VLOOKUP($B9,'SR B-Calf Roping'!$B$5:$AI$24,6,FALSE)),0)+IFERROR(IF(VLOOKUP($B9,'SR B-Steer Wrestling'!$B$5:$AI$24,6,FALSE)=" ",0,VLOOKUP($B9,'SR B-Steer Wrestling'!$B$5:$AI$24,6,FALSE)),0)+IFERROR(IF(VLOOKUP($B9,'SR B-Chute Dogging'!$B$5:$AI$24,6,FALSE)=" ",0,VLOOKUP($B9,'SR B-Chute Dogging'!$B$5:$AI$24,6,FALSE)),0)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IFERROR(IF(VLOOKUP($B9,'SR-Team Roping-Header'!$B$5:$N$24,4,FALSE)=" ",0,VLOOKUP($B9,'SR-Team Roping-Header'!$B$5:$N$24,4,FALSE)),0)+IFERROR(IF(VLOOKUP($B9,'SR-Team Roping-Heeler'!$B$5:$N$24,4,FALSE)=" ",0,VLOOKUP($B9,'SR-Team Roping-Heeler'!$B$5:$N$24,4,FALSE)),0)+IFERROR(IF(VLOOKUP($B9,'SR B-Calf Roping'!$B$5:$AI$24,10,FALSE)=" ",0,VLOOKUP($B9,'SR B-Calf Roping'!$B$5:$AI$24,10,FALSE)),0)+IFERROR(IF(VLOOKUP($B9,'SR B-Steer Wrestling'!$B$5:$AI$24,10,FALSE)=" ",0,VLOOKUP($B9,'SR B-Steer Wrestling'!$B$5:$AI$24,10,FALSE)),0)+IFERROR(IF(VLOOKUP($B9,'SR B-Chute Dogging'!$B$5:$AI$24,10,FALSE)=" ",0,VLOOKUP($B9,'SR B-Chute Dogging'!$B$5:$AI$24,10,FALSE)),0)</f>
        <v>0</v>
      </c>
      <c r="G9" s="95" t="str">
        <f t="shared" si="2"/>
        <v xml:space="preserve"> </v>
      </c>
      <c r="H9" s="91" t="str">
        <f t="shared" si="3"/>
        <v xml:space="preserve"> </v>
      </c>
      <c r="I9" s="121">
        <f>IFERROR(IF(VLOOKUP($B9,'SR-Team Roping-Header'!$B$5:$N$24,5,FALSE)=" ",0,VLOOKUP($B9,'SR-Team Roping-Header'!$B$5:$N$24,5,FALSE)),0)+IFERROR(IF(VLOOKUP($B9,'SR-Team Roping-Heeler'!$B$5:$N$24,5,FALSE)=" ",0,VLOOKUP($B9,'SR-Team Roping-Heeler'!$B$5:$N$24,5,FALSE)),0)+IFERROR(IF(VLOOKUP($B9,'SR B-Calf Roping'!$B$5:$AI$24,14,FALSE)=" ",0,VLOOKUP($B9,'SR B-Calf Roping'!$B$5:$AI$24,14,FALSE)),0)+IFERROR(IF(VLOOKUP($B9,'SR B-Steer Wrestling'!$B$5:$AI$24,14,FALSE)=" ",0,VLOOKUP($B9,'SR B-Steer Wrestling'!$B$5:$AI$24,14,FALSE)),0)+IFERROR(IF(VLOOKUP($B9,'SR B-Chute Dogging'!$B$5:$AI$24,14,FALSE)=" ",0,VLOOKUP($B9,'SR B-Chute Dogging'!$B$5:$AI$24,14,FALSE)),0)</f>
        <v>0</v>
      </c>
      <c r="J9" s="95" t="str">
        <f t="shared" si="4"/>
        <v xml:space="preserve"> </v>
      </c>
      <c r="K9" s="91" t="str">
        <f t="shared" si="5"/>
        <v xml:space="preserve"> </v>
      </c>
      <c r="L9" s="121">
        <f>IFERROR(IF(VLOOKUP($B9,'SR-Team Roping-Header'!$B$5:$N$24,6,FALSE)=" ",0,VLOOKUP($B9,'SR-Team Roping-Header'!$B$5:$N$24,6,FALSE)),0)+IFERROR(IF(VLOOKUP($B9,'SR-Team Roping-Heeler'!$B$5:$N$24,6,FALSE)=" ",0,VLOOKUP($B9,'SR-Team Roping-Heeler'!$B$5:$N$24,6,FALSE)),0)+IFERROR(IF(VLOOKUP($B9,'SR B-Calf Roping'!$B$5:$AI$24,18,FALSE)=" ",0,VLOOKUP($B9,'SR B-Calf Roping'!$B$5:$AI$24,18,FALSE)),0)+IFERROR(IF(VLOOKUP($B9,'SR B-Steer Wrestling'!$B$5:$AI$24,18,FALSE)=" ",0,VLOOKUP($B9,'SR B-Steer Wrestling'!$B$5:$AI$24,18,FALSE)),0)+IFERROR(IF(VLOOKUP($B9,'SR B-Chute Dogging'!$B$5:$AI$24,18,FALSE)=" ",0,VLOOKUP($B9,'SR B-Chute Dogging'!$B$5:$AI$24,18,FALSE)),0)</f>
        <v>0</v>
      </c>
      <c r="M9" s="95" t="str">
        <f t="shared" si="6"/>
        <v xml:space="preserve"> </v>
      </c>
      <c r="N9" s="91" t="str">
        <f t="shared" si="7"/>
        <v xml:space="preserve"> </v>
      </c>
      <c r="O9" s="121">
        <f>IFERROR(IF(VLOOKUP($B9,'SR-Team Roping-Header'!$B$5:$N$24,7,FALSE)=" ",0,VLOOKUP($B9,'SR-Team Roping-Header'!$B$5:$N$24,7,FALSE)),0)+IFERROR(IF(VLOOKUP($B9,'SR-Team Roping-Heeler'!$B$5:$N$24,7,FALSE)=" ",0,VLOOKUP($B9,'SR-Team Roping-Heeler'!$B$5:$N$24,7,FALSE)),0)+IFERROR(IF(VLOOKUP($B9,'SR B-Calf Roping'!$B$5:$AI$24,22,FALSE)=" ",0,VLOOKUP($B9,'SR B-Calf Roping'!$B$5:$AI$24,22,FALSE)),0)+IFERROR(IF(VLOOKUP($B9,'SR B-Steer Wrestling'!$B$5:$AI$24,22,FALSE)=" ",0,VLOOKUP($B9,'SR B-Steer Wrestling'!$B$5:$AI$24,22,FALSE)),0)+IFERROR(IF(VLOOKUP($B9,'SR B-Chute Dogging'!$B$5:$AI$24,22,FALSE)=" ",0,VLOOKUP($B9,'SR B-Chute Dogging'!$B$5:$AI$24,22,FALSE)),0)</f>
        <v>0</v>
      </c>
      <c r="P9" s="95" t="str">
        <f t="shared" si="8"/>
        <v xml:space="preserve"> </v>
      </c>
      <c r="Q9" s="91" t="str">
        <f t="shared" si="9"/>
        <v xml:space="preserve"> </v>
      </c>
      <c r="R9" s="121">
        <f>IFERROR(IF(VLOOKUP($B9,'SR-Team Roping-Header'!$B$5:$N$24,8,FALSE)=" ",0,VLOOKUP($B9,'SR-Team Roping-Header'!$B$5:$N$24,8,FALSE)),0)+IFERROR(IF(VLOOKUP($B9,'SR-Team Roping-Heeler'!$B$5:$N$24,8,FALSE)=" ",0,VLOOKUP($B9,'SR-Team Roping-Heeler'!$B$5:$N$24,8,FALSE)),0)+IFERROR(IF(VLOOKUP($B9,'SR B-Calf Roping'!$B$5:$AI$24,26,FALSE)=" ",0,VLOOKUP($B9,'SR B-Calf Roping'!$B$5:$AI$24,26,FALSE)),0)+IFERROR(IF(VLOOKUP($B9,'SR B-Steer Wrestling'!$B$5:$AI$24,26,FALSE)=" ",0,VLOOKUP($B9,'SR B-Steer Wrestling'!$B$5:$AI$24,26,FALSE)),0)+IFERROR(IF(VLOOKUP($B9,'SR B-Chute Dogging'!$B$5:$AI$24,26,FALSE)=" ",0,VLOOKUP($B9,'SR B-Chute Dogging'!$B$5:$AI$24,26,FALSE)),0)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IFERROR(IF(VLOOKUP($B9,'SR-Team Roping-Header'!$B$5:$N$24,9,FALSE)=" ",0,VLOOKUP($B9,'SR-Team Roping-Header'!$B$5:$N$24,9,FALSE)),0)+IFERROR(IF(VLOOKUP($B9,'SR-Team Roping-Heeler'!$B$5:$N$24,9,FALSE)=" ",0,VLOOKUP($B9,'SR-Team Roping-Heeler'!$B$5:$N$24,9,FALSE)),0)+IFERROR(IF(VLOOKUP($B9,'SR B-Calf Roping'!$B$5:$AI$24,30,FALSE)=" ",0,VLOOKUP($B9,'SR B-Calf Roping'!$B$5:$AI$24,30,FALSE)),0)+IFERROR(IF(VLOOKUP($B9,'SR B-Steer Wrestling'!$B$5:$AI$24,30,FALSE)=" ",0,VLOOKUP($B9,'SR B-Steer Wrestling'!$B$5:$AI$24,30,FALSE)),0)+IFERROR(IF(VLOOKUP($B9,'SR B-Chute Dogging'!$B$5:$AI$24,30,FALSE)=" ",0,VLOOKUP($B9,'SR B-Chute Dogging'!$B$5:$AI$24,30,FALSE)),0)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IFERROR(IF(VLOOKUP($B9,'SR-Team Roping-Header'!$B$5:$N$24,10,FALSE)=" ",0,VLOOKUP($B9,'SR-Team Roping-Header'!$B$5:$N$24,10,FALSE)),0)+IFERROR(IF(VLOOKUP($B9,'SR-Team Roping-Heeler'!$B$5:$N$24,10,FALSE)=" ",0,VLOOKUP($B9,'SR-Team Roping-Heeler'!$B$5:$N$24,10,FALSE)),0)+IFERROR(IF(VLOOKUP($B9,'SR B-Calf Roping'!$B$5:$AI$24,34,FALSE)=" ",0,VLOOKUP($B9,'SR B-Calf Roping'!$B$5:$AI$24,34,FALSE)),0)+IFERROR(IF(VLOOKUP($B9,'SR B-Steer Wrestling'!$B$5:$AI$24,34,FALSE)=" ",0,VLOOKUP($B9,'SR B-Steer Wrestling'!$B$5:$AI$24,34,FALSE)),0)+IFERROR(IF(VLOOKUP($B9,'SR B-Chute Dogging'!$B$5:$AI$24,34,FALSE)=" ",0,VLOOKUP($B9,'SR B-Chute Dogging'!$B$5:$AI$24,34,FALSE)),0)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9" s="95" t="str">
        <f t="shared" si="16"/>
        <v xml:space="preserve"> </v>
      </c>
      <c r="AC9" s="91" t="str">
        <f t="shared" si="17"/>
        <v xml:space="preserve"> </v>
      </c>
    </row>
    <row r="10" spans="2:29" x14ac:dyDescent="0.25">
      <c r="B10" s="141"/>
      <c r="C10" s="120">
        <f>IFERROR(IF(VLOOKUP($B10,'SR-Team Roping-Header'!$B$5:$N$24,3,FALSE)=" ",0,VLOOKUP($B10,'SR-Team Roping-Header'!$B$5:$N$24,3,FALSE)),0)+IFERROR(IF(VLOOKUP($B10,'SR-Team Roping-Heeler'!$B$5:$N$24,3,FALSE)=" ",0,VLOOKUP($B10,'SR-Team Roping-Heeler'!$B$5:$N$24,3,FALSE)),0)+IFERROR(IF(VLOOKUP($B10,'SR B-Calf Roping'!$B$5:$AI$24,6,FALSE)=" ",0,VLOOKUP($B10,'SR B-Calf Roping'!$B$5:$AI$24,6,FALSE)),0)+IFERROR(IF(VLOOKUP($B10,'SR B-Steer Wrestling'!$B$5:$AI$24,6,FALSE)=" ",0,VLOOKUP($B10,'SR B-Steer Wrestling'!$B$5:$AI$24,6,FALSE)),0)+IFERROR(IF(VLOOKUP($B10,'SR B-Chute Dogging'!$B$5:$AI$24,6,FALSE)=" ",0,VLOOKUP($B10,'SR B-Chute Dogging'!$B$5:$AI$24,6,FALSE)),0)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IFERROR(IF(VLOOKUP($B10,'SR-Team Roping-Header'!$B$5:$N$24,4,FALSE)=" ",0,VLOOKUP($B10,'SR-Team Roping-Header'!$B$5:$N$24,4,FALSE)),0)+IFERROR(IF(VLOOKUP($B10,'SR-Team Roping-Heeler'!$B$5:$N$24,4,FALSE)=" ",0,VLOOKUP($B10,'SR-Team Roping-Heeler'!$B$5:$N$24,4,FALSE)),0)+IFERROR(IF(VLOOKUP($B10,'SR B-Calf Roping'!$B$5:$AI$24,10,FALSE)=" ",0,VLOOKUP($B10,'SR B-Calf Roping'!$B$5:$AI$24,10,FALSE)),0)+IFERROR(IF(VLOOKUP($B10,'SR B-Steer Wrestling'!$B$5:$AI$24,10,FALSE)=" ",0,VLOOKUP($B10,'SR B-Steer Wrestling'!$B$5:$AI$24,10,FALSE)),0)+IFERROR(IF(VLOOKUP($B10,'SR B-Chute Dogging'!$B$5:$AI$24,10,FALSE)=" ",0,VLOOKUP($B10,'SR B-Chute Dogging'!$B$5:$AI$24,10,FALSE)),0)</f>
        <v>0</v>
      </c>
      <c r="G10" s="95" t="str">
        <f t="shared" si="2"/>
        <v xml:space="preserve"> </v>
      </c>
      <c r="H10" s="91" t="str">
        <f t="shared" si="3"/>
        <v xml:space="preserve"> </v>
      </c>
      <c r="I10" s="121">
        <f>IFERROR(IF(VLOOKUP($B10,'SR-Team Roping-Header'!$B$5:$N$24,5,FALSE)=" ",0,VLOOKUP($B10,'SR-Team Roping-Header'!$B$5:$N$24,5,FALSE)),0)+IFERROR(IF(VLOOKUP($B10,'SR-Team Roping-Heeler'!$B$5:$N$24,5,FALSE)=" ",0,VLOOKUP($B10,'SR-Team Roping-Heeler'!$B$5:$N$24,5,FALSE)),0)+IFERROR(IF(VLOOKUP($B10,'SR B-Calf Roping'!$B$5:$AI$24,14,FALSE)=" ",0,VLOOKUP($B10,'SR B-Calf Roping'!$B$5:$AI$24,14,FALSE)),0)+IFERROR(IF(VLOOKUP($B10,'SR B-Steer Wrestling'!$B$5:$AI$24,14,FALSE)=" ",0,VLOOKUP($B10,'SR B-Steer Wrestling'!$B$5:$AI$24,14,FALSE)),0)+IFERROR(IF(VLOOKUP($B10,'SR B-Chute Dogging'!$B$5:$AI$24,14,FALSE)=" ",0,VLOOKUP($B10,'SR B-Chute Dogging'!$B$5:$AI$24,14,FALSE)),0)</f>
        <v>0</v>
      </c>
      <c r="J10" s="95" t="str">
        <f t="shared" si="4"/>
        <v xml:space="preserve"> </v>
      </c>
      <c r="K10" s="91" t="str">
        <f t="shared" si="5"/>
        <v xml:space="preserve"> </v>
      </c>
      <c r="L10" s="121">
        <f>IFERROR(IF(VLOOKUP($B10,'SR-Team Roping-Header'!$B$5:$N$24,6,FALSE)=" ",0,VLOOKUP($B10,'SR-Team Roping-Header'!$B$5:$N$24,6,FALSE)),0)+IFERROR(IF(VLOOKUP($B10,'SR-Team Roping-Heeler'!$B$5:$N$24,6,FALSE)=" ",0,VLOOKUP($B10,'SR-Team Roping-Heeler'!$B$5:$N$24,6,FALSE)),0)+IFERROR(IF(VLOOKUP($B10,'SR B-Calf Roping'!$B$5:$AI$24,18,FALSE)=" ",0,VLOOKUP($B10,'SR B-Calf Roping'!$B$5:$AI$24,18,FALSE)),0)+IFERROR(IF(VLOOKUP($B10,'SR B-Steer Wrestling'!$B$5:$AI$24,18,FALSE)=" ",0,VLOOKUP($B10,'SR B-Steer Wrestling'!$B$5:$AI$24,18,FALSE)),0)+IFERROR(IF(VLOOKUP($B10,'SR B-Chute Dogging'!$B$5:$AI$24,18,FALSE)=" ",0,VLOOKUP($B10,'SR B-Chute Dogging'!$B$5:$AI$24,18,FALSE)),0)</f>
        <v>0</v>
      </c>
      <c r="M10" s="95" t="str">
        <f t="shared" si="6"/>
        <v xml:space="preserve"> </v>
      </c>
      <c r="N10" s="91" t="str">
        <f t="shared" si="7"/>
        <v xml:space="preserve"> </v>
      </c>
      <c r="O10" s="121">
        <f>IFERROR(IF(VLOOKUP($B10,'SR-Team Roping-Header'!$B$5:$N$24,7,FALSE)=" ",0,VLOOKUP($B10,'SR-Team Roping-Header'!$B$5:$N$24,7,FALSE)),0)+IFERROR(IF(VLOOKUP($B10,'SR-Team Roping-Heeler'!$B$5:$N$24,7,FALSE)=" ",0,VLOOKUP($B10,'SR-Team Roping-Heeler'!$B$5:$N$24,7,FALSE)),0)+IFERROR(IF(VLOOKUP($B10,'SR B-Calf Roping'!$B$5:$AI$24,22,FALSE)=" ",0,VLOOKUP($B10,'SR B-Calf Roping'!$B$5:$AI$24,22,FALSE)),0)+IFERROR(IF(VLOOKUP($B10,'SR B-Steer Wrestling'!$B$5:$AI$24,22,FALSE)=" ",0,VLOOKUP($B10,'SR B-Steer Wrestling'!$B$5:$AI$24,22,FALSE)),0)+IFERROR(IF(VLOOKUP($B10,'SR B-Chute Dogging'!$B$5:$AI$24,22,FALSE)=" ",0,VLOOKUP($B10,'SR B-Chute Dogging'!$B$5:$AI$24,22,FALSE)),0)</f>
        <v>0</v>
      </c>
      <c r="P10" s="95" t="str">
        <f t="shared" si="8"/>
        <v xml:space="preserve"> </v>
      </c>
      <c r="Q10" s="91" t="str">
        <f t="shared" si="9"/>
        <v xml:space="preserve"> </v>
      </c>
      <c r="R10" s="121">
        <f>IFERROR(IF(VLOOKUP($B10,'SR-Team Roping-Header'!$B$5:$N$24,8,FALSE)=" ",0,VLOOKUP($B10,'SR-Team Roping-Header'!$B$5:$N$24,8,FALSE)),0)+IFERROR(IF(VLOOKUP($B10,'SR-Team Roping-Heeler'!$B$5:$N$24,8,FALSE)=" ",0,VLOOKUP($B10,'SR-Team Roping-Heeler'!$B$5:$N$24,8,FALSE)),0)+IFERROR(IF(VLOOKUP($B10,'SR B-Calf Roping'!$B$5:$AI$24,26,FALSE)=" ",0,VLOOKUP($B10,'SR B-Calf Roping'!$B$5:$AI$24,26,FALSE)),0)+IFERROR(IF(VLOOKUP($B10,'SR B-Steer Wrestling'!$B$5:$AI$24,26,FALSE)=" ",0,VLOOKUP($B10,'SR B-Steer Wrestling'!$B$5:$AI$24,26,FALSE)),0)+IFERROR(IF(VLOOKUP($B10,'SR B-Chute Dogging'!$B$5:$AI$24,26,FALSE)=" ",0,VLOOKUP($B10,'SR B-Chute Dogging'!$B$5:$AI$24,26,FALSE)),0)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IFERROR(IF(VLOOKUP($B10,'SR-Team Roping-Header'!$B$5:$N$24,9,FALSE)=" ",0,VLOOKUP($B10,'SR-Team Roping-Header'!$B$5:$N$24,9,FALSE)),0)+IFERROR(IF(VLOOKUP($B10,'SR-Team Roping-Heeler'!$B$5:$N$24,9,FALSE)=" ",0,VLOOKUP($B10,'SR-Team Roping-Heeler'!$B$5:$N$24,9,FALSE)),0)+IFERROR(IF(VLOOKUP($B10,'SR B-Calf Roping'!$B$5:$AI$24,30,FALSE)=" ",0,VLOOKUP($B10,'SR B-Calf Roping'!$B$5:$AI$24,30,FALSE)),0)+IFERROR(IF(VLOOKUP($B10,'SR B-Steer Wrestling'!$B$5:$AI$24,30,FALSE)=" ",0,VLOOKUP($B10,'SR B-Steer Wrestling'!$B$5:$AI$24,30,FALSE)),0)+IFERROR(IF(VLOOKUP($B10,'SR B-Chute Dogging'!$B$5:$AI$24,30,FALSE)=" ",0,VLOOKUP($B10,'SR B-Chute Dogging'!$B$5:$AI$24,30,FALSE)),0)</f>
        <v>0</v>
      </c>
      <c r="V10" s="95" t="str">
        <f t="shared" si="12"/>
        <v xml:space="preserve"> </v>
      </c>
      <c r="W10" s="91" t="str">
        <f t="shared" si="13"/>
        <v xml:space="preserve"> </v>
      </c>
      <c r="X10" s="121">
        <f>IFERROR(IF(VLOOKUP($B10,'SR-Team Roping-Header'!$B$5:$N$24,10,FALSE)=" ",0,VLOOKUP($B10,'SR-Team Roping-Header'!$B$5:$N$24,10,FALSE)),0)+IFERROR(IF(VLOOKUP($B10,'SR-Team Roping-Heeler'!$B$5:$N$24,10,FALSE)=" ",0,VLOOKUP($B10,'SR-Team Roping-Heeler'!$B$5:$N$24,10,FALSE)),0)+IFERROR(IF(VLOOKUP($B10,'SR B-Calf Roping'!$B$5:$AI$24,34,FALSE)=" ",0,VLOOKUP($B10,'SR B-Calf Roping'!$B$5:$AI$24,34,FALSE)),0)+IFERROR(IF(VLOOKUP($B10,'SR B-Steer Wrestling'!$B$5:$AI$24,34,FALSE)=" ",0,VLOOKUP($B10,'SR B-Steer Wrestling'!$B$5:$AI$24,34,FALSE)),0)+IFERROR(IF(VLOOKUP($B10,'SR B-Chute Dogging'!$B$5:$AI$24,34,FALSE)=" ",0,VLOOKUP($B10,'SR B-Chute Dogging'!$B$5:$AI$24,34,FALSE)),0)</f>
        <v>0</v>
      </c>
      <c r="Y10" s="95" t="str">
        <f t="shared" si="14"/>
        <v xml:space="preserve"> </v>
      </c>
      <c r="Z10" s="91" t="str">
        <f t="shared" si="15"/>
        <v xml:space="preserve"> </v>
      </c>
      <c r="AA10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0" s="95" t="str">
        <f t="shared" si="16"/>
        <v xml:space="preserve"> </v>
      </c>
      <c r="AC10" s="91" t="str">
        <f t="shared" si="17"/>
        <v xml:space="preserve"> </v>
      </c>
    </row>
    <row r="11" spans="2:29" x14ac:dyDescent="0.25">
      <c r="B11" s="141"/>
      <c r="C11" s="120">
        <f>IFERROR(IF(VLOOKUP($B11,'SR-Team Roping-Header'!$B$5:$N$24,3,FALSE)=" ",0,VLOOKUP($B11,'SR-Team Roping-Header'!$B$5:$N$24,3,FALSE)),0)+IFERROR(IF(VLOOKUP($B11,'SR-Team Roping-Heeler'!$B$5:$N$24,3,FALSE)=" ",0,VLOOKUP($B11,'SR-Team Roping-Heeler'!$B$5:$N$24,3,FALSE)),0)+IFERROR(IF(VLOOKUP($B11,'SR B-Calf Roping'!$B$5:$AI$24,6,FALSE)=" ",0,VLOOKUP($B11,'SR B-Calf Roping'!$B$5:$AI$24,6,FALSE)),0)+IFERROR(IF(VLOOKUP($B11,'SR B-Steer Wrestling'!$B$5:$AI$24,6,FALSE)=" ",0,VLOOKUP($B11,'SR B-Steer Wrestling'!$B$5:$AI$24,6,FALSE)),0)+IFERROR(IF(VLOOKUP($B11,'SR B-Chute Dogging'!$B$5:$AI$24,6,FALSE)=" ",0,VLOOKUP($B11,'SR B-Chute Dogging'!$B$5:$AI$24,6,FALSE)),0)</f>
        <v>0</v>
      </c>
      <c r="D11" s="95" t="str">
        <f t="shared" si="0"/>
        <v xml:space="preserve"> </v>
      </c>
      <c r="E11" s="122" t="str">
        <f t="shared" si="1"/>
        <v xml:space="preserve"> </v>
      </c>
      <c r="F11" s="121">
        <f>IFERROR(IF(VLOOKUP($B11,'SR-Team Roping-Header'!$B$5:$N$24,4,FALSE)=" ",0,VLOOKUP($B11,'SR-Team Roping-Header'!$B$5:$N$24,4,FALSE)),0)+IFERROR(IF(VLOOKUP($B11,'SR-Team Roping-Heeler'!$B$5:$N$24,4,FALSE)=" ",0,VLOOKUP($B11,'SR-Team Roping-Heeler'!$B$5:$N$24,4,FALSE)),0)+IFERROR(IF(VLOOKUP($B11,'SR B-Calf Roping'!$B$5:$AI$24,10,FALSE)=" ",0,VLOOKUP($B11,'SR B-Calf Roping'!$B$5:$AI$24,10,FALSE)),0)+IFERROR(IF(VLOOKUP($B11,'SR B-Steer Wrestling'!$B$5:$AI$24,10,FALSE)=" ",0,VLOOKUP($B11,'SR B-Steer Wrestling'!$B$5:$AI$24,10,FALSE)),0)+IFERROR(IF(VLOOKUP($B11,'SR B-Chute Dogging'!$B$5:$AI$24,10,FALSE)=" ",0,VLOOKUP($B11,'SR B-Chute Dogging'!$B$5:$AI$24,10,FALSE)),0)</f>
        <v>0</v>
      </c>
      <c r="G11" s="95" t="str">
        <f t="shared" si="2"/>
        <v xml:space="preserve"> </v>
      </c>
      <c r="H11" s="122" t="str">
        <f t="shared" si="3"/>
        <v xml:space="preserve"> </v>
      </c>
      <c r="I11" s="121">
        <f>IFERROR(IF(VLOOKUP($B11,'SR-Team Roping-Header'!$B$5:$N$24,5,FALSE)=" ",0,VLOOKUP($B11,'SR-Team Roping-Header'!$B$5:$N$24,5,FALSE)),0)+IFERROR(IF(VLOOKUP($B11,'SR-Team Roping-Heeler'!$B$5:$N$24,5,FALSE)=" ",0,VLOOKUP($B11,'SR-Team Roping-Heeler'!$B$5:$N$24,5,FALSE)),0)+IFERROR(IF(VLOOKUP($B11,'SR B-Calf Roping'!$B$5:$AI$24,14,FALSE)=" ",0,VLOOKUP($B11,'SR B-Calf Roping'!$B$5:$AI$24,14,FALSE)),0)+IFERROR(IF(VLOOKUP($B11,'SR B-Steer Wrestling'!$B$5:$AI$24,14,FALSE)=" ",0,VLOOKUP($B11,'SR B-Steer Wrestling'!$B$5:$AI$24,14,FALSE)),0)+IFERROR(IF(VLOOKUP($B11,'SR B-Chute Dogging'!$B$5:$AI$24,14,FALSE)=" ",0,VLOOKUP($B11,'SR B-Chute Dogging'!$B$5:$AI$24,14,FALSE)),0)</f>
        <v>0</v>
      </c>
      <c r="J11" s="95" t="str">
        <f t="shared" si="4"/>
        <v xml:space="preserve"> </v>
      </c>
      <c r="K11" s="122" t="str">
        <f t="shared" si="5"/>
        <v xml:space="preserve"> </v>
      </c>
      <c r="L11" s="121">
        <f>IFERROR(IF(VLOOKUP($B11,'SR-Team Roping-Header'!$B$5:$N$24,6,FALSE)=" ",0,VLOOKUP($B11,'SR-Team Roping-Header'!$B$5:$N$24,6,FALSE)),0)+IFERROR(IF(VLOOKUP($B11,'SR-Team Roping-Heeler'!$B$5:$N$24,6,FALSE)=" ",0,VLOOKUP($B11,'SR-Team Roping-Heeler'!$B$5:$N$24,6,FALSE)),0)+IFERROR(IF(VLOOKUP($B11,'SR B-Calf Roping'!$B$5:$AI$24,18,FALSE)=" ",0,VLOOKUP($B11,'SR B-Calf Roping'!$B$5:$AI$24,18,FALSE)),0)+IFERROR(IF(VLOOKUP($B11,'SR B-Steer Wrestling'!$B$5:$AI$24,18,FALSE)=" ",0,VLOOKUP($B11,'SR B-Steer Wrestling'!$B$5:$AI$24,18,FALSE)),0)+IFERROR(IF(VLOOKUP($B11,'SR B-Chute Dogging'!$B$5:$AI$24,18,FALSE)=" ",0,VLOOKUP($B11,'SR B-Chute Dogging'!$B$5:$AI$24,18,FALSE)),0)</f>
        <v>0</v>
      </c>
      <c r="M11" s="95" t="str">
        <f t="shared" si="6"/>
        <v xml:space="preserve"> </v>
      </c>
      <c r="N11" s="122" t="str">
        <f t="shared" si="7"/>
        <v xml:space="preserve"> </v>
      </c>
      <c r="O11" s="121">
        <f>IFERROR(IF(VLOOKUP($B11,'SR-Team Roping-Header'!$B$5:$N$24,7,FALSE)=" ",0,VLOOKUP($B11,'SR-Team Roping-Header'!$B$5:$N$24,7,FALSE)),0)+IFERROR(IF(VLOOKUP($B11,'SR-Team Roping-Heeler'!$B$5:$N$24,7,FALSE)=" ",0,VLOOKUP($B11,'SR-Team Roping-Heeler'!$B$5:$N$24,7,FALSE)),0)+IFERROR(IF(VLOOKUP($B11,'SR B-Calf Roping'!$B$5:$AI$24,22,FALSE)=" ",0,VLOOKUP($B11,'SR B-Calf Roping'!$B$5:$AI$24,22,FALSE)),0)+IFERROR(IF(VLOOKUP($B11,'SR B-Steer Wrestling'!$B$5:$AI$24,22,FALSE)=" ",0,VLOOKUP($B11,'SR B-Steer Wrestling'!$B$5:$AI$24,22,FALSE)),0)+IFERROR(IF(VLOOKUP($B11,'SR B-Chute Dogging'!$B$5:$AI$24,22,FALSE)=" ",0,VLOOKUP($B11,'SR B-Chute Dogging'!$B$5:$AI$24,22,FALSE)),0)</f>
        <v>0</v>
      </c>
      <c r="P11" s="95" t="str">
        <f t="shared" si="8"/>
        <v xml:space="preserve"> </v>
      </c>
      <c r="Q11" s="122" t="str">
        <f t="shared" si="9"/>
        <v xml:space="preserve"> </v>
      </c>
      <c r="R11" s="121">
        <f>IFERROR(IF(VLOOKUP($B11,'SR-Team Roping-Header'!$B$5:$N$24,8,FALSE)=" ",0,VLOOKUP($B11,'SR-Team Roping-Header'!$B$5:$N$24,8,FALSE)),0)+IFERROR(IF(VLOOKUP($B11,'SR-Team Roping-Heeler'!$B$5:$N$24,8,FALSE)=" ",0,VLOOKUP($B11,'SR-Team Roping-Heeler'!$B$5:$N$24,8,FALSE)),0)+IFERROR(IF(VLOOKUP($B11,'SR B-Calf Roping'!$B$5:$AI$24,26,FALSE)=" ",0,VLOOKUP($B11,'SR B-Calf Roping'!$B$5:$AI$24,26,FALSE)),0)+IFERROR(IF(VLOOKUP($B11,'SR B-Steer Wrestling'!$B$5:$AI$24,26,FALSE)=" ",0,VLOOKUP($B11,'SR B-Steer Wrestling'!$B$5:$AI$24,26,FALSE)),0)+IFERROR(IF(VLOOKUP($B11,'SR B-Chute Dogging'!$B$5:$AI$24,26,FALSE)=" ",0,VLOOKUP($B11,'SR B-Chute Dogging'!$B$5:$AI$24,26,FALSE)),0)</f>
        <v>0</v>
      </c>
      <c r="S11" s="95" t="str">
        <f t="shared" si="10"/>
        <v xml:space="preserve"> </v>
      </c>
      <c r="T11" s="122" t="str">
        <f t="shared" si="11"/>
        <v xml:space="preserve"> </v>
      </c>
      <c r="U11" s="121">
        <f>IFERROR(IF(VLOOKUP($B11,'SR-Team Roping-Header'!$B$5:$N$24,9,FALSE)=" ",0,VLOOKUP($B11,'SR-Team Roping-Header'!$B$5:$N$24,9,FALSE)),0)+IFERROR(IF(VLOOKUP($B11,'SR-Team Roping-Heeler'!$B$5:$N$24,9,FALSE)=" ",0,VLOOKUP($B11,'SR-Team Roping-Heeler'!$B$5:$N$24,9,FALSE)),0)+IFERROR(IF(VLOOKUP($B11,'SR B-Calf Roping'!$B$5:$AI$24,30,FALSE)=" ",0,VLOOKUP($B11,'SR B-Calf Roping'!$B$5:$AI$24,30,FALSE)),0)+IFERROR(IF(VLOOKUP($B11,'SR B-Steer Wrestling'!$B$5:$AI$24,30,FALSE)=" ",0,VLOOKUP($B11,'SR B-Steer Wrestling'!$B$5:$AI$24,30,FALSE)),0)+IFERROR(IF(VLOOKUP($B11,'SR B-Chute Dogging'!$B$5:$AI$24,30,FALSE)=" ",0,VLOOKUP($B11,'SR B-Chute Dogging'!$B$5:$AI$24,30,FALSE)),0)</f>
        <v>0</v>
      </c>
      <c r="V11" s="95" t="str">
        <f t="shared" si="12"/>
        <v xml:space="preserve"> </v>
      </c>
      <c r="W11" s="122" t="str">
        <f t="shared" si="13"/>
        <v xml:space="preserve"> </v>
      </c>
      <c r="X11" s="121">
        <f>IFERROR(IF(VLOOKUP($B11,'SR-Team Roping-Header'!$B$5:$N$24,10,FALSE)=" ",0,VLOOKUP($B11,'SR-Team Roping-Header'!$B$5:$N$24,10,FALSE)),0)+IFERROR(IF(VLOOKUP($B11,'SR-Team Roping-Heeler'!$B$5:$N$24,10,FALSE)=" ",0,VLOOKUP($B11,'SR-Team Roping-Heeler'!$B$5:$N$24,10,FALSE)),0)+IFERROR(IF(VLOOKUP($B11,'SR B-Calf Roping'!$B$5:$AI$24,34,FALSE)=" ",0,VLOOKUP($B11,'SR B-Calf Roping'!$B$5:$AI$24,34,FALSE)),0)+IFERROR(IF(VLOOKUP($B11,'SR B-Steer Wrestling'!$B$5:$AI$24,34,FALSE)=" ",0,VLOOKUP($B11,'SR B-Steer Wrestling'!$B$5:$AI$24,34,FALSE)),0)+IFERROR(IF(VLOOKUP($B11,'SR B-Chute Dogging'!$B$5:$AI$24,34,FALSE)=" ",0,VLOOKUP($B11,'SR B-Chute Dogging'!$B$5:$AI$24,34,FALSE)),0)</f>
        <v>0</v>
      </c>
      <c r="Y11" s="95" t="str">
        <f t="shared" si="14"/>
        <v xml:space="preserve"> </v>
      </c>
      <c r="Z11" s="122" t="str">
        <f t="shared" si="15"/>
        <v xml:space="preserve"> </v>
      </c>
      <c r="AA11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1" s="95" t="str">
        <f t="shared" si="16"/>
        <v xml:space="preserve"> </v>
      </c>
      <c r="AC11" s="122" t="str">
        <f t="shared" si="17"/>
        <v xml:space="preserve"> </v>
      </c>
    </row>
    <row r="12" spans="2:29" x14ac:dyDescent="0.25">
      <c r="B12" s="141"/>
      <c r="C12" s="120">
        <f>IFERROR(IF(VLOOKUP($B12,'SR-Team Roping-Header'!$B$5:$N$24,3,FALSE)=" ",0,VLOOKUP($B12,'SR-Team Roping-Header'!$B$5:$N$24,3,FALSE)),0)+IFERROR(IF(VLOOKUP($B12,'SR-Team Roping-Heeler'!$B$5:$N$24,3,FALSE)=" ",0,VLOOKUP($B12,'SR-Team Roping-Heeler'!$B$5:$N$24,3,FALSE)),0)+IFERROR(IF(VLOOKUP($B12,'SR B-Calf Roping'!$B$5:$AI$24,6,FALSE)=" ",0,VLOOKUP($B12,'SR B-Calf Roping'!$B$5:$AI$24,6,FALSE)),0)+IFERROR(IF(VLOOKUP($B12,'SR B-Steer Wrestling'!$B$5:$AI$24,6,FALSE)=" ",0,VLOOKUP($B12,'SR B-Steer Wrestling'!$B$5:$AI$24,6,FALSE)),0)+IFERROR(IF(VLOOKUP($B12,'SR B-Chute Dogging'!$B$5:$AI$24,6,FALSE)=" ",0,VLOOKUP($B12,'SR B-Chute Dogging'!$B$5:$AI$24,6,FALSE)),0)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IFERROR(IF(VLOOKUP($B12,'SR-Team Roping-Header'!$B$5:$N$24,4,FALSE)=" ",0,VLOOKUP($B12,'SR-Team Roping-Header'!$B$5:$N$24,4,FALSE)),0)+IFERROR(IF(VLOOKUP($B12,'SR-Team Roping-Heeler'!$B$5:$N$24,4,FALSE)=" ",0,VLOOKUP($B12,'SR-Team Roping-Heeler'!$B$5:$N$24,4,FALSE)),0)+IFERROR(IF(VLOOKUP($B12,'SR B-Calf Roping'!$B$5:$AI$24,10,FALSE)=" ",0,VLOOKUP($B12,'SR B-Calf Roping'!$B$5:$AI$24,10,FALSE)),0)+IFERROR(IF(VLOOKUP($B12,'SR B-Steer Wrestling'!$B$5:$AI$24,10,FALSE)=" ",0,VLOOKUP($B12,'SR B-Steer Wrestling'!$B$5:$AI$24,10,FALSE)),0)+IFERROR(IF(VLOOKUP($B12,'SR B-Chute Dogging'!$B$5:$AI$24,10,FALSE)=" ",0,VLOOKUP($B12,'SR B-Chute Dogging'!$B$5:$AI$24,10,FALSE)),0)</f>
        <v>0</v>
      </c>
      <c r="G12" s="95" t="str">
        <f t="shared" si="2"/>
        <v xml:space="preserve"> </v>
      </c>
      <c r="H12" s="91" t="str">
        <f t="shared" si="3"/>
        <v xml:space="preserve"> </v>
      </c>
      <c r="I12" s="121">
        <f>IFERROR(IF(VLOOKUP($B12,'SR-Team Roping-Header'!$B$5:$N$24,5,FALSE)=" ",0,VLOOKUP($B12,'SR-Team Roping-Header'!$B$5:$N$24,5,FALSE)),0)+IFERROR(IF(VLOOKUP($B12,'SR-Team Roping-Heeler'!$B$5:$N$24,5,FALSE)=" ",0,VLOOKUP($B12,'SR-Team Roping-Heeler'!$B$5:$N$24,5,FALSE)),0)+IFERROR(IF(VLOOKUP($B12,'SR B-Calf Roping'!$B$5:$AI$24,14,FALSE)=" ",0,VLOOKUP($B12,'SR B-Calf Roping'!$B$5:$AI$24,14,FALSE)),0)+IFERROR(IF(VLOOKUP($B12,'SR B-Steer Wrestling'!$B$5:$AI$24,14,FALSE)=" ",0,VLOOKUP($B12,'SR B-Steer Wrestling'!$B$5:$AI$24,14,FALSE)),0)+IFERROR(IF(VLOOKUP($B12,'SR B-Chute Dogging'!$B$5:$AI$24,14,FALSE)=" ",0,VLOOKUP($B12,'SR B-Chute Dogging'!$B$5:$AI$24,14,FALSE)),0)</f>
        <v>0</v>
      </c>
      <c r="J12" s="95" t="str">
        <f t="shared" si="4"/>
        <v xml:space="preserve"> </v>
      </c>
      <c r="K12" s="91" t="str">
        <f t="shared" si="5"/>
        <v xml:space="preserve"> </v>
      </c>
      <c r="L12" s="121">
        <f>IFERROR(IF(VLOOKUP($B12,'SR-Team Roping-Header'!$B$5:$N$24,6,FALSE)=" ",0,VLOOKUP($B12,'SR-Team Roping-Header'!$B$5:$N$24,6,FALSE)),0)+IFERROR(IF(VLOOKUP($B12,'SR-Team Roping-Heeler'!$B$5:$N$24,6,FALSE)=" ",0,VLOOKUP($B12,'SR-Team Roping-Heeler'!$B$5:$N$24,6,FALSE)),0)+IFERROR(IF(VLOOKUP($B12,'SR B-Calf Roping'!$B$5:$AI$24,18,FALSE)=" ",0,VLOOKUP($B12,'SR B-Calf Roping'!$B$5:$AI$24,18,FALSE)),0)+IFERROR(IF(VLOOKUP($B12,'SR B-Steer Wrestling'!$B$5:$AI$24,18,FALSE)=" ",0,VLOOKUP($B12,'SR B-Steer Wrestling'!$B$5:$AI$24,18,FALSE)),0)+IFERROR(IF(VLOOKUP($B12,'SR B-Chute Dogging'!$B$5:$AI$24,18,FALSE)=" ",0,VLOOKUP($B12,'SR B-Chute Dogging'!$B$5:$AI$24,18,FALSE)),0)</f>
        <v>0</v>
      </c>
      <c r="M12" s="95" t="str">
        <f t="shared" si="6"/>
        <v xml:space="preserve"> </v>
      </c>
      <c r="N12" s="91" t="str">
        <f t="shared" si="7"/>
        <v xml:space="preserve"> </v>
      </c>
      <c r="O12" s="121">
        <f>IFERROR(IF(VLOOKUP($B12,'SR-Team Roping-Header'!$B$5:$N$24,7,FALSE)=" ",0,VLOOKUP($B12,'SR-Team Roping-Header'!$B$5:$N$24,7,FALSE)),0)+IFERROR(IF(VLOOKUP($B12,'SR-Team Roping-Heeler'!$B$5:$N$24,7,FALSE)=" ",0,VLOOKUP($B12,'SR-Team Roping-Heeler'!$B$5:$N$24,7,FALSE)),0)+IFERROR(IF(VLOOKUP($B12,'SR B-Calf Roping'!$B$5:$AI$24,22,FALSE)=" ",0,VLOOKUP($B12,'SR B-Calf Roping'!$B$5:$AI$24,22,FALSE)),0)+IFERROR(IF(VLOOKUP($B12,'SR B-Steer Wrestling'!$B$5:$AI$24,22,FALSE)=" ",0,VLOOKUP($B12,'SR B-Steer Wrestling'!$B$5:$AI$24,22,FALSE)),0)+IFERROR(IF(VLOOKUP($B12,'SR B-Chute Dogging'!$B$5:$AI$24,22,FALSE)=" ",0,VLOOKUP($B12,'SR B-Chute Dogging'!$B$5:$AI$24,22,FALSE)),0)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IFERROR(IF(VLOOKUP($B12,'SR-Team Roping-Header'!$B$5:$N$24,8,FALSE)=" ",0,VLOOKUP($B12,'SR-Team Roping-Header'!$B$5:$N$24,8,FALSE)),0)+IFERROR(IF(VLOOKUP($B12,'SR-Team Roping-Heeler'!$B$5:$N$24,8,FALSE)=" ",0,VLOOKUP($B12,'SR-Team Roping-Heeler'!$B$5:$N$24,8,FALSE)),0)+IFERROR(IF(VLOOKUP($B12,'SR B-Calf Roping'!$B$5:$AI$24,26,FALSE)=" ",0,VLOOKUP($B12,'SR B-Calf Roping'!$B$5:$AI$24,26,FALSE)),0)+IFERROR(IF(VLOOKUP($B12,'SR B-Steer Wrestling'!$B$5:$AI$24,26,FALSE)=" ",0,VLOOKUP($B12,'SR B-Steer Wrestling'!$B$5:$AI$24,26,FALSE)),0)+IFERROR(IF(VLOOKUP($B12,'SR B-Chute Dogging'!$B$5:$AI$24,26,FALSE)=" ",0,VLOOKUP($B12,'SR B-Chute Dogging'!$B$5:$AI$24,26,FALSE)),0)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IFERROR(IF(VLOOKUP($B12,'SR-Team Roping-Header'!$B$5:$N$24,9,FALSE)=" ",0,VLOOKUP($B12,'SR-Team Roping-Header'!$B$5:$N$24,9,FALSE)),0)+IFERROR(IF(VLOOKUP($B12,'SR-Team Roping-Heeler'!$B$5:$N$24,9,FALSE)=" ",0,VLOOKUP($B12,'SR-Team Roping-Heeler'!$B$5:$N$24,9,FALSE)),0)+IFERROR(IF(VLOOKUP($B12,'SR B-Calf Roping'!$B$5:$AI$24,30,FALSE)=" ",0,VLOOKUP($B12,'SR B-Calf Roping'!$B$5:$AI$24,30,FALSE)),0)+IFERROR(IF(VLOOKUP($B12,'SR B-Steer Wrestling'!$B$5:$AI$24,30,FALSE)=" ",0,VLOOKUP($B12,'SR B-Steer Wrestling'!$B$5:$AI$24,30,FALSE)),0)+IFERROR(IF(VLOOKUP($B12,'SR B-Chute Dogging'!$B$5:$AI$24,30,FALSE)=" ",0,VLOOKUP($B12,'SR B-Chute Dogging'!$B$5:$AI$24,30,FALSE)),0)</f>
        <v>0</v>
      </c>
      <c r="V12" s="95" t="str">
        <f t="shared" si="12"/>
        <v xml:space="preserve"> </v>
      </c>
      <c r="W12" s="91" t="str">
        <f t="shared" si="13"/>
        <v xml:space="preserve"> </v>
      </c>
      <c r="X12" s="121">
        <f>IFERROR(IF(VLOOKUP($B12,'SR-Team Roping-Header'!$B$5:$N$24,10,FALSE)=" ",0,VLOOKUP($B12,'SR-Team Roping-Header'!$B$5:$N$24,10,FALSE)),0)+IFERROR(IF(VLOOKUP($B12,'SR-Team Roping-Heeler'!$B$5:$N$24,10,FALSE)=" ",0,VLOOKUP($B12,'SR-Team Roping-Heeler'!$B$5:$N$24,10,FALSE)),0)+IFERROR(IF(VLOOKUP($B12,'SR B-Calf Roping'!$B$5:$AI$24,34,FALSE)=" ",0,VLOOKUP($B12,'SR B-Calf Roping'!$B$5:$AI$24,34,FALSE)),0)+IFERROR(IF(VLOOKUP($B12,'SR B-Steer Wrestling'!$B$5:$AI$24,34,FALSE)=" ",0,VLOOKUP($B12,'SR B-Steer Wrestling'!$B$5:$AI$24,34,FALSE)),0)+IFERROR(IF(VLOOKUP($B12,'SR B-Chute Dogging'!$B$5:$AI$24,34,FALSE)=" ",0,VLOOKUP($B12,'SR B-Chute Dogging'!$B$5:$AI$24,34,FALSE)),0)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2" s="95" t="str">
        <f t="shared" si="16"/>
        <v xml:space="preserve"> </v>
      </c>
      <c r="AC12" s="91" t="str">
        <f t="shared" si="17"/>
        <v xml:space="preserve"> </v>
      </c>
    </row>
    <row r="13" spans="2:29" x14ac:dyDescent="0.25">
      <c r="B13" s="141"/>
      <c r="C13" s="120">
        <f>IFERROR(IF(VLOOKUP($B13,'SR-Team Roping-Header'!$B$5:$N$24,3,FALSE)=" ",0,VLOOKUP($B13,'SR-Team Roping-Header'!$B$5:$N$24,3,FALSE)),0)+IFERROR(IF(VLOOKUP($B13,'SR-Team Roping-Heeler'!$B$5:$N$24,3,FALSE)=" ",0,VLOOKUP($B13,'SR-Team Roping-Heeler'!$B$5:$N$24,3,FALSE)),0)+IFERROR(IF(VLOOKUP($B13,'SR B-Calf Roping'!$B$5:$AI$24,6,FALSE)=" ",0,VLOOKUP($B13,'SR B-Calf Roping'!$B$5:$AI$24,6,FALSE)),0)+IFERROR(IF(VLOOKUP($B13,'SR B-Steer Wrestling'!$B$5:$AI$24,6,FALSE)=" ",0,VLOOKUP($B13,'SR B-Steer Wrestling'!$B$5:$AI$24,6,FALSE)),0)+IFERROR(IF(VLOOKUP($B13,'SR B-Chute Dogging'!$B$5:$AI$24,6,FALSE)=" ",0,VLOOKUP($B13,'SR B-Chute Dogging'!$B$5:$AI$24,6,FALSE)),0)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IFERROR(IF(VLOOKUP($B13,'SR-Team Roping-Header'!$B$5:$N$24,4,FALSE)=" ",0,VLOOKUP($B13,'SR-Team Roping-Header'!$B$5:$N$24,4,FALSE)),0)+IFERROR(IF(VLOOKUP($B13,'SR-Team Roping-Heeler'!$B$5:$N$24,4,FALSE)=" ",0,VLOOKUP($B13,'SR-Team Roping-Heeler'!$B$5:$N$24,4,FALSE)),0)+IFERROR(IF(VLOOKUP($B13,'SR B-Calf Roping'!$B$5:$AI$24,10,FALSE)=" ",0,VLOOKUP($B13,'SR B-Calf Roping'!$B$5:$AI$24,10,FALSE)),0)+IFERROR(IF(VLOOKUP($B13,'SR B-Steer Wrestling'!$B$5:$AI$24,10,FALSE)=" ",0,VLOOKUP($B13,'SR B-Steer Wrestling'!$B$5:$AI$24,10,FALSE)),0)+IFERROR(IF(VLOOKUP($B13,'SR B-Chute Dogging'!$B$5:$AI$24,10,FALSE)=" ",0,VLOOKUP($B13,'SR B-Chute Dogging'!$B$5:$AI$24,10,FALSE)),0)</f>
        <v>0</v>
      </c>
      <c r="G13" s="95" t="str">
        <f t="shared" si="2"/>
        <v xml:space="preserve"> </v>
      </c>
      <c r="H13" s="91" t="str">
        <f t="shared" si="3"/>
        <v xml:space="preserve"> </v>
      </c>
      <c r="I13" s="121">
        <f>IFERROR(IF(VLOOKUP($B13,'SR-Team Roping-Header'!$B$5:$N$24,5,FALSE)=" ",0,VLOOKUP($B13,'SR-Team Roping-Header'!$B$5:$N$24,5,FALSE)),0)+IFERROR(IF(VLOOKUP($B13,'SR-Team Roping-Heeler'!$B$5:$N$24,5,FALSE)=" ",0,VLOOKUP($B13,'SR-Team Roping-Heeler'!$B$5:$N$24,5,FALSE)),0)+IFERROR(IF(VLOOKUP($B13,'SR B-Calf Roping'!$B$5:$AI$24,14,FALSE)=" ",0,VLOOKUP($B13,'SR B-Calf Roping'!$B$5:$AI$24,14,FALSE)),0)+IFERROR(IF(VLOOKUP($B13,'SR B-Steer Wrestling'!$B$5:$AI$24,14,FALSE)=" ",0,VLOOKUP($B13,'SR B-Steer Wrestling'!$B$5:$AI$24,14,FALSE)),0)+IFERROR(IF(VLOOKUP($B13,'SR B-Chute Dogging'!$B$5:$AI$24,14,FALSE)=" ",0,VLOOKUP($B13,'SR B-Chute Dogging'!$B$5:$AI$24,14,FALSE)),0)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IFERROR(IF(VLOOKUP($B13,'SR-Team Roping-Header'!$B$5:$N$24,6,FALSE)=" ",0,VLOOKUP($B13,'SR-Team Roping-Header'!$B$5:$N$24,6,FALSE)),0)+IFERROR(IF(VLOOKUP($B13,'SR-Team Roping-Heeler'!$B$5:$N$24,6,FALSE)=" ",0,VLOOKUP($B13,'SR-Team Roping-Heeler'!$B$5:$N$24,6,FALSE)),0)+IFERROR(IF(VLOOKUP($B13,'SR B-Calf Roping'!$B$5:$AI$24,18,FALSE)=" ",0,VLOOKUP($B13,'SR B-Calf Roping'!$B$5:$AI$24,18,FALSE)),0)+IFERROR(IF(VLOOKUP($B13,'SR B-Steer Wrestling'!$B$5:$AI$24,18,FALSE)=" ",0,VLOOKUP($B13,'SR B-Steer Wrestling'!$B$5:$AI$24,18,FALSE)),0)+IFERROR(IF(VLOOKUP($B13,'SR B-Chute Dogging'!$B$5:$AI$24,18,FALSE)=" ",0,VLOOKUP($B13,'SR B-Chute Dogging'!$B$5:$AI$24,18,FALSE)),0)</f>
        <v>0</v>
      </c>
      <c r="M13" s="95" t="str">
        <f t="shared" si="6"/>
        <v xml:space="preserve"> </v>
      </c>
      <c r="N13" s="91" t="str">
        <f t="shared" si="7"/>
        <v xml:space="preserve"> </v>
      </c>
      <c r="O13" s="121">
        <f>IFERROR(IF(VLOOKUP($B13,'SR-Team Roping-Header'!$B$5:$N$24,7,FALSE)=" ",0,VLOOKUP($B13,'SR-Team Roping-Header'!$B$5:$N$24,7,FALSE)),0)+IFERROR(IF(VLOOKUP($B13,'SR-Team Roping-Heeler'!$B$5:$N$24,7,FALSE)=" ",0,VLOOKUP($B13,'SR-Team Roping-Heeler'!$B$5:$N$24,7,FALSE)),0)+IFERROR(IF(VLOOKUP($B13,'SR B-Calf Roping'!$B$5:$AI$24,22,FALSE)=" ",0,VLOOKUP($B13,'SR B-Calf Roping'!$B$5:$AI$24,22,FALSE)),0)+IFERROR(IF(VLOOKUP($B13,'SR B-Steer Wrestling'!$B$5:$AI$24,22,FALSE)=" ",0,VLOOKUP($B13,'SR B-Steer Wrestling'!$B$5:$AI$24,22,FALSE)),0)+IFERROR(IF(VLOOKUP($B13,'SR B-Chute Dogging'!$B$5:$AI$24,22,FALSE)=" ",0,VLOOKUP($B13,'SR B-Chute Dogging'!$B$5:$AI$24,22,FALSE)),0)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IFERROR(IF(VLOOKUP($B13,'SR-Team Roping-Header'!$B$5:$N$24,8,FALSE)=" ",0,VLOOKUP($B13,'SR-Team Roping-Header'!$B$5:$N$24,8,FALSE)),0)+IFERROR(IF(VLOOKUP($B13,'SR-Team Roping-Heeler'!$B$5:$N$24,8,FALSE)=" ",0,VLOOKUP($B13,'SR-Team Roping-Heeler'!$B$5:$N$24,8,FALSE)),0)+IFERROR(IF(VLOOKUP($B13,'SR B-Calf Roping'!$B$5:$AI$24,26,FALSE)=" ",0,VLOOKUP($B13,'SR B-Calf Roping'!$B$5:$AI$24,26,FALSE)),0)+IFERROR(IF(VLOOKUP($B13,'SR B-Steer Wrestling'!$B$5:$AI$24,26,FALSE)=" ",0,VLOOKUP($B13,'SR B-Steer Wrestling'!$B$5:$AI$24,26,FALSE)),0)+IFERROR(IF(VLOOKUP($B13,'SR B-Chute Dogging'!$B$5:$AI$24,26,FALSE)=" ",0,VLOOKUP($B13,'SR B-Chute Dogging'!$B$5:$AI$24,26,FALSE)),0)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IFERROR(IF(VLOOKUP($B13,'SR-Team Roping-Header'!$B$5:$N$24,9,FALSE)=" ",0,VLOOKUP($B13,'SR-Team Roping-Header'!$B$5:$N$24,9,FALSE)),0)+IFERROR(IF(VLOOKUP($B13,'SR-Team Roping-Heeler'!$B$5:$N$24,9,FALSE)=" ",0,VLOOKUP($B13,'SR-Team Roping-Heeler'!$B$5:$N$24,9,FALSE)),0)+IFERROR(IF(VLOOKUP($B13,'SR B-Calf Roping'!$B$5:$AI$24,30,FALSE)=" ",0,VLOOKUP($B13,'SR B-Calf Roping'!$B$5:$AI$24,30,FALSE)),0)+IFERROR(IF(VLOOKUP($B13,'SR B-Steer Wrestling'!$B$5:$AI$24,30,FALSE)=" ",0,VLOOKUP($B13,'SR B-Steer Wrestling'!$B$5:$AI$24,30,FALSE)),0)+IFERROR(IF(VLOOKUP($B13,'SR B-Chute Dogging'!$B$5:$AI$24,30,FALSE)=" ",0,VLOOKUP($B13,'SR B-Chute Dogging'!$B$5:$AI$24,30,FALSE)),0)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IFERROR(IF(VLOOKUP($B13,'SR-Team Roping-Header'!$B$5:$N$24,10,FALSE)=" ",0,VLOOKUP($B13,'SR-Team Roping-Header'!$B$5:$N$24,10,FALSE)),0)+IFERROR(IF(VLOOKUP($B13,'SR-Team Roping-Heeler'!$B$5:$N$24,10,FALSE)=" ",0,VLOOKUP($B13,'SR-Team Roping-Heeler'!$B$5:$N$24,10,FALSE)),0)+IFERROR(IF(VLOOKUP($B13,'SR B-Calf Roping'!$B$5:$AI$24,34,FALSE)=" ",0,VLOOKUP($B13,'SR B-Calf Roping'!$B$5:$AI$24,34,FALSE)),0)+IFERROR(IF(VLOOKUP($B13,'SR B-Steer Wrestling'!$B$5:$AI$24,34,FALSE)=" ",0,VLOOKUP($B13,'SR B-Steer Wrestling'!$B$5:$AI$24,34,FALSE)),0)+IFERROR(IF(VLOOKUP($B13,'SR B-Chute Dogging'!$B$5:$AI$24,34,FALSE)=" ",0,VLOOKUP($B13,'SR B-Chute Dogging'!$B$5:$AI$24,34,FALSE)),0)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3" s="95" t="str">
        <f t="shared" si="16"/>
        <v xml:space="preserve"> </v>
      </c>
      <c r="AC13" s="91" t="str">
        <f t="shared" si="17"/>
        <v xml:space="preserve"> </v>
      </c>
    </row>
    <row r="14" spans="2:29" x14ac:dyDescent="0.25">
      <c r="B14" s="141"/>
      <c r="C14" s="120">
        <f>IFERROR(IF(VLOOKUP($B14,'SR-Team Roping-Header'!$B$5:$N$24,3,FALSE)=" ",0,VLOOKUP($B14,'SR-Team Roping-Header'!$B$5:$N$24,3,FALSE)),0)+IFERROR(IF(VLOOKUP($B14,'SR-Team Roping-Heeler'!$B$5:$N$24,3,FALSE)=" ",0,VLOOKUP($B14,'SR-Team Roping-Heeler'!$B$5:$N$24,3,FALSE)),0)+IFERROR(IF(VLOOKUP($B14,'SR B-Calf Roping'!$B$5:$AI$24,6,FALSE)=" ",0,VLOOKUP($B14,'SR B-Calf Roping'!$B$5:$AI$24,6,FALSE)),0)+IFERROR(IF(VLOOKUP($B14,'SR B-Steer Wrestling'!$B$5:$AI$24,6,FALSE)=" ",0,VLOOKUP($B14,'SR B-Steer Wrestling'!$B$5:$AI$24,6,FALSE)),0)+IFERROR(IF(VLOOKUP($B14,'SR B-Chute Dogging'!$B$5:$AI$24,6,FALSE)=" ",0,VLOOKUP($B14,'SR B-Chute Dogging'!$B$5:$AI$24,6,FALSE)),0)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IFERROR(IF(VLOOKUP($B14,'SR-Team Roping-Header'!$B$5:$N$24,4,FALSE)=" ",0,VLOOKUP($B14,'SR-Team Roping-Header'!$B$5:$N$24,4,FALSE)),0)+IFERROR(IF(VLOOKUP($B14,'SR-Team Roping-Heeler'!$B$5:$N$24,4,FALSE)=" ",0,VLOOKUP($B14,'SR-Team Roping-Heeler'!$B$5:$N$24,4,FALSE)),0)+IFERROR(IF(VLOOKUP($B14,'SR B-Calf Roping'!$B$5:$AI$24,10,FALSE)=" ",0,VLOOKUP($B14,'SR B-Calf Roping'!$B$5:$AI$24,10,FALSE)),0)+IFERROR(IF(VLOOKUP($B14,'SR B-Steer Wrestling'!$B$5:$AI$24,10,FALSE)=" ",0,VLOOKUP($B14,'SR B-Steer Wrestling'!$B$5:$AI$24,10,FALSE)),0)+IFERROR(IF(VLOOKUP($B14,'SR B-Chute Dogging'!$B$5:$AI$24,10,FALSE)=" ",0,VLOOKUP($B14,'SR B-Chute Dogging'!$B$5:$AI$24,10,FALSE)),0)</f>
        <v>0</v>
      </c>
      <c r="G14" s="95" t="str">
        <f t="shared" si="2"/>
        <v xml:space="preserve"> </v>
      </c>
      <c r="H14" s="91" t="str">
        <f t="shared" si="3"/>
        <v xml:space="preserve"> </v>
      </c>
      <c r="I14" s="121">
        <f>IFERROR(IF(VLOOKUP($B14,'SR-Team Roping-Header'!$B$5:$N$24,5,FALSE)=" ",0,VLOOKUP($B14,'SR-Team Roping-Header'!$B$5:$N$24,5,FALSE)),0)+IFERROR(IF(VLOOKUP($B14,'SR-Team Roping-Heeler'!$B$5:$N$24,5,FALSE)=" ",0,VLOOKUP($B14,'SR-Team Roping-Heeler'!$B$5:$N$24,5,FALSE)),0)+IFERROR(IF(VLOOKUP($B14,'SR B-Calf Roping'!$B$5:$AI$24,14,FALSE)=" ",0,VLOOKUP($B14,'SR B-Calf Roping'!$B$5:$AI$24,14,FALSE)),0)+IFERROR(IF(VLOOKUP($B14,'SR B-Steer Wrestling'!$B$5:$AI$24,14,FALSE)=" ",0,VLOOKUP($B14,'SR B-Steer Wrestling'!$B$5:$AI$24,14,FALSE)),0)+IFERROR(IF(VLOOKUP($B14,'SR B-Chute Dogging'!$B$5:$AI$24,14,FALSE)=" ",0,VLOOKUP($B14,'SR B-Chute Dogging'!$B$5:$AI$24,14,FALSE)),0)</f>
        <v>0</v>
      </c>
      <c r="J14" s="95" t="str">
        <f t="shared" si="4"/>
        <v xml:space="preserve"> </v>
      </c>
      <c r="K14" s="91" t="str">
        <f t="shared" si="5"/>
        <v xml:space="preserve"> </v>
      </c>
      <c r="L14" s="121">
        <f>IFERROR(IF(VLOOKUP($B14,'SR-Team Roping-Header'!$B$5:$N$24,6,FALSE)=" ",0,VLOOKUP($B14,'SR-Team Roping-Header'!$B$5:$N$24,6,FALSE)),0)+IFERROR(IF(VLOOKUP($B14,'SR-Team Roping-Heeler'!$B$5:$N$24,6,FALSE)=" ",0,VLOOKUP($B14,'SR-Team Roping-Heeler'!$B$5:$N$24,6,FALSE)),0)+IFERROR(IF(VLOOKUP($B14,'SR B-Calf Roping'!$B$5:$AI$24,18,FALSE)=" ",0,VLOOKUP($B14,'SR B-Calf Roping'!$B$5:$AI$24,18,FALSE)),0)+IFERROR(IF(VLOOKUP($B14,'SR B-Steer Wrestling'!$B$5:$AI$24,18,FALSE)=" ",0,VLOOKUP($B14,'SR B-Steer Wrestling'!$B$5:$AI$24,18,FALSE)),0)+IFERROR(IF(VLOOKUP($B14,'SR B-Chute Dogging'!$B$5:$AI$24,18,FALSE)=" ",0,VLOOKUP($B14,'SR B-Chute Dogging'!$B$5:$AI$24,18,FALSE)),0)</f>
        <v>0</v>
      </c>
      <c r="M14" s="95" t="str">
        <f t="shared" si="6"/>
        <v xml:space="preserve"> </v>
      </c>
      <c r="N14" s="91" t="str">
        <f t="shared" si="7"/>
        <v xml:space="preserve"> </v>
      </c>
      <c r="O14" s="121">
        <f>IFERROR(IF(VLOOKUP($B14,'SR-Team Roping-Header'!$B$5:$N$24,7,FALSE)=" ",0,VLOOKUP($B14,'SR-Team Roping-Header'!$B$5:$N$24,7,FALSE)),0)+IFERROR(IF(VLOOKUP($B14,'SR-Team Roping-Heeler'!$B$5:$N$24,7,FALSE)=" ",0,VLOOKUP($B14,'SR-Team Roping-Heeler'!$B$5:$N$24,7,FALSE)),0)+IFERROR(IF(VLOOKUP($B14,'SR B-Calf Roping'!$B$5:$AI$24,22,FALSE)=" ",0,VLOOKUP($B14,'SR B-Calf Roping'!$B$5:$AI$24,22,FALSE)),0)+IFERROR(IF(VLOOKUP($B14,'SR B-Steer Wrestling'!$B$5:$AI$24,22,FALSE)=" ",0,VLOOKUP($B14,'SR B-Steer Wrestling'!$B$5:$AI$24,22,FALSE)),0)+IFERROR(IF(VLOOKUP($B14,'SR B-Chute Dogging'!$B$5:$AI$24,22,FALSE)=" ",0,VLOOKUP($B14,'SR B-Chute Dogging'!$B$5:$AI$24,22,FALSE)),0)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IFERROR(IF(VLOOKUP($B14,'SR-Team Roping-Header'!$B$5:$N$24,8,FALSE)=" ",0,VLOOKUP($B14,'SR-Team Roping-Header'!$B$5:$N$24,8,FALSE)),0)+IFERROR(IF(VLOOKUP($B14,'SR-Team Roping-Heeler'!$B$5:$N$24,8,FALSE)=" ",0,VLOOKUP($B14,'SR-Team Roping-Heeler'!$B$5:$N$24,8,FALSE)),0)+IFERROR(IF(VLOOKUP($B14,'SR B-Calf Roping'!$B$5:$AI$24,26,FALSE)=" ",0,VLOOKUP($B14,'SR B-Calf Roping'!$B$5:$AI$24,26,FALSE)),0)+IFERROR(IF(VLOOKUP($B14,'SR B-Steer Wrestling'!$B$5:$AI$24,26,FALSE)=" ",0,VLOOKUP($B14,'SR B-Steer Wrestling'!$B$5:$AI$24,26,FALSE)),0)+IFERROR(IF(VLOOKUP($B14,'SR B-Chute Dogging'!$B$5:$AI$24,26,FALSE)=" ",0,VLOOKUP($B14,'SR B-Chute Dogging'!$B$5:$AI$24,26,FALSE)),0)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IFERROR(IF(VLOOKUP($B14,'SR-Team Roping-Header'!$B$5:$N$24,9,FALSE)=" ",0,VLOOKUP($B14,'SR-Team Roping-Header'!$B$5:$N$24,9,FALSE)),0)+IFERROR(IF(VLOOKUP($B14,'SR-Team Roping-Heeler'!$B$5:$N$24,9,FALSE)=" ",0,VLOOKUP($B14,'SR-Team Roping-Heeler'!$B$5:$N$24,9,FALSE)),0)+IFERROR(IF(VLOOKUP($B14,'SR B-Calf Roping'!$B$5:$AI$24,30,FALSE)=" ",0,VLOOKUP($B14,'SR B-Calf Roping'!$B$5:$AI$24,30,FALSE)),0)+IFERROR(IF(VLOOKUP($B14,'SR B-Steer Wrestling'!$B$5:$AI$24,30,FALSE)=" ",0,VLOOKUP($B14,'SR B-Steer Wrestling'!$B$5:$AI$24,30,FALSE)),0)+IFERROR(IF(VLOOKUP($B14,'SR B-Chute Dogging'!$B$5:$AI$24,30,FALSE)=" ",0,VLOOKUP($B14,'SR B-Chute Dogging'!$B$5:$AI$24,30,FALSE)),0)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IFERROR(IF(VLOOKUP($B14,'SR-Team Roping-Header'!$B$5:$N$24,10,FALSE)=" ",0,VLOOKUP($B14,'SR-Team Roping-Header'!$B$5:$N$24,10,FALSE)),0)+IFERROR(IF(VLOOKUP($B14,'SR-Team Roping-Heeler'!$B$5:$N$24,10,FALSE)=" ",0,VLOOKUP($B14,'SR-Team Roping-Heeler'!$B$5:$N$24,10,FALSE)),0)+IFERROR(IF(VLOOKUP($B14,'SR B-Calf Roping'!$B$5:$AI$24,34,FALSE)=" ",0,VLOOKUP($B14,'SR B-Calf Roping'!$B$5:$AI$24,34,FALSE)),0)+IFERROR(IF(VLOOKUP($B14,'SR B-Steer Wrestling'!$B$5:$AI$24,34,FALSE)=" ",0,VLOOKUP($B14,'SR B-Steer Wrestling'!$B$5:$AI$24,34,FALSE)),0)+IFERROR(IF(VLOOKUP($B14,'SR B-Chute Dogging'!$B$5:$AI$24,34,FALSE)=" ",0,VLOOKUP($B14,'SR B-Chute Dogging'!$B$5:$AI$24,34,FALSE)),0)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4" s="95" t="str">
        <f t="shared" si="16"/>
        <v xml:space="preserve"> </v>
      </c>
      <c r="AC14" s="91" t="str">
        <f t="shared" si="17"/>
        <v xml:space="preserve"> </v>
      </c>
    </row>
    <row r="15" spans="2:29" x14ac:dyDescent="0.25">
      <c r="B15" s="141"/>
      <c r="C15" s="120">
        <f>IFERROR(IF(VLOOKUP($B15,'SR-Team Roping-Header'!$B$5:$N$24,3,FALSE)=" ",0,VLOOKUP($B15,'SR-Team Roping-Header'!$B$5:$N$24,3,FALSE)),0)+IFERROR(IF(VLOOKUP($B15,'SR-Team Roping-Heeler'!$B$5:$N$24,3,FALSE)=" ",0,VLOOKUP($B15,'SR-Team Roping-Heeler'!$B$5:$N$24,3,FALSE)),0)+IFERROR(IF(VLOOKUP($B15,'SR B-Calf Roping'!$B$5:$AI$24,6,FALSE)=" ",0,VLOOKUP($B15,'SR B-Calf Roping'!$B$5:$AI$24,6,FALSE)),0)+IFERROR(IF(VLOOKUP($B15,'SR B-Steer Wrestling'!$B$5:$AI$24,6,FALSE)=" ",0,VLOOKUP($B15,'SR B-Steer Wrestling'!$B$5:$AI$24,6,FALSE)),0)+IFERROR(IF(VLOOKUP($B15,'SR B-Chute Dogging'!$B$5:$AI$24,6,FALSE)=" ",0,VLOOKUP($B15,'SR B-Chute Dogging'!$B$5:$AI$24,6,FALSE)),0)</f>
        <v>0</v>
      </c>
      <c r="D15" s="95" t="str">
        <f t="shared" si="0"/>
        <v xml:space="preserve"> </v>
      </c>
      <c r="E15" s="122" t="str">
        <f t="shared" si="1"/>
        <v xml:space="preserve"> </v>
      </c>
      <c r="F15" s="121">
        <f>IFERROR(IF(VLOOKUP($B15,'SR-Team Roping-Header'!$B$5:$N$24,4,FALSE)=" ",0,VLOOKUP($B15,'SR-Team Roping-Header'!$B$5:$N$24,4,FALSE)),0)+IFERROR(IF(VLOOKUP($B15,'SR-Team Roping-Heeler'!$B$5:$N$24,4,FALSE)=" ",0,VLOOKUP($B15,'SR-Team Roping-Heeler'!$B$5:$N$24,4,FALSE)),0)+IFERROR(IF(VLOOKUP($B15,'SR B-Calf Roping'!$B$5:$AI$24,10,FALSE)=" ",0,VLOOKUP($B15,'SR B-Calf Roping'!$B$5:$AI$24,10,FALSE)),0)+IFERROR(IF(VLOOKUP($B15,'SR B-Steer Wrestling'!$B$5:$AI$24,10,FALSE)=" ",0,VLOOKUP($B15,'SR B-Steer Wrestling'!$B$5:$AI$24,10,FALSE)),0)+IFERROR(IF(VLOOKUP($B15,'SR B-Chute Dogging'!$B$5:$AI$24,10,FALSE)=" ",0,VLOOKUP($B15,'SR B-Chute Dogging'!$B$5:$AI$24,10,FALSE)),0)</f>
        <v>0</v>
      </c>
      <c r="G15" s="95" t="str">
        <f t="shared" si="2"/>
        <v xml:space="preserve"> </v>
      </c>
      <c r="H15" s="122" t="str">
        <f t="shared" si="3"/>
        <v xml:space="preserve"> </v>
      </c>
      <c r="I15" s="121">
        <f>IFERROR(IF(VLOOKUP($B15,'SR-Team Roping-Header'!$B$5:$N$24,5,FALSE)=" ",0,VLOOKUP($B15,'SR-Team Roping-Header'!$B$5:$N$24,5,FALSE)),0)+IFERROR(IF(VLOOKUP($B15,'SR-Team Roping-Heeler'!$B$5:$N$24,5,FALSE)=" ",0,VLOOKUP($B15,'SR-Team Roping-Heeler'!$B$5:$N$24,5,FALSE)),0)+IFERROR(IF(VLOOKUP($B15,'SR B-Calf Roping'!$B$5:$AI$24,14,FALSE)=" ",0,VLOOKUP($B15,'SR B-Calf Roping'!$B$5:$AI$24,14,FALSE)),0)+IFERROR(IF(VLOOKUP($B15,'SR B-Steer Wrestling'!$B$5:$AI$24,14,FALSE)=" ",0,VLOOKUP($B15,'SR B-Steer Wrestling'!$B$5:$AI$24,14,FALSE)),0)+IFERROR(IF(VLOOKUP($B15,'SR B-Chute Dogging'!$B$5:$AI$24,14,FALSE)=" ",0,VLOOKUP($B15,'SR B-Chute Dogging'!$B$5:$AI$24,14,FALSE)),0)</f>
        <v>0</v>
      </c>
      <c r="J15" s="95" t="str">
        <f t="shared" si="4"/>
        <v xml:space="preserve"> </v>
      </c>
      <c r="K15" s="122" t="str">
        <f t="shared" si="5"/>
        <v xml:space="preserve"> </v>
      </c>
      <c r="L15" s="121">
        <f>IFERROR(IF(VLOOKUP($B15,'SR-Team Roping-Header'!$B$5:$N$24,6,FALSE)=" ",0,VLOOKUP($B15,'SR-Team Roping-Header'!$B$5:$N$24,6,FALSE)),0)+IFERROR(IF(VLOOKUP($B15,'SR-Team Roping-Heeler'!$B$5:$N$24,6,FALSE)=" ",0,VLOOKUP($B15,'SR-Team Roping-Heeler'!$B$5:$N$24,6,FALSE)),0)+IFERROR(IF(VLOOKUP($B15,'SR B-Calf Roping'!$B$5:$AI$24,18,FALSE)=" ",0,VLOOKUP($B15,'SR B-Calf Roping'!$B$5:$AI$24,18,FALSE)),0)+IFERROR(IF(VLOOKUP($B15,'SR B-Steer Wrestling'!$B$5:$AI$24,18,FALSE)=" ",0,VLOOKUP($B15,'SR B-Steer Wrestling'!$B$5:$AI$24,18,FALSE)),0)+IFERROR(IF(VLOOKUP($B15,'SR B-Chute Dogging'!$B$5:$AI$24,18,FALSE)=" ",0,VLOOKUP($B15,'SR B-Chute Dogging'!$B$5:$AI$24,18,FALSE)),0)</f>
        <v>0</v>
      </c>
      <c r="M15" s="95" t="str">
        <f t="shared" si="6"/>
        <v xml:space="preserve"> </v>
      </c>
      <c r="N15" s="122" t="str">
        <f t="shared" si="7"/>
        <v xml:space="preserve"> </v>
      </c>
      <c r="O15" s="121">
        <f>IFERROR(IF(VLOOKUP($B15,'SR-Team Roping-Header'!$B$5:$N$24,7,FALSE)=" ",0,VLOOKUP($B15,'SR-Team Roping-Header'!$B$5:$N$24,7,FALSE)),0)+IFERROR(IF(VLOOKUP($B15,'SR-Team Roping-Heeler'!$B$5:$N$24,7,FALSE)=" ",0,VLOOKUP($B15,'SR-Team Roping-Heeler'!$B$5:$N$24,7,FALSE)),0)+IFERROR(IF(VLOOKUP($B15,'SR B-Calf Roping'!$B$5:$AI$24,22,FALSE)=" ",0,VLOOKUP($B15,'SR B-Calf Roping'!$B$5:$AI$24,22,FALSE)),0)+IFERROR(IF(VLOOKUP($B15,'SR B-Steer Wrestling'!$B$5:$AI$24,22,FALSE)=" ",0,VLOOKUP($B15,'SR B-Steer Wrestling'!$B$5:$AI$24,22,FALSE)),0)+IFERROR(IF(VLOOKUP($B15,'SR B-Chute Dogging'!$B$5:$AI$24,22,FALSE)=" ",0,VLOOKUP($B15,'SR B-Chute Dogging'!$B$5:$AI$24,22,FALSE)),0)</f>
        <v>0</v>
      </c>
      <c r="P15" s="95" t="str">
        <f t="shared" si="8"/>
        <v xml:space="preserve"> </v>
      </c>
      <c r="Q15" s="122" t="str">
        <f t="shared" si="9"/>
        <v xml:space="preserve"> </v>
      </c>
      <c r="R15" s="121">
        <f>IFERROR(IF(VLOOKUP($B15,'SR-Team Roping-Header'!$B$5:$N$24,8,FALSE)=" ",0,VLOOKUP($B15,'SR-Team Roping-Header'!$B$5:$N$24,8,FALSE)),0)+IFERROR(IF(VLOOKUP($B15,'SR-Team Roping-Heeler'!$B$5:$N$24,8,FALSE)=" ",0,VLOOKUP($B15,'SR-Team Roping-Heeler'!$B$5:$N$24,8,FALSE)),0)+IFERROR(IF(VLOOKUP($B15,'SR B-Calf Roping'!$B$5:$AI$24,26,FALSE)=" ",0,VLOOKUP($B15,'SR B-Calf Roping'!$B$5:$AI$24,26,FALSE)),0)+IFERROR(IF(VLOOKUP($B15,'SR B-Steer Wrestling'!$B$5:$AI$24,26,FALSE)=" ",0,VLOOKUP($B15,'SR B-Steer Wrestling'!$B$5:$AI$24,26,FALSE)),0)+IFERROR(IF(VLOOKUP($B15,'SR B-Chute Dogging'!$B$5:$AI$24,26,FALSE)=" ",0,VLOOKUP($B15,'SR B-Chute Dogging'!$B$5:$AI$24,26,FALSE)),0)</f>
        <v>0</v>
      </c>
      <c r="S15" s="95" t="str">
        <f t="shared" si="10"/>
        <v xml:space="preserve"> </v>
      </c>
      <c r="T15" s="122" t="str">
        <f t="shared" si="11"/>
        <v xml:space="preserve"> </v>
      </c>
      <c r="U15" s="121">
        <f>IFERROR(IF(VLOOKUP($B15,'SR-Team Roping-Header'!$B$5:$N$24,9,FALSE)=" ",0,VLOOKUP($B15,'SR-Team Roping-Header'!$B$5:$N$24,9,FALSE)),0)+IFERROR(IF(VLOOKUP($B15,'SR-Team Roping-Heeler'!$B$5:$N$24,9,FALSE)=" ",0,VLOOKUP($B15,'SR-Team Roping-Heeler'!$B$5:$N$24,9,FALSE)),0)+IFERROR(IF(VLOOKUP($B15,'SR B-Calf Roping'!$B$5:$AI$24,30,FALSE)=" ",0,VLOOKUP($B15,'SR B-Calf Roping'!$B$5:$AI$24,30,FALSE)),0)+IFERROR(IF(VLOOKUP($B15,'SR B-Steer Wrestling'!$B$5:$AI$24,30,FALSE)=" ",0,VLOOKUP($B15,'SR B-Steer Wrestling'!$B$5:$AI$24,30,FALSE)),0)+IFERROR(IF(VLOOKUP($B15,'SR B-Chute Dogging'!$B$5:$AI$24,30,FALSE)=" ",0,VLOOKUP($B15,'SR B-Chute Dogging'!$B$5:$AI$24,30,FALSE)),0)</f>
        <v>0</v>
      </c>
      <c r="V15" s="95" t="str">
        <f t="shared" si="12"/>
        <v xml:space="preserve"> </v>
      </c>
      <c r="W15" s="122" t="str">
        <f t="shared" si="13"/>
        <v xml:space="preserve"> </v>
      </c>
      <c r="X15" s="121">
        <f>IFERROR(IF(VLOOKUP($B15,'SR-Team Roping-Header'!$B$5:$N$24,10,FALSE)=" ",0,VLOOKUP($B15,'SR-Team Roping-Header'!$B$5:$N$24,10,FALSE)),0)+IFERROR(IF(VLOOKUP($B15,'SR-Team Roping-Heeler'!$B$5:$N$24,10,FALSE)=" ",0,VLOOKUP($B15,'SR-Team Roping-Heeler'!$B$5:$N$24,10,FALSE)),0)+IFERROR(IF(VLOOKUP($B15,'SR B-Calf Roping'!$B$5:$AI$24,34,FALSE)=" ",0,VLOOKUP($B15,'SR B-Calf Roping'!$B$5:$AI$24,34,FALSE)),0)+IFERROR(IF(VLOOKUP($B15,'SR B-Steer Wrestling'!$B$5:$AI$24,34,FALSE)=" ",0,VLOOKUP($B15,'SR B-Steer Wrestling'!$B$5:$AI$24,34,FALSE)),0)+IFERROR(IF(VLOOKUP($B15,'SR B-Chute Dogging'!$B$5:$AI$24,34,FALSE)=" ",0,VLOOKUP($B15,'SR B-Chute Dogging'!$B$5:$AI$24,34,FALSE)),0)</f>
        <v>0</v>
      </c>
      <c r="Y15" s="95" t="str">
        <f t="shared" si="14"/>
        <v xml:space="preserve"> </v>
      </c>
      <c r="Z15" s="122" t="str">
        <f t="shared" si="15"/>
        <v xml:space="preserve"> </v>
      </c>
      <c r="AA15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5" s="95" t="str">
        <f t="shared" si="16"/>
        <v xml:space="preserve"> </v>
      </c>
      <c r="AC15" s="122" t="str">
        <f t="shared" si="17"/>
        <v xml:space="preserve"> </v>
      </c>
    </row>
    <row r="16" spans="2:29" x14ac:dyDescent="0.25">
      <c r="B16" s="141"/>
      <c r="C16" s="120">
        <f>IFERROR(IF(VLOOKUP($B16,'SR-Team Roping-Header'!$B$5:$N$24,3,FALSE)=" ",0,VLOOKUP($B16,'SR-Team Roping-Header'!$B$5:$N$24,3,FALSE)),0)+IFERROR(IF(VLOOKUP($B16,'SR-Team Roping-Heeler'!$B$5:$N$24,3,FALSE)=" ",0,VLOOKUP($B16,'SR-Team Roping-Heeler'!$B$5:$N$24,3,FALSE)),0)+IFERROR(IF(VLOOKUP($B16,'SR B-Calf Roping'!$B$5:$AI$24,6,FALSE)=" ",0,VLOOKUP($B16,'SR B-Calf Roping'!$B$5:$AI$24,6,FALSE)),0)+IFERROR(IF(VLOOKUP($B16,'SR B-Steer Wrestling'!$B$5:$AI$24,6,FALSE)=" ",0,VLOOKUP($B16,'SR B-Steer Wrestling'!$B$5:$AI$24,6,FALSE)),0)+IFERROR(IF(VLOOKUP($B16,'SR B-Chute Dogging'!$B$5:$AI$24,6,FALSE)=" ",0,VLOOKUP($B16,'SR B-Chute Dogging'!$B$5:$AI$24,6,FALSE)),0)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IFERROR(IF(VLOOKUP($B16,'SR-Team Roping-Header'!$B$5:$N$24,4,FALSE)=" ",0,VLOOKUP($B16,'SR-Team Roping-Header'!$B$5:$N$24,4,FALSE)),0)+IFERROR(IF(VLOOKUP($B16,'SR-Team Roping-Heeler'!$B$5:$N$24,4,FALSE)=" ",0,VLOOKUP($B16,'SR-Team Roping-Heeler'!$B$5:$N$24,4,FALSE)),0)+IFERROR(IF(VLOOKUP($B16,'SR B-Calf Roping'!$B$5:$AI$24,10,FALSE)=" ",0,VLOOKUP($B16,'SR B-Calf Roping'!$B$5:$AI$24,10,FALSE)),0)+IFERROR(IF(VLOOKUP($B16,'SR B-Steer Wrestling'!$B$5:$AI$24,10,FALSE)=" ",0,VLOOKUP($B16,'SR B-Steer Wrestling'!$B$5:$AI$24,10,FALSE)),0)+IFERROR(IF(VLOOKUP($B16,'SR B-Chute Dogging'!$B$5:$AI$24,10,FALSE)=" ",0,VLOOKUP($B16,'SR B-Chute Dogging'!$B$5:$AI$24,10,FALSE)),0)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IFERROR(IF(VLOOKUP($B16,'SR-Team Roping-Header'!$B$5:$N$24,5,FALSE)=" ",0,VLOOKUP($B16,'SR-Team Roping-Header'!$B$5:$N$24,5,FALSE)),0)+IFERROR(IF(VLOOKUP($B16,'SR-Team Roping-Heeler'!$B$5:$N$24,5,FALSE)=" ",0,VLOOKUP($B16,'SR-Team Roping-Heeler'!$B$5:$N$24,5,FALSE)),0)+IFERROR(IF(VLOOKUP($B16,'SR B-Calf Roping'!$B$5:$AI$24,14,FALSE)=" ",0,VLOOKUP($B16,'SR B-Calf Roping'!$B$5:$AI$24,14,FALSE)),0)+IFERROR(IF(VLOOKUP($B16,'SR B-Steer Wrestling'!$B$5:$AI$24,14,FALSE)=" ",0,VLOOKUP($B16,'SR B-Steer Wrestling'!$B$5:$AI$24,14,FALSE)),0)+IFERROR(IF(VLOOKUP($B16,'SR B-Chute Dogging'!$B$5:$AI$24,14,FALSE)=" ",0,VLOOKUP($B16,'SR B-Chute Dogging'!$B$5:$AI$24,14,FALSE)),0)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IFERROR(IF(VLOOKUP($B16,'SR-Team Roping-Header'!$B$5:$N$24,6,FALSE)=" ",0,VLOOKUP($B16,'SR-Team Roping-Header'!$B$5:$N$24,6,FALSE)),0)+IFERROR(IF(VLOOKUP($B16,'SR-Team Roping-Heeler'!$B$5:$N$24,6,FALSE)=" ",0,VLOOKUP($B16,'SR-Team Roping-Heeler'!$B$5:$N$24,6,FALSE)),0)+IFERROR(IF(VLOOKUP($B16,'SR B-Calf Roping'!$B$5:$AI$24,18,FALSE)=" ",0,VLOOKUP($B16,'SR B-Calf Roping'!$B$5:$AI$24,18,FALSE)),0)+IFERROR(IF(VLOOKUP($B16,'SR B-Steer Wrestling'!$B$5:$AI$24,18,FALSE)=" ",0,VLOOKUP($B16,'SR B-Steer Wrestling'!$B$5:$AI$24,18,FALSE)),0)+IFERROR(IF(VLOOKUP($B16,'SR B-Chute Dogging'!$B$5:$AI$24,18,FALSE)=" ",0,VLOOKUP($B16,'SR B-Chute Dogging'!$B$5:$AI$24,18,FALSE)),0)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IFERROR(IF(VLOOKUP($B16,'SR-Team Roping-Header'!$B$5:$N$24,7,FALSE)=" ",0,VLOOKUP($B16,'SR-Team Roping-Header'!$B$5:$N$24,7,FALSE)),0)+IFERROR(IF(VLOOKUP($B16,'SR-Team Roping-Heeler'!$B$5:$N$24,7,FALSE)=" ",0,VLOOKUP($B16,'SR-Team Roping-Heeler'!$B$5:$N$24,7,FALSE)),0)+IFERROR(IF(VLOOKUP($B16,'SR B-Calf Roping'!$B$5:$AI$24,22,FALSE)=" ",0,VLOOKUP($B16,'SR B-Calf Roping'!$B$5:$AI$24,22,FALSE)),0)+IFERROR(IF(VLOOKUP($B16,'SR B-Steer Wrestling'!$B$5:$AI$24,22,FALSE)=" ",0,VLOOKUP($B16,'SR B-Steer Wrestling'!$B$5:$AI$24,22,FALSE)),0)+IFERROR(IF(VLOOKUP($B16,'SR B-Chute Dogging'!$B$5:$AI$24,22,FALSE)=" ",0,VLOOKUP($B16,'SR B-Chute Dogging'!$B$5:$AI$24,22,FALSE)),0)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IFERROR(IF(VLOOKUP($B16,'SR-Team Roping-Header'!$B$5:$N$24,8,FALSE)=" ",0,VLOOKUP($B16,'SR-Team Roping-Header'!$B$5:$N$24,8,FALSE)),0)+IFERROR(IF(VLOOKUP($B16,'SR-Team Roping-Heeler'!$B$5:$N$24,8,FALSE)=" ",0,VLOOKUP($B16,'SR-Team Roping-Heeler'!$B$5:$N$24,8,FALSE)),0)+IFERROR(IF(VLOOKUP($B16,'SR B-Calf Roping'!$B$5:$AI$24,26,FALSE)=" ",0,VLOOKUP($B16,'SR B-Calf Roping'!$B$5:$AI$24,26,FALSE)),0)+IFERROR(IF(VLOOKUP($B16,'SR B-Steer Wrestling'!$B$5:$AI$24,26,FALSE)=" ",0,VLOOKUP($B16,'SR B-Steer Wrestling'!$B$5:$AI$24,26,FALSE)),0)+IFERROR(IF(VLOOKUP($B16,'SR B-Chute Dogging'!$B$5:$AI$24,26,FALSE)=" ",0,VLOOKUP($B16,'SR B-Chute Dogging'!$B$5:$AI$24,26,FALSE)),0)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IFERROR(IF(VLOOKUP($B16,'SR-Team Roping-Header'!$B$5:$N$24,9,FALSE)=" ",0,VLOOKUP($B16,'SR-Team Roping-Header'!$B$5:$N$24,9,FALSE)),0)+IFERROR(IF(VLOOKUP($B16,'SR-Team Roping-Heeler'!$B$5:$N$24,9,FALSE)=" ",0,VLOOKUP($B16,'SR-Team Roping-Heeler'!$B$5:$N$24,9,FALSE)),0)+IFERROR(IF(VLOOKUP($B16,'SR B-Calf Roping'!$B$5:$AI$24,30,FALSE)=" ",0,VLOOKUP($B16,'SR B-Calf Roping'!$B$5:$AI$24,30,FALSE)),0)+IFERROR(IF(VLOOKUP($B16,'SR B-Steer Wrestling'!$B$5:$AI$24,30,FALSE)=" ",0,VLOOKUP($B16,'SR B-Steer Wrestling'!$B$5:$AI$24,30,FALSE)),0)+IFERROR(IF(VLOOKUP($B16,'SR B-Chute Dogging'!$B$5:$AI$24,30,FALSE)=" ",0,VLOOKUP($B16,'SR B-Chute Dogging'!$B$5:$AI$24,30,FALSE)),0)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IFERROR(IF(VLOOKUP($B16,'SR-Team Roping-Header'!$B$5:$N$24,10,FALSE)=" ",0,VLOOKUP($B16,'SR-Team Roping-Header'!$B$5:$N$24,10,FALSE)),0)+IFERROR(IF(VLOOKUP($B16,'SR-Team Roping-Heeler'!$B$5:$N$24,10,FALSE)=" ",0,VLOOKUP($B16,'SR-Team Roping-Heeler'!$B$5:$N$24,10,FALSE)),0)+IFERROR(IF(VLOOKUP($B16,'SR B-Calf Roping'!$B$5:$AI$24,34,FALSE)=" ",0,VLOOKUP($B16,'SR B-Calf Roping'!$B$5:$AI$24,34,FALSE)),0)+IFERROR(IF(VLOOKUP($B16,'SR B-Steer Wrestling'!$B$5:$AI$24,34,FALSE)=" ",0,VLOOKUP($B16,'SR B-Steer Wrestling'!$B$5:$AI$24,34,FALSE)),0)+IFERROR(IF(VLOOKUP($B16,'SR B-Chute Dogging'!$B$5:$AI$24,34,FALSE)=" ",0,VLOOKUP($B16,'SR B-Chute Dogging'!$B$5:$AI$24,34,FALSE)),0)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6" s="95" t="str">
        <f t="shared" si="16"/>
        <v xml:space="preserve"> </v>
      </c>
      <c r="AC16" s="91" t="str">
        <f t="shared" si="17"/>
        <v xml:space="preserve"> </v>
      </c>
    </row>
    <row r="17" spans="2:29" x14ac:dyDescent="0.25">
      <c r="B17" s="141"/>
      <c r="C17" s="120">
        <f>IFERROR(IF(VLOOKUP($B17,'SR-Team Roping-Header'!$B$5:$N$24,3,FALSE)=" ",0,VLOOKUP($B17,'SR-Team Roping-Header'!$B$5:$N$24,3,FALSE)),0)+IFERROR(IF(VLOOKUP($B17,'SR-Team Roping-Heeler'!$B$5:$N$24,3,FALSE)=" ",0,VLOOKUP($B17,'SR-Team Roping-Heeler'!$B$5:$N$24,3,FALSE)),0)+IFERROR(IF(VLOOKUP($B17,'SR B-Calf Roping'!$B$5:$AI$24,6,FALSE)=" ",0,VLOOKUP($B17,'SR B-Calf Roping'!$B$5:$AI$24,6,FALSE)),0)+IFERROR(IF(VLOOKUP($B17,'SR B-Steer Wrestling'!$B$5:$AI$24,6,FALSE)=" ",0,VLOOKUP($B17,'SR B-Steer Wrestling'!$B$5:$AI$24,6,FALSE)),0)+IFERROR(IF(VLOOKUP($B17,'SR B-Chute Dogging'!$B$5:$AI$24,6,FALSE)=" ",0,VLOOKUP($B17,'SR B-Chute Dogging'!$B$5:$AI$24,6,FALSE)),0)</f>
        <v>0</v>
      </c>
      <c r="D17" s="95" t="str">
        <f t="shared" si="0"/>
        <v xml:space="preserve"> </v>
      </c>
      <c r="E17" s="122" t="str">
        <f t="shared" si="1"/>
        <v xml:space="preserve"> </v>
      </c>
      <c r="F17" s="121">
        <f>IFERROR(IF(VLOOKUP($B17,'SR-Team Roping-Header'!$B$5:$N$24,4,FALSE)=" ",0,VLOOKUP($B17,'SR-Team Roping-Header'!$B$5:$N$24,4,FALSE)),0)+IFERROR(IF(VLOOKUP($B17,'SR-Team Roping-Heeler'!$B$5:$N$24,4,FALSE)=" ",0,VLOOKUP($B17,'SR-Team Roping-Heeler'!$B$5:$N$24,4,FALSE)),0)+IFERROR(IF(VLOOKUP($B17,'SR B-Calf Roping'!$B$5:$AI$24,10,FALSE)=" ",0,VLOOKUP($B17,'SR B-Calf Roping'!$B$5:$AI$24,10,FALSE)),0)+IFERROR(IF(VLOOKUP($B17,'SR B-Steer Wrestling'!$B$5:$AI$24,10,FALSE)=" ",0,VLOOKUP($B17,'SR B-Steer Wrestling'!$B$5:$AI$24,10,FALSE)),0)+IFERROR(IF(VLOOKUP($B17,'SR B-Chute Dogging'!$B$5:$AI$24,10,FALSE)=" ",0,VLOOKUP($B17,'SR B-Chute Dogging'!$B$5:$AI$24,10,FALSE)),0)</f>
        <v>0</v>
      </c>
      <c r="G17" s="95" t="str">
        <f t="shared" si="2"/>
        <v xml:space="preserve"> </v>
      </c>
      <c r="H17" s="122" t="str">
        <f t="shared" si="3"/>
        <v xml:space="preserve"> </v>
      </c>
      <c r="I17" s="121">
        <f>IFERROR(IF(VLOOKUP($B17,'SR-Team Roping-Header'!$B$5:$N$24,5,FALSE)=" ",0,VLOOKUP($B17,'SR-Team Roping-Header'!$B$5:$N$24,5,FALSE)),0)+IFERROR(IF(VLOOKUP($B17,'SR-Team Roping-Heeler'!$B$5:$N$24,5,FALSE)=" ",0,VLOOKUP($B17,'SR-Team Roping-Heeler'!$B$5:$N$24,5,FALSE)),0)+IFERROR(IF(VLOOKUP($B17,'SR B-Calf Roping'!$B$5:$AI$24,14,FALSE)=" ",0,VLOOKUP($B17,'SR B-Calf Roping'!$B$5:$AI$24,14,FALSE)),0)+IFERROR(IF(VLOOKUP($B17,'SR B-Steer Wrestling'!$B$5:$AI$24,14,FALSE)=" ",0,VLOOKUP($B17,'SR B-Steer Wrestling'!$B$5:$AI$24,14,FALSE)),0)+IFERROR(IF(VLOOKUP($B17,'SR B-Chute Dogging'!$B$5:$AI$24,14,FALSE)=" ",0,VLOOKUP($B17,'SR B-Chute Dogging'!$B$5:$AI$24,14,FALSE)),0)</f>
        <v>0</v>
      </c>
      <c r="J17" s="95" t="str">
        <f t="shared" si="4"/>
        <v xml:space="preserve"> </v>
      </c>
      <c r="K17" s="122" t="str">
        <f t="shared" si="5"/>
        <v xml:space="preserve"> </v>
      </c>
      <c r="L17" s="121">
        <f>IFERROR(IF(VLOOKUP($B17,'SR-Team Roping-Header'!$B$5:$N$24,6,FALSE)=" ",0,VLOOKUP($B17,'SR-Team Roping-Header'!$B$5:$N$24,6,FALSE)),0)+IFERROR(IF(VLOOKUP($B17,'SR-Team Roping-Heeler'!$B$5:$N$24,6,FALSE)=" ",0,VLOOKUP($B17,'SR-Team Roping-Heeler'!$B$5:$N$24,6,FALSE)),0)+IFERROR(IF(VLOOKUP($B17,'SR B-Calf Roping'!$B$5:$AI$24,18,FALSE)=" ",0,VLOOKUP($B17,'SR B-Calf Roping'!$B$5:$AI$24,18,FALSE)),0)+IFERROR(IF(VLOOKUP($B17,'SR B-Steer Wrestling'!$B$5:$AI$24,18,FALSE)=" ",0,VLOOKUP($B17,'SR B-Steer Wrestling'!$B$5:$AI$24,18,FALSE)),0)+IFERROR(IF(VLOOKUP($B17,'SR B-Chute Dogging'!$B$5:$AI$24,18,FALSE)=" ",0,VLOOKUP($B17,'SR B-Chute Dogging'!$B$5:$AI$24,18,FALSE)),0)</f>
        <v>0</v>
      </c>
      <c r="M17" s="95" t="str">
        <f t="shared" si="6"/>
        <v xml:space="preserve"> </v>
      </c>
      <c r="N17" s="122" t="str">
        <f t="shared" si="7"/>
        <v xml:space="preserve"> </v>
      </c>
      <c r="O17" s="121">
        <f>IFERROR(IF(VLOOKUP($B17,'SR-Team Roping-Header'!$B$5:$N$24,7,FALSE)=" ",0,VLOOKUP($B17,'SR-Team Roping-Header'!$B$5:$N$24,7,FALSE)),0)+IFERROR(IF(VLOOKUP($B17,'SR-Team Roping-Heeler'!$B$5:$N$24,7,FALSE)=" ",0,VLOOKUP($B17,'SR-Team Roping-Heeler'!$B$5:$N$24,7,FALSE)),0)+IFERROR(IF(VLOOKUP($B17,'SR B-Calf Roping'!$B$5:$AI$24,22,FALSE)=" ",0,VLOOKUP($B17,'SR B-Calf Roping'!$B$5:$AI$24,22,FALSE)),0)+IFERROR(IF(VLOOKUP($B17,'SR B-Steer Wrestling'!$B$5:$AI$24,22,FALSE)=" ",0,VLOOKUP($B17,'SR B-Steer Wrestling'!$B$5:$AI$24,22,FALSE)),0)+IFERROR(IF(VLOOKUP($B17,'SR B-Chute Dogging'!$B$5:$AI$24,22,FALSE)=" ",0,VLOOKUP($B17,'SR B-Chute Dogging'!$B$5:$AI$24,22,FALSE)),0)</f>
        <v>0</v>
      </c>
      <c r="P17" s="95" t="str">
        <f t="shared" si="8"/>
        <v xml:space="preserve"> </v>
      </c>
      <c r="Q17" s="122" t="str">
        <f t="shared" si="9"/>
        <v xml:space="preserve"> </v>
      </c>
      <c r="R17" s="121">
        <f>IFERROR(IF(VLOOKUP($B17,'SR-Team Roping-Header'!$B$5:$N$24,8,FALSE)=" ",0,VLOOKUP($B17,'SR-Team Roping-Header'!$B$5:$N$24,8,FALSE)),0)+IFERROR(IF(VLOOKUP($B17,'SR-Team Roping-Heeler'!$B$5:$N$24,8,FALSE)=" ",0,VLOOKUP($B17,'SR-Team Roping-Heeler'!$B$5:$N$24,8,FALSE)),0)+IFERROR(IF(VLOOKUP($B17,'SR B-Calf Roping'!$B$5:$AI$24,26,FALSE)=" ",0,VLOOKUP($B17,'SR B-Calf Roping'!$B$5:$AI$24,26,FALSE)),0)+IFERROR(IF(VLOOKUP($B17,'SR B-Steer Wrestling'!$B$5:$AI$24,26,FALSE)=" ",0,VLOOKUP($B17,'SR B-Steer Wrestling'!$B$5:$AI$24,26,FALSE)),0)+IFERROR(IF(VLOOKUP($B17,'SR B-Chute Dogging'!$B$5:$AI$24,26,FALSE)=" ",0,VLOOKUP($B17,'SR B-Chute Dogging'!$B$5:$AI$24,26,FALSE)),0)</f>
        <v>0</v>
      </c>
      <c r="S17" s="95" t="str">
        <f t="shared" si="10"/>
        <v xml:space="preserve"> </v>
      </c>
      <c r="T17" s="122" t="str">
        <f t="shared" si="11"/>
        <v xml:space="preserve"> </v>
      </c>
      <c r="U17" s="121">
        <f>IFERROR(IF(VLOOKUP($B17,'SR-Team Roping-Header'!$B$5:$N$24,9,FALSE)=" ",0,VLOOKUP($B17,'SR-Team Roping-Header'!$B$5:$N$24,9,FALSE)),0)+IFERROR(IF(VLOOKUP($B17,'SR-Team Roping-Heeler'!$B$5:$N$24,9,FALSE)=" ",0,VLOOKUP($B17,'SR-Team Roping-Heeler'!$B$5:$N$24,9,FALSE)),0)+IFERROR(IF(VLOOKUP($B17,'SR B-Calf Roping'!$B$5:$AI$24,30,FALSE)=" ",0,VLOOKUP($B17,'SR B-Calf Roping'!$B$5:$AI$24,30,FALSE)),0)+IFERROR(IF(VLOOKUP($B17,'SR B-Steer Wrestling'!$B$5:$AI$24,30,FALSE)=" ",0,VLOOKUP($B17,'SR B-Steer Wrestling'!$B$5:$AI$24,30,FALSE)),0)+IFERROR(IF(VLOOKUP($B17,'SR B-Chute Dogging'!$B$5:$AI$24,30,FALSE)=" ",0,VLOOKUP($B17,'SR B-Chute Dogging'!$B$5:$AI$24,30,FALSE)),0)</f>
        <v>0</v>
      </c>
      <c r="V17" s="95" t="str">
        <f t="shared" si="12"/>
        <v xml:space="preserve"> </v>
      </c>
      <c r="W17" s="122" t="str">
        <f t="shared" si="13"/>
        <v xml:space="preserve"> </v>
      </c>
      <c r="X17" s="121">
        <f>IFERROR(IF(VLOOKUP($B17,'SR-Team Roping-Header'!$B$5:$N$24,10,FALSE)=" ",0,VLOOKUP($B17,'SR-Team Roping-Header'!$B$5:$N$24,10,FALSE)),0)+IFERROR(IF(VLOOKUP($B17,'SR-Team Roping-Heeler'!$B$5:$N$24,10,FALSE)=" ",0,VLOOKUP($B17,'SR-Team Roping-Heeler'!$B$5:$N$24,10,FALSE)),0)+IFERROR(IF(VLOOKUP($B17,'SR B-Calf Roping'!$B$5:$AI$24,34,FALSE)=" ",0,VLOOKUP($B17,'SR B-Calf Roping'!$B$5:$AI$24,34,FALSE)),0)+IFERROR(IF(VLOOKUP($B17,'SR B-Steer Wrestling'!$B$5:$AI$24,34,FALSE)=" ",0,VLOOKUP($B17,'SR B-Steer Wrestling'!$B$5:$AI$24,34,FALSE)),0)+IFERROR(IF(VLOOKUP($B17,'SR B-Chute Dogging'!$B$5:$AI$24,34,FALSE)=" ",0,VLOOKUP($B17,'SR B-Chute Dogging'!$B$5:$AI$24,34,FALSE)),0)</f>
        <v>0</v>
      </c>
      <c r="Y17" s="95" t="str">
        <f t="shared" si="14"/>
        <v xml:space="preserve"> </v>
      </c>
      <c r="Z17" s="122" t="str">
        <f t="shared" si="15"/>
        <v xml:space="preserve"> </v>
      </c>
      <c r="AA17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7" s="95" t="str">
        <f t="shared" si="16"/>
        <v xml:space="preserve"> </v>
      </c>
      <c r="AC17" s="122" t="str">
        <f t="shared" si="17"/>
        <v xml:space="preserve"> </v>
      </c>
    </row>
    <row r="18" spans="2:29" x14ac:dyDescent="0.25">
      <c r="B18" s="141"/>
      <c r="C18" s="120">
        <f>IFERROR(IF(VLOOKUP($B18,'SR-Team Roping-Header'!$B$5:$N$24,3,FALSE)=" ",0,VLOOKUP($B18,'SR-Team Roping-Header'!$B$5:$N$24,3,FALSE)),0)+IFERROR(IF(VLOOKUP($B18,'SR-Team Roping-Heeler'!$B$5:$N$24,3,FALSE)=" ",0,VLOOKUP($B18,'SR-Team Roping-Heeler'!$B$5:$N$24,3,FALSE)),0)+IFERROR(IF(VLOOKUP($B18,'SR B-Calf Roping'!$B$5:$AI$24,6,FALSE)=" ",0,VLOOKUP($B18,'SR B-Calf Roping'!$B$5:$AI$24,6,FALSE)),0)+IFERROR(IF(VLOOKUP($B18,'SR B-Steer Wrestling'!$B$5:$AI$24,6,FALSE)=" ",0,VLOOKUP($B18,'SR B-Steer Wrestling'!$B$5:$AI$24,6,FALSE)),0)+IFERROR(IF(VLOOKUP($B18,'SR B-Chute Dogging'!$B$5:$AI$24,6,FALSE)=" ",0,VLOOKUP($B18,'SR B-Chute Dogging'!$B$5:$AI$24,6,FALSE)),0)</f>
        <v>0</v>
      </c>
      <c r="D18" s="95" t="str">
        <f t="shared" si="0"/>
        <v xml:space="preserve"> </v>
      </c>
      <c r="E18" s="122" t="str">
        <f t="shared" si="1"/>
        <v xml:space="preserve"> </v>
      </c>
      <c r="F18" s="121">
        <f>IFERROR(IF(VLOOKUP($B18,'SR-Team Roping-Header'!$B$5:$N$24,4,FALSE)=" ",0,VLOOKUP($B18,'SR-Team Roping-Header'!$B$5:$N$24,4,FALSE)),0)+IFERROR(IF(VLOOKUP($B18,'SR-Team Roping-Heeler'!$B$5:$N$24,4,FALSE)=" ",0,VLOOKUP($B18,'SR-Team Roping-Heeler'!$B$5:$N$24,4,FALSE)),0)+IFERROR(IF(VLOOKUP($B18,'SR B-Calf Roping'!$B$5:$AI$24,10,FALSE)=" ",0,VLOOKUP($B18,'SR B-Calf Roping'!$B$5:$AI$24,10,FALSE)),0)+IFERROR(IF(VLOOKUP($B18,'SR B-Steer Wrestling'!$B$5:$AI$24,10,FALSE)=" ",0,VLOOKUP($B18,'SR B-Steer Wrestling'!$B$5:$AI$24,10,FALSE)),0)+IFERROR(IF(VLOOKUP($B18,'SR B-Chute Dogging'!$B$5:$AI$24,10,FALSE)=" ",0,VLOOKUP($B18,'SR B-Chute Dogging'!$B$5:$AI$24,10,FALSE)),0)</f>
        <v>0</v>
      </c>
      <c r="G18" s="95" t="str">
        <f t="shared" si="2"/>
        <v xml:space="preserve"> </v>
      </c>
      <c r="H18" s="122" t="str">
        <f t="shared" si="3"/>
        <v xml:space="preserve"> </v>
      </c>
      <c r="I18" s="121">
        <f>IFERROR(IF(VLOOKUP($B18,'SR-Team Roping-Header'!$B$5:$N$24,5,FALSE)=" ",0,VLOOKUP($B18,'SR-Team Roping-Header'!$B$5:$N$24,5,FALSE)),0)+IFERROR(IF(VLOOKUP($B18,'SR-Team Roping-Heeler'!$B$5:$N$24,5,FALSE)=" ",0,VLOOKUP($B18,'SR-Team Roping-Heeler'!$B$5:$N$24,5,FALSE)),0)+IFERROR(IF(VLOOKUP($B18,'SR B-Calf Roping'!$B$5:$AI$24,14,FALSE)=" ",0,VLOOKUP($B18,'SR B-Calf Roping'!$B$5:$AI$24,14,FALSE)),0)+IFERROR(IF(VLOOKUP($B18,'SR B-Steer Wrestling'!$B$5:$AI$24,14,FALSE)=" ",0,VLOOKUP($B18,'SR B-Steer Wrestling'!$B$5:$AI$24,14,FALSE)),0)+IFERROR(IF(VLOOKUP($B18,'SR B-Chute Dogging'!$B$5:$AI$24,14,FALSE)=" ",0,VLOOKUP($B18,'SR B-Chute Dogging'!$B$5:$AI$24,14,FALSE)),0)</f>
        <v>0</v>
      </c>
      <c r="J18" s="95" t="str">
        <f t="shared" si="4"/>
        <v xml:space="preserve"> </v>
      </c>
      <c r="K18" s="122" t="str">
        <f t="shared" si="5"/>
        <v xml:space="preserve"> </v>
      </c>
      <c r="L18" s="121">
        <f>IFERROR(IF(VLOOKUP($B18,'SR-Team Roping-Header'!$B$5:$N$24,6,FALSE)=" ",0,VLOOKUP($B18,'SR-Team Roping-Header'!$B$5:$N$24,6,FALSE)),0)+IFERROR(IF(VLOOKUP($B18,'SR-Team Roping-Heeler'!$B$5:$N$24,6,FALSE)=" ",0,VLOOKUP($B18,'SR-Team Roping-Heeler'!$B$5:$N$24,6,FALSE)),0)+IFERROR(IF(VLOOKUP($B18,'SR B-Calf Roping'!$B$5:$AI$24,18,FALSE)=" ",0,VLOOKUP($B18,'SR B-Calf Roping'!$B$5:$AI$24,18,FALSE)),0)+IFERROR(IF(VLOOKUP($B18,'SR B-Steer Wrestling'!$B$5:$AI$24,18,FALSE)=" ",0,VLOOKUP($B18,'SR B-Steer Wrestling'!$B$5:$AI$24,18,FALSE)),0)+IFERROR(IF(VLOOKUP($B18,'SR B-Chute Dogging'!$B$5:$AI$24,18,FALSE)=" ",0,VLOOKUP($B18,'SR B-Chute Dogging'!$B$5:$AI$24,18,FALSE)),0)</f>
        <v>0</v>
      </c>
      <c r="M18" s="95" t="str">
        <f t="shared" si="6"/>
        <v xml:space="preserve"> </v>
      </c>
      <c r="N18" s="122" t="str">
        <f t="shared" si="7"/>
        <v xml:space="preserve"> </v>
      </c>
      <c r="O18" s="121">
        <f>IFERROR(IF(VLOOKUP($B18,'SR-Team Roping-Header'!$B$5:$N$24,7,FALSE)=" ",0,VLOOKUP($B18,'SR-Team Roping-Header'!$B$5:$N$24,7,FALSE)),0)+IFERROR(IF(VLOOKUP($B18,'SR-Team Roping-Heeler'!$B$5:$N$24,7,FALSE)=" ",0,VLOOKUP($B18,'SR-Team Roping-Heeler'!$B$5:$N$24,7,FALSE)),0)+IFERROR(IF(VLOOKUP($B18,'SR B-Calf Roping'!$B$5:$AI$24,22,FALSE)=" ",0,VLOOKUP($B18,'SR B-Calf Roping'!$B$5:$AI$24,22,FALSE)),0)+IFERROR(IF(VLOOKUP($B18,'SR B-Steer Wrestling'!$B$5:$AI$24,22,FALSE)=" ",0,VLOOKUP($B18,'SR B-Steer Wrestling'!$B$5:$AI$24,22,FALSE)),0)+IFERROR(IF(VLOOKUP($B18,'SR B-Chute Dogging'!$B$5:$AI$24,22,FALSE)=" ",0,VLOOKUP($B18,'SR B-Chute Dogging'!$B$5:$AI$24,22,FALSE)),0)</f>
        <v>0</v>
      </c>
      <c r="P18" s="95" t="str">
        <f t="shared" si="8"/>
        <v xml:space="preserve"> </v>
      </c>
      <c r="Q18" s="122" t="str">
        <f t="shared" si="9"/>
        <v xml:space="preserve"> </v>
      </c>
      <c r="R18" s="121">
        <f>IFERROR(IF(VLOOKUP($B18,'SR-Team Roping-Header'!$B$5:$N$24,8,FALSE)=" ",0,VLOOKUP($B18,'SR-Team Roping-Header'!$B$5:$N$24,8,FALSE)),0)+IFERROR(IF(VLOOKUP($B18,'SR-Team Roping-Heeler'!$B$5:$N$24,8,FALSE)=" ",0,VLOOKUP($B18,'SR-Team Roping-Heeler'!$B$5:$N$24,8,FALSE)),0)+IFERROR(IF(VLOOKUP($B18,'SR B-Calf Roping'!$B$5:$AI$24,26,FALSE)=" ",0,VLOOKUP($B18,'SR B-Calf Roping'!$B$5:$AI$24,26,FALSE)),0)+IFERROR(IF(VLOOKUP($B18,'SR B-Steer Wrestling'!$B$5:$AI$24,26,FALSE)=" ",0,VLOOKUP($B18,'SR B-Steer Wrestling'!$B$5:$AI$24,26,FALSE)),0)+IFERROR(IF(VLOOKUP($B18,'SR B-Chute Dogging'!$B$5:$AI$24,26,FALSE)=" ",0,VLOOKUP($B18,'SR B-Chute Dogging'!$B$5:$AI$24,26,FALSE)),0)</f>
        <v>0</v>
      </c>
      <c r="S18" s="95" t="str">
        <f t="shared" si="10"/>
        <v xml:space="preserve"> </v>
      </c>
      <c r="T18" s="122" t="str">
        <f t="shared" si="11"/>
        <v xml:space="preserve"> </v>
      </c>
      <c r="U18" s="121">
        <f>IFERROR(IF(VLOOKUP($B18,'SR-Team Roping-Header'!$B$5:$N$24,9,FALSE)=" ",0,VLOOKUP($B18,'SR-Team Roping-Header'!$B$5:$N$24,9,FALSE)),0)+IFERROR(IF(VLOOKUP($B18,'SR-Team Roping-Heeler'!$B$5:$N$24,9,FALSE)=" ",0,VLOOKUP($B18,'SR-Team Roping-Heeler'!$B$5:$N$24,9,FALSE)),0)+IFERROR(IF(VLOOKUP($B18,'SR B-Calf Roping'!$B$5:$AI$24,30,FALSE)=" ",0,VLOOKUP($B18,'SR B-Calf Roping'!$B$5:$AI$24,30,FALSE)),0)+IFERROR(IF(VLOOKUP($B18,'SR B-Steer Wrestling'!$B$5:$AI$24,30,FALSE)=" ",0,VLOOKUP($B18,'SR B-Steer Wrestling'!$B$5:$AI$24,30,FALSE)),0)+IFERROR(IF(VLOOKUP($B18,'SR B-Chute Dogging'!$B$5:$AI$24,30,FALSE)=" ",0,VLOOKUP($B18,'SR B-Chute Dogging'!$B$5:$AI$24,30,FALSE)),0)</f>
        <v>0</v>
      </c>
      <c r="V18" s="95" t="str">
        <f t="shared" si="12"/>
        <v xml:space="preserve"> </v>
      </c>
      <c r="W18" s="122" t="str">
        <f t="shared" si="13"/>
        <v xml:space="preserve"> </v>
      </c>
      <c r="X18" s="121">
        <f>IFERROR(IF(VLOOKUP($B18,'SR-Team Roping-Header'!$B$5:$N$24,10,FALSE)=" ",0,VLOOKUP($B18,'SR-Team Roping-Header'!$B$5:$N$24,10,FALSE)),0)+IFERROR(IF(VLOOKUP($B18,'SR-Team Roping-Heeler'!$B$5:$N$24,10,FALSE)=" ",0,VLOOKUP($B18,'SR-Team Roping-Heeler'!$B$5:$N$24,10,FALSE)),0)+IFERROR(IF(VLOOKUP($B18,'SR B-Calf Roping'!$B$5:$AI$24,34,FALSE)=" ",0,VLOOKUP($B18,'SR B-Calf Roping'!$B$5:$AI$24,34,FALSE)),0)+IFERROR(IF(VLOOKUP($B18,'SR B-Steer Wrestling'!$B$5:$AI$24,34,FALSE)=" ",0,VLOOKUP($B18,'SR B-Steer Wrestling'!$B$5:$AI$24,34,FALSE)),0)+IFERROR(IF(VLOOKUP($B18,'SR B-Chute Dogging'!$B$5:$AI$24,34,FALSE)=" ",0,VLOOKUP($B18,'SR B-Chute Dogging'!$B$5:$AI$24,34,FALSE)),0)</f>
        <v>0</v>
      </c>
      <c r="Y18" s="95" t="str">
        <f t="shared" si="14"/>
        <v xml:space="preserve"> </v>
      </c>
      <c r="Z18" s="122" t="str">
        <f t="shared" si="15"/>
        <v xml:space="preserve"> </v>
      </c>
      <c r="AA18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8" s="95" t="str">
        <f t="shared" si="16"/>
        <v xml:space="preserve"> </v>
      </c>
      <c r="AC18" s="122" t="str">
        <f t="shared" si="17"/>
        <v xml:space="preserve"> </v>
      </c>
    </row>
    <row r="19" spans="2:29" x14ac:dyDescent="0.25">
      <c r="B19" s="141"/>
      <c r="C19" s="120">
        <f>IFERROR(IF(VLOOKUP($B19,'SR-Team Roping-Header'!$B$5:$N$24,3,FALSE)=" ",0,VLOOKUP($B19,'SR-Team Roping-Header'!$B$5:$N$24,3,FALSE)),0)+IFERROR(IF(VLOOKUP($B19,'SR-Team Roping-Heeler'!$B$5:$N$24,3,FALSE)=" ",0,VLOOKUP($B19,'SR-Team Roping-Heeler'!$B$5:$N$24,3,FALSE)),0)+IFERROR(IF(VLOOKUP($B19,'SR B-Calf Roping'!$B$5:$AI$24,6,FALSE)=" ",0,VLOOKUP($B19,'SR B-Calf Roping'!$B$5:$AI$24,6,FALSE)),0)+IFERROR(IF(VLOOKUP($B19,'SR B-Steer Wrestling'!$B$5:$AI$24,6,FALSE)=" ",0,VLOOKUP($B19,'SR B-Steer Wrestling'!$B$5:$AI$24,6,FALSE)),0)+IFERROR(IF(VLOOKUP($B19,'SR B-Chute Dogging'!$B$5:$AI$24,6,FALSE)=" ",0,VLOOKUP($B19,'SR B-Chute Dogging'!$B$5:$AI$24,6,FALSE)),0)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IFERROR(IF(VLOOKUP($B19,'SR-Team Roping-Header'!$B$5:$N$24,4,FALSE)=" ",0,VLOOKUP($B19,'SR-Team Roping-Header'!$B$5:$N$24,4,FALSE)),0)+IFERROR(IF(VLOOKUP($B19,'SR-Team Roping-Heeler'!$B$5:$N$24,4,FALSE)=" ",0,VLOOKUP($B19,'SR-Team Roping-Heeler'!$B$5:$N$24,4,FALSE)),0)+IFERROR(IF(VLOOKUP($B19,'SR B-Calf Roping'!$B$5:$AI$24,10,FALSE)=" ",0,VLOOKUP($B19,'SR B-Calf Roping'!$B$5:$AI$24,10,FALSE)),0)+IFERROR(IF(VLOOKUP($B19,'SR B-Steer Wrestling'!$B$5:$AI$24,10,FALSE)=" ",0,VLOOKUP($B19,'SR B-Steer Wrestling'!$B$5:$AI$24,10,FALSE)),0)+IFERROR(IF(VLOOKUP($B19,'SR B-Chute Dogging'!$B$5:$AI$24,10,FALSE)=" ",0,VLOOKUP($B19,'SR B-Chute Dogging'!$B$5:$AI$24,10,FALSE)),0)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IFERROR(IF(VLOOKUP($B19,'SR-Team Roping-Header'!$B$5:$N$24,5,FALSE)=" ",0,VLOOKUP($B19,'SR-Team Roping-Header'!$B$5:$N$24,5,FALSE)),0)+IFERROR(IF(VLOOKUP($B19,'SR-Team Roping-Heeler'!$B$5:$N$24,5,FALSE)=" ",0,VLOOKUP($B19,'SR-Team Roping-Heeler'!$B$5:$N$24,5,FALSE)),0)+IFERROR(IF(VLOOKUP($B19,'SR B-Calf Roping'!$B$5:$AI$24,14,FALSE)=" ",0,VLOOKUP($B19,'SR B-Calf Roping'!$B$5:$AI$24,14,FALSE)),0)+IFERROR(IF(VLOOKUP($B19,'SR B-Steer Wrestling'!$B$5:$AI$24,14,FALSE)=" ",0,VLOOKUP($B19,'SR B-Steer Wrestling'!$B$5:$AI$24,14,FALSE)),0)+IFERROR(IF(VLOOKUP($B19,'SR B-Chute Dogging'!$B$5:$AI$24,14,FALSE)=" ",0,VLOOKUP($B19,'SR B-Chute Dogging'!$B$5:$AI$24,14,FALSE)),0)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IFERROR(IF(VLOOKUP($B19,'SR-Team Roping-Header'!$B$5:$N$24,6,FALSE)=" ",0,VLOOKUP($B19,'SR-Team Roping-Header'!$B$5:$N$24,6,FALSE)),0)+IFERROR(IF(VLOOKUP($B19,'SR-Team Roping-Heeler'!$B$5:$N$24,6,FALSE)=" ",0,VLOOKUP($B19,'SR-Team Roping-Heeler'!$B$5:$N$24,6,FALSE)),0)+IFERROR(IF(VLOOKUP($B19,'SR B-Calf Roping'!$B$5:$AI$24,18,FALSE)=" ",0,VLOOKUP($B19,'SR B-Calf Roping'!$B$5:$AI$24,18,FALSE)),0)+IFERROR(IF(VLOOKUP($B19,'SR B-Steer Wrestling'!$B$5:$AI$24,18,FALSE)=" ",0,VLOOKUP($B19,'SR B-Steer Wrestling'!$B$5:$AI$24,18,FALSE)),0)+IFERROR(IF(VLOOKUP($B19,'SR B-Chute Dogging'!$B$5:$AI$24,18,FALSE)=" ",0,VLOOKUP($B19,'SR B-Chute Dogging'!$B$5:$AI$24,18,FALSE)),0)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IFERROR(IF(VLOOKUP($B19,'SR-Team Roping-Header'!$B$5:$N$24,7,FALSE)=" ",0,VLOOKUP($B19,'SR-Team Roping-Header'!$B$5:$N$24,7,FALSE)),0)+IFERROR(IF(VLOOKUP($B19,'SR-Team Roping-Heeler'!$B$5:$N$24,7,FALSE)=" ",0,VLOOKUP($B19,'SR-Team Roping-Heeler'!$B$5:$N$24,7,FALSE)),0)+IFERROR(IF(VLOOKUP($B19,'SR B-Calf Roping'!$B$5:$AI$24,22,FALSE)=" ",0,VLOOKUP($B19,'SR B-Calf Roping'!$B$5:$AI$24,22,FALSE)),0)+IFERROR(IF(VLOOKUP($B19,'SR B-Steer Wrestling'!$B$5:$AI$24,22,FALSE)=" ",0,VLOOKUP($B19,'SR B-Steer Wrestling'!$B$5:$AI$24,22,FALSE)),0)+IFERROR(IF(VLOOKUP($B19,'SR B-Chute Dogging'!$B$5:$AI$24,22,FALSE)=" ",0,VLOOKUP($B19,'SR B-Chute Dogging'!$B$5:$AI$24,22,FALSE)),0)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IFERROR(IF(VLOOKUP($B19,'SR-Team Roping-Header'!$B$5:$N$24,8,FALSE)=" ",0,VLOOKUP($B19,'SR-Team Roping-Header'!$B$5:$N$24,8,FALSE)),0)+IFERROR(IF(VLOOKUP($B19,'SR-Team Roping-Heeler'!$B$5:$N$24,8,FALSE)=" ",0,VLOOKUP($B19,'SR-Team Roping-Heeler'!$B$5:$N$24,8,FALSE)),0)+IFERROR(IF(VLOOKUP($B19,'SR B-Calf Roping'!$B$5:$AI$24,26,FALSE)=" ",0,VLOOKUP($B19,'SR B-Calf Roping'!$B$5:$AI$24,26,FALSE)),0)+IFERROR(IF(VLOOKUP($B19,'SR B-Steer Wrestling'!$B$5:$AI$24,26,FALSE)=" ",0,VLOOKUP($B19,'SR B-Steer Wrestling'!$B$5:$AI$24,26,FALSE)),0)+IFERROR(IF(VLOOKUP($B19,'SR B-Chute Dogging'!$B$5:$AI$24,26,FALSE)=" ",0,VLOOKUP($B19,'SR B-Chute Dogging'!$B$5:$AI$24,26,FALSE)),0)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IFERROR(IF(VLOOKUP($B19,'SR-Team Roping-Header'!$B$5:$N$24,9,FALSE)=" ",0,VLOOKUP($B19,'SR-Team Roping-Header'!$B$5:$N$24,9,FALSE)),0)+IFERROR(IF(VLOOKUP($B19,'SR-Team Roping-Heeler'!$B$5:$N$24,9,FALSE)=" ",0,VLOOKUP($B19,'SR-Team Roping-Heeler'!$B$5:$N$24,9,FALSE)),0)+IFERROR(IF(VLOOKUP($B19,'SR B-Calf Roping'!$B$5:$AI$24,30,FALSE)=" ",0,VLOOKUP($B19,'SR B-Calf Roping'!$B$5:$AI$24,30,FALSE)),0)+IFERROR(IF(VLOOKUP($B19,'SR B-Steer Wrestling'!$B$5:$AI$24,30,FALSE)=" ",0,VLOOKUP($B19,'SR B-Steer Wrestling'!$B$5:$AI$24,30,FALSE)),0)+IFERROR(IF(VLOOKUP($B19,'SR B-Chute Dogging'!$B$5:$AI$24,30,FALSE)=" ",0,VLOOKUP($B19,'SR B-Chute Dogging'!$B$5:$AI$24,30,FALSE)),0)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IFERROR(IF(VLOOKUP($B19,'SR-Team Roping-Header'!$B$5:$N$24,10,FALSE)=" ",0,VLOOKUP($B19,'SR-Team Roping-Header'!$B$5:$N$24,10,FALSE)),0)+IFERROR(IF(VLOOKUP($B19,'SR-Team Roping-Heeler'!$B$5:$N$24,10,FALSE)=" ",0,VLOOKUP($B19,'SR-Team Roping-Heeler'!$B$5:$N$24,10,FALSE)),0)+IFERROR(IF(VLOOKUP($B19,'SR B-Calf Roping'!$B$5:$AI$24,34,FALSE)=" ",0,VLOOKUP($B19,'SR B-Calf Roping'!$B$5:$AI$24,34,FALSE)),0)+IFERROR(IF(VLOOKUP($B19,'SR B-Steer Wrestling'!$B$5:$AI$24,34,FALSE)=" ",0,VLOOKUP($B19,'SR B-Steer Wrestling'!$B$5:$AI$24,34,FALSE)),0)+IFERROR(IF(VLOOKUP($B19,'SR B-Chute Dogging'!$B$5:$AI$24,34,FALSE)=" ",0,VLOOKUP($B19,'SR B-Chute Dogging'!$B$5:$AI$24,34,FALSE)),0)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25">
      <c r="B20" s="141"/>
      <c r="C20" s="120">
        <f>IFERROR(IF(VLOOKUP($B20,'SR-Team Roping-Header'!$B$5:$N$24,3,FALSE)=" ",0,VLOOKUP($B20,'SR-Team Roping-Header'!$B$5:$N$24,3,FALSE)),0)+IFERROR(IF(VLOOKUP($B20,'SR-Team Roping-Heeler'!$B$5:$N$24,3,FALSE)=" ",0,VLOOKUP($B20,'SR-Team Roping-Heeler'!$B$5:$N$24,3,FALSE)),0)+IFERROR(IF(VLOOKUP($B20,'SR B-Calf Roping'!$B$5:$AI$24,6,FALSE)=" ",0,VLOOKUP($B20,'SR B-Calf Roping'!$B$5:$AI$24,6,FALSE)),0)+IFERROR(IF(VLOOKUP($B20,'SR B-Steer Wrestling'!$B$5:$AI$24,6,FALSE)=" ",0,VLOOKUP($B20,'SR B-Steer Wrestling'!$B$5:$AI$24,6,FALSE)),0)+IFERROR(IF(VLOOKUP($B20,'SR B-Chute Dogging'!$B$5:$AI$24,6,FALSE)=" ",0,VLOOKUP($B20,'SR B-Chute Dogging'!$B$5:$AI$24,6,FALSE)),0)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IFERROR(IF(VLOOKUP($B20,'SR-Team Roping-Header'!$B$5:$N$24,4,FALSE)=" ",0,VLOOKUP($B20,'SR-Team Roping-Header'!$B$5:$N$24,4,FALSE)),0)+IFERROR(IF(VLOOKUP($B20,'SR-Team Roping-Heeler'!$B$5:$N$24,4,FALSE)=" ",0,VLOOKUP($B20,'SR-Team Roping-Heeler'!$B$5:$N$24,4,FALSE)),0)+IFERROR(IF(VLOOKUP($B20,'SR B-Calf Roping'!$B$5:$AI$24,10,FALSE)=" ",0,VLOOKUP($B20,'SR B-Calf Roping'!$B$5:$AI$24,10,FALSE)),0)+IFERROR(IF(VLOOKUP($B20,'SR B-Steer Wrestling'!$B$5:$AI$24,10,FALSE)=" ",0,VLOOKUP($B20,'SR B-Steer Wrestling'!$B$5:$AI$24,10,FALSE)),0)+IFERROR(IF(VLOOKUP($B20,'SR B-Chute Dogging'!$B$5:$AI$24,10,FALSE)=" ",0,VLOOKUP($B20,'SR B-Chute Dogging'!$B$5:$AI$24,10,FALSE)),0)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IFERROR(IF(VLOOKUP($B20,'SR-Team Roping-Header'!$B$5:$N$24,5,FALSE)=" ",0,VLOOKUP($B20,'SR-Team Roping-Header'!$B$5:$N$24,5,FALSE)),0)+IFERROR(IF(VLOOKUP($B20,'SR-Team Roping-Heeler'!$B$5:$N$24,5,FALSE)=" ",0,VLOOKUP($B20,'SR-Team Roping-Heeler'!$B$5:$N$24,5,FALSE)),0)+IFERROR(IF(VLOOKUP($B20,'SR B-Calf Roping'!$B$5:$AI$24,14,FALSE)=" ",0,VLOOKUP($B20,'SR B-Calf Roping'!$B$5:$AI$24,14,FALSE)),0)+IFERROR(IF(VLOOKUP($B20,'SR B-Steer Wrestling'!$B$5:$AI$24,14,FALSE)=" ",0,VLOOKUP($B20,'SR B-Steer Wrestling'!$B$5:$AI$24,14,FALSE)),0)+IFERROR(IF(VLOOKUP($B20,'SR B-Chute Dogging'!$B$5:$AI$24,14,FALSE)=" ",0,VLOOKUP($B20,'SR B-Chute Dogging'!$B$5:$AI$24,14,FALSE)),0)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IFERROR(IF(VLOOKUP($B20,'SR-Team Roping-Header'!$B$5:$N$24,6,FALSE)=" ",0,VLOOKUP($B20,'SR-Team Roping-Header'!$B$5:$N$24,6,FALSE)),0)+IFERROR(IF(VLOOKUP($B20,'SR-Team Roping-Heeler'!$B$5:$N$24,6,FALSE)=" ",0,VLOOKUP($B20,'SR-Team Roping-Heeler'!$B$5:$N$24,6,FALSE)),0)+IFERROR(IF(VLOOKUP($B20,'SR B-Calf Roping'!$B$5:$AI$24,18,FALSE)=" ",0,VLOOKUP($B20,'SR B-Calf Roping'!$B$5:$AI$24,18,FALSE)),0)+IFERROR(IF(VLOOKUP($B20,'SR B-Steer Wrestling'!$B$5:$AI$24,18,FALSE)=" ",0,VLOOKUP($B20,'SR B-Steer Wrestling'!$B$5:$AI$24,18,FALSE)),0)+IFERROR(IF(VLOOKUP($B20,'SR B-Chute Dogging'!$B$5:$AI$24,18,FALSE)=" ",0,VLOOKUP($B20,'SR B-Chute Dogging'!$B$5:$AI$24,18,FALSE)),0)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IFERROR(IF(VLOOKUP($B20,'SR-Team Roping-Header'!$B$5:$N$24,7,FALSE)=" ",0,VLOOKUP($B20,'SR-Team Roping-Header'!$B$5:$N$24,7,FALSE)),0)+IFERROR(IF(VLOOKUP($B20,'SR-Team Roping-Heeler'!$B$5:$N$24,7,FALSE)=" ",0,VLOOKUP($B20,'SR-Team Roping-Heeler'!$B$5:$N$24,7,FALSE)),0)+IFERROR(IF(VLOOKUP($B20,'SR B-Calf Roping'!$B$5:$AI$24,22,FALSE)=" ",0,VLOOKUP($B20,'SR B-Calf Roping'!$B$5:$AI$24,22,FALSE)),0)+IFERROR(IF(VLOOKUP($B20,'SR B-Steer Wrestling'!$B$5:$AI$24,22,FALSE)=" ",0,VLOOKUP($B20,'SR B-Steer Wrestling'!$B$5:$AI$24,22,FALSE)),0)+IFERROR(IF(VLOOKUP($B20,'SR B-Chute Dogging'!$B$5:$AI$24,22,FALSE)=" ",0,VLOOKUP($B20,'SR B-Chute Dogging'!$B$5:$AI$24,22,FALSE)),0)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IFERROR(IF(VLOOKUP($B20,'SR-Team Roping-Header'!$B$5:$N$24,8,FALSE)=" ",0,VLOOKUP($B20,'SR-Team Roping-Header'!$B$5:$N$24,8,FALSE)),0)+IFERROR(IF(VLOOKUP($B20,'SR-Team Roping-Heeler'!$B$5:$N$24,8,FALSE)=" ",0,VLOOKUP($B20,'SR-Team Roping-Heeler'!$B$5:$N$24,8,FALSE)),0)+IFERROR(IF(VLOOKUP($B20,'SR B-Calf Roping'!$B$5:$AI$24,26,FALSE)=" ",0,VLOOKUP($B20,'SR B-Calf Roping'!$B$5:$AI$24,26,FALSE)),0)+IFERROR(IF(VLOOKUP($B20,'SR B-Steer Wrestling'!$B$5:$AI$24,26,FALSE)=" ",0,VLOOKUP($B20,'SR B-Steer Wrestling'!$B$5:$AI$24,26,FALSE)),0)+IFERROR(IF(VLOOKUP($B20,'SR B-Chute Dogging'!$B$5:$AI$24,26,FALSE)=" ",0,VLOOKUP($B20,'SR B-Chute Dogging'!$B$5:$AI$24,26,FALSE)),0)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IFERROR(IF(VLOOKUP($B20,'SR-Team Roping-Header'!$B$5:$N$24,9,FALSE)=" ",0,VLOOKUP($B20,'SR-Team Roping-Header'!$B$5:$N$24,9,FALSE)),0)+IFERROR(IF(VLOOKUP($B20,'SR-Team Roping-Heeler'!$B$5:$N$24,9,FALSE)=" ",0,VLOOKUP($B20,'SR-Team Roping-Heeler'!$B$5:$N$24,9,FALSE)),0)+IFERROR(IF(VLOOKUP($B20,'SR B-Calf Roping'!$B$5:$AI$24,30,FALSE)=" ",0,VLOOKUP($B20,'SR B-Calf Roping'!$B$5:$AI$24,30,FALSE)),0)+IFERROR(IF(VLOOKUP($B20,'SR B-Steer Wrestling'!$B$5:$AI$24,30,FALSE)=" ",0,VLOOKUP($B20,'SR B-Steer Wrestling'!$B$5:$AI$24,30,FALSE)),0)+IFERROR(IF(VLOOKUP($B20,'SR B-Chute Dogging'!$B$5:$AI$24,30,FALSE)=" ",0,VLOOKUP($B20,'SR B-Chute Dogging'!$B$5:$AI$24,30,FALSE)),0)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IFERROR(IF(VLOOKUP($B20,'SR-Team Roping-Header'!$B$5:$N$24,10,FALSE)=" ",0,VLOOKUP($B20,'SR-Team Roping-Header'!$B$5:$N$24,10,FALSE)),0)+IFERROR(IF(VLOOKUP($B20,'SR-Team Roping-Heeler'!$B$5:$N$24,10,FALSE)=" ",0,VLOOKUP($B20,'SR-Team Roping-Heeler'!$B$5:$N$24,10,FALSE)),0)+IFERROR(IF(VLOOKUP($B20,'SR B-Calf Roping'!$B$5:$AI$24,34,FALSE)=" ",0,VLOOKUP($B20,'SR B-Calf Roping'!$B$5:$AI$24,34,FALSE)),0)+IFERROR(IF(VLOOKUP($B20,'SR B-Steer Wrestling'!$B$5:$AI$24,34,FALSE)=" ",0,VLOOKUP($B20,'SR B-Steer Wrestling'!$B$5:$AI$24,34,FALSE)),0)+IFERROR(IF(VLOOKUP($B20,'SR B-Chute Dogging'!$B$5:$AI$24,34,FALSE)=" ",0,VLOOKUP($B20,'SR B-Chute Dogging'!$B$5:$AI$24,34,FALSE)),0)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25">
      <c r="B21" s="141"/>
      <c r="C21" s="120">
        <f>IFERROR(IF(VLOOKUP($B21,'SR-Team Roping-Header'!$B$5:$N$24,3,FALSE)=" ",0,VLOOKUP($B21,'SR-Team Roping-Header'!$B$5:$N$24,3,FALSE)),0)+IFERROR(IF(VLOOKUP($B21,'SR-Team Roping-Heeler'!$B$5:$N$24,3,FALSE)=" ",0,VLOOKUP($B21,'SR-Team Roping-Heeler'!$B$5:$N$24,3,FALSE)),0)+IFERROR(IF(VLOOKUP($B21,'SR B-Calf Roping'!$B$5:$AI$24,6,FALSE)=" ",0,VLOOKUP($B21,'SR B-Calf Roping'!$B$5:$AI$24,6,FALSE)),0)+IFERROR(IF(VLOOKUP($B21,'SR B-Steer Wrestling'!$B$5:$AI$24,6,FALSE)=" ",0,VLOOKUP($B21,'SR B-Steer Wrestling'!$B$5:$AI$24,6,FALSE)),0)+IFERROR(IF(VLOOKUP($B21,'SR B-Chute Dogging'!$B$5:$AI$24,6,FALSE)=" ",0,VLOOKUP($B21,'SR B-Chute Dogging'!$B$5:$AI$24,6,FALSE)),0)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IFERROR(IF(VLOOKUP($B21,'SR-Team Roping-Header'!$B$5:$N$24,4,FALSE)=" ",0,VLOOKUP($B21,'SR-Team Roping-Header'!$B$5:$N$24,4,FALSE)),0)+IFERROR(IF(VLOOKUP($B21,'SR-Team Roping-Heeler'!$B$5:$N$24,4,FALSE)=" ",0,VLOOKUP($B21,'SR-Team Roping-Heeler'!$B$5:$N$24,4,FALSE)),0)+IFERROR(IF(VLOOKUP($B21,'SR B-Calf Roping'!$B$5:$AI$24,10,FALSE)=" ",0,VLOOKUP($B21,'SR B-Calf Roping'!$B$5:$AI$24,10,FALSE)),0)+IFERROR(IF(VLOOKUP($B21,'SR B-Steer Wrestling'!$B$5:$AI$24,10,FALSE)=" ",0,VLOOKUP($B21,'SR B-Steer Wrestling'!$B$5:$AI$24,10,FALSE)),0)+IFERROR(IF(VLOOKUP($B21,'SR B-Chute Dogging'!$B$5:$AI$24,10,FALSE)=" ",0,VLOOKUP($B21,'SR B-Chute Dogging'!$B$5:$AI$24,10,FALSE)),0)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IFERROR(IF(VLOOKUP($B21,'SR-Team Roping-Header'!$B$5:$N$24,5,FALSE)=" ",0,VLOOKUP($B21,'SR-Team Roping-Header'!$B$5:$N$24,5,FALSE)),0)+IFERROR(IF(VLOOKUP($B21,'SR-Team Roping-Heeler'!$B$5:$N$24,5,FALSE)=" ",0,VLOOKUP($B21,'SR-Team Roping-Heeler'!$B$5:$N$24,5,FALSE)),0)+IFERROR(IF(VLOOKUP($B21,'SR B-Calf Roping'!$B$5:$AI$24,14,FALSE)=" ",0,VLOOKUP($B21,'SR B-Calf Roping'!$B$5:$AI$24,14,FALSE)),0)+IFERROR(IF(VLOOKUP($B21,'SR B-Steer Wrestling'!$B$5:$AI$24,14,FALSE)=" ",0,VLOOKUP($B21,'SR B-Steer Wrestling'!$B$5:$AI$24,14,FALSE)),0)+IFERROR(IF(VLOOKUP($B21,'SR B-Chute Dogging'!$B$5:$AI$24,14,FALSE)=" ",0,VLOOKUP($B21,'SR B-Chute Dogging'!$B$5:$AI$24,14,FALSE)),0)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IFERROR(IF(VLOOKUP($B21,'SR-Team Roping-Header'!$B$5:$N$24,6,FALSE)=" ",0,VLOOKUP($B21,'SR-Team Roping-Header'!$B$5:$N$24,6,FALSE)),0)+IFERROR(IF(VLOOKUP($B21,'SR-Team Roping-Heeler'!$B$5:$N$24,6,FALSE)=" ",0,VLOOKUP($B21,'SR-Team Roping-Heeler'!$B$5:$N$24,6,FALSE)),0)+IFERROR(IF(VLOOKUP($B21,'SR B-Calf Roping'!$B$5:$AI$24,18,FALSE)=" ",0,VLOOKUP($B21,'SR B-Calf Roping'!$B$5:$AI$24,18,FALSE)),0)+IFERROR(IF(VLOOKUP($B21,'SR B-Steer Wrestling'!$B$5:$AI$24,18,FALSE)=" ",0,VLOOKUP($B21,'SR B-Steer Wrestling'!$B$5:$AI$24,18,FALSE)),0)+IFERROR(IF(VLOOKUP($B21,'SR B-Chute Dogging'!$B$5:$AI$24,18,FALSE)=" ",0,VLOOKUP($B21,'SR B-Chute Dogging'!$B$5:$AI$24,18,FALSE)),0)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IFERROR(IF(VLOOKUP($B21,'SR-Team Roping-Header'!$B$5:$N$24,7,FALSE)=" ",0,VLOOKUP($B21,'SR-Team Roping-Header'!$B$5:$N$24,7,FALSE)),0)+IFERROR(IF(VLOOKUP($B21,'SR-Team Roping-Heeler'!$B$5:$N$24,7,FALSE)=" ",0,VLOOKUP($B21,'SR-Team Roping-Heeler'!$B$5:$N$24,7,FALSE)),0)+IFERROR(IF(VLOOKUP($B21,'SR B-Calf Roping'!$B$5:$AI$24,22,FALSE)=" ",0,VLOOKUP($B21,'SR B-Calf Roping'!$B$5:$AI$24,22,FALSE)),0)+IFERROR(IF(VLOOKUP($B21,'SR B-Steer Wrestling'!$B$5:$AI$24,22,FALSE)=" ",0,VLOOKUP($B21,'SR B-Steer Wrestling'!$B$5:$AI$24,22,FALSE)),0)+IFERROR(IF(VLOOKUP($B21,'SR B-Chute Dogging'!$B$5:$AI$24,22,FALSE)=" ",0,VLOOKUP($B21,'SR B-Chute Dogging'!$B$5:$AI$24,22,FALSE)),0)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IFERROR(IF(VLOOKUP($B21,'SR-Team Roping-Header'!$B$5:$N$24,8,FALSE)=" ",0,VLOOKUP($B21,'SR-Team Roping-Header'!$B$5:$N$24,8,FALSE)),0)+IFERROR(IF(VLOOKUP($B21,'SR-Team Roping-Heeler'!$B$5:$N$24,8,FALSE)=" ",0,VLOOKUP($B21,'SR-Team Roping-Heeler'!$B$5:$N$24,8,FALSE)),0)+IFERROR(IF(VLOOKUP($B21,'SR B-Calf Roping'!$B$5:$AI$24,26,FALSE)=" ",0,VLOOKUP($B21,'SR B-Calf Roping'!$B$5:$AI$24,26,FALSE)),0)+IFERROR(IF(VLOOKUP($B21,'SR B-Steer Wrestling'!$B$5:$AI$24,26,FALSE)=" ",0,VLOOKUP($B21,'SR B-Steer Wrestling'!$B$5:$AI$24,26,FALSE)),0)+IFERROR(IF(VLOOKUP($B21,'SR B-Chute Dogging'!$B$5:$AI$24,26,FALSE)=" ",0,VLOOKUP($B21,'SR B-Chute Dogging'!$B$5:$AI$24,26,FALSE)),0)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IFERROR(IF(VLOOKUP($B21,'SR-Team Roping-Header'!$B$5:$N$24,9,FALSE)=" ",0,VLOOKUP($B21,'SR-Team Roping-Header'!$B$5:$N$24,9,FALSE)),0)+IFERROR(IF(VLOOKUP($B21,'SR-Team Roping-Heeler'!$B$5:$N$24,9,FALSE)=" ",0,VLOOKUP($B21,'SR-Team Roping-Heeler'!$B$5:$N$24,9,FALSE)),0)+IFERROR(IF(VLOOKUP($B21,'SR B-Calf Roping'!$B$5:$AI$24,30,FALSE)=" ",0,VLOOKUP($B21,'SR B-Calf Roping'!$B$5:$AI$24,30,FALSE)),0)+IFERROR(IF(VLOOKUP($B21,'SR B-Steer Wrestling'!$B$5:$AI$24,30,FALSE)=" ",0,VLOOKUP($B21,'SR B-Steer Wrestling'!$B$5:$AI$24,30,FALSE)),0)+IFERROR(IF(VLOOKUP($B21,'SR B-Chute Dogging'!$B$5:$AI$24,30,FALSE)=" ",0,VLOOKUP($B21,'SR B-Chute Dogging'!$B$5:$AI$24,30,FALSE)),0)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IFERROR(IF(VLOOKUP($B21,'SR-Team Roping-Header'!$B$5:$N$24,10,FALSE)=" ",0,VLOOKUP($B21,'SR-Team Roping-Header'!$B$5:$N$24,10,FALSE)),0)+IFERROR(IF(VLOOKUP($B21,'SR-Team Roping-Heeler'!$B$5:$N$24,10,FALSE)=" ",0,VLOOKUP($B21,'SR-Team Roping-Heeler'!$B$5:$N$24,10,FALSE)),0)+IFERROR(IF(VLOOKUP($B21,'SR B-Calf Roping'!$B$5:$AI$24,34,FALSE)=" ",0,VLOOKUP($B21,'SR B-Calf Roping'!$B$5:$AI$24,34,FALSE)),0)+IFERROR(IF(VLOOKUP($B21,'SR B-Steer Wrestling'!$B$5:$AI$24,34,FALSE)=" ",0,VLOOKUP($B21,'SR B-Steer Wrestling'!$B$5:$AI$24,34,FALSE)),0)+IFERROR(IF(VLOOKUP($B21,'SR B-Chute Dogging'!$B$5:$AI$24,34,FALSE)=" ",0,VLOOKUP($B21,'SR B-Chute Dogging'!$B$5:$AI$24,34,FALSE)),0)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25">
      <c r="B22" s="141"/>
      <c r="C22" s="120">
        <f>IFERROR(IF(VLOOKUP($B22,'SR-Team Roping-Header'!$B$5:$N$24,3,FALSE)=" ",0,VLOOKUP($B22,'SR-Team Roping-Header'!$B$5:$N$24,3,FALSE)),0)+IFERROR(IF(VLOOKUP($B22,'SR-Team Roping-Heeler'!$B$5:$N$24,3,FALSE)=" ",0,VLOOKUP($B22,'SR-Team Roping-Heeler'!$B$5:$N$24,3,FALSE)),0)+IFERROR(IF(VLOOKUP($B22,'SR B-Calf Roping'!$B$5:$AI$24,6,FALSE)=" ",0,VLOOKUP($B22,'SR B-Calf Roping'!$B$5:$AI$24,6,FALSE)),0)+IFERROR(IF(VLOOKUP($B22,'SR B-Steer Wrestling'!$B$5:$AI$24,6,FALSE)=" ",0,VLOOKUP($B22,'SR B-Steer Wrestling'!$B$5:$AI$24,6,FALSE)),0)+IFERROR(IF(VLOOKUP($B22,'SR B-Chute Dogging'!$B$5:$AI$24,6,FALSE)=" ",0,VLOOKUP($B22,'SR B-Chute Dogging'!$B$5:$AI$24,6,FALSE)),0)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IFERROR(IF(VLOOKUP($B22,'SR-Team Roping-Header'!$B$5:$N$24,4,FALSE)=" ",0,VLOOKUP($B22,'SR-Team Roping-Header'!$B$5:$N$24,4,FALSE)),0)+IFERROR(IF(VLOOKUP($B22,'SR-Team Roping-Heeler'!$B$5:$N$24,4,FALSE)=" ",0,VLOOKUP($B22,'SR-Team Roping-Heeler'!$B$5:$N$24,4,FALSE)),0)+IFERROR(IF(VLOOKUP($B22,'SR B-Calf Roping'!$B$5:$AI$24,10,FALSE)=" ",0,VLOOKUP($B22,'SR B-Calf Roping'!$B$5:$AI$24,10,FALSE)),0)+IFERROR(IF(VLOOKUP($B22,'SR B-Steer Wrestling'!$B$5:$AI$24,10,FALSE)=" ",0,VLOOKUP($B22,'SR B-Steer Wrestling'!$B$5:$AI$24,10,FALSE)),0)+IFERROR(IF(VLOOKUP($B22,'SR B-Chute Dogging'!$B$5:$AI$24,10,FALSE)=" ",0,VLOOKUP($B22,'SR B-Chute Dogging'!$B$5:$AI$24,10,FALSE)),0)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IFERROR(IF(VLOOKUP($B22,'SR-Team Roping-Header'!$B$5:$N$24,5,FALSE)=" ",0,VLOOKUP($B22,'SR-Team Roping-Header'!$B$5:$N$24,5,FALSE)),0)+IFERROR(IF(VLOOKUP($B22,'SR-Team Roping-Heeler'!$B$5:$N$24,5,FALSE)=" ",0,VLOOKUP($B22,'SR-Team Roping-Heeler'!$B$5:$N$24,5,FALSE)),0)+IFERROR(IF(VLOOKUP($B22,'SR B-Calf Roping'!$B$5:$AI$24,14,FALSE)=" ",0,VLOOKUP($B22,'SR B-Calf Roping'!$B$5:$AI$24,14,FALSE)),0)+IFERROR(IF(VLOOKUP($B22,'SR B-Steer Wrestling'!$B$5:$AI$24,14,FALSE)=" ",0,VLOOKUP($B22,'SR B-Steer Wrestling'!$B$5:$AI$24,14,FALSE)),0)+IFERROR(IF(VLOOKUP($B22,'SR B-Chute Dogging'!$B$5:$AI$24,14,FALSE)=" ",0,VLOOKUP($B22,'SR B-Chute Dogging'!$B$5:$AI$24,14,FALSE)),0)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IFERROR(IF(VLOOKUP($B22,'SR-Team Roping-Header'!$B$5:$N$24,6,FALSE)=" ",0,VLOOKUP($B22,'SR-Team Roping-Header'!$B$5:$N$24,6,FALSE)),0)+IFERROR(IF(VLOOKUP($B22,'SR-Team Roping-Heeler'!$B$5:$N$24,6,FALSE)=" ",0,VLOOKUP($B22,'SR-Team Roping-Heeler'!$B$5:$N$24,6,FALSE)),0)+IFERROR(IF(VLOOKUP($B22,'SR B-Calf Roping'!$B$5:$AI$24,18,FALSE)=" ",0,VLOOKUP($B22,'SR B-Calf Roping'!$B$5:$AI$24,18,FALSE)),0)+IFERROR(IF(VLOOKUP($B22,'SR B-Steer Wrestling'!$B$5:$AI$24,18,FALSE)=" ",0,VLOOKUP($B22,'SR B-Steer Wrestling'!$B$5:$AI$24,18,FALSE)),0)+IFERROR(IF(VLOOKUP($B22,'SR B-Chute Dogging'!$B$5:$AI$24,18,FALSE)=" ",0,VLOOKUP($B22,'SR B-Chute Dogging'!$B$5:$AI$24,18,FALSE)),0)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IFERROR(IF(VLOOKUP($B22,'SR-Team Roping-Header'!$B$5:$N$24,7,FALSE)=" ",0,VLOOKUP($B22,'SR-Team Roping-Header'!$B$5:$N$24,7,FALSE)),0)+IFERROR(IF(VLOOKUP($B22,'SR-Team Roping-Heeler'!$B$5:$N$24,7,FALSE)=" ",0,VLOOKUP($B22,'SR-Team Roping-Heeler'!$B$5:$N$24,7,FALSE)),0)+IFERROR(IF(VLOOKUP($B22,'SR B-Calf Roping'!$B$5:$AI$24,22,FALSE)=" ",0,VLOOKUP($B22,'SR B-Calf Roping'!$B$5:$AI$24,22,FALSE)),0)+IFERROR(IF(VLOOKUP($B22,'SR B-Steer Wrestling'!$B$5:$AI$24,22,FALSE)=" ",0,VLOOKUP($B22,'SR B-Steer Wrestling'!$B$5:$AI$24,22,FALSE)),0)+IFERROR(IF(VLOOKUP($B22,'SR B-Chute Dogging'!$B$5:$AI$24,22,FALSE)=" ",0,VLOOKUP($B22,'SR B-Chute Dogging'!$B$5:$AI$24,22,FALSE)),0)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IFERROR(IF(VLOOKUP($B22,'SR-Team Roping-Header'!$B$5:$N$24,8,FALSE)=" ",0,VLOOKUP($B22,'SR-Team Roping-Header'!$B$5:$N$24,8,FALSE)),0)+IFERROR(IF(VLOOKUP($B22,'SR-Team Roping-Heeler'!$B$5:$N$24,8,FALSE)=" ",0,VLOOKUP($B22,'SR-Team Roping-Heeler'!$B$5:$N$24,8,FALSE)),0)+IFERROR(IF(VLOOKUP($B22,'SR B-Calf Roping'!$B$5:$AI$24,26,FALSE)=" ",0,VLOOKUP($B22,'SR B-Calf Roping'!$B$5:$AI$24,26,FALSE)),0)+IFERROR(IF(VLOOKUP($B22,'SR B-Steer Wrestling'!$B$5:$AI$24,26,FALSE)=" ",0,VLOOKUP($B22,'SR B-Steer Wrestling'!$B$5:$AI$24,26,FALSE)),0)+IFERROR(IF(VLOOKUP($B22,'SR B-Chute Dogging'!$B$5:$AI$24,26,FALSE)=" ",0,VLOOKUP($B22,'SR B-Chute Dogging'!$B$5:$AI$24,26,FALSE)),0)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IFERROR(IF(VLOOKUP($B22,'SR-Team Roping-Header'!$B$5:$N$24,9,FALSE)=" ",0,VLOOKUP($B22,'SR-Team Roping-Header'!$B$5:$N$24,9,FALSE)),0)+IFERROR(IF(VLOOKUP($B22,'SR-Team Roping-Heeler'!$B$5:$N$24,9,FALSE)=" ",0,VLOOKUP($B22,'SR-Team Roping-Heeler'!$B$5:$N$24,9,FALSE)),0)+IFERROR(IF(VLOOKUP($B22,'SR B-Calf Roping'!$B$5:$AI$24,30,FALSE)=" ",0,VLOOKUP($B22,'SR B-Calf Roping'!$B$5:$AI$24,30,FALSE)),0)+IFERROR(IF(VLOOKUP($B22,'SR B-Steer Wrestling'!$B$5:$AI$24,30,FALSE)=" ",0,VLOOKUP($B22,'SR B-Steer Wrestling'!$B$5:$AI$24,30,FALSE)),0)+IFERROR(IF(VLOOKUP($B22,'SR B-Chute Dogging'!$B$5:$AI$24,30,FALSE)=" ",0,VLOOKUP($B22,'SR B-Chute Dogging'!$B$5:$AI$24,30,FALSE)),0)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IFERROR(IF(VLOOKUP($B22,'SR-Team Roping-Header'!$B$5:$N$24,10,FALSE)=" ",0,VLOOKUP($B22,'SR-Team Roping-Header'!$B$5:$N$24,10,FALSE)),0)+IFERROR(IF(VLOOKUP($B22,'SR-Team Roping-Heeler'!$B$5:$N$24,10,FALSE)=" ",0,VLOOKUP($B22,'SR-Team Roping-Heeler'!$B$5:$N$24,10,FALSE)),0)+IFERROR(IF(VLOOKUP($B22,'SR B-Calf Roping'!$B$5:$AI$24,34,FALSE)=" ",0,VLOOKUP($B22,'SR B-Calf Roping'!$B$5:$AI$24,34,FALSE)),0)+IFERROR(IF(VLOOKUP($B22,'SR B-Steer Wrestling'!$B$5:$AI$24,34,FALSE)=" ",0,VLOOKUP($B22,'SR B-Steer Wrestling'!$B$5:$AI$24,34,FALSE)),0)+IFERROR(IF(VLOOKUP($B22,'SR B-Chute Dogging'!$B$5:$AI$24,34,FALSE)=" ",0,VLOOKUP($B22,'SR B-Chute Dogging'!$B$5:$AI$24,34,FALSE)),0)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25">
      <c r="B23" s="141"/>
      <c r="C23" s="120">
        <f>IFERROR(IF(VLOOKUP($B23,'SR-Team Roping-Header'!$B$5:$N$24,3,FALSE)=" ",0,VLOOKUP($B23,'SR-Team Roping-Header'!$B$5:$N$24,3,FALSE)),0)+IFERROR(IF(VLOOKUP($B23,'SR-Team Roping-Heeler'!$B$5:$N$24,3,FALSE)=" ",0,VLOOKUP($B23,'SR-Team Roping-Heeler'!$B$5:$N$24,3,FALSE)),0)+IFERROR(IF(VLOOKUP($B23,'SR B-Calf Roping'!$B$5:$AI$24,6,FALSE)=" ",0,VLOOKUP($B23,'SR B-Calf Roping'!$B$5:$AI$24,6,FALSE)),0)+IFERROR(IF(VLOOKUP($B23,'SR B-Steer Wrestling'!$B$5:$AI$24,6,FALSE)=" ",0,VLOOKUP($B23,'SR B-Steer Wrestling'!$B$5:$AI$24,6,FALSE)),0)+IFERROR(IF(VLOOKUP($B23,'SR B-Chute Dogging'!$B$5:$AI$24,6,FALSE)=" ",0,VLOOKUP($B23,'SR B-Chute Dogging'!$B$5:$AI$24,6,FALSE)),0)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IFERROR(IF(VLOOKUP($B23,'SR-Team Roping-Header'!$B$5:$N$24,4,FALSE)=" ",0,VLOOKUP($B23,'SR-Team Roping-Header'!$B$5:$N$24,4,FALSE)),0)+IFERROR(IF(VLOOKUP($B23,'SR-Team Roping-Heeler'!$B$5:$N$24,4,FALSE)=" ",0,VLOOKUP($B23,'SR-Team Roping-Heeler'!$B$5:$N$24,4,FALSE)),0)+IFERROR(IF(VLOOKUP($B23,'SR B-Calf Roping'!$B$5:$AI$24,10,FALSE)=" ",0,VLOOKUP($B23,'SR B-Calf Roping'!$B$5:$AI$24,10,FALSE)),0)+IFERROR(IF(VLOOKUP($B23,'SR B-Steer Wrestling'!$B$5:$AI$24,10,FALSE)=" ",0,VLOOKUP($B23,'SR B-Steer Wrestling'!$B$5:$AI$24,10,FALSE)),0)+IFERROR(IF(VLOOKUP($B23,'SR B-Chute Dogging'!$B$5:$AI$24,10,FALSE)=" ",0,VLOOKUP($B23,'SR B-Chute Dogging'!$B$5:$AI$24,10,FALSE)),0)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IFERROR(IF(VLOOKUP($B23,'SR-Team Roping-Header'!$B$5:$N$24,5,FALSE)=" ",0,VLOOKUP($B23,'SR-Team Roping-Header'!$B$5:$N$24,5,FALSE)),0)+IFERROR(IF(VLOOKUP($B23,'SR-Team Roping-Heeler'!$B$5:$N$24,5,FALSE)=" ",0,VLOOKUP($B23,'SR-Team Roping-Heeler'!$B$5:$N$24,5,FALSE)),0)+IFERROR(IF(VLOOKUP($B23,'SR B-Calf Roping'!$B$5:$AI$24,14,FALSE)=" ",0,VLOOKUP($B23,'SR B-Calf Roping'!$B$5:$AI$24,14,FALSE)),0)+IFERROR(IF(VLOOKUP($B23,'SR B-Steer Wrestling'!$B$5:$AI$24,14,FALSE)=" ",0,VLOOKUP($B23,'SR B-Steer Wrestling'!$B$5:$AI$24,14,FALSE)),0)+IFERROR(IF(VLOOKUP($B23,'SR B-Chute Dogging'!$B$5:$AI$24,14,FALSE)=" ",0,VLOOKUP($B23,'SR B-Chute Dogging'!$B$5:$AI$24,14,FALSE)),0)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IFERROR(IF(VLOOKUP($B23,'SR-Team Roping-Header'!$B$5:$N$24,6,FALSE)=" ",0,VLOOKUP($B23,'SR-Team Roping-Header'!$B$5:$N$24,6,FALSE)),0)+IFERROR(IF(VLOOKUP($B23,'SR-Team Roping-Heeler'!$B$5:$N$24,6,FALSE)=" ",0,VLOOKUP($B23,'SR-Team Roping-Heeler'!$B$5:$N$24,6,FALSE)),0)+IFERROR(IF(VLOOKUP($B23,'SR B-Calf Roping'!$B$5:$AI$24,18,FALSE)=" ",0,VLOOKUP($B23,'SR B-Calf Roping'!$B$5:$AI$24,18,FALSE)),0)+IFERROR(IF(VLOOKUP($B23,'SR B-Steer Wrestling'!$B$5:$AI$24,18,FALSE)=" ",0,VLOOKUP($B23,'SR B-Steer Wrestling'!$B$5:$AI$24,18,FALSE)),0)+IFERROR(IF(VLOOKUP($B23,'SR B-Chute Dogging'!$B$5:$AI$24,18,FALSE)=" ",0,VLOOKUP($B23,'SR B-Chute Dogging'!$B$5:$AI$24,18,FALSE)),0)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IFERROR(IF(VLOOKUP($B23,'SR-Team Roping-Header'!$B$5:$N$24,7,FALSE)=" ",0,VLOOKUP($B23,'SR-Team Roping-Header'!$B$5:$N$24,7,FALSE)),0)+IFERROR(IF(VLOOKUP($B23,'SR-Team Roping-Heeler'!$B$5:$N$24,7,FALSE)=" ",0,VLOOKUP($B23,'SR-Team Roping-Heeler'!$B$5:$N$24,7,FALSE)),0)+IFERROR(IF(VLOOKUP($B23,'SR B-Calf Roping'!$B$5:$AI$24,22,FALSE)=" ",0,VLOOKUP($B23,'SR B-Calf Roping'!$B$5:$AI$24,22,FALSE)),0)+IFERROR(IF(VLOOKUP($B23,'SR B-Steer Wrestling'!$B$5:$AI$24,22,FALSE)=" ",0,VLOOKUP($B23,'SR B-Steer Wrestling'!$B$5:$AI$24,22,FALSE)),0)+IFERROR(IF(VLOOKUP($B23,'SR B-Chute Dogging'!$B$5:$AI$24,22,FALSE)=" ",0,VLOOKUP($B23,'SR B-Chute Dogging'!$B$5:$AI$24,22,FALSE)),0)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IFERROR(IF(VLOOKUP($B23,'SR-Team Roping-Header'!$B$5:$N$24,8,FALSE)=" ",0,VLOOKUP($B23,'SR-Team Roping-Header'!$B$5:$N$24,8,FALSE)),0)+IFERROR(IF(VLOOKUP($B23,'SR-Team Roping-Heeler'!$B$5:$N$24,8,FALSE)=" ",0,VLOOKUP($B23,'SR-Team Roping-Heeler'!$B$5:$N$24,8,FALSE)),0)+IFERROR(IF(VLOOKUP($B23,'SR B-Calf Roping'!$B$5:$AI$24,26,FALSE)=" ",0,VLOOKUP($B23,'SR B-Calf Roping'!$B$5:$AI$24,26,FALSE)),0)+IFERROR(IF(VLOOKUP($B23,'SR B-Steer Wrestling'!$B$5:$AI$24,26,FALSE)=" ",0,VLOOKUP($B23,'SR B-Steer Wrestling'!$B$5:$AI$24,26,FALSE)),0)+IFERROR(IF(VLOOKUP($B23,'SR B-Chute Dogging'!$B$5:$AI$24,26,FALSE)=" ",0,VLOOKUP($B23,'SR B-Chute Dogging'!$B$5:$AI$24,26,FALSE)),0)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IFERROR(IF(VLOOKUP($B23,'SR-Team Roping-Header'!$B$5:$N$24,9,FALSE)=" ",0,VLOOKUP($B23,'SR-Team Roping-Header'!$B$5:$N$24,9,FALSE)),0)+IFERROR(IF(VLOOKUP($B23,'SR-Team Roping-Heeler'!$B$5:$N$24,9,FALSE)=" ",0,VLOOKUP($B23,'SR-Team Roping-Heeler'!$B$5:$N$24,9,FALSE)),0)+IFERROR(IF(VLOOKUP($B23,'SR B-Calf Roping'!$B$5:$AI$24,30,FALSE)=" ",0,VLOOKUP($B23,'SR B-Calf Roping'!$B$5:$AI$24,30,FALSE)),0)+IFERROR(IF(VLOOKUP($B23,'SR B-Steer Wrestling'!$B$5:$AI$24,30,FALSE)=" ",0,VLOOKUP($B23,'SR B-Steer Wrestling'!$B$5:$AI$24,30,FALSE)),0)+IFERROR(IF(VLOOKUP($B23,'SR B-Chute Dogging'!$B$5:$AI$24,30,FALSE)=" ",0,VLOOKUP($B23,'SR B-Chute Dogging'!$B$5:$AI$24,30,FALSE)),0)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IFERROR(IF(VLOOKUP($B23,'SR-Team Roping-Header'!$B$5:$N$24,10,FALSE)=" ",0,VLOOKUP($B23,'SR-Team Roping-Header'!$B$5:$N$24,10,FALSE)),0)+IFERROR(IF(VLOOKUP($B23,'SR-Team Roping-Heeler'!$B$5:$N$24,10,FALSE)=" ",0,VLOOKUP($B23,'SR-Team Roping-Heeler'!$B$5:$N$24,10,FALSE)),0)+IFERROR(IF(VLOOKUP($B23,'SR B-Calf Roping'!$B$5:$AI$24,34,FALSE)=" ",0,VLOOKUP($B23,'SR B-Calf Roping'!$B$5:$AI$24,34,FALSE)),0)+IFERROR(IF(VLOOKUP($B23,'SR B-Steer Wrestling'!$B$5:$AI$24,34,FALSE)=" ",0,VLOOKUP($B23,'SR B-Steer Wrestling'!$B$5:$AI$24,34,FALSE)),0)+IFERROR(IF(VLOOKUP($B23,'SR B-Chute Dogging'!$B$5:$AI$24,34,FALSE)=" ",0,VLOOKUP($B23,'SR B-Chute Dogging'!$B$5:$AI$24,34,FALSE)),0)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4" thickBot="1" x14ac:dyDescent="0.3">
      <c r="B24" s="143"/>
      <c r="C24" s="123">
        <f>IFERROR(IF(VLOOKUP($B24,'SR-Team Roping-Header'!$B$5:$N$24,3,FALSE)=" ",0,VLOOKUP($B24,'SR-Team Roping-Header'!$B$5:$N$24,3,FALSE)),0)+IFERROR(IF(VLOOKUP($B24,'SR-Team Roping-Heeler'!$B$5:$N$24,3,FALSE)=" ",0,VLOOKUP($B24,'SR-Team Roping-Heeler'!$B$5:$N$24,3,FALSE)),0)+IFERROR(IF(VLOOKUP($B24,'SR B-Calf Roping'!$B$5:$AI$24,6,FALSE)=" ",0,VLOOKUP($B24,'SR B-Calf Roping'!$B$5:$AI$24,6,FALSE)),0)+IFERROR(IF(VLOOKUP($B24,'SR B-Steer Wrestling'!$B$5:$AI$24,6,FALSE)=" ",0,VLOOKUP($B24,'SR B-Steer Wrestling'!$B$5:$AI$24,6,FALSE)),0)+IFERROR(IF(VLOOKUP($B24,'SR B-Chute Dogging'!$B$5:$AI$24,6,FALSE)=" ",0,VLOOKUP($B24,'SR B-Chute Dogging'!$B$5:$AI$24,6,FALSE)),0)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IFERROR(IF(VLOOKUP($B24,'SR-Team Roping-Header'!$B$5:$N$24,4,FALSE)=" ",0,VLOOKUP($B24,'SR-Team Roping-Header'!$B$5:$N$24,4,FALSE)),0)+IFERROR(IF(VLOOKUP($B24,'SR-Team Roping-Heeler'!$B$5:$N$24,4,FALSE)=" ",0,VLOOKUP($B24,'SR-Team Roping-Heeler'!$B$5:$N$24,4,FALSE)),0)+IFERROR(IF(VLOOKUP($B24,'SR B-Calf Roping'!$B$5:$AI$24,10,FALSE)=" ",0,VLOOKUP($B24,'SR B-Calf Roping'!$B$5:$AI$24,10,FALSE)),0)+IFERROR(IF(VLOOKUP($B24,'SR B-Steer Wrestling'!$B$5:$AI$24,10,FALSE)=" ",0,VLOOKUP($B24,'SR B-Steer Wrestling'!$B$5:$AI$24,10,FALSE)),0)+IFERROR(IF(VLOOKUP($B24,'SR B-Chute Dogging'!$B$5:$AI$24,10,FALSE)=" ",0,VLOOKUP($B24,'SR B-Chute Dogging'!$B$5:$AI$24,10,FALSE)),0)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IFERROR(IF(VLOOKUP($B24,'SR-Team Roping-Header'!$B$5:$N$24,5,FALSE)=" ",0,VLOOKUP($B24,'SR-Team Roping-Header'!$B$5:$N$24,5,FALSE)),0)+IFERROR(IF(VLOOKUP($B24,'SR-Team Roping-Heeler'!$B$5:$N$24,5,FALSE)=" ",0,VLOOKUP($B24,'SR-Team Roping-Heeler'!$B$5:$N$24,5,FALSE)),0)+IFERROR(IF(VLOOKUP($B24,'SR B-Calf Roping'!$B$5:$AI$24,14,FALSE)=" ",0,VLOOKUP($B24,'SR B-Calf Roping'!$B$5:$AI$24,14,FALSE)),0)+IFERROR(IF(VLOOKUP($B24,'SR B-Steer Wrestling'!$B$5:$AI$24,14,FALSE)=" ",0,VLOOKUP($B24,'SR B-Steer Wrestling'!$B$5:$AI$24,14,FALSE)),0)+IFERROR(IF(VLOOKUP($B24,'SR B-Chute Dogging'!$B$5:$AI$24,14,FALSE)=" ",0,VLOOKUP($B24,'SR B-Chute Dogging'!$B$5:$AI$24,14,FALSE)),0)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IFERROR(IF(VLOOKUP($B24,'SR-Team Roping-Header'!$B$5:$N$24,6,FALSE)=" ",0,VLOOKUP($B24,'SR-Team Roping-Header'!$B$5:$N$24,6,FALSE)),0)+IFERROR(IF(VLOOKUP($B24,'SR-Team Roping-Heeler'!$B$5:$N$24,6,FALSE)=" ",0,VLOOKUP($B24,'SR-Team Roping-Heeler'!$B$5:$N$24,6,FALSE)),0)+IFERROR(IF(VLOOKUP($B24,'SR B-Calf Roping'!$B$5:$AI$24,18,FALSE)=" ",0,VLOOKUP($B24,'SR B-Calf Roping'!$B$5:$AI$24,18,FALSE)),0)+IFERROR(IF(VLOOKUP($B24,'SR B-Steer Wrestling'!$B$5:$AI$24,18,FALSE)=" ",0,VLOOKUP($B24,'SR B-Steer Wrestling'!$B$5:$AI$24,18,FALSE)),0)+IFERROR(IF(VLOOKUP($B24,'SR B-Chute Dogging'!$B$5:$AI$24,18,FALSE)=" ",0,VLOOKUP($B24,'SR B-Chute Dogging'!$B$5:$AI$24,18,FALSE)),0)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IFERROR(IF(VLOOKUP($B24,'SR-Team Roping-Header'!$B$5:$N$24,7,FALSE)=" ",0,VLOOKUP($B24,'SR-Team Roping-Header'!$B$5:$N$24,7,FALSE)),0)+IFERROR(IF(VLOOKUP($B24,'SR-Team Roping-Heeler'!$B$5:$N$24,7,FALSE)=" ",0,VLOOKUP($B24,'SR-Team Roping-Heeler'!$B$5:$N$24,7,FALSE)),0)+IFERROR(IF(VLOOKUP($B24,'SR B-Calf Roping'!$B$5:$AI$24,22,FALSE)=" ",0,VLOOKUP($B24,'SR B-Calf Roping'!$B$5:$AI$24,22,FALSE)),0)+IFERROR(IF(VLOOKUP($B24,'SR B-Steer Wrestling'!$B$5:$AI$24,22,FALSE)=" ",0,VLOOKUP($B24,'SR B-Steer Wrestling'!$B$5:$AI$24,22,FALSE)),0)+IFERROR(IF(VLOOKUP($B24,'SR B-Chute Dogging'!$B$5:$AI$24,22,FALSE)=" ",0,VLOOKUP($B24,'SR B-Chute Dogging'!$B$5:$AI$24,22,FALSE)),0)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IFERROR(IF(VLOOKUP($B24,'SR-Team Roping-Header'!$B$5:$N$24,8,FALSE)=" ",0,VLOOKUP($B24,'SR-Team Roping-Header'!$B$5:$N$24,8,FALSE)),0)+IFERROR(IF(VLOOKUP($B24,'SR-Team Roping-Heeler'!$B$5:$N$24,8,FALSE)=" ",0,VLOOKUP($B24,'SR-Team Roping-Heeler'!$B$5:$N$24,8,FALSE)),0)+IFERROR(IF(VLOOKUP($B24,'SR B-Calf Roping'!$B$5:$AI$24,26,FALSE)=" ",0,VLOOKUP($B24,'SR B-Calf Roping'!$B$5:$AI$24,26,FALSE)),0)+IFERROR(IF(VLOOKUP($B24,'SR B-Steer Wrestling'!$B$5:$AI$24,26,FALSE)=" ",0,VLOOKUP($B24,'SR B-Steer Wrestling'!$B$5:$AI$24,26,FALSE)),0)+IFERROR(IF(VLOOKUP($B24,'SR B-Chute Dogging'!$B$5:$AI$24,26,FALSE)=" ",0,VLOOKUP($B24,'SR B-Chute Dogging'!$B$5:$AI$24,26,FALSE)),0)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IFERROR(IF(VLOOKUP($B24,'SR-Team Roping-Header'!$B$5:$N$24,9,FALSE)=" ",0,VLOOKUP($B24,'SR-Team Roping-Header'!$B$5:$N$24,9,FALSE)),0)+IFERROR(IF(VLOOKUP($B24,'SR-Team Roping-Heeler'!$B$5:$N$24,9,FALSE)=" ",0,VLOOKUP($B24,'SR-Team Roping-Heeler'!$B$5:$N$24,9,FALSE)),0)+IFERROR(IF(VLOOKUP($B24,'SR B-Calf Roping'!$B$5:$AI$24,30,FALSE)=" ",0,VLOOKUP($B24,'SR B-Calf Roping'!$B$5:$AI$24,30,FALSE)),0)+IFERROR(IF(VLOOKUP($B24,'SR B-Steer Wrestling'!$B$5:$AI$24,30,FALSE)=" ",0,VLOOKUP($B24,'SR B-Steer Wrestling'!$B$5:$AI$24,30,FALSE)),0)+IFERROR(IF(VLOOKUP($B24,'SR B-Chute Dogging'!$B$5:$AI$24,30,FALSE)=" ",0,VLOOKUP($B24,'SR B-Chute Dogging'!$B$5:$AI$24,30,FALSE)),0)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IFERROR(IF(VLOOKUP($B24,'SR-Team Roping-Header'!$B$5:$N$24,10,FALSE)=" ",0,VLOOKUP($B24,'SR-Team Roping-Header'!$B$5:$N$24,10,FALSE)),0)+IFERROR(IF(VLOOKUP($B24,'SR-Team Roping-Heeler'!$B$5:$N$24,10,FALSE)=" ",0,VLOOKUP($B24,'SR-Team Roping-Heeler'!$B$5:$N$24,10,FALSE)),0)+IFERROR(IF(VLOOKUP($B24,'SR B-Calf Roping'!$B$5:$AI$24,34,FALSE)=" ",0,VLOOKUP($B24,'SR B-Calf Roping'!$B$5:$AI$24,34,FALSE)),0)+IFERROR(IF(VLOOKUP($B24,'SR B-Steer Wrestling'!$B$5:$AI$24,34,FALSE)=" ",0,VLOOKUP($B24,'SR B-Steer Wrestling'!$B$5:$AI$24,34,FALSE)),0)+IFERROR(IF(VLOOKUP($B24,'SR B-Chute Dogging'!$B$5:$AI$24,34,FALSE)=" ",0,VLOOKUP($B24,'SR B-Chute Dogging'!$B$5:$AI$24,34,FALSE)),0)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Table6345689101123344440203156[[#This Row],[Points]]+Table6345689101123344440203156[[#This Row],[Points4]]+Table6345689101123344440203156[[#This Row],[Points43]]+Table6345689101123344440203156[[#This Row],[Points44]]+Table6345689101123344440203156[[#This Row],[Points45]]+Table6345689101123344440203156[[#This Row],[Points46]]+Table6345689101123344440203156[[#This Row],[Points47]]+Table6345689101123344440203156[[#This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4" thickBot="1" x14ac:dyDescent="0.3">
      <c r="B25" s="125" t="s">
        <v>236</v>
      </c>
    </row>
    <row r="27" spans="2:29" x14ac:dyDescent="0.25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25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yejZetvY9D7KOkuBbRjyLOCHYs1lqpVgTZqJUUj/egiURrSCXMNQ5hYBO4WA/QtI9Tb0XgeUWa9IxDZHKgoKiw==" saltValue="1WOdC/WlTqebXRWf5ES5Ng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07659-7E3E-4269-8F61-619DCC85760F}">
  <sheetPr codeName="Sheet73">
    <tabColor theme="8" tint="0.79998168889431442"/>
  </sheetPr>
  <dimension ref="B1:AL43"/>
  <sheetViews>
    <sheetView showGridLines="0" zoomScaleNormal="100" workbookViewId="0">
      <pane xSplit="2" topLeftCell="C1" activePane="topRight" state="frozen"/>
      <selection activeCell="J34" sqref="J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114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158</v>
      </c>
      <c r="C5" s="84"/>
      <c r="D5" s="85">
        <v>18.343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IF(Table6220273233372141[[#This Row],[Non-Member]]="X"," ",IF(F5=" "," ",IFERROR(VLOOKUP(E5,Points!$A$2:$B$14,2,FALSE)," ")))</f>
        <v>18</v>
      </c>
      <c r="H5" s="85">
        <v>20.513000000000002</v>
      </c>
      <c r="I5" s="86">
        <f t="shared" ref="I5:I24" si="2">IF(H5=0," ",_xlfn.RANK.AVG(H5,H$5:H$24,1)-COUNTIF(H$5:H$24,0))</f>
        <v>9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IF(Table6220273233372141[[#This Row],[Non-Member]]="X"," ",IF(J5=" "," ",IFERROR(VLOOKUP(I5,Points!$A$2:$B$14,2,FALSE)," ")))</f>
        <v xml:space="preserve"> </v>
      </c>
      <c r="L5" s="85">
        <v>17.690000000000001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IF(Table6220273233372141[[#This Row],[Non-Member]]="X"," ",IF(N5=" "," ",IFERROR(VLOOKUP(M5,Points!$A$2:$B$14,2,FALSE)," ")))</f>
        <v>15</v>
      </c>
      <c r="P5" s="85">
        <v>18.029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IF(Table6220273233372141[[#This Row],[Non-Member]]="X"," ",IF(R5=" "," ",IFERROR(VLOOKUP(Q5,Points!$A$2:$B$14,2,FALSE)," ")))</f>
        <v>12</v>
      </c>
      <c r="T5" s="85">
        <v>18.02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IF(Table6220273233372141[[#This Row],[Non-Member]]="X"," ",IF(V5=" "," ",IFERROR(VLOOKUP(U5,Points!$A$2:$B$14,2,FALSE)," ")))</f>
        <v>18</v>
      </c>
      <c r="X5" s="85">
        <v>18.146000000000001</v>
      </c>
      <c r="Y5" s="86">
        <f t="shared" ref="Y5:Y24" si="10">IF(X5=0," ",_xlfn.RANK.AVG(X5,X$5:X$24,1)-COUNTIF(X$5:X$24,0))</f>
        <v>3</v>
      </c>
      <c r="Z5" s="86">
        <f t="shared" ref="Z5:Z24" si="11">IF(X5=0," ",IF((RANK(X5,X$5:X$24,1)-COUNTIF(X$5:X$24,0)&gt;6)," ",RANK(X5,X$5:X$24,1)-COUNTIF(X$5:X$24,0)))</f>
        <v>3</v>
      </c>
      <c r="AA5" s="87">
        <f>IF(Table6220273233372141[[#This Row],[Non-Member]]="X"," ",IF(Z5=" "," ",IFERROR(VLOOKUP(Y5,Points!$A$2:$B$14,2,FALSE)," ")))</f>
        <v>12</v>
      </c>
      <c r="AB5" s="85">
        <v>17.986999999999998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IF(Table6220273233372141[[#This Row],[Non-Member]]="X"," ",IF(AD5=" "," ",IFERROR(VLOOKUP(AC5,Points!$A$2:$B$14,2,FALSE)," ")))</f>
        <v>18</v>
      </c>
      <c r="AF5" s="85">
        <f t="shared" ref="AF5:AF24" si="14">IF(OR(X5=0,AB5=0)," ",X5+AB5)</f>
        <v>36.132999999999996</v>
      </c>
      <c r="AG5" s="86">
        <f t="shared" ref="AG5:AG24" si="15">IF(OR(AF5=0,AF5=" ")," ",_xlfn.RANK.AVG(AF5,AF$5:AF$24,1)-COUNTIF(AF$5:AF$24,0))</f>
        <v>2</v>
      </c>
      <c r="AH5" s="86">
        <f t="shared" ref="AH5:AH24" si="16">IF(OR(AF5=0,AF5=" ")," ",IF((RANK(AF5,AF$5:AF$24,1)-COUNTIF(AF$5:AF$24,0)&gt;6)," ",RANK(AF5,AF$5:AF$24,1)-COUNTIF(AF$5:AF$24,0)))</f>
        <v>2</v>
      </c>
      <c r="AI5" s="87">
        <f>IF(Table6220273233372141[[#This Row],[Non-Member]]="X"," ",IF(AH5=" "," ",IFERROR(VLOOKUP(AG5,Points!$A$2:$B$14,2,FALSE)," ")))</f>
        <v>15</v>
      </c>
      <c r="AJ5" s="86">
        <f>IF(Table6220273233372141[[#This Row],[Non-Member]]="X"," ",((IF(G5=" ",0,G5))+(IF(K5=" ",0,K5))+(IF(O5=" ",0,O5))+(IF(S5=" ",0,S5))+(IF(W5=" ",0,W5))+(IF(AA5=" ",0,AA5))+(IF(AE5=" ",0,AE5))+(IF(AI5=" ",0,AI5))))</f>
        <v>108</v>
      </c>
      <c r="AK5" s="88">
        <f t="shared" ref="AK5:AK24" si="17">IF(AJ5=0," ",AJ5)</f>
        <v>108</v>
      </c>
      <c r="AL5" s="89">
        <f t="shared" ref="AL5:AL24" si="18">IF(AK5=" "," ",RANK(AK5,$AK$5:$AK$24))</f>
        <v>1</v>
      </c>
    </row>
    <row r="6" spans="2:38" x14ac:dyDescent="0.25">
      <c r="B6" s="90" t="s">
        <v>162</v>
      </c>
      <c r="C6" s="91"/>
      <c r="D6" s="92">
        <v>18.818999999999999</v>
      </c>
      <c r="E6" s="93">
        <f t="shared" si="0"/>
        <v>5</v>
      </c>
      <c r="F6" s="93">
        <f t="shared" si="1"/>
        <v>5</v>
      </c>
      <c r="G6" s="94">
        <f>IF(Table6220273233372141[[#This Row],[Non-Member]]="X"," ",IF(F6=" "," ",IFERROR(VLOOKUP(E6,Points!$A$2:$B$14,2,FALSE)," ")))</f>
        <v>6</v>
      </c>
      <c r="H6" s="92">
        <v>18.414000000000001</v>
      </c>
      <c r="I6" s="93">
        <f t="shared" si="2"/>
        <v>2</v>
      </c>
      <c r="J6" s="93">
        <f t="shared" si="3"/>
        <v>2</v>
      </c>
      <c r="K6" s="94">
        <f>IF(Table6220273233372141[[#This Row],[Non-Member]]="X"," ",IF(J6=" "," ",IFERROR(VLOOKUP(I6,Points!$A$2:$B$14,2,FALSE)," ")))</f>
        <v>15</v>
      </c>
      <c r="L6" s="92">
        <v>18.36</v>
      </c>
      <c r="M6" s="93">
        <f t="shared" si="4"/>
        <v>6</v>
      </c>
      <c r="N6" s="93">
        <f t="shared" si="5"/>
        <v>6</v>
      </c>
      <c r="O6" s="94">
        <f>IF(Table6220273233372141[[#This Row],[Non-Member]]="X"," ",IF(N6=" "," ",IFERROR(VLOOKUP(M6,Points!$A$2:$B$14,2,FALSE)," ")))</f>
        <v>3</v>
      </c>
      <c r="P6" s="92">
        <v>17.673999999999999</v>
      </c>
      <c r="Q6" s="93">
        <f t="shared" si="6"/>
        <v>2</v>
      </c>
      <c r="R6" s="93">
        <f t="shared" si="7"/>
        <v>2</v>
      </c>
      <c r="S6" s="94">
        <f>IF(Table6220273233372141[[#This Row],[Non-Member]]="X"," ",IF(R6=" "," ",IFERROR(VLOOKUP(Q6,Points!$A$2:$B$14,2,FALSE)," ")))</f>
        <v>15</v>
      </c>
      <c r="T6" s="92">
        <v>18.141999999999999</v>
      </c>
      <c r="U6" s="93">
        <f t="shared" si="8"/>
        <v>2</v>
      </c>
      <c r="V6" s="93">
        <f t="shared" si="9"/>
        <v>2</v>
      </c>
      <c r="W6" s="94">
        <f>IF(Table6220273233372141[[#This Row],[Non-Member]]="X"," ",IF(V6=" "," ",IFERROR(VLOOKUP(U6,Points!$A$2:$B$14,2,FALSE)," ")))</f>
        <v>15</v>
      </c>
      <c r="X6" s="92">
        <v>17.693999999999999</v>
      </c>
      <c r="Y6" s="93">
        <f t="shared" si="10"/>
        <v>1</v>
      </c>
      <c r="Z6" s="93">
        <f t="shared" si="11"/>
        <v>1</v>
      </c>
      <c r="AA6" s="94">
        <f>IF(Table6220273233372141[[#This Row],[Non-Member]]="X"," ",IF(Z6=" "," ",IFERROR(VLOOKUP(Y6,Points!$A$2:$B$14,2,FALSE)," ")))</f>
        <v>18</v>
      </c>
      <c r="AB6" s="92">
        <v>18.050999999999998</v>
      </c>
      <c r="AC6" s="93">
        <f t="shared" si="12"/>
        <v>2</v>
      </c>
      <c r="AD6" s="93">
        <f t="shared" si="13"/>
        <v>2</v>
      </c>
      <c r="AE6" s="94">
        <f>IF(Table6220273233372141[[#This Row],[Non-Member]]="X"," ",IF(AD6=" "," ",IFERROR(VLOOKUP(AC6,Points!$A$2:$B$14,2,FALSE)," ")))</f>
        <v>15</v>
      </c>
      <c r="AF6" s="92">
        <f t="shared" si="14"/>
        <v>35.744999999999997</v>
      </c>
      <c r="AG6" s="93">
        <f t="shared" si="15"/>
        <v>1</v>
      </c>
      <c r="AH6" s="93">
        <f t="shared" si="16"/>
        <v>1</v>
      </c>
      <c r="AI6" s="94">
        <f>IF(Table6220273233372141[[#This Row],[Non-Member]]="X"," ",IF(AH6=" "," ",IFERROR(VLOOKUP(AG6,Points!$A$2:$B$14,2,FALSE)," ")))</f>
        <v>18</v>
      </c>
      <c r="AJ6" s="93">
        <f>IF(Table6220273233372141[[#This Row],[Non-Member]]="X"," ",((IF(G6=" ",0,G6))+(IF(K6=" ",0,K6))+(IF(O6=" ",0,O6))+(IF(S6=" ",0,S6))+(IF(W6=" ",0,W6))+(IF(AA6=" ",0,AA6))+(IF(AE6=" ",0,AE6))+(IF(AI6=" ",0,AI6))))</f>
        <v>105</v>
      </c>
      <c r="AK6" s="95">
        <f t="shared" si="17"/>
        <v>105</v>
      </c>
      <c r="AL6" s="96">
        <f t="shared" si="18"/>
        <v>2</v>
      </c>
    </row>
    <row r="7" spans="2:38" x14ac:dyDescent="0.25">
      <c r="B7" s="90" t="s">
        <v>160</v>
      </c>
      <c r="C7" s="91"/>
      <c r="D7" s="92">
        <v>18.594000000000001</v>
      </c>
      <c r="E7" s="93">
        <f t="shared" si="0"/>
        <v>2</v>
      </c>
      <c r="F7" s="93">
        <f t="shared" si="1"/>
        <v>2</v>
      </c>
      <c r="G7" s="94">
        <f>IF(Table6220273233372141[[#This Row],[Non-Member]]="X"," ",IF(F7=" "," ",IFERROR(VLOOKUP(E7,Points!$A$2:$B$14,2,FALSE)," ")))</f>
        <v>15</v>
      </c>
      <c r="H7" s="92">
        <v>18.366</v>
      </c>
      <c r="I7" s="93">
        <f t="shared" si="2"/>
        <v>1</v>
      </c>
      <c r="J7" s="93">
        <f t="shared" si="3"/>
        <v>1</v>
      </c>
      <c r="K7" s="94">
        <f>IF(Table6220273233372141[[#This Row],[Non-Member]]="X"," ",IF(J7=" "," ",IFERROR(VLOOKUP(I7,Points!$A$2:$B$14,2,FALSE)," ")))</f>
        <v>18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IF(Table6220273233372141[[#This Row],[Non-Member]]="X"," ",IF(N7=" "," ",IFERROR(VLOOKUP(M7,Points!$A$2:$B$14,2,FALSE)," ")))</f>
        <v xml:space="preserve"> </v>
      </c>
      <c r="P7" s="92">
        <v>18.631</v>
      </c>
      <c r="Q7" s="93">
        <f t="shared" si="6"/>
        <v>8</v>
      </c>
      <c r="R7" s="93" t="str">
        <f t="shared" si="7"/>
        <v xml:space="preserve"> </v>
      </c>
      <c r="S7" s="94" t="str">
        <f>IF(Table6220273233372141[[#This Row],[Non-Member]]="X"," ",IF(R7=" "," ",IFERROR(VLOOKUP(Q7,Points!$A$2:$B$14,2,FALSE)," ")))</f>
        <v xml:space="preserve"> </v>
      </c>
      <c r="T7" s="92">
        <v>18.335999999999999</v>
      </c>
      <c r="U7" s="93">
        <f t="shared" si="8"/>
        <v>3</v>
      </c>
      <c r="V7" s="93">
        <f t="shared" si="9"/>
        <v>3</v>
      </c>
      <c r="W7" s="94">
        <f>IF(Table6220273233372141[[#This Row],[Non-Member]]="X"," ",IF(V7=" "," ",IFERROR(VLOOKUP(U7,Points!$A$2:$B$14,2,FALSE)," ")))</f>
        <v>12</v>
      </c>
      <c r="X7" s="92">
        <v>18.248000000000001</v>
      </c>
      <c r="Y7" s="93">
        <f t="shared" si="10"/>
        <v>4</v>
      </c>
      <c r="Z7" s="93">
        <f t="shared" si="11"/>
        <v>4</v>
      </c>
      <c r="AA7" s="94">
        <f>IF(Table6220273233372141[[#This Row],[Non-Member]]="X"," ",IF(Z7=" "," ",IFERROR(VLOOKUP(Y7,Points!$A$2:$B$14,2,FALSE)," ")))</f>
        <v>9</v>
      </c>
      <c r="AB7" s="92">
        <v>18.09</v>
      </c>
      <c r="AC7" s="93">
        <f t="shared" si="12"/>
        <v>3</v>
      </c>
      <c r="AD7" s="93">
        <f t="shared" si="13"/>
        <v>3</v>
      </c>
      <c r="AE7" s="94">
        <f>IF(Table6220273233372141[[#This Row],[Non-Member]]="X"," ",IF(AD7=" "," ",IFERROR(VLOOKUP(AC7,Points!$A$2:$B$14,2,FALSE)," ")))</f>
        <v>12</v>
      </c>
      <c r="AF7" s="92">
        <f t="shared" si="14"/>
        <v>36.338000000000001</v>
      </c>
      <c r="AG7" s="93">
        <f t="shared" si="15"/>
        <v>3</v>
      </c>
      <c r="AH7" s="93">
        <f t="shared" si="16"/>
        <v>3</v>
      </c>
      <c r="AI7" s="94">
        <f>IF(Table6220273233372141[[#This Row],[Non-Member]]="X"," ",IF(AH7=" "," ",IFERROR(VLOOKUP(AG7,Points!$A$2:$B$14,2,FALSE)," ")))</f>
        <v>12</v>
      </c>
      <c r="AJ7" s="93">
        <f>IF(Table6220273233372141[[#This Row],[Non-Member]]="X"," ",((IF(G7=" ",0,G7))+(IF(K7=" ",0,K7))+(IF(O7=" ",0,O7))+(IF(S7=" ",0,S7))+(IF(W7=" ",0,W7))+(IF(AA7=" ",0,AA7))+(IF(AE7=" ",0,AE7))+(IF(AI7=" ",0,AI7))))</f>
        <v>78</v>
      </c>
      <c r="AK7" s="95">
        <f t="shared" si="17"/>
        <v>78</v>
      </c>
      <c r="AL7" s="96">
        <f t="shared" si="18"/>
        <v>3</v>
      </c>
    </row>
    <row r="8" spans="2:38" x14ac:dyDescent="0.25">
      <c r="B8" s="90" t="s">
        <v>201</v>
      </c>
      <c r="C8" s="91"/>
      <c r="D8" s="92">
        <v>18.637</v>
      </c>
      <c r="E8" s="93">
        <f t="shared" si="0"/>
        <v>3</v>
      </c>
      <c r="F8" s="93">
        <f t="shared" si="1"/>
        <v>3</v>
      </c>
      <c r="G8" s="94">
        <f>IF(Table6220273233372141[[#This Row],[Non-Member]]="X"," ",IF(F8=" "," ",IFERROR(VLOOKUP(E8,Points!$A$2:$B$14,2,FALSE)," ")))</f>
        <v>12</v>
      </c>
      <c r="H8" s="92">
        <v>18.988</v>
      </c>
      <c r="I8" s="93">
        <f t="shared" si="2"/>
        <v>4</v>
      </c>
      <c r="J8" s="93">
        <f t="shared" si="3"/>
        <v>4</v>
      </c>
      <c r="K8" s="94">
        <f>IF(Table6220273233372141[[#This Row],[Non-Member]]="X"," ",IF(J8=" "," ",IFERROR(VLOOKUP(I8,Points!$A$2:$B$14,2,FALSE)," ")))</f>
        <v>9</v>
      </c>
      <c r="L8" s="92">
        <v>17.192</v>
      </c>
      <c r="M8" s="93">
        <f t="shared" si="4"/>
        <v>1</v>
      </c>
      <c r="N8" s="93">
        <f t="shared" si="5"/>
        <v>1</v>
      </c>
      <c r="O8" s="94">
        <f>IF(Table6220273233372141[[#This Row],[Non-Member]]="X"," ",IF(N8=" "," ",IFERROR(VLOOKUP(M8,Points!$A$2:$B$14,2,FALSE)," ")))</f>
        <v>18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IF(Table6220273233372141[[#This Row],[Non-Member]]="X"," ",IF(R8=" "," ",IFERROR(VLOOKUP(Q8,Points!$A$2:$B$14,2,FALSE)," ")))</f>
        <v xml:space="preserve"> </v>
      </c>
      <c r="T8" s="92">
        <v>18.614999999999998</v>
      </c>
      <c r="U8" s="93">
        <f t="shared" si="8"/>
        <v>4</v>
      </c>
      <c r="V8" s="93">
        <f t="shared" si="9"/>
        <v>4</v>
      </c>
      <c r="W8" s="94">
        <f>IF(Table6220273233372141[[#This Row],[Non-Member]]="X"," ",IF(V8=" "," ",IFERROR(VLOOKUP(U8,Points!$A$2:$B$14,2,FALSE)," ")))</f>
        <v>9</v>
      </c>
      <c r="X8" s="92">
        <v>18.29</v>
      </c>
      <c r="Y8" s="93">
        <f t="shared" si="10"/>
        <v>5</v>
      </c>
      <c r="Z8" s="93">
        <f t="shared" si="11"/>
        <v>5</v>
      </c>
      <c r="AA8" s="94">
        <f>IF(Table6220273233372141[[#This Row],[Non-Member]]="X"," ",IF(Z8=" "," ",IFERROR(VLOOKUP(Y8,Points!$A$2:$B$14,2,FALSE)," ")))</f>
        <v>6</v>
      </c>
      <c r="AB8" s="92">
        <v>19.32</v>
      </c>
      <c r="AC8" s="93">
        <f t="shared" si="12"/>
        <v>8</v>
      </c>
      <c r="AD8" s="93" t="str">
        <f t="shared" si="13"/>
        <v xml:space="preserve"> </v>
      </c>
      <c r="AE8" s="94" t="str">
        <f>IF(Table6220273233372141[[#This Row],[Non-Member]]="X"," ",IF(AD8=" "," ",IFERROR(VLOOKUP(AC8,Points!$A$2:$B$14,2,FALSE)," ")))</f>
        <v xml:space="preserve"> </v>
      </c>
      <c r="AF8" s="92">
        <f t="shared" si="14"/>
        <v>37.61</v>
      </c>
      <c r="AG8" s="93">
        <f t="shared" si="15"/>
        <v>7</v>
      </c>
      <c r="AH8" s="93" t="str">
        <f t="shared" si="16"/>
        <v xml:space="preserve"> </v>
      </c>
      <c r="AI8" s="94" t="str">
        <f>IF(Table6220273233372141[[#This Row],[Non-Member]]="X"," ",IF(AH8=" "," ",IFERROR(VLOOKUP(AG8,Points!$A$2:$B$14,2,FALSE)," ")))</f>
        <v xml:space="preserve"> </v>
      </c>
      <c r="AJ8" s="93">
        <f>IF(Table6220273233372141[[#This Row],[Non-Member]]="X"," ",((IF(G8=" ",0,G8))+(IF(K8=" ",0,K8))+(IF(O8=" ",0,O8))+(IF(S8=" ",0,S8))+(IF(W8=" ",0,W8))+(IF(AA8=" ",0,AA8))+(IF(AE8=" ",0,AE8))+(IF(AI8=" ",0,AI8))))</f>
        <v>54</v>
      </c>
      <c r="AK8" s="95">
        <f t="shared" si="17"/>
        <v>54</v>
      </c>
      <c r="AL8" s="96">
        <f t="shared" si="18"/>
        <v>4</v>
      </c>
    </row>
    <row r="9" spans="2:38" x14ac:dyDescent="0.25">
      <c r="B9" s="90" t="s">
        <v>198</v>
      </c>
      <c r="C9" s="91"/>
      <c r="D9" s="92">
        <v>23.41</v>
      </c>
      <c r="E9" s="97">
        <f t="shared" si="0"/>
        <v>10</v>
      </c>
      <c r="F9" s="97" t="str">
        <f t="shared" si="1"/>
        <v xml:space="preserve"> </v>
      </c>
      <c r="G9" s="94" t="str">
        <f>IF(Table6220273233372141[[#This Row],[Non-Member]]="X"," ",IF(F9=" "," ",IFERROR(VLOOKUP(E9,Points!$A$2:$B$14,2,FALSE)," ")))</f>
        <v xml:space="preserve"> </v>
      </c>
      <c r="H9" s="92">
        <v>23.297000000000001</v>
      </c>
      <c r="I9" s="97">
        <f t="shared" si="2"/>
        <v>13</v>
      </c>
      <c r="J9" s="97" t="str">
        <f t="shared" si="3"/>
        <v xml:space="preserve"> </v>
      </c>
      <c r="K9" s="94" t="str">
        <f>IF(Table6220273233372141[[#This Row],[Non-Member]]="X"," ",IF(J9=" "," ",IFERROR(VLOOKUP(I9,Points!$A$2:$B$14,2,FALSE)," ")))</f>
        <v xml:space="preserve"> </v>
      </c>
      <c r="L9" s="92">
        <v>18.286000000000001</v>
      </c>
      <c r="M9" s="97">
        <f t="shared" si="4"/>
        <v>5</v>
      </c>
      <c r="N9" s="97">
        <f t="shared" si="5"/>
        <v>5</v>
      </c>
      <c r="O9" s="94">
        <f>IF(Table6220273233372141[[#This Row],[Non-Member]]="X"," ",IF(N9=" "," ",IFERROR(VLOOKUP(M9,Points!$A$2:$B$14,2,FALSE)," ")))</f>
        <v>6</v>
      </c>
      <c r="P9" s="92">
        <v>17.568999999999999</v>
      </c>
      <c r="Q9" s="97">
        <f t="shared" si="6"/>
        <v>1</v>
      </c>
      <c r="R9" s="97">
        <f t="shared" si="7"/>
        <v>1</v>
      </c>
      <c r="S9" s="94">
        <f>IF(Table6220273233372141[[#This Row],[Non-Member]]="X"," ",IF(R9=" "," ",IFERROR(VLOOKUP(Q9,Points!$A$2:$B$14,2,FALSE)," ")))</f>
        <v>18</v>
      </c>
      <c r="T9" s="92">
        <v>23.789000000000001</v>
      </c>
      <c r="U9" s="97">
        <f t="shared" si="8"/>
        <v>11</v>
      </c>
      <c r="V9" s="97" t="str">
        <f t="shared" si="9"/>
        <v xml:space="preserve"> </v>
      </c>
      <c r="W9" s="94" t="str">
        <f>IF(Table6220273233372141[[#This Row],[Non-Member]]="X"," ",IF(V9=" "," ",IFERROR(VLOOKUP(U9,Points!$A$2:$B$14,2,FALSE)," ")))</f>
        <v xml:space="preserve"> </v>
      </c>
      <c r="X9" s="92">
        <v>18.091000000000001</v>
      </c>
      <c r="Y9" s="97">
        <f t="shared" si="10"/>
        <v>2</v>
      </c>
      <c r="Z9" s="97">
        <f t="shared" si="11"/>
        <v>2</v>
      </c>
      <c r="AA9" s="94">
        <f>IF(Table6220273233372141[[#This Row],[Non-Member]]="X"," ",IF(Z9=" "," ",IFERROR(VLOOKUP(Y9,Points!$A$2:$B$14,2,FALSE)," ")))</f>
        <v>15</v>
      </c>
      <c r="AB9" s="92">
        <v>19.225999999999999</v>
      </c>
      <c r="AC9" s="97">
        <f t="shared" si="12"/>
        <v>7</v>
      </c>
      <c r="AD9" s="97" t="str">
        <f t="shared" si="13"/>
        <v xml:space="preserve"> </v>
      </c>
      <c r="AE9" s="94" t="str">
        <f>IF(Table6220273233372141[[#This Row],[Non-Member]]="X"," ",IF(AD9=" "," ",IFERROR(VLOOKUP(AC9,Points!$A$2:$B$14,2,FALSE)," ")))</f>
        <v xml:space="preserve"> </v>
      </c>
      <c r="AF9" s="92">
        <f t="shared" si="14"/>
        <v>37.317</v>
      </c>
      <c r="AG9" s="97">
        <f t="shared" si="15"/>
        <v>6</v>
      </c>
      <c r="AH9" s="97">
        <f t="shared" si="16"/>
        <v>6</v>
      </c>
      <c r="AI9" s="94">
        <f>IF(Table6220273233372141[[#This Row],[Non-Member]]="X"," ",IF(AH9=" "," ",IFERROR(VLOOKUP(AG9,Points!$A$2:$B$14,2,FALSE)," ")))</f>
        <v>3</v>
      </c>
      <c r="AJ9" s="97">
        <f>IF(Table6220273233372141[[#This Row],[Non-Member]]="X"," ",((IF(G9=" ",0,G9))+(IF(K9=" ",0,K9))+(IF(O9=" ",0,O9))+(IF(S9=" ",0,S9))+(IF(W9=" ",0,W9))+(IF(AA9=" ",0,AA9))+(IF(AE9=" ",0,AE9))+(IF(AI9=" ",0,AI9))))</f>
        <v>42</v>
      </c>
      <c r="AK9" s="95">
        <f t="shared" si="17"/>
        <v>42</v>
      </c>
      <c r="AL9" s="98">
        <f t="shared" si="18"/>
        <v>5</v>
      </c>
    </row>
    <row r="10" spans="2:38" x14ac:dyDescent="0.25">
      <c r="B10" s="90" t="s">
        <v>205</v>
      </c>
      <c r="C10" s="91"/>
      <c r="D10" s="92">
        <v>18.715</v>
      </c>
      <c r="E10" s="93">
        <f t="shared" si="0"/>
        <v>4</v>
      </c>
      <c r="F10" s="93">
        <f t="shared" si="1"/>
        <v>4</v>
      </c>
      <c r="G10" s="94">
        <f>IF(Table6220273233372141[[#This Row],[Non-Member]]="X"," ",IF(F10=" "," ",IFERROR(VLOOKUP(E10,Points!$A$2:$B$14,2,FALSE)," ")))</f>
        <v>9</v>
      </c>
      <c r="H10" s="92">
        <v>19.03</v>
      </c>
      <c r="I10" s="93">
        <f t="shared" si="2"/>
        <v>5</v>
      </c>
      <c r="J10" s="93">
        <f t="shared" si="3"/>
        <v>5</v>
      </c>
      <c r="K10" s="94">
        <f>IF(Table6220273233372141[[#This Row],[Non-Member]]="X"," ",IF(J10=" "," ",IFERROR(VLOOKUP(I10,Points!$A$2:$B$14,2,FALSE)," ")))</f>
        <v>6</v>
      </c>
      <c r="L10" s="92">
        <v>18.716000000000001</v>
      </c>
      <c r="M10" s="93">
        <f t="shared" si="4"/>
        <v>7</v>
      </c>
      <c r="N10" s="93" t="str">
        <f t="shared" si="5"/>
        <v xml:space="preserve"> </v>
      </c>
      <c r="O10" s="94" t="str">
        <f>IF(Table6220273233372141[[#This Row],[Non-Member]]="X"," ",IF(N10=" "," ",IFERROR(VLOOKUP(M10,Points!$A$2:$B$14,2,FALSE)," ")))</f>
        <v xml:space="preserve"> </v>
      </c>
      <c r="P10" s="92">
        <v>18.120999999999999</v>
      </c>
      <c r="Q10" s="93">
        <f t="shared" si="6"/>
        <v>5</v>
      </c>
      <c r="R10" s="93">
        <f t="shared" si="7"/>
        <v>5</v>
      </c>
      <c r="S10" s="94">
        <f>IF(Table6220273233372141[[#This Row],[Non-Member]]="X"," ",IF(R10=" "," ",IFERROR(VLOOKUP(Q10,Points!$A$2:$B$14,2,FALSE)," ")))</f>
        <v>6</v>
      </c>
      <c r="T10" s="92">
        <v>21.228000000000002</v>
      </c>
      <c r="U10" s="93">
        <f t="shared" si="8"/>
        <v>9</v>
      </c>
      <c r="V10" s="93" t="str">
        <f t="shared" si="9"/>
        <v xml:space="preserve"> </v>
      </c>
      <c r="W10" s="94" t="str">
        <f>IF(Table6220273233372141[[#This Row],[Non-Member]]="X"," ",IF(V10=" "," ",IFERROR(VLOOKUP(U10,Points!$A$2:$B$14,2,FALSE)," ")))</f>
        <v xml:space="preserve"> </v>
      </c>
      <c r="X10" s="92">
        <v>18.898</v>
      </c>
      <c r="Y10" s="93">
        <f t="shared" si="10"/>
        <v>8</v>
      </c>
      <c r="Z10" s="93" t="str">
        <f t="shared" si="11"/>
        <v xml:space="preserve"> </v>
      </c>
      <c r="AA10" s="94" t="str">
        <f>IF(Table6220273233372141[[#This Row],[Non-Member]]="X"," ",IF(Z10=" "," ",IFERROR(VLOOKUP(Y10,Points!$A$2:$B$14,2,FALSE)," ")))</f>
        <v xml:space="preserve"> </v>
      </c>
      <c r="AB10" s="92">
        <v>18.14</v>
      </c>
      <c r="AC10" s="93">
        <f t="shared" si="12"/>
        <v>4</v>
      </c>
      <c r="AD10" s="93">
        <f t="shared" si="13"/>
        <v>4</v>
      </c>
      <c r="AE10" s="94">
        <f>IF(Table6220273233372141[[#This Row],[Non-Member]]="X"," ",IF(AD10=" "," ",IFERROR(VLOOKUP(AC10,Points!$A$2:$B$14,2,FALSE)," ")))</f>
        <v>9</v>
      </c>
      <c r="AF10" s="92">
        <f t="shared" si="14"/>
        <v>37.037999999999997</v>
      </c>
      <c r="AG10" s="93">
        <f t="shared" si="15"/>
        <v>4</v>
      </c>
      <c r="AH10" s="93">
        <f t="shared" si="16"/>
        <v>4</v>
      </c>
      <c r="AI10" s="94">
        <f>IF(Table6220273233372141[[#This Row],[Non-Member]]="X"," ",IF(AH10=" "," ",IFERROR(VLOOKUP(AG10,Points!$A$2:$B$14,2,FALSE)," ")))</f>
        <v>9</v>
      </c>
      <c r="AJ10" s="93">
        <f>IF(Table6220273233372141[[#This Row],[Non-Member]]="X"," ",((IF(G10=" ",0,G10))+(IF(K10=" ",0,K10))+(IF(O10=" ",0,O10))+(IF(S10=" ",0,S10))+(IF(W10=" ",0,W10))+(IF(AA10=" ",0,AA10))+(IF(AE10=" ",0,AE10))+(IF(AI10=" ",0,AI10))))</f>
        <v>39</v>
      </c>
      <c r="AK10" s="95">
        <f t="shared" si="17"/>
        <v>39</v>
      </c>
      <c r="AL10" s="96">
        <f t="shared" si="18"/>
        <v>6</v>
      </c>
    </row>
    <row r="11" spans="2:38" x14ac:dyDescent="0.25">
      <c r="B11" s="90" t="s">
        <v>156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IF(Table6220273233372141[[#This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IF(Table6220273233372141[[#This Row],[Non-Member]]="X"," ",IF(J11=" "," ",IFERROR(VLOOKUP(I11,Points!$A$2:$B$14,2,FALSE)," ")))</f>
        <v xml:space="preserve"> </v>
      </c>
      <c r="L11" s="92">
        <v>17.89</v>
      </c>
      <c r="M11" s="93">
        <f t="shared" si="4"/>
        <v>3</v>
      </c>
      <c r="N11" s="93">
        <f t="shared" si="5"/>
        <v>3</v>
      </c>
      <c r="O11" s="94">
        <f>IF(Table6220273233372141[[#This Row],[Non-Member]]="X"," ",IF(N11=" "," ",IFERROR(VLOOKUP(M11,Points!$A$2:$B$14,2,FALSE)," ")))</f>
        <v>12</v>
      </c>
      <c r="P11" s="92">
        <v>18.302</v>
      </c>
      <c r="Q11" s="93">
        <f t="shared" si="6"/>
        <v>6</v>
      </c>
      <c r="R11" s="93">
        <f t="shared" si="7"/>
        <v>6</v>
      </c>
      <c r="S11" s="94">
        <f>IF(Table6220273233372141[[#This Row],[Non-Member]]="X"," ",IF(R11=" "," ",IFERROR(VLOOKUP(Q11,Points!$A$2:$B$14,2,FALSE)," ")))</f>
        <v>3</v>
      </c>
      <c r="T11" s="92">
        <v>19.82</v>
      </c>
      <c r="U11" s="93">
        <f t="shared" si="8"/>
        <v>7</v>
      </c>
      <c r="V11" s="93" t="str">
        <f t="shared" si="9"/>
        <v xml:space="preserve"> </v>
      </c>
      <c r="W11" s="94" t="str">
        <f>IF(Table6220273233372141[[#This Row],[Non-Member]]="X"," ",IF(V11=" "," ",IFERROR(VLOOKUP(U11,Points!$A$2:$B$14,2,FALSE)," ")))</f>
        <v xml:space="preserve"> </v>
      </c>
      <c r="X11" s="92">
        <v>18.399999999999999</v>
      </c>
      <c r="Y11" s="93">
        <f t="shared" si="10"/>
        <v>6</v>
      </c>
      <c r="Z11" s="93">
        <f t="shared" si="11"/>
        <v>6</v>
      </c>
      <c r="AA11" s="94">
        <f>IF(Table6220273233372141[[#This Row],[Non-Member]]="X"," ",IF(Z11=" "," ",IFERROR(VLOOKUP(Y11,Points!$A$2:$B$14,2,FALSE)," ")))</f>
        <v>3</v>
      </c>
      <c r="AB11" s="92">
        <v>18.721</v>
      </c>
      <c r="AC11" s="93">
        <f t="shared" si="12"/>
        <v>5</v>
      </c>
      <c r="AD11" s="93">
        <f t="shared" si="13"/>
        <v>5</v>
      </c>
      <c r="AE11" s="94">
        <f>IF(Table6220273233372141[[#This Row],[Non-Member]]="X"," ",IF(AD11=" "," ",IFERROR(VLOOKUP(AC11,Points!$A$2:$B$14,2,FALSE)," ")))</f>
        <v>6</v>
      </c>
      <c r="AF11" s="92">
        <f t="shared" si="14"/>
        <v>37.120999999999995</v>
      </c>
      <c r="AG11" s="93">
        <f t="shared" si="15"/>
        <v>5</v>
      </c>
      <c r="AH11" s="93">
        <f t="shared" si="16"/>
        <v>5</v>
      </c>
      <c r="AI11" s="94">
        <f>IF(Table6220273233372141[[#This Row],[Non-Member]]="X"," ",IF(AH11=" "," ",IFERROR(VLOOKUP(AG11,Points!$A$2:$B$14,2,FALSE)," ")))</f>
        <v>6</v>
      </c>
      <c r="AJ11" s="93">
        <f>IF(Table6220273233372141[[#This Row],[Non-Member]]="X"," ",((IF(G11=" ",0,G11))+(IF(K11=" ",0,K11))+(IF(O11=" ",0,O11))+(IF(S11=" ",0,S11))+(IF(W11=" ",0,W11))+(IF(AA11=" ",0,AA11))+(IF(AE11=" ",0,AE11))+(IF(AI11=" ",0,AI11))))</f>
        <v>30</v>
      </c>
      <c r="AK11" s="95">
        <f t="shared" si="17"/>
        <v>30</v>
      </c>
      <c r="AL11" s="96">
        <f t="shared" si="18"/>
        <v>7</v>
      </c>
    </row>
    <row r="12" spans="2:38" x14ac:dyDescent="0.25">
      <c r="B12" s="90" t="s">
        <v>148</v>
      </c>
      <c r="C12" s="91"/>
      <c r="D12" s="92">
        <v>30.65</v>
      </c>
      <c r="E12" s="93">
        <f t="shared" si="0"/>
        <v>15</v>
      </c>
      <c r="F12" s="93" t="str">
        <f t="shared" si="1"/>
        <v xml:space="preserve"> </v>
      </c>
      <c r="G12" s="94" t="str">
        <f>IF(Table6220273233372141[[#This Row],[Non-Member]]="X"," ",IF(F12=" "," ",IFERROR(VLOOKUP(E12,Points!$A$2:$B$14,2,FALSE)," ")))</f>
        <v xml:space="preserve"> </v>
      </c>
      <c r="H12" s="92">
        <v>20.021000000000001</v>
      </c>
      <c r="I12" s="93">
        <f t="shared" si="2"/>
        <v>8</v>
      </c>
      <c r="J12" s="93" t="str">
        <f t="shared" si="3"/>
        <v xml:space="preserve"> </v>
      </c>
      <c r="K12" s="94" t="str">
        <f>IF(Table6220273233372141[[#This Row],[Non-Member]]="X"," ",IF(J12=" "," ",IFERROR(VLOOKUP(I12,Points!$A$2:$B$14,2,FALSE)," ")))</f>
        <v xml:space="preserve"> </v>
      </c>
      <c r="L12" s="92">
        <v>19.285</v>
      </c>
      <c r="M12" s="93">
        <f t="shared" si="4"/>
        <v>9</v>
      </c>
      <c r="N12" s="93" t="str">
        <f t="shared" si="5"/>
        <v xml:space="preserve"> </v>
      </c>
      <c r="O12" s="94" t="str">
        <f>IF(Table6220273233372141[[#This Row],[Non-Member]]="X"," ",IF(N12=" "," ",IFERROR(VLOOKUP(M12,Points!$A$2:$B$14,2,FALSE)," ")))</f>
        <v xml:space="preserve"> </v>
      </c>
      <c r="P12" s="92">
        <v>18.385000000000002</v>
      </c>
      <c r="Q12" s="93">
        <f t="shared" si="6"/>
        <v>7</v>
      </c>
      <c r="R12" s="93" t="str">
        <f t="shared" si="7"/>
        <v xml:space="preserve"> </v>
      </c>
      <c r="S12" s="94" t="str">
        <f>IF(Table6220273233372141[[#This Row],[Non-Member]]="X"," ",IF(R12=" "," ",IFERROR(VLOOKUP(Q12,Points!$A$2:$B$14,2,FALSE)," ")))</f>
        <v xml:space="preserve"> </v>
      </c>
      <c r="T12" s="92">
        <v>18.789000000000001</v>
      </c>
      <c r="U12" s="93">
        <f t="shared" si="8"/>
        <v>5</v>
      </c>
      <c r="V12" s="93">
        <f t="shared" si="9"/>
        <v>5</v>
      </c>
      <c r="W12" s="94">
        <f>IF(Table6220273233372141[[#This Row],[Non-Member]]="X"," ",IF(V12=" "," ",IFERROR(VLOOKUP(U12,Points!$A$2:$B$14,2,FALSE)," ")))</f>
        <v>6</v>
      </c>
      <c r="X12" s="92">
        <v>18.666</v>
      </c>
      <c r="Y12" s="93">
        <f t="shared" si="10"/>
        <v>7</v>
      </c>
      <c r="Z12" s="93" t="str">
        <f t="shared" si="11"/>
        <v xml:space="preserve"> </v>
      </c>
      <c r="AA12" s="94" t="str">
        <f>IF(Table6220273233372141[[#This Row],[Non-Member]]="X"," ",IF(Z12=" "," ",IFERROR(VLOOKUP(Y12,Points!$A$2:$B$14,2,FALSE)," ")))</f>
        <v xml:space="preserve"> </v>
      </c>
      <c r="AB12" s="92">
        <v>19.062999999999999</v>
      </c>
      <c r="AC12" s="93">
        <f t="shared" si="12"/>
        <v>6</v>
      </c>
      <c r="AD12" s="93">
        <f t="shared" si="13"/>
        <v>6</v>
      </c>
      <c r="AE12" s="94">
        <f>IF(Table6220273233372141[[#This Row],[Non-Member]]="X"," ",IF(AD12=" "," ",IFERROR(VLOOKUP(AC12,Points!$A$2:$B$14,2,FALSE)," ")))</f>
        <v>3</v>
      </c>
      <c r="AF12" s="92">
        <f t="shared" si="14"/>
        <v>37.728999999999999</v>
      </c>
      <c r="AG12" s="93">
        <f t="shared" si="15"/>
        <v>8</v>
      </c>
      <c r="AH12" s="93" t="str">
        <f t="shared" si="16"/>
        <v xml:space="preserve"> </v>
      </c>
      <c r="AI12" s="94" t="str">
        <f>IF(Table6220273233372141[[#This Row],[Non-Member]]="X"," ",IF(AH12=" "," ",IFERROR(VLOOKUP(AG12,Points!$A$2:$B$14,2,FALSE)," ")))</f>
        <v xml:space="preserve"> </v>
      </c>
      <c r="AJ12" s="93">
        <f>IF(Table6220273233372141[[#This Row],[Non-Member]]="X"," ",((IF(G12=" ",0,G12))+(IF(K12=" ",0,K12))+(IF(O12=" ",0,O12))+(IF(S12=" ",0,S12))+(IF(W12=" ",0,W12))+(IF(AA12=" ",0,AA12))+(IF(AE12=" ",0,AE12))+(IF(AI12=" ",0,AI12))))</f>
        <v>9</v>
      </c>
      <c r="AK12" s="95">
        <f t="shared" si="17"/>
        <v>9</v>
      </c>
      <c r="AL12" s="96">
        <f t="shared" si="18"/>
        <v>8</v>
      </c>
    </row>
    <row r="13" spans="2:38" x14ac:dyDescent="0.25">
      <c r="B13" s="90" t="s">
        <v>204</v>
      </c>
      <c r="C13" s="91"/>
      <c r="D13" s="92">
        <v>20.634</v>
      </c>
      <c r="E13" s="93">
        <f t="shared" si="0"/>
        <v>8</v>
      </c>
      <c r="F13" s="93" t="str">
        <f t="shared" si="1"/>
        <v xml:space="preserve"> </v>
      </c>
      <c r="G13" s="94" t="str">
        <f>IF(Table6220273233372141[[#This Row],[Non-Member]]="X"," ",IF(F13=" "," ",IFERROR(VLOOKUP(E13,Points!$A$2:$B$14,2,FALSE)," ")))</f>
        <v xml:space="preserve"> </v>
      </c>
      <c r="H13" s="92">
        <v>22.937999999999999</v>
      </c>
      <c r="I13" s="93">
        <f t="shared" si="2"/>
        <v>12</v>
      </c>
      <c r="J13" s="93" t="str">
        <f t="shared" si="3"/>
        <v xml:space="preserve"> </v>
      </c>
      <c r="K13" s="94" t="str">
        <f>IF(Table6220273233372141[[#This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IF(Table6220273233372141[[#This Row],[Non-Member]]="X"," ",IF(N13=" "," ",IFERROR(VLOOKUP(M13,Points!$A$2:$B$14,2,FALSE)," ")))</f>
        <v xml:space="preserve"> </v>
      </c>
      <c r="P13" s="92">
        <v>18.878</v>
      </c>
      <c r="Q13" s="93">
        <f t="shared" si="6"/>
        <v>9</v>
      </c>
      <c r="R13" s="93" t="str">
        <f t="shared" si="7"/>
        <v xml:space="preserve"> </v>
      </c>
      <c r="S13" s="94" t="str">
        <f>IF(Table6220273233372141[[#This Row],[Non-Member]]="X"," ",IF(R13=" "," ",IFERROR(VLOOKUP(Q13,Points!$A$2:$B$14,2,FALSE)," ")))</f>
        <v xml:space="preserve"> </v>
      </c>
      <c r="T13" s="92">
        <v>19.196000000000002</v>
      </c>
      <c r="U13" s="93">
        <f t="shared" si="8"/>
        <v>6</v>
      </c>
      <c r="V13" s="93">
        <f t="shared" si="9"/>
        <v>6</v>
      </c>
      <c r="W13" s="94">
        <f>IF(Table6220273233372141[[#This Row],[Non-Member]]="X"," ",IF(V13=" "," ",IFERROR(VLOOKUP(U13,Points!$A$2:$B$14,2,FALSE)," ")))</f>
        <v>3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IF(Table6220273233372141[[#This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IF(Table6220273233372141[[#This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IF(Table6220273233372141[[#This Row],[Non-Member]]="X"," ",IF(AH13=" "," ",IFERROR(VLOOKUP(AG13,Points!$A$2:$B$14,2,FALSE)," ")))</f>
        <v xml:space="preserve"> </v>
      </c>
      <c r="AJ13" s="93">
        <f>IF(Table6220273233372141[[#This Row],[Non-Member]]="X"," ",((IF(G13=" ",0,G13))+(IF(K13=" ",0,K13))+(IF(O13=" ",0,O13))+(IF(S13=" ",0,S13))+(IF(W13=" ",0,W13))+(IF(AA13=" ",0,AA13))+(IF(AE13=" ",0,AE13))+(IF(AI13=" ",0,AI13))))</f>
        <v>3</v>
      </c>
      <c r="AK13" s="95">
        <f t="shared" si="17"/>
        <v>3</v>
      </c>
      <c r="AL13" s="96">
        <f t="shared" si="18"/>
        <v>9</v>
      </c>
    </row>
    <row r="14" spans="2:38" x14ac:dyDescent="0.25">
      <c r="B14" s="90" t="s">
        <v>202</v>
      </c>
      <c r="C14" s="91"/>
      <c r="D14" s="92">
        <v>20.256</v>
      </c>
      <c r="E14" s="93">
        <f t="shared" si="0"/>
        <v>6</v>
      </c>
      <c r="F14" s="93">
        <f t="shared" si="1"/>
        <v>6</v>
      </c>
      <c r="G14" s="94">
        <f>IF(Table6220273233372141[[#This Row],[Non-Member]]="X"," ",IF(F14=" "," ",IFERROR(VLOOKUP(E14,Points!$A$2:$B$14,2,FALSE)," ")))</f>
        <v>3</v>
      </c>
      <c r="H14" s="92">
        <v>19.710999999999999</v>
      </c>
      <c r="I14" s="93">
        <f t="shared" si="2"/>
        <v>7</v>
      </c>
      <c r="J14" s="93" t="str">
        <f t="shared" si="3"/>
        <v xml:space="preserve"> </v>
      </c>
      <c r="K14" s="94" t="str">
        <f>IF(Table6220273233372141[[#This Row],[Non-Member]]="X"," ",IF(J14=" "," ",IFERROR(VLOOKUP(I14,Points!$A$2:$B$14,2,FALSE)," ")))</f>
        <v xml:space="preserve"> </v>
      </c>
      <c r="L14" s="92">
        <v>20.454999999999998</v>
      </c>
      <c r="M14" s="93">
        <f t="shared" si="4"/>
        <v>10</v>
      </c>
      <c r="N14" s="93" t="str">
        <f t="shared" si="5"/>
        <v xml:space="preserve"> </v>
      </c>
      <c r="O14" s="94" t="str">
        <f>IF(Table6220273233372141[[#This Row],[Non-Member]]="X"," ",IF(N14=" "," ",IFERROR(VLOOKUP(M14,Points!$A$2:$B$14,2,FALSE)," ")))</f>
        <v xml:space="preserve"> </v>
      </c>
      <c r="P14" s="92">
        <v>19.483000000000001</v>
      </c>
      <c r="Q14" s="93">
        <f t="shared" si="6"/>
        <v>10</v>
      </c>
      <c r="R14" s="93" t="str">
        <f t="shared" si="7"/>
        <v xml:space="preserve"> </v>
      </c>
      <c r="S14" s="94" t="str">
        <f>IF(Table6220273233372141[[#This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IF(Table6220273233372141[[#This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IF(Table6220273233372141[[#This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IF(Table6220273233372141[[#This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IF(Table6220273233372141[[#This Row],[Non-Member]]="X"," ",IF(AH14=" "," ",IFERROR(VLOOKUP(AG14,Points!$A$2:$B$14,2,FALSE)," ")))</f>
        <v xml:space="preserve"> </v>
      </c>
      <c r="AJ14" s="93">
        <f>IF(Table6220273233372141[[#This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6">
        <f t="shared" si="18"/>
        <v>9</v>
      </c>
    </row>
    <row r="15" spans="2:38" x14ac:dyDescent="0.25">
      <c r="B15" s="90" t="s">
        <v>206</v>
      </c>
      <c r="C15" s="91"/>
      <c r="D15" s="92">
        <v>26.963000000000001</v>
      </c>
      <c r="E15" s="93">
        <f t="shared" si="0"/>
        <v>13</v>
      </c>
      <c r="F15" s="93" t="str">
        <f t="shared" si="1"/>
        <v xml:space="preserve"> </v>
      </c>
      <c r="G15" s="94" t="str">
        <f>IF(Table6220273233372141[[#This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IF(Table6220273233372141[[#This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IF(Table6220273233372141[[#This Row],[Non-Member]]="X"," ",IF(N15=" "," ",IFERROR(VLOOKUP(M15,Points!$A$2:$B$14,2,FALSE)," ")))</f>
        <v xml:space="preserve"> </v>
      </c>
      <c r="P15" s="92">
        <v>23.515000000000001</v>
      </c>
      <c r="Q15" s="93">
        <f t="shared" si="6"/>
        <v>13</v>
      </c>
      <c r="R15" s="93" t="str">
        <f t="shared" si="7"/>
        <v xml:space="preserve"> </v>
      </c>
      <c r="S15" s="94" t="str">
        <f>IF(Table6220273233372141[[#This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IF(Table6220273233372141[[#This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IF(Table6220273233372141[[#This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IF(Table6220273233372141[[#This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IF(Table6220273233372141[[#This Row],[Non-Member]]="X"," ",IF(AH15=" "," ",IFERROR(VLOOKUP(AG15,Points!$A$2:$B$14,2,FALSE)," ")))</f>
        <v xml:space="preserve"> </v>
      </c>
      <c r="AJ15" s="93">
        <f>IF(Table6220273233372141[[#This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 t="s">
        <v>272</v>
      </c>
      <c r="C16" s="91" t="s">
        <v>95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IF(Table6220273233372141[[#This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IF(Table6220273233372141[[#This Row],[Non-Member]]="X"," ",IF(J16=" "," ",IFERROR(VLOOKUP(I16,Points!$A$2:$B$14,2,FALSE)," ")))</f>
        <v xml:space="preserve"> </v>
      </c>
      <c r="L16" s="92">
        <v>18.154</v>
      </c>
      <c r="M16" s="93">
        <f t="shared" si="4"/>
        <v>4</v>
      </c>
      <c r="N16" s="93">
        <f t="shared" si="5"/>
        <v>4</v>
      </c>
      <c r="O16" s="94" t="str">
        <f>IF(Table6220273233372141[[#This Row],[Non-Member]]="X"," ",IF(N16=" "," ",IFERROR(VLOOKUP(M16,Points!$A$2:$B$14,2,FALSE)," ")))</f>
        <v xml:space="preserve"> </v>
      </c>
      <c r="P16" s="92">
        <v>18.076000000000001</v>
      </c>
      <c r="Q16" s="93">
        <f t="shared" si="6"/>
        <v>4</v>
      </c>
      <c r="R16" s="93">
        <f t="shared" si="7"/>
        <v>4</v>
      </c>
      <c r="S16" s="94" t="str">
        <f>IF(Table6220273233372141[[#This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IF(Table6220273233372141[[#This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IF(Table6220273233372141[[#This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IF(Table6220273233372141[[#This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IF(Table6220273233372141[[#This Row],[Non-Member]]="X"," ",IF(AH16=" "," ",IFERROR(VLOOKUP(AG16,Points!$A$2:$B$14,2,FALSE)," ")))</f>
        <v xml:space="preserve"> </v>
      </c>
      <c r="AJ16" s="93" t="str">
        <f>IF(Table6220273233372141[[#This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25">
      <c r="B17" s="90" t="s">
        <v>203</v>
      </c>
      <c r="C17" s="91"/>
      <c r="D17" s="92">
        <v>22.22</v>
      </c>
      <c r="E17" s="93">
        <f t="shared" si="0"/>
        <v>9</v>
      </c>
      <c r="F17" s="93" t="str">
        <f t="shared" si="1"/>
        <v xml:space="preserve"> </v>
      </c>
      <c r="G17" s="94" t="str">
        <f>IF(Table6220273233372141[[#This Row],[Non-Member]]="X"," ",IF(F17=" "," ",IFERROR(VLOOKUP(E17,Points!$A$2:$B$14,2,FALSE)," ")))</f>
        <v xml:space="preserve"> </v>
      </c>
      <c r="H17" s="92">
        <v>21.065000000000001</v>
      </c>
      <c r="I17" s="93">
        <f t="shared" si="2"/>
        <v>10</v>
      </c>
      <c r="J17" s="93" t="str">
        <f t="shared" si="3"/>
        <v xml:space="preserve"> </v>
      </c>
      <c r="K17" s="94" t="str">
        <f>IF(Table6220273233372141[[#This Row],[Non-Member]]="X"," ",IF(J17=" "," ",IFERROR(VLOOKUP(I17,Points!$A$2:$B$14,2,FALSE)," ")))</f>
        <v xml:space="preserve"> </v>
      </c>
      <c r="L17" s="92">
        <v>19.271000000000001</v>
      </c>
      <c r="M17" s="93">
        <f t="shared" si="4"/>
        <v>8</v>
      </c>
      <c r="N17" s="93" t="str">
        <f t="shared" si="5"/>
        <v xml:space="preserve"> </v>
      </c>
      <c r="O17" s="94" t="str">
        <f>IF(Table6220273233372141[[#This Row],[Non-Member]]="X"," ",IF(N17=" "," ",IFERROR(VLOOKUP(M17,Points!$A$2:$B$14,2,FALSE)," ")))</f>
        <v xml:space="preserve"> </v>
      </c>
      <c r="P17" s="92">
        <v>19.609000000000002</v>
      </c>
      <c r="Q17" s="93">
        <f t="shared" si="6"/>
        <v>11</v>
      </c>
      <c r="R17" s="93" t="str">
        <f t="shared" si="7"/>
        <v xml:space="preserve"> </v>
      </c>
      <c r="S17" s="94" t="str">
        <f>IF(Table6220273233372141[[#This Row],[Non-Member]]="X"," ",IF(R17=" "," ",IFERROR(VLOOKUP(Q17,Points!$A$2:$B$14,2,FALSE)," ")))</f>
        <v xml:space="preserve"> </v>
      </c>
      <c r="T17" s="92">
        <v>20.648</v>
      </c>
      <c r="U17" s="93">
        <f t="shared" si="8"/>
        <v>8</v>
      </c>
      <c r="V17" s="93" t="str">
        <f t="shared" si="9"/>
        <v xml:space="preserve"> </v>
      </c>
      <c r="W17" s="94" t="str">
        <f>IF(Table6220273233372141[[#This Row],[Non-Member]]="X"," ",IF(V17=" "," ",IFERROR(VLOOKUP(U17,Points!$A$2:$B$14,2,FALSE)," ")))</f>
        <v xml:space="preserve"> </v>
      </c>
      <c r="X17" s="92">
        <v>20.103000000000002</v>
      </c>
      <c r="Y17" s="93">
        <f t="shared" si="10"/>
        <v>11</v>
      </c>
      <c r="Z17" s="93" t="str">
        <f t="shared" si="11"/>
        <v xml:space="preserve"> </v>
      </c>
      <c r="AA17" s="94" t="str">
        <f>IF(Table6220273233372141[[#This Row],[Non-Member]]="X"," ",IF(Z17=" "," ",IFERROR(VLOOKUP(Y17,Points!$A$2:$B$14,2,FALSE)," ")))</f>
        <v xml:space="preserve"> </v>
      </c>
      <c r="AB17" s="92">
        <v>20.629000000000001</v>
      </c>
      <c r="AC17" s="93">
        <f t="shared" si="12"/>
        <v>10</v>
      </c>
      <c r="AD17" s="93" t="str">
        <f t="shared" si="13"/>
        <v xml:space="preserve"> </v>
      </c>
      <c r="AE17" s="94" t="str">
        <f>IF(Table6220273233372141[[#This Row],[Non-Member]]="X"," ",IF(AD17=" "," ",IFERROR(VLOOKUP(AC17,Points!$A$2:$B$14,2,FALSE)," ")))</f>
        <v xml:space="preserve"> </v>
      </c>
      <c r="AF17" s="92">
        <f t="shared" si="14"/>
        <v>40.731999999999999</v>
      </c>
      <c r="AG17" s="93">
        <f t="shared" si="15"/>
        <v>10</v>
      </c>
      <c r="AH17" s="93" t="str">
        <f t="shared" si="16"/>
        <v xml:space="preserve"> </v>
      </c>
      <c r="AI17" s="94" t="str">
        <f>IF(Table6220273233372141[[#This Row],[Non-Member]]="X"," ",IF(AH17=" "," ",IFERROR(VLOOKUP(AG17,Points!$A$2:$B$14,2,FALSE)," ")))</f>
        <v xml:space="preserve"> </v>
      </c>
      <c r="AJ17" s="93">
        <f>IF(Table6220273233372141[[#This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25">
      <c r="B18" s="90" t="s">
        <v>250</v>
      </c>
      <c r="C18" s="91" t="s">
        <v>95</v>
      </c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IF(Table6220273233372141[[#This Row],[Non-Member]]="X"," ",IF(F18=" "," ",IFERROR(VLOOKUP(E18,Points!$A$2:$B$14,2,FALSE)," ")))</f>
        <v xml:space="preserve"> </v>
      </c>
      <c r="H18" s="92">
        <v>18.687000000000001</v>
      </c>
      <c r="I18" s="97">
        <f t="shared" si="2"/>
        <v>3</v>
      </c>
      <c r="J18" s="97">
        <f t="shared" si="3"/>
        <v>3</v>
      </c>
      <c r="K18" s="94" t="str">
        <f>IF(Table6220273233372141[[#This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IF(Table6220273233372141[[#This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IF(Table6220273233372141[[#This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IF(Table6220273233372141[[#This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IF(Table6220273233372141[[#This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IF(Table6220273233372141[[#This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IF(Table6220273233372141[[#This Row],[Non-Member]]="X"," ",IF(AH18=" "," ",IFERROR(VLOOKUP(AG18,Points!$A$2:$B$14,2,FALSE)," ")))</f>
        <v xml:space="preserve"> </v>
      </c>
      <c r="AJ18" s="97" t="str">
        <f>IF(Table6220273233372141[[#This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 t="s">
        <v>249</v>
      </c>
      <c r="C19" s="91" t="s">
        <v>95</v>
      </c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IF(Table6220273233372141[[#This Row],[Non-Member]]="X"," ",IF(F19=" "," ",IFERROR(VLOOKUP(E19,Points!$A$2:$B$14,2,FALSE)," ")))</f>
        <v xml:space="preserve"> </v>
      </c>
      <c r="H19" s="92">
        <v>19.065999999999999</v>
      </c>
      <c r="I19" s="93">
        <f t="shared" si="2"/>
        <v>6</v>
      </c>
      <c r="J19" s="93">
        <f t="shared" si="3"/>
        <v>6</v>
      </c>
      <c r="K19" s="94" t="str">
        <f>IF(Table6220273233372141[[#This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IF(Table6220273233372141[[#This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IF(Table6220273233372141[[#This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IF(Table6220273233372141[[#This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IF(Table6220273233372141[[#This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IF(Table6220273233372141[[#This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IF(Table6220273233372141[[#This Row],[Non-Member]]="X"," ",IF(AH19=" "," ",IFERROR(VLOOKUP(AG19,Points!$A$2:$B$14,2,FALSE)," ")))</f>
        <v xml:space="preserve"> </v>
      </c>
      <c r="AJ19" s="93" t="str">
        <f>IF(Table6220273233372141[[#This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 t="s">
        <v>200</v>
      </c>
      <c r="C20" s="91"/>
      <c r="D20" s="92">
        <v>29.69</v>
      </c>
      <c r="E20" s="97">
        <f t="shared" si="0"/>
        <v>14</v>
      </c>
      <c r="F20" s="97" t="str">
        <f t="shared" si="1"/>
        <v xml:space="preserve"> </v>
      </c>
      <c r="G20" s="94" t="str">
        <f>IF(Table6220273233372141[[#This Row],[Non-Member]]="X"," ",IF(F20=" "," ",IFERROR(VLOOKUP(E20,Points!$A$2:$B$14,2,FALSE)," ")))</f>
        <v xml:space="preserve"> </v>
      </c>
      <c r="H20" s="92">
        <v>25.620999999999999</v>
      </c>
      <c r="I20" s="97">
        <f t="shared" si="2"/>
        <v>16</v>
      </c>
      <c r="J20" s="97" t="str">
        <f t="shared" si="3"/>
        <v xml:space="preserve"> </v>
      </c>
      <c r="K20" s="94" t="str">
        <f>IF(Table6220273233372141[[#This Row],[Non-Member]]="X"," ",IF(J20=" "," ",IFERROR(VLOOKUP(I20,Points!$A$2:$B$14,2,FALSE)," ")))</f>
        <v xml:space="preserve"> </v>
      </c>
      <c r="L20" s="92"/>
      <c r="M20" s="97" t="str">
        <f t="shared" si="4"/>
        <v xml:space="preserve"> </v>
      </c>
      <c r="N20" s="97" t="str">
        <f t="shared" si="5"/>
        <v xml:space="preserve"> </v>
      </c>
      <c r="O20" s="94" t="str">
        <f>IF(Table6220273233372141[[#This Row],[Non-Member]]="X"," ",IF(N20=" "," ",IFERROR(VLOOKUP(M20,Points!$A$2:$B$14,2,FALSE)," ")))</f>
        <v xml:space="preserve"> </v>
      </c>
      <c r="P20" s="92">
        <v>21.364000000000001</v>
      </c>
      <c r="Q20" s="97">
        <f t="shared" si="6"/>
        <v>12</v>
      </c>
      <c r="R20" s="97" t="str">
        <f t="shared" si="7"/>
        <v xml:space="preserve"> </v>
      </c>
      <c r="S20" s="94" t="str">
        <f>IF(Table6220273233372141[[#This Row],[Non-Member]]="X"," ",IF(R20=" "," ",IFERROR(VLOOKUP(Q20,Points!$A$2:$B$14,2,FALSE)," ")))</f>
        <v xml:space="preserve"> </v>
      </c>
      <c r="T20" s="92"/>
      <c r="U20" s="97" t="str">
        <f t="shared" si="8"/>
        <v xml:space="preserve"> </v>
      </c>
      <c r="V20" s="97" t="str">
        <f t="shared" si="9"/>
        <v xml:space="preserve"> </v>
      </c>
      <c r="W20" s="94" t="str">
        <f>IF(Table6220273233372141[[#This Row],[Non-Member]]="X"," ",IF(V20=" "," ",IFERROR(VLOOKUP(U20,Points!$A$2:$B$14,2,FALSE)," ")))</f>
        <v xml:space="preserve"> </v>
      </c>
      <c r="X20" s="92">
        <v>21.635999999999999</v>
      </c>
      <c r="Y20" s="97">
        <f t="shared" si="10"/>
        <v>12</v>
      </c>
      <c r="Z20" s="97" t="str">
        <f t="shared" si="11"/>
        <v xml:space="preserve"> </v>
      </c>
      <c r="AA20" s="94" t="str">
        <f>IF(Table6220273233372141[[#This Row],[Non-Member]]="X"," ",IF(Z20=" "," ",IFERROR(VLOOKUP(Y20,Points!$A$2:$B$14,2,FALSE)," ")))</f>
        <v xml:space="preserve"> </v>
      </c>
      <c r="AB20" s="92">
        <v>26.027000000000001</v>
      </c>
      <c r="AC20" s="97">
        <f t="shared" si="12"/>
        <v>12</v>
      </c>
      <c r="AD20" s="97" t="str">
        <f t="shared" si="13"/>
        <v xml:space="preserve"> </v>
      </c>
      <c r="AE20" s="94" t="str">
        <f>IF(Table6220273233372141[[#This Row],[Non-Member]]="X"," ",IF(AD20=" "," ",IFERROR(VLOOKUP(AC20,Points!$A$2:$B$14,2,FALSE)," ")))</f>
        <v xml:space="preserve"> </v>
      </c>
      <c r="AF20" s="92">
        <f t="shared" si="14"/>
        <v>47.662999999999997</v>
      </c>
      <c r="AG20" s="97">
        <f t="shared" si="15"/>
        <v>12</v>
      </c>
      <c r="AH20" s="97" t="str">
        <f t="shared" si="16"/>
        <v xml:space="preserve"> </v>
      </c>
      <c r="AI20" s="94" t="str">
        <f>IF(Table6220273233372141[[#This Row],[Non-Member]]="X"," ",IF(AH20=" "," ",IFERROR(VLOOKUP(AG20,Points!$A$2:$B$14,2,FALSE)," ")))</f>
        <v xml:space="preserve"> </v>
      </c>
      <c r="AJ20" s="97">
        <f>IF(Table6220273233372141[[#This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25">
      <c r="B21" s="90" t="s">
        <v>157</v>
      </c>
      <c r="C21" s="91"/>
      <c r="D21" s="92">
        <v>24.47</v>
      </c>
      <c r="E21" s="93">
        <f t="shared" si="0"/>
        <v>12</v>
      </c>
      <c r="F21" s="93" t="str">
        <f t="shared" si="1"/>
        <v xml:space="preserve"> </v>
      </c>
      <c r="G21" s="94" t="str">
        <f>IF(Table6220273233372141[[#This Row],[Non-Member]]="X"," ",IF(F21=" "," ",IFERROR(VLOOKUP(E21,Points!$A$2:$B$14,2,FALSE)," ")))</f>
        <v xml:space="preserve"> </v>
      </c>
      <c r="H21" s="138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IF(Table6220273233372141[[#This Row],[Non-Member]]="X"," ",IF(J21=" "," ",IFERROR(VLOOKUP(I21,Points!$A$2:$B$14,2,FALSE)," ")))</f>
        <v xml:space="preserve"> </v>
      </c>
      <c r="L21" s="138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IF(Table6220273233372141[[#This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IF(Table6220273233372141[[#This Row],[Non-Member]]="X"," ",IF(R21=" "," ",IFERROR(VLOOKUP(Q21,Points!$A$2:$B$14,2,FALSE)," ")))</f>
        <v xml:space="preserve"> </v>
      </c>
      <c r="T21" s="92">
        <v>21.69</v>
      </c>
      <c r="U21" s="93">
        <f t="shared" si="8"/>
        <v>10</v>
      </c>
      <c r="V21" s="93" t="str">
        <f t="shared" si="9"/>
        <v xml:space="preserve"> </v>
      </c>
      <c r="W21" s="94" t="str">
        <f>IF(Table6220273233372141[[#This Row],[Non-Member]]="X"," ",IF(V21=" "," ",IFERROR(VLOOKUP(U21,Points!$A$2:$B$14,2,FALSE)," ")))</f>
        <v xml:space="preserve"> </v>
      </c>
      <c r="X21" s="92">
        <v>19.123999999999999</v>
      </c>
      <c r="Y21" s="93">
        <f t="shared" si="10"/>
        <v>10</v>
      </c>
      <c r="Z21" s="93" t="str">
        <f t="shared" si="11"/>
        <v xml:space="preserve"> </v>
      </c>
      <c r="AA21" s="94" t="str">
        <f>IF(Table6220273233372141[[#This Row],[Non-Member]]="X"," ",IF(Z21=" "," ",IFERROR(VLOOKUP(Y21,Points!$A$2:$B$14,2,FALSE)," ")))</f>
        <v xml:space="preserve"> </v>
      </c>
      <c r="AB21" s="92">
        <v>24.463000000000001</v>
      </c>
      <c r="AC21" s="93">
        <f t="shared" si="12"/>
        <v>11</v>
      </c>
      <c r="AD21" s="93" t="str">
        <f t="shared" si="13"/>
        <v xml:space="preserve"> </v>
      </c>
      <c r="AE21" s="94" t="str">
        <f>IF(Table6220273233372141[[#This Row],[Non-Member]]="X"," ",IF(AD21=" "," ",IFERROR(VLOOKUP(AC21,Points!$A$2:$B$14,2,FALSE)," ")))</f>
        <v xml:space="preserve"> </v>
      </c>
      <c r="AF21" s="92">
        <f t="shared" si="14"/>
        <v>43.587000000000003</v>
      </c>
      <c r="AG21" s="93">
        <f t="shared" si="15"/>
        <v>11</v>
      </c>
      <c r="AH21" s="93" t="str">
        <f t="shared" si="16"/>
        <v xml:space="preserve"> </v>
      </c>
      <c r="AI21" s="94" t="str">
        <f>IF(Table6220273233372141[[#This Row],[Non-Member]]="X"," ",IF(AH21=" "," ",IFERROR(VLOOKUP(AG21,Points!$A$2:$B$14,2,FALSE)," ")))</f>
        <v xml:space="preserve"> </v>
      </c>
      <c r="AJ21" s="93">
        <f>IF(Table6220273233372141[[#This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 t="s">
        <v>199</v>
      </c>
      <c r="C22" s="91"/>
      <c r="D22" s="92">
        <v>20.311</v>
      </c>
      <c r="E22" s="93">
        <f t="shared" si="0"/>
        <v>7</v>
      </c>
      <c r="F22" s="93" t="str">
        <f t="shared" si="1"/>
        <v xml:space="preserve"> </v>
      </c>
      <c r="G22" s="94" t="str">
        <f>IF(Table6220273233372141[[#This Row],[Non-Member]]="X"," ",IF(F22=" "," ",IFERROR(VLOOKUP(E22,Points!$A$2:$B$14,2,FALSE)," ")))</f>
        <v xml:space="preserve"> </v>
      </c>
      <c r="H22" s="92">
        <v>25.28</v>
      </c>
      <c r="I22" s="93">
        <f t="shared" si="2"/>
        <v>15</v>
      </c>
      <c r="J22" s="93" t="str">
        <f t="shared" si="3"/>
        <v xml:space="preserve"> </v>
      </c>
      <c r="K22" s="94" t="str">
        <f>IF(Table6220273233372141[[#This Row],[Non-Member]]="X"," ",IF(J22=" "," ",IFERROR(VLOOKUP(I22,Points!$A$2:$B$14,2,FALSE)," ")))</f>
        <v xml:space="preserve"> </v>
      </c>
      <c r="L22" s="92">
        <v>21.23</v>
      </c>
      <c r="M22" s="93">
        <f t="shared" si="4"/>
        <v>11</v>
      </c>
      <c r="N22" s="93" t="str">
        <f t="shared" si="5"/>
        <v xml:space="preserve"> </v>
      </c>
      <c r="O22" s="94" t="str">
        <f>IF(Table6220273233372141[[#This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IF(Table6220273233372141[[#This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IF(Table6220273233372141[[#This Row],[Non-Member]]="X"," ",IF(V22=" "," ",IFERROR(VLOOKUP(U22,Points!$A$2:$B$14,2,FALSE)," ")))</f>
        <v xml:space="preserve"> </v>
      </c>
      <c r="X22" s="92">
        <v>19.091999999999999</v>
      </c>
      <c r="Y22" s="93">
        <f t="shared" si="10"/>
        <v>9</v>
      </c>
      <c r="Z22" s="93" t="str">
        <f t="shared" si="11"/>
        <v xml:space="preserve"> </v>
      </c>
      <c r="AA22" s="94" t="str">
        <f>IF(Table6220273233372141[[#This Row],[Non-Member]]="X"," ",IF(Z22=" "," ",IFERROR(VLOOKUP(Y22,Points!$A$2:$B$14,2,FALSE)," ")))</f>
        <v xml:space="preserve"> </v>
      </c>
      <c r="AB22" s="92">
        <v>19.52</v>
      </c>
      <c r="AC22" s="93">
        <f t="shared" si="12"/>
        <v>9</v>
      </c>
      <c r="AD22" s="93" t="str">
        <f t="shared" si="13"/>
        <v xml:space="preserve"> </v>
      </c>
      <c r="AE22" s="94" t="str">
        <f>IF(Table6220273233372141[[#This Row],[Non-Member]]="X"," ",IF(AD22=" "," ",IFERROR(VLOOKUP(AC22,Points!$A$2:$B$14,2,FALSE)," ")))</f>
        <v xml:space="preserve"> </v>
      </c>
      <c r="AF22" s="92">
        <f t="shared" si="14"/>
        <v>38.611999999999995</v>
      </c>
      <c r="AG22" s="93">
        <f t="shared" si="15"/>
        <v>9</v>
      </c>
      <c r="AH22" s="93" t="str">
        <f t="shared" si="16"/>
        <v xml:space="preserve"> </v>
      </c>
      <c r="AI22" s="94" t="str">
        <f>IF(Table6220273233372141[[#This Row],[Non-Member]]="X"," ",IF(AH22=" "," ",IFERROR(VLOOKUP(AG22,Points!$A$2:$B$14,2,FALSE)," ")))</f>
        <v xml:space="preserve"> </v>
      </c>
      <c r="AJ22" s="93">
        <f>IF(Table6220273233372141[[#This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 t="s">
        <v>251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IF(Table6220273233372141[[#This Row],[Non-Member]]="X"," ",IF(F23=" "," ",IFERROR(VLOOKUP(E23,Points!$A$2:$B$14,2,FALSE)," ")))</f>
        <v xml:space="preserve"> </v>
      </c>
      <c r="H23" s="92">
        <v>22.760999999999999</v>
      </c>
      <c r="I23" s="93">
        <f t="shared" si="2"/>
        <v>11</v>
      </c>
      <c r="J23" s="93" t="str">
        <f t="shared" si="3"/>
        <v xml:space="preserve"> </v>
      </c>
      <c r="K23" s="94" t="str">
        <f>IF(Table6220273233372141[[#This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IF(Table6220273233372141[[#This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IF(Table6220273233372141[[#This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IF(Table6220273233372141[[#This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IF(Table6220273233372141[[#This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IF(Table6220273233372141[[#This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IF(Table6220273233372141[[#This Row],[Non-Member]]="X"," ",IF(AH23=" "," ",IFERROR(VLOOKUP(AG23,Points!$A$2:$B$14,2,FALSE)," ")))</f>
        <v xml:space="preserve"> </v>
      </c>
      <c r="AJ23" s="93">
        <f>IF(Table6220273233372141[[#This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 t="s">
        <v>159</v>
      </c>
      <c r="C24" s="101"/>
      <c r="D24" s="102">
        <v>23.463000000000001</v>
      </c>
      <c r="E24" s="103">
        <f t="shared" si="0"/>
        <v>11</v>
      </c>
      <c r="F24" s="103" t="str">
        <f t="shared" si="1"/>
        <v xml:space="preserve"> </v>
      </c>
      <c r="G24" s="104" t="str">
        <f>IF(Table6220273233372141[[#This Row],[Non-Member]]="X"," ",IF(F24=" "," ",IFERROR(VLOOKUP(E24,Points!$A$2:$B$14,2,FALSE)," ")))</f>
        <v xml:space="preserve"> </v>
      </c>
      <c r="H24" s="102">
        <v>24.015999999999998</v>
      </c>
      <c r="I24" s="103">
        <f t="shared" si="2"/>
        <v>14</v>
      </c>
      <c r="J24" s="103" t="str">
        <f t="shared" si="3"/>
        <v xml:space="preserve"> </v>
      </c>
      <c r="K24" s="104" t="str">
        <f>IF(Table6220273233372141[[#This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IF(Table6220273233372141[[#This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IF(Table6220273233372141[[#This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IF(Table6220273233372141[[#This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IF(Table6220273233372141[[#This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IF(Table6220273233372141[[#This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IF(Table6220273233372141[[#This Row],[Non-Member]]="X"," ",IF(AH24=" "," ",IFERROR(VLOOKUP(AG24,Points!$A$2:$B$14,2,FALSE)," ")))</f>
        <v xml:space="preserve"> </v>
      </c>
      <c r="AJ24" s="93">
        <f>IF(Table6220273233372141[[#This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  <row r="30" spans="2:38" x14ac:dyDescent="0.25">
      <c r="H30" s="108"/>
    </row>
    <row r="31" spans="2:38" x14ac:dyDescent="0.25">
      <c r="H31" s="108"/>
    </row>
    <row r="32" spans="2:38" x14ac:dyDescent="0.25">
      <c r="H32" s="108"/>
    </row>
    <row r="33" spans="8:8" x14ac:dyDescent="0.25">
      <c r="H33" s="108"/>
    </row>
    <row r="34" spans="8:8" x14ac:dyDescent="0.25">
      <c r="H34" s="108"/>
    </row>
    <row r="35" spans="8:8" x14ac:dyDescent="0.25">
      <c r="H35" s="108"/>
    </row>
    <row r="36" spans="8:8" x14ac:dyDescent="0.25">
      <c r="H36" s="108"/>
    </row>
    <row r="37" spans="8:8" x14ac:dyDescent="0.25">
      <c r="H37" s="108"/>
    </row>
    <row r="38" spans="8:8" x14ac:dyDescent="0.25">
      <c r="H38" s="108"/>
    </row>
    <row r="39" spans="8:8" x14ac:dyDescent="0.25">
      <c r="H39" s="108"/>
    </row>
    <row r="40" spans="8:8" x14ac:dyDescent="0.25">
      <c r="H40" s="108"/>
    </row>
    <row r="41" spans="8:8" x14ac:dyDescent="0.25">
      <c r="H41" s="108"/>
    </row>
    <row r="42" spans="8:8" x14ac:dyDescent="0.25">
      <c r="H42" s="108"/>
    </row>
    <row r="43" spans="8:8" x14ac:dyDescent="0.25">
      <c r="H43" s="108"/>
    </row>
  </sheetData>
  <sheetProtection algorithmName="SHA-512" hashValue="pSA/5emFqG7cwghqDKeB4mFvBhoQO6IgO+y4mVasicPyx+l/3/EvD3yrZUZ8H0OXX+bKL0wfmcc53eiRENgLVw==" saltValue="9hXiNdKlSGv8xDdStt7dt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12F46-4331-4684-AC46-B7C9C1EA018D}">
  <sheetPr codeName="Sheet74">
    <tabColor theme="8" tint="0.79998168889431442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115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158</v>
      </c>
      <c r="C5" s="84"/>
      <c r="D5" s="85">
        <v>21.599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IF(Table622027323337382242[[#This Row],[Non-Member]]="X"," ",IF(F5=" "," ",IFERROR(VLOOKUP(E5,Points!$A$2:$B$14,2,FALSE)," ")))</f>
        <v>18</v>
      </c>
      <c r="H5" s="85">
        <v>22.478000000000002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IF(Table622027323337382242[[#This Row],[Non-Member]]="X"," ",IF(J5=" "," ",IFERROR(VLOOKUP(I5,Points!$A$2:$B$14,2,FALSE)," ")))</f>
        <v>15</v>
      </c>
      <c r="L5" s="85">
        <v>21.31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IF(Table622027323337382242[[#This Row],[Non-Member]]="X"," ",IF(N5=" "," ",IFERROR(VLOOKUP(M5,Points!$A$2:$B$14,2,FALSE)," ")))</f>
        <v>18</v>
      </c>
      <c r="P5" s="85">
        <v>25.905000000000001</v>
      </c>
      <c r="Q5" s="86">
        <f t="shared" ref="Q5:Q24" si="6">IF(P5=0," ",_xlfn.RANK.AVG(P5,P$5:P$24,1)-COUNTIF(P$5:P$24,0))</f>
        <v>5</v>
      </c>
      <c r="R5" s="86">
        <f t="shared" ref="R5:R24" si="7">IF(P5=0," ",IF((RANK(P5,P$5:P$24,1)-COUNTIF(P$5:P$24,0)&gt;6)," ",RANK(P5,P$5:P$24,1)-COUNTIF(P$5:P$24,0)))</f>
        <v>5</v>
      </c>
      <c r="S5" s="87">
        <f>IF(Table622027323337382242[[#This Row],[Non-Member]]="X"," ",IF(R5=" "," ",IFERROR(VLOOKUP(Q5,Points!$A$2:$B$14,2,FALSE)," ")))</f>
        <v>6</v>
      </c>
      <c r="T5" s="85">
        <v>21.884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IF(Table622027323337382242[[#This Row],[Non-Member]]="X"," ",IF(V5=" "," ",IFERROR(VLOOKUP(U5,Points!$A$2:$B$14,2,FALSE)," ")))</f>
        <v>18</v>
      </c>
      <c r="X5" s="85">
        <v>26.689</v>
      </c>
      <c r="Y5" s="86">
        <f t="shared" ref="Y5:Y24" si="10">IF(X5=0," ",_xlfn.RANK.AVG(X5,X$5:X$24,1)-COUNTIF(X$5:X$24,0))</f>
        <v>6</v>
      </c>
      <c r="Z5" s="86">
        <f t="shared" ref="Z5:Z24" si="11">IF(X5=0," ",IF((RANK(X5,X$5:X$24,1)-COUNTIF(X$5:X$24,0)&gt;6)," ",RANK(X5,X$5:X$24,1)-COUNTIF(X$5:X$24,0)))</f>
        <v>6</v>
      </c>
      <c r="AA5" s="87">
        <f>IF(Table622027323337382242[[#This Row],[Non-Member]]="X"," ",IF(Z5=" "," ",IFERROR(VLOOKUP(Y5,Points!$A$2:$B$14,2,FALSE)," ")))</f>
        <v>3</v>
      </c>
      <c r="AB5" s="85">
        <v>21.719000000000001</v>
      </c>
      <c r="AC5" s="86">
        <f t="shared" ref="AC5:AC24" si="12">IF(AB5=0," ",_xlfn.RANK.AVG(AB5,AB$5:AB$24,1)-COUNTIF(AB$5:AB$24,0))</f>
        <v>3</v>
      </c>
      <c r="AD5" s="86">
        <f t="shared" ref="AD5:AD24" si="13">IF(AB5=0," ",IF((RANK(AB5,AB$5:AB$24,1)-COUNTIF(AB$5:AB$24,0)&gt;6)," ",RANK(AB5,AB$5:AB$24,1)-COUNTIF(AB$5:AB$24,0)))</f>
        <v>3</v>
      </c>
      <c r="AE5" s="87">
        <f>IF(Table622027323337382242[[#This Row],[Non-Member]]="X"," ",IF(AD5=" "," ",IFERROR(VLOOKUP(AC5,Points!$A$2:$B$14,2,FALSE)," ")))</f>
        <v>12</v>
      </c>
      <c r="AF5" s="85">
        <f t="shared" ref="AF5:AF24" si="14">IF(OR(X5=0,AB5=0)," ",X5+AB5)</f>
        <v>48.408000000000001</v>
      </c>
      <c r="AG5" s="86">
        <f t="shared" ref="AG5:AG24" si="15">IF(OR(AF5=0,AF5=" ")," ",_xlfn.RANK.AVG(AF5,AF$5:AF$24,1)-COUNTIF(AF$5:AF$24,0))</f>
        <v>5</v>
      </c>
      <c r="AH5" s="86">
        <f t="shared" ref="AH5:AH24" si="16">IF(OR(AF5=0,AF5=" ")," ",IF((RANK(AF5,AF$5:AF$24,1)-COUNTIF(AF$5:AF$24,0)&gt;6)," ",RANK(AF5,AF$5:AF$24,1)-COUNTIF(AF$5:AF$24,0)))</f>
        <v>5</v>
      </c>
      <c r="AI5" s="87">
        <f>IF(Table622027323337382242[[#This Row],[Non-Member]]="X"," ",IF(AH5=" "," ",IFERROR(VLOOKUP(AG5,Points!$A$2:$B$14,2,FALSE)," ")))</f>
        <v>6</v>
      </c>
      <c r="AJ5" s="86">
        <f>IF(Table622027323337382242[[#This Row],[Non-Member]]="X"," ",((IF(G5=" ",0,G5))+(IF(K5=" ",0,K5))+(IF(O5=" ",0,O5))+(IF(S5=" ",0,S5))+(IF(W5=" ",0,W5))+(IF(AA5=" ",0,AA5))+(IF(AE5=" ",0,AE5))+(IF(AI5=" ",0,AI5))))</f>
        <v>96</v>
      </c>
      <c r="AK5" s="88">
        <f t="shared" ref="AK5:AK24" si="17">IF(AJ5=0," ",AJ5)</f>
        <v>96</v>
      </c>
      <c r="AL5" s="89">
        <f t="shared" ref="AL5:AL24" si="18">IF(AK5=" "," ",RANK(AK5,$AK$5:$AK$24))</f>
        <v>1</v>
      </c>
    </row>
    <row r="6" spans="2:38" x14ac:dyDescent="0.25">
      <c r="B6" s="90" t="s">
        <v>162</v>
      </c>
      <c r="C6" s="91"/>
      <c r="D6" s="92">
        <v>21.780999999999999</v>
      </c>
      <c r="E6" s="97">
        <f t="shared" si="0"/>
        <v>2</v>
      </c>
      <c r="F6" s="97">
        <f t="shared" si="1"/>
        <v>2</v>
      </c>
      <c r="G6" s="94">
        <f>IF(Table622027323337382242[[#This Row],[Non-Member]]="X"," ",IF(F6=" "," ",IFERROR(VLOOKUP(E6,Points!$A$2:$B$14,2,FALSE)," ")))</f>
        <v>15</v>
      </c>
      <c r="H6" s="92">
        <v>29.864999999999998</v>
      </c>
      <c r="I6" s="97">
        <f t="shared" si="2"/>
        <v>10</v>
      </c>
      <c r="J6" s="97" t="str">
        <f t="shared" si="3"/>
        <v xml:space="preserve"> </v>
      </c>
      <c r="K6" s="94" t="str">
        <f>IF(Table622027323337382242[[#This Row],[Non-Member]]="X"," ",IF(J6=" "," ",IFERROR(VLOOKUP(I6,Points!$A$2:$B$14,2,FALSE)," ")))</f>
        <v xml:space="preserve"> </v>
      </c>
      <c r="L6" s="92">
        <v>23.956</v>
      </c>
      <c r="M6" s="97">
        <f t="shared" si="4"/>
        <v>5</v>
      </c>
      <c r="N6" s="97">
        <f t="shared" si="5"/>
        <v>5</v>
      </c>
      <c r="O6" s="94">
        <f>IF(Table622027323337382242[[#This Row],[Non-Member]]="X"," ",IF(N6=" "," ",IFERROR(VLOOKUP(M6,Points!$A$2:$B$14,2,FALSE)," ")))</f>
        <v>6</v>
      </c>
      <c r="P6" s="92">
        <v>26.538</v>
      </c>
      <c r="Q6" s="97">
        <f t="shared" si="6"/>
        <v>6</v>
      </c>
      <c r="R6" s="97">
        <f t="shared" si="7"/>
        <v>6</v>
      </c>
      <c r="S6" s="94">
        <f>IF(Table622027323337382242[[#This Row],[Non-Member]]="X"," ",IF(R6=" "," ",IFERROR(VLOOKUP(Q6,Points!$A$2:$B$14,2,FALSE)," ")))</f>
        <v>3</v>
      </c>
      <c r="T6" s="92">
        <v>22.004999999999999</v>
      </c>
      <c r="U6" s="97">
        <f t="shared" si="8"/>
        <v>3</v>
      </c>
      <c r="V6" s="97">
        <f t="shared" si="9"/>
        <v>3</v>
      </c>
      <c r="W6" s="94">
        <f>IF(Table622027323337382242[[#This Row],[Non-Member]]="X"," ",IF(V6=" "," ",IFERROR(VLOOKUP(U6,Points!$A$2:$B$14,2,FALSE)," ")))</f>
        <v>12</v>
      </c>
      <c r="X6" s="92">
        <v>21.433</v>
      </c>
      <c r="Y6" s="97">
        <f t="shared" si="10"/>
        <v>1</v>
      </c>
      <c r="Z6" s="97">
        <f t="shared" si="11"/>
        <v>1</v>
      </c>
      <c r="AA6" s="94">
        <f>IF(Table622027323337382242[[#This Row],[Non-Member]]="X"," ",IF(Z6=" "," ",IFERROR(VLOOKUP(Y6,Points!$A$2:$B$14,2,FALSE)," ")))</f>
        <v>18</v>
      </c>
      <c r="AB6" s="92">
        <v>21.122</v>
      </c>
      <c r="AC6" s="97">
        <f t="shared" si="12"/>
        <v>1</v>
      </c>
      <c r="AD6" s="97">
        <f t="shared" si="13"/>
        <v>1</v>
      </c>
      <c r="AE6" s="94">
        <f>IF(Table622027323337382242[[#This Row],[Non-Member]]="X"," ",IF(AD6=" "," ",IFERROR(VLOOKUP(AC6,Points!$A$2:$B$14,2,FALSE)," ")))</f>
        <v>18</v>
      </c>
      <c r="AF6" s="92">
        <f t="shared" si="14"/>
        <v>42.555</v>
      </c>
      <c r="AG6" s="97">
        <f t="shared" si="15"/>
        <v>1</v>
      </c>
      <c r="AH6" s="97">
        <f t="shared" si="16"/>
        <v>1</v>
      </c>
      <c r="AI6" s="94">
        <f>IF(Table622027323337382242[[#This Row],[Non-Member]]="X"," ",IF(AH6=" "," ",IFERROR(VLOOKUP(AG6,Points!$A$2:$B$14,2,FALSE)," ")))</f>
        <v>18</v>
      </c>
      <c r="AJ6" s="97">
        <f>IF(Table622027323337382242[[#This Row],[Non-Member]]="X"," ",((IF(G6=" ",0,G6))+(IF(K6=" ",0,K6))+(IF(O6=" ",0,O6))+(IF(S6=" ",0,S6))+(IF(W6=" ",0,W6))+(IF(AA6=" ",0,AA6))+(IF(AE6=" ",0,AE6))+(IF(AI6=" ",0,AI6))))</f>
        <v>90</v>
      </c>
      <c r="AK6" s="95">
        <f t="shared" si="17"/>
        <v>90</v>
      </c>
      <c r="AL6" s="98">
        <f t="shared" si="18"/>
        <v>2</v>
      </c>
    </row>
    <row r="7" spans="2:38" x14ac:dyDescent="0.25">
      <c r="B7" s="90" t="s">
        <v>148</v>
      </c>
      <c r="C7" s="91"/>
      <c r="D7" s="92">
        <v>42.319000000000003</v>
      </c>
      <c r="E7" s="93">
        <f t="shared" si="0"/>
        <v>13</v>
      </c>
      <c r="F7" s="93" t="str">
        <f t="shared" si="1"/>
        <v xml:space="preserve"> </v>
      </c>
      <c r="G7" s="94" t="str">
        <f>IF(Table622027323337382242[[#This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IF(Table622027323337382242[[#This Row],[Non-Member]]="X"," ",IF(J7=" "," ",IFERROR(VLOOKUP(I7,Points!$A$2:$B$14,2,FALSE)," ")))</f>
        <v xml:space="preserve"> </v>
      </c>
      <c r="L7" s="92">
        <v>26.318000000000001</v>
      </c>
      <c r="M7" s="93">
        <f t="shared" si="4"/>
        <v>6</v>
      </c>
      <c r="N7" s="93">
        <f t="shared" si="5"/>
        <v>6</v>
      </c>
      <c r="O7" s="94">
        <f>IF(Table622027323337382242[[#This Row],[Non-Member]]="X"," ",IF(N7=" "," ",IFERROR(VLOOKUP(M7,Points!$A$2:$B$14,2,FALSE)," ")))</f>
        <v>3</v>
      </c>
      <c r="P7" s="92">
        <v>23.741</v>
      </c>
      <c r="Q7" s="93">
        <f t="shared" si="6"/>
        <v>3</v>
      </c>
      <c r="R7" s="93">
        <f t="shared" si="7"/>
        <v>3</v>
      </c>
      <c r="S7" s="94">
        <f>IF(Table622027323337382242[[#This Row],[Non-Member]]="X"," ",IF(R7=" "," ",IFERROR(VLOOKUP(Q7,Points!$A$2:$B$14,2,FALSE)," ")))</f>
        <v>12</v>
      </c>
      <c r="T7" s="92">
        <v>22.452999999999999</v>
      </c>
      <c r="U7" s="93">
        <f t="shared" si="8"/>
        <v>4</v>
      </c>
      <c r="V7" s="93">
        <f t="shared" si="9"/>
        <v>4</v>
      </c>
      <c r="W7" s="94">
        <f>IF(Table622027323337382242[[#This Row],[Non-Member]]="X"," ",IF(V7=" "," ",IFERROR(VLOOKUP(U7,Points!$A$2:$B$14,2,FALSE)," ")))</f>
        <v>9</v>
      </c>
      <c r="X7" s="92">
        <v>22.683</v>
      </c>
      <c r="Y7" s="93">
        <f t="shared" si="10"/>
        <v>3</v>
      </c>
      <c r="Z7" s="93">
        <f t="shared" si="11"/>
        <v>3</v>
      </c>
      <c r="AA7" s="94">
        <f>IF(Table622027323337382242[[#This Row],[Non-Member]]="X"," ",IF(Z7=" "," ",IFERROR(VLOOKUP(Y7,Points!$A$2:$B$14,2,FALSE)," ")))</f>
        <v>12</v>
      </c>
      <c r="AB7" s="92">
        <v>22.042000000000002</v>
      </c>
      <c r="AC7" s="93">
        <f t="shared" si="12"/>
        <v>4</v>
      </c>
      <c r="AD7" s="93">
        <f t="shared" si="13"/>
        <v>4</v>
      </c>
      <c r="AE7" s="94">
        <f>IF(Table622027323337382242[[#This Row],[Non-Member]]="X"," ",IF(AD7=" "," ",IFERROR(VLOOKUP(AC7,Points!$A$2:$B$14,2,FALSE)," ")))</f>
        <v>9</v>
      </c>
      <c r="AF7" s="92">
        <f t="shared" si="14"/>
        <v>44.725000000000001</v>
      </c>
      <c r="AG7" s="93">
        <f t="shared" si="15"/>
        <v>2</v>
      </c>
      <c r="AH7" s="93">
        <f t="shared" si="16"/>
        <v>2</v>
      </c>
      <c r="AI7" s="94">
        <f>IF(Table622027323337382242[[#This Row],[Non-Member]]="X"," ",IF(AH7=" "," ",IFERROR(VLOOKUP(AG7,Points!$A$2:$B$14,2,FALSE)," ")))</f>
        <v>15</v>
      </c>
      <c r="AJ7" s="93">
        <f>IF(Table622027323337382242[[#This Row],[Non-Member]]="X"," ",((IF(G7=" ",0,G7))+(IF(K7=" ",0,K7))+(IF(O7=" ",0,O7))+(IF(S7=" ",0,S7))+(IF(W7=" ",0,W7))+(IF(AA7=" ",0,AA7))+(IF(AE7=" ",0,AE7))+(IF(AI7=" ",0,AI7))))</f>
        <v>60</v>
      </c>
      <c r="AK7" s="95">
        <f t="shared" si="17"/>
        <v>60</v>
      </c>
      <c r="AL7" s="96">
        <f t="shared" si="18"/>
        <v>3</v>
      </c>
    </row>
    <row r="8" spans="2:38" x14ac:dyDescent="0.25">
      <c r="B8" s="90" t="s">
        <v>198</v>
      </c>
      <c r="C8" s="91"/>
      <c r="D8" s="92">
        <v>22.062000000000001</v>
      </c>
      <c r="E8" s="93">
        <f t="shared" si="0"/>
        <v>3</v>
      </c>
      <c r="F8" s="93">
        <f t="shared" si="1"/>
        <v>3</v>
      </c>
      <c r="G8" s="94">
        <f>IF(Table622027323337382242[[#This Row],[Non-Member]]="X"," ",IF(F8=" "," ",IFERROR(VLOOKUP(E8,Points!$A$2:$B$14,2,FALSE)," ")))</f>
        <v>12</v>
      </c>
      <c r="H8" s="92">
        <v>35.915999999999997</v>
      </c>
      <c r="I8" s="93">
        <f t="shared" si="2"/>
        <v>14</v>
      </c>
      <c r="J8" s="93" t="str">
        <f t="shared" si="3"/>
        <v xml:space="preserve"> </v>
      </c>
      <c r="K8" s="94" t="str">
        <f>IF(Table622027323337382242[[#This Row],[Non-Member]]="X"," ",IF(J8=" "," ",IFERROR(VLOOKUP(I8,Points!$A$2:$B$14,2,FALSE)," ")))</f>
        <v xml:space="preserve"> </v>
      </c>
      <c r="L8" s="92">
        <v>22.032</v>
      </c>
      <c r="M8" s="93">
        <f t="shared" si="4"/>
        <v>2</v>
      </c>
      <c r="N8" s="93">
        <f t="shared" si="5"/>
        <v>2</v>
      </c>
      <c r="O8" s="94">
        <f>IF(Table622027323337382242[[#This Row],[Non-Member]]="X"," ",IF(N8=" "," ",IFERROR(VLOOKUP(M8,Points!$A$2:$B$14,2,FALSE)," ")))</f>
        <v>15</v>
      </c>
      <c r="P8" s="92">
        <v>26.734000000000002</v>
      </c>
      <c r="Q8" s="93">
        <f t="shared" si="6"/>
        <v>7</v>
      </c>
      <c r="R8" s="93" t="str">
        <f t="shared" si="7"/>
        <v xml:space="preserve"> </v>
      </c>
      <c r="S8" s="94" t="str">
        <f>IF(Table622027323337382242[[#This Row],[Non-Member]]="X"," ",IF(R8=" "," ",IFERROR(VLOOKUP(Q8,Points!$A$2:$B$14,2,FALSE)," ")))</f>
        <v xml:space="preserve"> </v>
      </c>
      <c r="T8" s="92">
        <v>23.196999999999999</v>
      </c>
      <c r="U8" s="93">
        <f t="shared" si="8"/>
        <v>8</v>
      </c>
      <c r="V8" s="93" t="str">
        <f t="shared" si="9"/>
        <v xml:space="preserve"> </v>
      </c>
      <c r="W8" s="94" t="str">
        <f>IF(Table622027323337382242[[#This Row],[Non-Member]]="X"," ",IF(V8=" "," ",IFERROR(VLOOKUP(U8,Points!$A$2:$B$14,2,FALSE)," ")))</f>
        <v xml:space="preserve"> </v>
      </c>
      <c r="X8" s="92">
        <v>34.29</v>
      </c>
      <c r="Y8" s="93">
        <f t="shared" si="10"/>
        <v>10</v>
      </c>
      <c r="Z8" s="93" t="str">
        <f t="shared" si="11"/>
        <v xml:space="preserve"> </v>
      </c>
      <c r="AA8" s="94" t="str">
        <f>IF(Table622027323337382242[[#This Row],[Non-Member]]="X"," ",IF(Z8=" "," ",IFERROR(VLOOKUP(Y8,Points!$A$2:$B$14,2,FALSE)," ")))</f>
        <v xml:space="preserve"> </v>
      </c>
      <c r="AB8" s="92">
        <v>21.347999999999999</v>
      </c>
      <c r="AC8" s="93">
        <f t="shared" si="12"/>
        <v>2</v>
      </c>
      <c r="AD8" s="93">
        <f t="shared" si="13"/>
        <v>2</v>
      </c>
      <c r="AE8" s="94">
        <f>IF(Table622027323337382242[[#This Row],[Non-Member]]="X"," ",IF(AD8=" "," ",IFERROR(VLOOKUP(AC8,Points!$A$2:$B$14,2,FALSE)," ")))</f>
        <v>15</v>
      </c>
      <c r="AF8" s="92">
        <f t="shared" si="14"/>
        <v>55.637999999999998</v>
      </c>
      <c r="AG8" s="93">
        <f t="shared" si="15"/>
        <v>7</v>
      </c>
      <c r="AH8" s="93" t="str">
        <f t="shared" si="16"/>
        <v xml:space="preserve"> </v>
      </c>
      <c r="AI8" s="94" t="str">
        <f>IF(Table622027323337382242[[#This Row],[Non-Member]]="X"," ",IF(AH8=" "," ",IFERROR(VLOOKUP(AG8,Points!$A$2:$B$14,2,FALSE)," ")))</f>
        <v xml:space="preserve"> </v>
      </c>
      <c r="AJ8" s="93">
        <f>IF(Table622027323337382242[[#This Row],[Non-Member]]="X"," ",((IF(G8=" ",0,G8))+(IF(K8=" ",0,K8))+(IF(O8=" ",0,O8))+(IF(S8=" ",0,S8))+(IF(W8=" ",0,W8))+(IF(AA8=" ",0,AA8))+(IF(AE8=" ",0,AE8))+(IF(AI8=" ",0,AI8))))</f>
        <v>42</v>
      </c>
      <c r="AK8" s="95">
        <f t="shared" si="17"/>
        <v>42</v>
      </c>
      <c r="AL8" s="96">
        <f t="shared" si="18"/>
        <v>4</v>
      </c>
    </row>
    <row r="9" spans="2:38" x14ac:dyDescent="0.25">
      <c r="B9" s="90" t="s">
        <v>156</v>
      </c>
      <c r="C9" s="91"/>
      <c r="D9" s="92">
        <v>35.256</v>
      </c>
      <c r="E9" s="93">
        <f t="shared" si="0"/>
        <v>12</v>
      </c>
      <c r="F9" s="93" t="str">
        <f t="shared" si="1"/>
        <v xml:space="preserve"> </v>
      </c>
      <c r="G9" s="94" t="str">
        <f>IF(Table622027323337382242[[#This Row],[Non-Member]]="X"," ",IF(F9=" "," ",IFERROR(VLOOKUP(E9,Points!$A$2:$B$14,2,FALSE)," ")))</f>
        <v xml:space="preserve"> </v>
      </c>
      <c r="H9" s="92">
        <v>24.19</v>
      </c>
      <c r="I9" s="93">
        <f t="shared" si="2"/>
        <v>5</v>
      </c>
      <c r="J9" s="93">
        <f t="shared" si="3"/>
        <v>5</v>
      </c>
      <c r="K9" s="94">
        <f>IF(Table622027323337382242[[#This Row],[Non-Member]]="X"," ",IF(J9=" "," ",IFERROR(VLOOKUP(I9,Points!$A$2:$B$14,2,FALSE)," ")))</f>
        <v>6</v>
      </c>
      <c r="L9" s="92">
        <v>33.704000000000001</v>
      </c>
      <c r="M9" s="93">
        <f t="shared" si="4"/>
        <v>13</v>
      </c>
      <c r="N9" s="93" t="str">
        <f t="shared" si="5"/>
        <v xml:space="preserve"> </v>
      </c>
      <c r="O9" s="94" t="str">
        <f>IF(Table622027323337382242[[#This Row],[Non-Member]]="X"," ",IF(N9=" "," ",IFERROR(VLOOKUP(M9,Points!$A$2:$B$14,2,FALSE)," ")))</f>
        <v xml:space="preserve"> </v>
      </c>
      <c r="P9" s="92">
        <v>22.338000000000001</v>
      </c>
      <c r="Q9" s="93">
        <f t="shared" si="6"/>
        <v>1</v>
      </c>
      <c r="R9" s="93">
        <f t="shared" si="7"/>
        <v>1</v>
      </c>
      <c r="S9" s="94">
        <f>IF(Table622027323337382242[[#This Row],[Non-Member]]="X"," ",IF(R9=" "," ",IFERROR(VLOOKUP(Q9,Points!$A$2:$B$14,2,FALSE)," ")))</f>
        <v>18</v>
      </c>
      <c r="T9" s="92">
        <v>22.710999999999999</v>
      </c>
      <c r="U9" s="93">
        <f t="shared" si="8"/>
        <v>6</v>
      </c>
      <c r="V9" s="93">
        <f t="shared" si="9"/>
        <v>6</v>
      </c>
      <c r="W9" s="94">
        <f>IF(Table622027323337382242[[#This Row],[Non-Member]]="X"," ",IF(V9=" "," ",IFERROR(VLOOKUP(U9,Points!$A$2:$B$14,2,FALSE)," ")))</f>
        <v>3</v>
      </c>
      <c r="X9" s="92">
        <v>21.994</v>
      </c>
      <c r="Y9" s="93">
        <f t="shared" si="10"/>
        <v>2</v>
      </c>
      <c r="Z9" s="93">
        <f t="shared" si="11"/>
        <v>2</v>
      </c>
      <c r="AA9" s="94">
        <f>IF(Table622027323337382242[[#This Row],[Non-Member]]="X"," ",IF(Z9=" "," ",IFERROR(VLOOKUP(Y9,Points!$A$2:$B$14,2,FALSE)," ")))</f>
        <v>15</v>
      </c>
      <c r="AB9" s="92">
        <v>34.585999999999999</v>
      </c>
      <c r="AC9" s="93">
        <f t="shared" si="12"/>
        <v>10</v>
      </c>
      <c r="AD9" s="93" t="str">
        <f t="shared" si="13"/>
        <v xml:space="preserve"> </v>
      </c>
      <c r="AE9" s="94" t="str">
        <f>IF(Table622027323337382242[[#This Row],[Non-Member]]="X"," ",IF(AD9=" "," ",IFERROR(VLOOKUP(AC9,Points!$A$2:$B$14,2,FALSE)," ")))</f>
        <v xml:space="preserve"> </v>
      </c>
      <c r="AF9" s="92">
        <f t="shared" si="14"/>
        <v>56.58</v>
      </c>
      <c r="AG9" s="93">
        <f t="shared" si="15"/>
        <v>8</v>
      </c>
      <c r="AH9" s="93" t="str">
        <f t="shared" si="16"/>
        <v xml:space="preserve"> </v>
      </c>
      <c r="AI9" s="94" t="str">
        <f>IF(Table622027323337382242[[#This Row],[Non-Member]]="X"," ",IF(AH9=" "," ",IFERROR(VLOOKUP(AG9,Points!$A$2:$B$14,2,FALSE)," ")))</f>
        <v xml:space="preserve"> </v>
      </c>
      <c r="AJ9" s="93">
        <f>IF(Table622027323337382242[[#This Row],[Non-Member]]="X"," ",((IF(G9=" ",0,G9))+(IF(K9=" ",0,K9))+(IF(O9=" ",0,O9))+(IF(S9=" ",0,S9))+(IF(W9=" ",0,W9))+(IF(AA9=" ",0,AA9))+(IF(AE9=" ",0,AE9))+(IF(AI9=" ",0,AI9))))</f>
        <v>42</v>
      </c>
      <c r="AK9" s="95">
        <f t="shared" si="17"/>
        <v>42</v>
      </c>
      <c r="AL9" s="96">
        <f t="shared" si="18"/>
        <v>4</v>
      </c>
    </row>
    <row r="10" spans="2:38" x14ac:dyDescent="0.25">
      <c r="B10" s="90" t="s">
        <v>201</v>
      </c>
      <c r="C10" s="91"/>
      <c r="D10" s="92">
        <v>23.059000000000001</v>
      </c>
      <c r="E10" s="93">
        <f t="shared" si="0"/>
        <v>5</v>
      </c>
      <c r="F10" s="93">
        <f t="shared" si="1"/>
        <v>5</v>
      </c>
      <c r="G10" s="94">
        <f>IF(Table622027323337382242[[#This Row],[Non-Member]]="X"," ",IF(F10=" "," ",IFERROR(VLOOKUP(E10,Points!$A$2:$B$14,2,FALSE)," ")))</f>
        <v>6</v>
      </c>
      <c r="H10" s="92">
        <v>23.06</v>
      </c>
      <c r="I10" s="93">
        <f t="shared" si="2"/>
        <v>3</v>
      </c>
      <c r="J10" s="93">
        <f t="shared" si="3"/>
        <v>3</v>
      </c>
      <c r="K10" s="94">
        <f>IF(Table622027323337382242[[#This Row],[Non-Member]]="X"," ",IF(J10=" "," ",IFERROR(VLOOKUP(I10,Points!$A$2:$B$14,2,FALSE)," ")))</f>
        <v>12</v>
      </c>
      <c r="L10" s="92">
        <v>27.436</v>
      </c>
      <c r="M10" s="93">
        <f t="shared" si="4"/>
        <v>9</v>
      </c>
      <c r="N10" s="93" t="str">
        <f t="shared" si="5"/>
        <v xml:space="preserve"> </v>
      </c>
      <c r="O10" s="94" t="str">
        <f>IF(Table622027323337382242[[#This Row],[Non-Member]]="X"," ",IF(N10=" "," ",IFERROR(VLOOKUP(M10,Points!$A$2:$B$14,2,FALSE)," ")))</f>
        <v xml:space="preserve"> </v>
      </c>
      <c r="P10" s="92">
        <v>27.248000000000001</v>
      </c>
      <c r="Q10" s="93">
        <f t="shared" si="6"/>
        <v>9</v>
      </c>
      <c r="R10" s="93" t="str">
        <f t="shared" si="7"/>
        <v xml:space="preserve"> </v>
      </c>
      <c r="S10" s="94" t="str">
        <f>IF(Table622027323337382242[[#This Row],[Non-Member]]="X"," ",IF(R10=" "," ",IFERROR(VLOOKUP(Q10,Points!$A$2:$B$14,2,FALSE)," ")))</f>
        <v xml:space="preserve"> </v>
      </c>
      <c r="T10" s="92">
        <v>22.815999999999999</v>
      </c>
      <c r="U10" s="93">
        <f t="shared" si="8"/>
        <v>7</v>
      </c>
      <c r="V10" s="93" t="str">
        <f t="shared" si="9"/>
        <v xml:space="preserve"> </v>
      </c>
      <c r="W10" s="94" t="str">
        <f>IF(Table622027323337382242[[#This Row],[Non-Member]]="X"," ",IF(V10=" "," ",IFERROR(VLOOKUP(U10,Points!$A$2:$B$14,2,FALSE)," ")))</f>
        <v xml:space="preserve"> </v>
      </c>
      <c r="X10" s="92">
        <v>23.105</v>
      </c>
      <c r="Y10" s="93">
        <f t="shared" si="10"/>
        <v>5</v>
      </c>
      <c r="Z10" s="93">
        <f t="shared" si="11"/>
        <v>5</v>
      </c>
      <c r="AA10" s="94">
        <f>IF(Table622027323337382242[[#This Row],[Non-Member]]="X"," ",IF(Z10=" "," ",IFERROR(VLOOKUP(Y10,Points!$A$2:$B$14,2,FALSE)," ")))</f>
        <v>6</v>
      </c>
      <c r="AB10" s="92">
        <v>22.763999999999999</v>
      </c>
      <c r="AC10" s="93">
        <f t="shared" si="12"/>
        <v>5</v>
      </c>
      <c r="AD10" s="93">
        <f t="shared" si="13"/>
        <v>5</v>
      </c>
      <c r="AE10" s="94">
        <f>IF(Table622027323337382242[[#This Row],[Non-Member]]="X"," ",IF(AD10=" "," ",IFERROR(VLOOKUP(AC10,Points!$A$2:$B$14,2,FALSE)," ")))</f>
        <v>6</v>
      </c>
      <c r="AF10" s="92">
        <f t="shared" si="14"/>
        <v>45.869</v>
      </c>
      <c r="AG10" s="93">
        <f t="shared" si="15"/>
        <v>4</v>
      </c>
      <c r="AH10" s="93">
        <f t="shared" si="16"/>
        <v>4</v>
      </c>
      <c r="AI10" s="94">
        <f>IF(Table622027323337382242[[#This Row],[Non-Member]]="X"," ",IF(AH10=" "," ",IFERROR(VLOOKUP(AG10,Points!$A$2:$B$14,2,FALSE)," ")))</f>
        <v>9</v>
      </c>
      <c r="AJ10" s="93">
        <f>IF(Table622027323337382242[[#This Row],[Non-Member]]="X"," ",((IF(G10=" ",0,G10))+(IF(K10=" ",0,K10))+(IF(O10=" ",0,O10))+(IF(S10=" ",0,S10))+(IF(W10=" ",0,W10))+(IF(AA10=" ",0,AA10))+(IF(AE10=" ",0,AE10))+(IF(AI10=" ",0,AI10))))</f>
        <v>39</v>
      </c>
      <c r="AK10" s="95">
        <f t="shared" si="17"/>
        <v>39</v>
      </c>
      <c r="AL10" s="96">
        <f t="shared" si="18"/>
        <v>6</v>
      </c>
    </row>
    <row r="11" spans="2:38" x14ac:dyDescent="0.25">
      <c r="B11" s="90" t="s">
        <v>199</v>
      </c>
      <c r="C11" s="91"/>
      <c r="D11" s="92">
        <v>23.64</v>
      </c>
      <c r="E11" s="93">
        <f t="shared" si="0"/>
        <v>6</v>
      </c>
      <c r="F11" s="93">
        <f t="shared" si="1"/>
        <v>6</v>
      </c>
      <c r="G11" s="94">
        <f>IF(Table622027323337382242[[#This Row],[Non-Member]]="X"," ",IF(F11=" "," ",IFERROR(VLOOKUP(E11,Points!$A$2:$B$14,2,FALSE)," ")))</f>
        <v>3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IF(Table622027323337382242[[#This Row],[Non-Member]]="X"," ",IF(J11=" "," ",IFERROR(VLOOKUP(I11,Points!$A$2:$B$14,2,FALSE)," ")))</f>
        <v xml:space="preserve"> </v>
      </c>
      <c r="L11" s="92">
        <v>23.414999999999999</v>
      </c>
      <c r="M11" s="93">
        <f t="shared" si="4"/>
        <v>4</v>
      </c>
      <c r="N11" s="93">
        <f t="shared" si="5"/>
        <v>4</v>
      </c>
      <c r="O11" s="94">
        <f>IF(Table622027323337382242[[#This Row],[Non-Member]]="X"," ",IF(N11=" "," ",IFERROR(VLOOKUP(M11,Points!$A$2:$B$14,2,FALSE)," ")))</f>
        <v>9</v>
      </c>
      <c r="P11" s="92"/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IF(Table622027323337382242[[#This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IF(Table622027323337382242[[#This Row],[Non-Member]]="X"," ",IF(V11=" "," ",IFERROR(VLOOKUP(U11,Points!$A$2:$B$14,2,FALSE)," ")))</f>
        <v xml:space="preserve"> </v>
      </c>
      <c r="X11" s="92">
        <v>22.684999999999999</v>
      </c>
      <c r="Y11" s="93">
        <f t="shared" si="10"/>
        <v>4</v>
      </c>
      <c r="Z11" s="93">
        <f t="shared" si="11"/>
        <v>4</v>
      </c>
      <c r="AA11" s="94">
        <f>IF(Table622027323337382242[[#This Row],[Non-Member]]="X"," ",IF(Z11=" "," ",IFERROR(VLOOKUP(Y11,Points!$A$2:$B$14,2,FALSE)," ")))</f>
        <v>9</v>
      </c>
      <c r="AB11" s="92">
        <v>22.8</v>
      </c>
      <c r="AC11" s="93">
        <f t="shared" si="12"/>
        <v>6</v>
      </c>
      <c r="AD11" s="93">
        <f t="shared" si="13"/>
        <v>6</v>
      </c>
      <c r="AE11" s="94">
        <f>IF(Table622027323337382242[[#This Row],[Non-Member]]="X"," ",IF(AD11=" "," ",IFERROR(VLOOKUP(AC11,Points!$A$2:$B$14,2,FALSE)," ")))</f>
        <v>3</v>
      </c>
      <c r="AF11" s="92">
        <f t="shared" si="14"/>
        <v>45.484999999999999</v>
      </c>
      <c r="AG11" s="93">
        <f t="shared" si="15"/>
        <v>3</v>
      </c>
      <c r="AH11" s="93">
        <f t="shared" si="16"/>
        <v>3</v>
      </c>
      <c r="AI11" s="94">
        <f>IF(Table622027323337382242[[#This Row],[Non-Member]]="X"," ",IF(AH11=" "," ",IFERROR(VLOOKUP(AG11,Points!$A$2:$B$14,2,FALSE)," ")))</f>
        <v>12</v>
      </c>
      <c r="AJ11" s="93">
        <f>IF(Table622027323337382242[[#This Row],[Non-Member]]="X"," ",((IF(G11=" ",0,G11))+(IF(K11=" ",0,K11))+(IF(O11=" ",0,O11))+(IF(S11=" ",0,S11))+(IF(W11=" ",0,W11))+(IF(AA11=" ",0,AA11))+(IF(AE11=" ",0,AE11))+(IF(AI11=" ",0,AI11))))</f>
        <v>36</v>
      </c>
      <c r="AK11" s="95">
        <f t="shared" si="17"/>
        <v>36</v>
      </c>
      <c r="AL11" s="96">
        <f t="shared" si="18"/>
        <v>7</v>
      </c>
    </row>
    <row r="12" spans="2:38" x14ac:dyDescent="0.25">
      <c r="B12" s="90" t="s">
        <v>160</v>
      </c>
      <c r="C12" s="91"/>
      <c r="D12" s="92">
        <v>27.945</v>
      </c>
      <c r="E12" s="93">
        <f t="shared" si="0"/>
        <v>9</v>
      </c>
      <c r="F12" s="93" t="str">
        <f t="shared" si="1"/>
        <v xml:space="preserve"> </v>
      </c>
      <c r="G12" s="94" t="str">
        <f>IF(Table622027323337382242[[#This Row],[Non-Member]]="X"," ",IF(F12=" "," ",IFERROR(VLOOKUP(E12,Points!$A$2:$B$14,2,FALSE)," ")))</f>
        <v xml:space="preserve"> </v>
      </c>
      <c r="H12" s="92">
        <v>21.556000000000001</v>
      </c>
      <c r="I12" s="93">
        <f t="shared" si="2"/>
        <v>1</v>
      </c>
      <c r="J12" s="93">
        <f t="shared" si="3"/>
        <v>1</v>
      </c>
      <c r="K12" s="94">
        <f>IF(Table622027323337382242[[#This Row],[Non-Member]]="X"," ",IF(J12=" "," ",IFERROR(VLOOKUP(I12,Points!$A$2:$B$14,2,FALSE)," ")))</f>
        <v>18</v>
      </c>
      <c r="L12" s="92">
        <v>32.637999999999998</v>
      </c>
      <c r="M12" s="93">
        <f t="shared" si="4"/>
        <v>12</v>
      </c>
      <c r="N12" s="93" t="str">
        <f t="shared" si="5"/>
        <v xml:space="preserve"> </v>
      </c>
      <c r="O12" s="94" t="str">
        <f>IF(Table622027323337382242[[#This Row],[Non-Member]]="X"," ",IF(N12=" "," ",IFERROR(VLOOKUP(M12,Points!$A$2:$B$14,2,FALSE)," ")))</f>
        <v xml:space="preserve"> </v>
      </c>
      <c r="P12" s="92">
        <v>23.843</v>
      </c>
      <c r="Q12" s="93">
        <f t="shared" si="6"/>
        <v>4</v>
      </c>
      <c r="R12" s="93">
        <f t="shared" si="7"/>
        <v>4</v>
      </c>
      <c r="S12" s="94">
        <f>IF(Table622027323337382242[[#This Row],[Non-Member]]="X"," ",IF(R12=" "," ",IFERROR(VLOOKUP(Q12,Points!$A$2:$B$14,2,FALSE)," ")))</f>
        <v>9</v>
      </c>
      <c r="T12" s="92">
        <v>22.614999999999998</v>
      </c>
      <c r="U12" s="93">
        <f t="shared" si="8"/>
        <v>5</v>
      </c>
      <c r="V12" s="93">
        <f t="shared" si="9"/>
        <v>5</v>
      </c>
      <c r="W12" s="94">
        <f>IF(Table622027323337382242[[#This Row],[Non-Member]]="X"," ",IF(V12=" "," ",IFERROR(VLOOKUP(U12,Points!$A$2:$B$14,2,FALSE)," ")))</f>
        <v>6</v>
      </c>
      <c r="X12" s="92">
        <v>31.934000000000001</v>
      </c>
      <c r="Y12" s="93">
        <f t="shared" si="10"/>
        <v>9</v>
      </c>
      <c r="Z12" s="93" t="str">
        <f t="shared" si="11"/>
        <v xml:space="preserve"> </v>
      </c>
      <c r="AA12" s="94" t="str">
        <f>IF(Table622027323337382242[[#This Row],[Non-Member]]="X"," ",IF(Z12=" "," ",IFERROR(VLOOKUP(Y12,Points!$A$2:$B$14,2,FALSE)," ")))</f>
        <v xml:space="preserve"> 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IF(Table622027323337382242[[#This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IF(Table622027323337382242[[#This Row],[Non-Member]]="X"," ",IF(AH12=" "," ",IFERROR(VLOOKUP(AG12,Points!$A$2:$B$14,2,FALSE)," ")))</f>
        <v xml:space="preserve"> </v>
      </c>
      <c r="AJ12" s="93">
        <f>IF(Table622027323337382242[[#This Row],[Non-Member]]="X"," ",((IF(G12=" ",0,G12))+(IF(K12=" ",0,K12))+(IF(O12=" ",0,O12))+(IF(S12=" ",0,S12))+(IF(W12=" ",0,W12))+(IF(AA12=" ",0,AA12))+(IF(AE12=" ",0,AE12))+(IF(AI12=" ",0,AI12))))</f>
        <v>33</v>
      </c>
      <c r="AK12" s="95">
        <f t="shared" si="17"/>
        <v>33</v>
      </c>
      <c r="AL12" s="96">
        <f t="shared" si="18"/>
        <v>8</v>
      </c>
    </row>
    <row r="13" spans="2:38" x14ac:dyDescent="0.25">
      <c r="B13" s="90" t="s">
        <v>157</v>
      </c>
      <c r="C13" s="91"/>
      <c r="D13" s="92">
        <v>22.92</v>
      </c>
      <c r="E13" s="97">
        <f t="shared" si="0"/>
        <v>4</v>
      </c>
      <c r="F13" s="97">
        <f t="shared" si="1"/>
        <v>4</v>
      </c>
      <c r="G13" s="94">
        <f>IF(Table622027323337382242[[#This Row],[Non-Member]]="X"," ",IF(F13=" "," ",IFERROR(VLOOKUP(E13,Points!$A$2:$B$14,2,FALSE)," ")))</f>
        <v>9</v>
      </c>
      <c r="H13" s="92">
        <v>34.454999999999998</v>
      </c>
      <c r="I13" s="97">
        <f t="shared" si="2"/>
        <v>13</v>
      </c>
      <c r="J13" s="97" t="str">
        <f t="shared" si="3"/>
        <v xml:space="preserve"> </v>
      </c>
      <c r="K13" s="94" t="str">
        <f>IF(Table622027323337382242[[#This Row],[Non-Member]]="X"," ",IF(J13=" "," ",IFERROR(VLOOKUP(I13,Points!$A$2:$B$14,2,FALSE)," ")))</f>
        <v xml:space="preserve"> </v>
      </c>
      <c r="L13" s="92">
        <v>28.14</v>
      </c>
      <c r="M13" s="97">
        <f t="shared" si="4"/>
        <v>10</v>
      </c>
      <c r="N13" s="97" t="str">
        <f t="shared" si="5"/>
        <v xml:space="preserve"> </v>
      </c>
      <c r="O13" s="94" t="str">
        <f>IF(Table622027323337382242[[#This Row],[Non-Member]]="X"," ",IF(N13=" "," ",IFERROR(VLOOKUP(M13,Points!$A$2:$B$14,2,FALSE)," ")))</f>
        <v xml:space="preserve"> </v>
      </c>
      <c r="P13" s="92">
        <v>22.471</v>
      </c>
      <c r="Q13" s="97">
        <f t="shared" si="6"/>
        <v>2</v>
      </c>
      <c r="R13" s="97">
        <f t="shared" si="7"/>
        <v>2</v>
      </c>
      <c r="S13" s="94">
        <f>IF(Table622027323337382242[[#This Row],[Non-Member]]="X"," ",IF(R13=" "," ",IFERROR(VLOOKUP(Q13,Points!$A$2:$B$14,2,FALSE)," ")))</f>
        <v>15</v>
      </c>
      <c r="T13" s="92">
        <v>24.238</v>
      </c>
      <c r="U13" s="97">
        <f t="shared" si="8"/>
        <v>9</v>
      </c>
      <c r="V13" s="97" t="str">
        <f t="shared" si="9"/>
        <v xml:space="preserve"> </v>
      </c>
      <c r="W13" s="94" t="str">
        <f>IF(Table622027323337382242[[#This Row],[Non-Member]]="X"," ",IF(V13=" "," ",IFERROR(VLOOKUP(U13,Points!$A$2:$B$14,2,FALSE)," ")))</f>
        <v xml:space="preserve"> </v>
      </c>
      <c r="X13" s="92">
        <v>30.68</v>
      </c>
      <c r="Y13" s="97">
        <f t="shared" si="10"/>
        <v>8</v>
      </c>
      <c r="Z13" s="97" t="str">
        <f t="shared" si="11"/>
        <v xml:space="preserve"> </v>
      </c>
      <c r="AA13" s="94" t="str">
        <f>IF(Table622027323337382242[[#This Row],[Non-Member]]="X"," ",IF(Z13=" "," ",IFERROR(VLOOKUP(Y13,Points!$A$2:$B$14,2,FALSE)," ")))</f>
        <v xml:space="preserve"> </v>
      </c>
      <c r="AB13" s="92">
        <v>23.082999999999998</v>
      </c>
      <c r="AC13" s="97">
        <f t="shared" si="12"/>
        <v>7</v>
      </c>
      <c r="AD13" s="97" t="str">
        <f t="shared" si="13"/>
        <v xml:space="preserve"> </v>
      </c>
      <c r="AE13" s="94" t="str">
        <f>IF(Table622027323337382242[[#This Row],[Non-Member]]="X"," ",IF(AD13=" "," ",IFERROR(VLOOKUP(AC13,Points!$A$2:$B$14,2,FALSE)," ")))</f>
        <v xml:space="preserve"> </v>
      </c>
      <c r="AF13" s="92">
        <f t="shared" si="14"/>
        <v>53.762999999999998</v>
      </c>
      <c r="AG13" s="97">
        <f t="shared" si="15"/>
        <v>6</v>
      </c>
      <c r="AH13" s="97">
        <f t="shared" si="16"/>
        <v>6</v>
      </c>
      <c r="AI13" s="94">
        <f>IF(Table622027323337382242[[#This Row],[Non-Member]]="X"," ",IF(AH13=" "," ",IFERROR(VLOOKUP(AG13,Points!$A$2:$B$14,2,FALSE)," ")))</f>
        <v>3</v>
      </c>
      <c r="AJ13" s="97">
        <f>IF(Table622027323337382242[[#This Row],[Non-Member]]="X"," ",((IF(G13=" ",0,G13))+(IF(K13=" ",0,K13))+(IF(O13=" ",0,O13))+(IF(S13=" ",0,S13))+(IF(W13=" ",0,W13))+(IF(AA13=" ",0,AA13))+(IF(AE13=" ",0,AE13))+(IF(AI13=" ",0,AI13))))</f>
        <v>27</v>
      </c>
      <c r="AK13" s="95">
        <f t="shared" si="17"/>
        <v>27</v>
      </c>
      <c r="AL13" s="98">
        <f t="shared" si="18"/>
        <v>9</v>
      </c>
    </row>
    <row r="14" spans="2:38" x14ac:dyDescent="0.25">
      <c r="B14" s="90" t="s">
        <v>163</v>
      </c>
      <c r="C14" s="91"/>
      <c r="D14" s="92">
        <v>24.890999999999998</v>
      </c>
      <c r="E14" s="93">
        <f t="shared" si="0"/>
        <v>7</v>
      </c>
      <c r="F14" s="93" t="str">
        <f t="shared" si="1"/>
        <v xml:space="preserve"> </v>
      </c>
      <c r="G14" s="94" t="str">
        <f>IF(Table622027323337382242[[#This Row],[Non-Member]]="X"," ",IF(F14=" "," ",IFERROR(VLOOKUP(E14,Points!$A$2:$B$14,2,FALSE)," ")))</f>
        <v xml:space="preserve"> </v>
      </c>
      <c r="H14" s="92">
        <v>24.207999999999998</v>
      </c>
      <c r="I14" s="93">
        <f t="shared" si="2"/>
        <v>6</v>
      </c>
      <c r="J14" s="93">
        <f t="shared" si="3"/>
        <v>6</v>
      </c>
      <c r="K14" s="94">
        <f>IF(Table622027323337382242[[#This Row],[Non-Member]]="X"," ",IF(J14=" "," ",IFERROR(VLOOKUP(I14,Points!$A$2:$B$14,2,FALSE)," ")))</f>
        <v>3</v>
      </c>
      <c r="L14" s="92">
        <v>22.452000000000002</v>
      </c>
      <c r="M14" s="93">
        <f t="shared" si="4"/>
        <v>3</v>
      </c>
      <c r="N14" s="93">
        <f t="shared" si="5"/>
        <v>3</v>
      </c>
      <c r="O14" s="94">
        <f>IF(Table622027323337382242[[#This Row],[Non-Member]]="X"," ",IF(N14=" "," ",IFERROR(VLOOKUP(M14,Points!$A$2:$B$14,2,FALSE)," ")))</f>
        <v>12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IF(Table622027323337382242[[#This Row],[Non-Member]]="X"," ",IF(R14=" "," ",IFERROR(VLOOKUP(Q14,Points!$A$2:$B$14,2,FALSE)," ")))</f>
        <v xml:space="preserve"> </v>
      </c>
      <c r="T14" s="92">
        <v>29.510999999999999</v>
      </c>
      <c r="U14" s="93">
        <f t="shared" si="8"/>
        <v>11</v>
      </c>
      <c r="V14" s="93" t="str">
        <f t="shared" si="9"/>
        <v xml:space="preserve"> </v>
      </c>
      <c r="W14" s="94" t="str">
        <f>IF(Table622027323337382242[[#This Row],[Non-Member]]="X"," ",IF(V14=" "," ",IFERROR(VLOOKUP(U14,Points!$A$2:$B$14,2,FALSE)," ")))</f>
        <v xml:space="preserve"> </v>
      </c>
      <c r="X14" s="92">
        <v>28.39</v>
      </c>
      <c r="Y14" s="93">
        <f t="shared" si="10"/>
        <v>7</v>
      </c>
      <c r="Z14" s="93" t="str">
        <f t="shared" si="11"/>
        <v xml:space="preserve"> </v>
      </c>
      <c r="AA14" s="94" t="str">
        <f>IF(Table622027323337382242[[#This Row],[Non-Member]]="X"," ",IF(Z14=" "," ",IFERROR(VLOOKUP(Y14,Points!$A$2:$B$14,2,FALSE)," ")))</f>
        <v xml:space="preserve"> </v>
      </c>
      <c r="AB14" s="92">
        <v>28.995999999999999</v>
      </c>
      <c r="AC14" s="93">
        <f t="shared" si="12"/>
        <v>9</v>
      </c>
      <c r="AD14" s="93" t="str">
        <f t="shared" si="13"/>
        <v xml:space="preserve"> </v>
      </c>
      <c r="AE14" s="94" t="str">
        <f>IF(Table622027323337382242[[#This Row],[Non-Member]]="X"," ",IF(AD14=" "," ",IFERROR(VLOOKUP(AC14,Points!$A$2:$B$14,2,FALSE)," ")))</f>
        <v xml:space="preserve"> </v>
      </c>
      <c r="AF14" s="92">
        <f t="shared" si="14"/>
        <v>57.385999999999996</v>
      </c>
      <c r="AG14" s="93">
        <f t="shared" si="15"/>
        <v>9</v>
      </c>
      <c r="AH14" s="93" t="str">
        <f t="shared" si="16"/>
        <v xml:space="preserve"> </v>
      </c>
      <c r="AI14" s="94" t="str">
        <f>IF(Table622027323337382242[[#This Row],[Non-Member]]="X"," ",IF(AH14=" "," ",IFERROR(VLOOKUP(AG14,Points!$A$2:$B$14,2,FALSE)," ")))</f>
        <v xml:space="preserve"> </v>
      </c>
      <c r="AJ14" s="93">
        <f>IF(Table622027323337382242[[#This Row],[Non-Member]]="X"," ",((IF(G14=" ",0,G14))+(IF(K14=" ",0,K14))+(IF(O14=" ",0,O14))+(IF(S14=" ",0,S14))+(IF(W14=" ",0,W14))+(IF(AA14=" ",0,AA14))+(IF(AE14=" ",0,AE14))+(IF(AI14=" ",0,AI14))))</f>
        <v>15</v>
      </c>
      <c r="AK14" s="95">
        <f t="shared" si="17"/>
        <v>15</v>
      </c>
      <c r="AL14" s="96">
        <f t="shared" si="18"/>
        <v>10</v>
      </c>
    </row>
    <row r="15" spans="2:38" x14ac:dyDescent="0.25">
      <c r="B15" s="90" t="s">
        <v>203</v>
      </c>
      <c r="C15" s="91"/>
      <c r="D15" s="92">
        <v>28.434000000000001</v>
      </c>
      <c r="E15" s="93">
        <f t="shared" si="0"/>
        <v>10</v>
      </c>
      <c r="F15" s="93" t="str">
        <f t="shared" si="1"/>
        <v xml:space="preserve"> </v>
      </c>
      <c r="G15" s="94" t="str">
        <f>IF(Table622027323337382242[[#This Row],[Non-Member]]="X"," ",IF(F15=" "," ",IFERROR(VLOOKUP(E15,Points!$A$2:$B$14,2,FALSE)," ")))</f>
        <v xml:space="preserve"> </v>
      </c>
      <c r="H15" s="92">
        <v>26.824999999999999</v>
      </c>
      <c r="I15" s="93">
        <f t="shared" si="2"/>
        <v>9</v>
      </c>
      <c r="J15" s="93" t="str">
        <f t="shared" si="3"/>
        <v xml:space="preserve"> </v>
      </c>
      <c r="K15" s="94" t="str">
        <f>IF(Table622027323337382242[[#This Row],[Non-Member]]="X"," ",IF(J15=" "," ",IFERROR(VLOOKUP(I15,Points!$A$2:$B$14,2,FALSE)," ")))</f>
        <v xml:space="preserve"> </v>
      </c>
      <c r="L15" s="92">
        <v>26.407</v>
      </c>
      <c r="M15" s="93">
        <f t="shared" si="4"/>
        <v>7</v>
      </c>
      <c r="N15" s="93" t="str">
        <f t="shared" si="5"/>
        <v xml:space="preserve"> </v>
      </c>
      <c r="O15" s="94" t="str">
        <f>IF(Table622027323337382242[[#This Row],[Non-Member]]="X"," ",IF(N15=" "," ",IFERROR(VLOOKUP(M15,Points!$A$2:$B$14,2,FALSE)," ")))</f>
        <v xml:space="preserve"> </v>
      </c>
      <c r="P15" s="92">
        <v>26.853999999999999</v>
      </c>
      <c r="Q15" s="93">
        <f t="shared" si="6"/>
        <v>8</v>
      </c>
      <c r="R15" s="93" t="str">
        <f t="shared" si="7"/>
        <v xml:space="preserve"> </v>
      </c>
      <c r="S15" s="94" t="str">
        <f>IF(Table622027323337382242[[#This Row],[Non-Member]]="X"," ",IF(R15=" "," ",IFERROR(VLOOKUP(Q15,Points!$A$2:$B$14,2,FALSE)," ")))</f>
        <v xml:space="preserve"> </v>
      </c>
      <c r="T15" s="92">
        <v>31.507000000000001</v>
      </c>
      <c r="U15" s="93">
        <f t="shared" si="8"/>
        <v>12</v>
      </c>
      <c r="V15" s="93" t="str">
        <f t="shared" si="9"/>
        <v xml:space="preserve"> </v>
      </c>
      <c r="W15" s="94" t="str">
        <f>IF(Table622027323337382242[[#This Row],[Non-Member]]="X"," ",IF(V15=" "," ",IFERROR(VLOOKUP(U15,Points!$A$2:$B$14,2,FALSE)," ")))</f>
        <v xml:space="preserve"> </v>
      </c>
      <c r="X15" s="92">
        <v>0</v>
      </c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IF(Table622027323337382242[[#This Row],[Non-Member]]="X"," ",IF(Z15=" "," ",IFERROR(VLOOKUP(Y15,Points!$A$2:$B$14,2,FALSE)," ")))</f>
        <v xml:space="preserve"> </v>
      </c>
      <c r="AB15" s="92">
        <v>0</v>
      </c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IF(Table622027323337382242[[#This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IF(Table622027323337382242[[#This Row],[Non-Member]]="X"," ",IF(AH15=" "," ",IFERROR(VLOOKUP(AG15,Points!$A$2:$B$14,2,FALSE)," ")))</f>
        <v xml:space="preserve"> </v>
      </c>
      <c r="AJ15" s="93">
        <f>IF(Table622027323337382242[[#This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 t="s">
        <v>250</v>
      </c>
      <c r="C16" s="91" t="s">
        <v>95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IF(Table622027323337382242[[#This Row],[Non-Member]]="X"," ",IF(F16=" "," ",IFERROR(VLOOKUP(E16,Points!$A$2:$B$14,2,FALSE)," ")))</f>
        <v xml:space="preserve"> </v>
      </c>
      <c r="H16" s="92">
        <v>23.686</v>
      </c>
      <c r="I16" s="93">
        <f t="shared" si="2"/>
        <v>4</v>
      </c>
      <c r="J16" s="93">
        <f t="shared" si="3"/>
        <v>4</v>
      </c>
      <c r="K16" s="94" t="str">
        <f>IF(Table622027323337382242[[#This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IF(Table622027323337382242[[#This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IF(Table622027323337382242[[#This Row],[Non-Member]]="X"," ",IF(R16=" "," ",IFERROR(VLOOKUP(Q16,Points!$A$2:$B$14,2,FALSE)," ")))</f>
        <v xml:space="preserve"> </v>
      </c>
      <c r="T16" s="92">
        <v>32.411000000000001</v>
      </c>
      <c r="U16" s="93">
        <f t="shared" si="8"/>
        <v>13</v>
      </c>
      <c r="V16" s="93" t="str">
        <f t="shared" si="9"/>
        <v xml:space="preserve"> </v>
      </c>
      <c r="W16" s="94" t="str">
        <f>IF(Table622027323337382242[[#This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IF(Table622027323337382242[[#This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IF(Table622027323337382242[[#This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IF(Table622027323337382242[[#This Row],[Non-Member]]="X"," ",IF(AH16=" "," ",IFERROR(VLOOKUP(AG16,Points!$A$2:$B$14,2,FALSE)," ")))</f>
        <v xml:space="preserve"> </v>
      </c>
      <c r="AJ16" s="93" t="str">
        <f>IF(Table622027323337382242[[#This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25">
      <c r="B17" s="90" t="s">
        <v>249</v>
      </c>
      <c r="C17" s="91" t="s">
        <v>95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IF(Table622027323337382242[[#This Row],[Non-Member]]="X"," ",IF(F17=" "," ",IFERROR(VLOOKUP(E17,Points!$A$2:$B$14,2,FALSE)," ")))</f>
        <v xml:space="preserve"> </v>
      </c>
      <c r="H17" s="92">
        <v>26.108000000000001</v>
      </c>
      <c r="I17" s="93">
        <f t="shared" si="2"/>
        <v>8</v>
      </c>
      <c r="J17" s="93" t="str">
        <f t="shared" si="3"/>
        <v xml:space="preserve"> </v>
      </c>
      <c r="K17" s="94" t="str">
        <f>IF(Table622027323337382242[[#This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IF(Table622027323337382242[[#This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IF(Table622027323337382242[[#This Row],[Non-Member]]="X"," ",IF(R17=" "," ",IFERROR(VLOOKUP(Q17,Points!$A$2:$B$14,2,FALSE)," ")))</f>
        <v xml:space="preserve"> </v>
      </c>
      <c r="T17" s="92">
        <v>21.986000000000001</v>
      </c>
      <c r="U17" s="93">
        <f t="shared" si="8"/>
        <v>2</v>
      </c>
      <c r="V17" s="93">
        <f t="shared" si="9"/>
        <v>2</v>
      </c>
      <c r="W17" s="94" t="str">
        <f>IF(Table622027323337382242[[#This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IF(Table622027323337382242[[#This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IF(Table622027323337382242[[#This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IF(Table622027323337382242[[#This Row],[Non-Member]]="X"," ",IF(AH17=" "," ",IFERROR(VLOOKUP(AG17,Points!$A$2:$B$14,2,FALSE)," ")))</f>
        <v xml:space="preserve"> </v>
      </c>
      <c r="AJ17" s="93" t="str">
        <f>IF(Table622027323337382242[[#This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25">
      <c r="B18" s="90" t="s">
        <v>204</v>
      </c>
      <c r="C18" s="91"/>
      <c r="D18" s="92">
        <v>0</v>
      </c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IF(Table622027323337382242[[#This Row],[Non-Member]]="X"," ",IF(F18=" "," ",IFERROR(VLOOKUP(E18,Points!$A$2:$B$14,2,FALSE)," ")))</f>
        <v xml:space="preserve"> </v>
      </c>
      <c r="H18" s="92">
        <v>0</v>
      </c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IF(Table622027323337382242[[#This Row],[Non-Member]]="X"," ",IF(J18=" "," ",IFERROR(VLOOKUP(I18,Points!$A$2:$B$14,2,FALSE)," ")))</f>
        <v xml:space="preserve"> </v>
      </c>
      <c r="L18" s="92">
        <v>0</v>
      </c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IF(Table622027323337382242[[#This Row],[Non-Member]]="X"," ",IF(N18=" "," ",IFERROR(VLOOKUP(M18,Points!$A$2:$B$14,2,FALSE)," ")))</f>
        <v xml:space="preserve"> </v>
      </c>
      <c r="P18" s="92">
        <v>0</v>
      </c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IF(Table622027323337382242[[#This Row],[Non-Member]]="X"," ",IF(R18=" "," ",IFERROR(VLOOKUP(Q18,Points!$A$2:$B$14,2,FALSE)," ")))</f>
        <v xml:space="preserve"> </v>
      </c>
      <c r="T18" s="92">
        <v>0</v>
      </c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IF(Table622027323337382242[[#This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IF(Table622027323337382242[[#This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IF(Table622027323337382242[[#This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IF(Table622027323337382242[[#This Row],[Non-Member]]="X"," ",IF(AH18=" "," ",IFERROR(VLOOKUP(AG18,Points!$A$2:$B$14,2,FALSE)," ")))</f>
        <v xml:space="preserve"> </v>
      </c>
      <c r="AJ18" s="97">
        <f>IF(Table622027323337382242[[#This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 t="s">
        <v>200</v>
      </c>
      <c r="C19" s="91"/>
      <c r="D19" s="92">
        <v>31.149000000000001</v>
      </c>
      <c r="E19" s="93">
        <f t="shared" si="0"/>
        <v>11</v>
      </c>
      <c r="F19" s="93" t="str">
        <f t="shared" si="1"/>
        <v xml:space="preserve"> </v>
      </c>
      <c r="G19" s="94" t="str">
        <f>IF(Table622027323337382242[[#This Row],[Non-Member]]="X"," ",IF(F19=" "," ",IFERROR(VLOOKUP(E19,Points!$A$2:$B$14,2,FALSE)," ")))</f>
        <v xml:space="preserve"> </v>
      </c>
      <c r="H19" s="92">
        <v>29.972000000000001</v>
      </c>
      <c r="I19" s="93">
        <f t="shared" si="2"/>
        <v>11</v>
      </c>
      <c r="J19" s="93" t="str">
        <f t="shared" si="3"/>
        <v xml:space="preserve"> </v>
      </c>
      <c r="K19" s="94" t="str">
        <f>IF(Table622027323337382242[[#This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IF(Table622027323337382242[[#This Row],[Non-Member]]="X"," ",IF(N19=" "," ",IFERROR(VLOOKUP(M19,Points!$A$2:$B$14,2,FALSE)," ")))</f>
        <v xml:space="preserve"> </v>
      </c>
      <c r="P19" s="92">
        <v>27.797000000000001</v>
      </c>
      <c r="Q19" s="93">
        <f t="shared" si="6"/>
        <v>11</v>
      </c>
      <c r="R19" s="93" t="str">
        <f t="shared" si="7"/>
        <v xml:space="preserve"> </v>
      </c>
      <c r="S19" s="94" t="str">
        <f>IF(Table622027323337382242[[#This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IF(Table622027323337382242[[#This Row],[Non-Member]]="X"," ",IF(V19=" "," ",IFERROR(VLOOKUP(U19,Points!$A$2:$B$14,2,FALSE)," ")))</f>
        <v xml:space="preserve"> </v>
      </c>
      <c r="X19" s="92">
        <v>0</v>
      </c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IF(Table622027323337382242[[#This Row],[Non-Member]]="X"," ",IF(Z19=" "," ",IFERROR(VLOOKUP(Y19,Points!$A$2:$B$14,2,FALSE)," ")))</f>
        <v xml:space="preserve"> </v>
      </c>
      <c r="AB19" s="92">
        <v>36.786000000000001</v>
      </c>
      <c r="AC19" s="93">
        <f t="shared" si="12"/>
        <v>11</v>
      </c>
      <c r="AD19" s="93" t="str">
        <f t="shared" si="13"/>
        <v xml:space="preserve"> </v>
      </c>
      <c r="AE19" s="94" t="str">
        <f>IF(Table622027323337382242[[#This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IF(Table622027323337382242[[#This Row],[Non-Member]]="X"," ",IF(AH19=" "," ",IFERROR(VLOOKUP(AG19,Points!$A$2:$B$14,2,FALSE)," ")))</f>
        <v xml:space="preserve"> </v>
      </c>
      <c r="AJ19" s="93">
        <f>IF(Table622027323337382242[[#This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 t="s">
        <v>205</v>
      </c>
      <c r="C20" s="91"/>
      <c r="D20" s="138">
        <v>0</v>
      </c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IF(Table622027323337382242[[#This Row],[Non-Member]]="X"," ",IF(F20=" "," ",IFERROR(VLOOKUP(E20,Points!$A$2:$B$14,2,FALSE)," ")))</f>
        <v xml:space="preserve"> </v>
      </c>
      <c r="H20" s="92">
        <v>25.024999999999999</v>
      </c>
      <c r="I20" s="93">
        <f t="shared" si="2"/>
        <v>7</v>
      </c>
      <c r="J20" s="93" t="str">
        <f t="shared" si="3"/>
        <v xml:space="preserve"> </v>
      </c>
      <c r="K20" s="94" t="str">
        <f>IF(Table622027323337382242[[#This Row],[Non-Member]]="X"," ",IF(J20=" "," ",IFERROR(VLOOKUP(I20,Points!$A$2:$B$14,2,FALSE)," ")))</f>
        <v xml:space="preserve"> </v>
      </c>
      <c r="L20" s="92">
        <v>26.949000000000002</v>
      </c>
      <c r="M20" s="93">
        <f t="shared" si="4"/>
        <v>8</v>
      </c>
      <c r="N20" s="93" t="str">
        <f t="shared" si="5"/>
        <v xml:space="preserve"> </v>
      </c>
      <c r="O20" s="94" t="str">
        <f>IF(Table622027323337382242[[#This Row],[Non-Member]]="X"," ",IF(N20=" "," ",IFERROR(VLOOKUP(M20,Points!$A$2:$B$14,2,FALSE)," ")))</f>
        <v xml:space="preserve"> </v>
      </c>
      <c r="P20" s="92">
        <v>36.271000000000001</v>
      </c>
      <c r="Q20" s="93">
        <f t="shared" si="6"/>
        <v>12</v>
      </c>
      <c r="R20" s="93" t="str">
        <f t="shared" si="7"/>
        <v xml:space="preserve"> </v>
      </c>
      <c r="S20" s="94" t="str">
        <f>IF(Table622027323337382242[[#This Row],[Non-Member]]="X"," ",IF(R20=" "," ",IFERROR(VLOOKUP(Q20,Points!$A$2:$B$14,2,FALSE)," ")))</f>
        <v xml:space="preserve"> </v>
      </c>
      <c r="T20" s="92">
        <v>26.077000000000002</v>
      </c>
      <c r="U20" s="93">
        <f t="shared" si="8"/>
        <v>10</v>
      </c>
      <c r="V20" s="93" t="str">
        <f t="shared" si="9"/>
        <v xml:space="preserve"> </v>
      </c>
      <c r="W20" s="94" t="str">
        <f>IF(Table622027323337382242[[#This Row],[Non-Member]]="X"," ",IF(V20=" "," ",IFERROR(VLOOKUP(U20,Points!$A$2:$B$14,2,FALSE)," ")))</f>
        <v xml:space="preserve"> </v>
      </c>
      <c r="X20" s="92">
        <v>35.180999999999997</v>
      </c>
      <c r="Y20" s="93">
        <f t="shared" si="10"/>
        <v>11</v>
      </c>
      <c r="Z20" s="93" t="str">
        <f t="shared" si="11"/>
        <v xml:space="preserve"> </v>
      </c>
      <c r="AA20" s="94" t="str">
        <f>IF(Table622027323337382242[[#This Row],[Non-Member]]="X"," ",IF(Z20=" "," ",IFERROR(VLOOKUP(Y20,Points!$A$2:$B$14,2,FALSE)," ")))</f>
        <v xml:space="preserve"> </v>
      </c>
      <c r="AB20" s="92">
        <v>23.33</v>
      </c>
      <c r="AC20" s="93">
        <f t="shared" si="12"/>
        <v>8</v>
      </c>
      <c r="AD20" s="93" t="str">
        <f t="shared" si="13"/>
        <v xml:space="preserve"> </v>
      </c>
      <c r="AE20" s="94" t="str">
        <f>IF(Table622027323337382242[[#This Row],[Non-Member]]="X"," ",IF(AD20=" "," ",IFERROR(VLOOKUP(AC20,Points!$A$2:$B$14,2,FALSE)," ")))</f>
        <v xml:space="preserve"> </v>
      </c>
      <c r="AF20" s="92">
        <f t="shared" si="14"/>
        <v>58.510999999999996</v>
      </c>
      <c r="AG20" s="93">
        <f t="shared" si="15"/>
        <v>10</v>
      </c>
      <c r="AH20" s="93" t="str">
        <f t="shared" si="16"/>
        <v xml:space="preserve"> </v>
      </c>
      <c r="AI20" s="94" t="str">
        <f>IF(Table622027323337382242[[#This Row],[Non-Member]]="X"," ",IF(AH20=" "," ",IFERROR(VLOOKUP(AG20,Points!$A$2:$B$14,2,FALSE)," ")))</f>
        <v xml:space="preserve"> </v>
      </c>
      <c r="AJ20" s="93">
        <f>IF(Table622027323337382242[[#This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 t="s">
        <v>202</v>
      </c>
      <c r="C21" s="91"/>
      <c r="D21" s="138">
        <v>0</v>
      </c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IF(Table622027323337382242[[#This Row],[Non-Member]]="X"," ",IF(F21=" "," ",IFERROR(VLOOKUP(E21,Points!$A$2:$B$14,2,FALSE)," ")))</f>
        <v xml:space="preserve"> </v>
      </c>
      <c r="H21" s="92">
        <v>45.091999999999999</v>
      </c>
      <c r="I21" s="93">
        <f t="shared" si="2"/>
        <v>15</v>
      </c>
      <c r="J21" s="93" t="str">
        <f t="shared" si="3"/>
        <v xml:space="preserve"> </v>
      </c>
      <c r="K21" s="94" t="str">
        <f>IF(Table622027323337382242[[#This Row],[Non-Member]]="X"," ",IF(J21=" "," ",IFERROR(VLOOKUP(I21,Points!$A$2:$B$14,2,FALSE)," ")))</f>
        <v xml:space="preserve"> </v>
      </c>
      <c r="L21" s="92">
        <v>29.164999999999999</v>
      </c>
      <c r="M21" s="93">
        <f t="shared" si="4"/>
        <v>11</v>
      </c>
      <c r="N21" s="93" t="str">
        <f t="shared" si="5"/>
        <v xml:space="preserve"> </v>
      </c>
      <c r="O21" s="94" t="str">
        <f>IF(Table622027323337382242[[#This Row],[Non-Member]]="X"," ",IF(N21=" "," ",IFERROR(VLOOKUP(M21,Points!$A$2:$B$14,2,FALSE)," ")))</f>
        <v xml:space="preserve"> </v>
      </c>
      <c r="P21" s="92">
        <v>27.449000000000002</v>
      </c>
      <c r="Q21" s="93">
        <f t="shared" si="6"/>
        <v>10</v>
      </c>
      <c r="R21" s="93" t="str">
        <f t="shared" si="7"/>
        <v xml:space="preserve"> </v>
      </c>
      <c r="S21" s="94" t="str">
        <f>IF(Table622027323337382242[[#This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IF(Table622027323337382242[[#This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IF(Table622027323337382242[[#This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IF(Table622027323337382242[[#This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IF(Table622027323337382242[[#This Row],[Non-Member]]="X"," ",IF(AH21=" "," ",IFERROR(VLOOKUP(AG21,Points!$A$2:$B$14,2,FALSE)," ")))</f>
        <v xml:space="preserve"> </v>
      </c>
      <c r="AJ21" s="93">
        <f>IF(Table622027323337382242[[#This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 t="s">
        <v>159</v>
      </c>
      <c r="C22" s="91"/>
      <c r="D22" s="92">
        <v>27.416</v>
      </c>
      <c r="E22" s="93">
        <f t="shared" si="0"/>
        <v>8</v>
      </c>
      <c r="F22" s="93" t="str">
        <f t="shared" si="1"/>
        <v xml:space="preserve"> </v>
      </c>
      <c r="G22" s="94" t="str">
        <f>IF(Table622027323337382242[[#This Row],[Non-Member]]="X"," ",IF(F22=" "," ",IFERROR(VLOOKUP(E22,Points!$A$2:$B$14,2,FALSE)," ")))</f>
        <v xml:space="preserve"> </v>
      </c>
      <c r="H22" s="92">
        <v>30.058</v>
      </c>
      <c r="I22" s="93">
        <f t="shared" si="2"/>
        <v>12</v>
      </c>
      <c r="J22" s="93" t="str">
        <f t="shared" si="3"/>
        <v xml:space="preserve"> </v>
      </c>
      <c r="K22" s="94" t="str">
        <f>IF(Table622027323337382242[[#This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IF(Table622027323337382242[[#This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IF(Table622027323337382242[[#This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IF(Table622027323337382242[[#This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IF(Table622027323337382242[[#This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IF(Table622027323337382242[[#This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IF(Table622027323337382242[[#This Row],[Non-Member]]="X"," ",IF(AH22=" "," ",IFERROR(VLOOKUP(AG22,Points!$A$2:$B$14,2,FALSE)," ")))</f>
        <v xml:space="preserve"> </v>
      </c>
      <c r="AJ22" s="93">
        <f>IF(Table622027323337382242[[#This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IF(Table622027323337382242[[#This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IF(Table622027323337382242[[#This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IF(Table622027323337382242[[#This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IF(Table622027323337382242[[#This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IF(Table622027323337382242[[#This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IF(Table622027323337382242[[#This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IF(Table622027323337382242[[#This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IF(Table622027323337382242[[#This Row],[Non-Member]]="X"," ",IF(AH23=" "," ",IFERROR(VLOOKUP(AG23,Points!$A$2:$B$14,2,FALSE)," ")))</f>
        <v xml:space="preserve"> </v>
      </c>
      <c r="AJ23" s="93">
        <f>IF(Table622027323337382242[[#This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IF(Table622027323337382242[[#This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IF(Table622027323337382242[[#This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IF(Table622027323337382242[[#This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IF(Table622027323337382242[[#This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IF(Table622027323337382242[[#This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IF(Table622027323337382242[[#This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IF(Table622027323337382242[[#This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IF(Table622027323337382242[[#This Row],[Non-Member]]="X"," ",IF(AH24=" "," ",IFERROR(VLOOKUP(AG24,Points!$A$2:$B$14,2,FALSE)," ")))</f>
        <v xml:space="preserve"> </v>
      </c>
      <c r="AJ24" s="93">
        <f>IF(Table622027323337382242[[#This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H82hHLZqCA79zTz1K5kMSWnrhAhZSaBvgzDtLPnw9ehrqfReJC2voZjo5GbmRTLSxGPSo4cARHYI8zoTGCfhLQ==" saltValue="hO0AXmjs/I51cvzOKcf2E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2A67-51FD-4635-B428-E473FC95F138}">
  <sheetPr codeName="Sheet75">
    <tabColor theme="8" tint="0.79998168889431442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116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160</v>
      </c>
      <c r="C5" s="84"/>
      <c r="D5" s="85">
        <v>15.94</v>
      </c>
      <c r="E5" s="86">
        <f t="shared" ref="E5:E24" si="0">IF(D5=0," ",_xlfn.RANK.AVG(D5,D$5:D$24,1)-COUNTIF(D$5:D$24,0))</f>
        <v>6</v>
      </c>
      <c r="F5" s="86">
        <f t="shared" ref="F5:F24" si="1">IF(D5=0," ",IF((RANK(D5,D$5:D$24,1)-COUNTIF(D$5:D$24,0)&gt;6)," ",RANK(D5,D$5:D$24,1)-COUNTIF(D$5:D$24,0)))</f>
        <v>6</v>
      </c>
      <c r="G5" s="87">
        <f>IF(Table62202732333738392343[[#This Row],[Non-Member]]="X"," ",IF(F5=" "," ",IFERROR(VLOOKUP(E5,Points!$A$2:$B$14,2,FALSE)," ")))</f>
        <v>3</v>
      </c>
      <c r="H5" s="85">
        <v>8.4700000000000006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IF(Table62202732333738392343[[#This Row],[Non-Member]]="X"," ",IF(J5=" "," ",IFERROR(VLOOKUP(I5,Points!$A$2:$B$14,2,FALSE)," ")))</f>
        <v>18</v>
      </c>
      <c r="L5" s="85">
        <v>9.68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IF(Table62202732333738392343[[#This Row],[Non-Member]]="X"," ",IF(N5=" "," ",IFERROR(VLOOKUP(M5,Points!$A$2:$B$14,2,FALSE)," ")))</f>
        <v>15</v>
      </c>
      <c r="P5" s="85">
        <v>9.4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IF(Table62202732333738392343[[#This Row],[Non-Member]]="X"," ",IF(R5=" "," ",IFERROR(VLOOKUP(Q5,Points!$A$2:$B$14,2,FALSE)," ")))</f>
        <v>15</v>
      </c>
      <c r="T5" s="85">
        <v>8.34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IF(Table62202732333738392343[[#This Row],[Non-Member]]="X"," ",IF(V5=" "," ",IFERROR(VLOOKUP(U5,Points!$A$2:$B$14,2,FALSE)," ")))</f>
        <v>18</v>
      </c>
      <c r="X5" s="85">
        <v>7.97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IF(Table62202732333738392343[[#This Row],[Non-Member]]="X"," ",IF(Z5=" "," ",IFERROR(VLOOKUP(Y5,Points!$A$2:$B$14,2,FALSE)," ")))</f>
        <v>18</v>
      </c>
      <c r="AB5" s="85">
        <v>7.97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IF(Table62202732333738392343[[#This Row],[Non-Member]]="X"," ",IF(AD5=" "," ",IFERROR(VLOOKUP(AC5,Points!$A$2:$B$14,2,FALSE)," ")))</f>
        <v>18</v>
      </c>
      <c r="AF5" s="85">
        <f t="shared" ref="AF5:AF24" si="14">IF(OR(X5=0,AB5=0)," ",X5+AB5)</f>
        <v>15.94</v>
      </c>
      <c r="AG5" s="86">
        <f t="shared" ref="AG5:AG24" si="15">IF(OR(AF5=0,AF5=" ")," ",_xlfn.RANK.AVG(AF5,AF$5:AF$24,1)-COUNTIF(AF$5:AF$24,0))</f>
        <v>1</v>
      </c>
      <c r="AH5" s="86">
        <f t="shared" ref="AH5:AH24" si="16">IF(OR(AF5=0,AF5=" ")," ",IF((RANK(AF5,AF$5:AF$24,1)-COUNTIF(AF$5:AF$24,0)&gt;6)," ",RANK(AF5,AF$5:AF$24,1)-COUNTIF(AF$5:AF$24,0)))</f>
        <v>1</v>
      </c>
      <c r="AI5" s="87">
        <f>IF(Table62202732333738392343[[#This Row],[Non-Member]]="X"," ",IF(AH5=" "," ",IFERROR(VLOOKUP(AG5,Points!$A$2:$B$14,2,FALSE)," ")))</f>
        <v>18</v>
      </c>
      <c r="AJ5" s="86">
        <f>IF(Table62202732333738392343[[#This Row],[Non-Member]]="X"," ",((IF(G5=" ",0,G5))+(IF(K5=" ",0,K5))+(IF(O5=" ",0,O5))+(IF(S5=" ",0,S5))+(IF(W5=" ",0,W5))+(IF(AA5=" ",0,AA5))+(IF(AE5=" ",0,AE5))+(IF(AI5=" ",0,AI5))))</f>
        <v>123</v>
      </c>
      <c r="AK5" s="88">
        <f t="shared" ref="AK5:AK24" si="17">IF(AJ5=0," ",AJ5)</f>
        <v>123</v>
      </c>
      <c r="AL5" s="89">
        <f t="shared" ref="AL5:AL24" si="18">IF(AK5=" "," ",RANK(AK5,$AK$5:$AK$24))</f>
        <v>1</v>
      </c>
    </row>
    <row r="6" spans="2:38" x14ac:dyDescent="0.25">
      <c r="B6" s="90" t="s">
        <v>156</v>
      </c>
      <c r="C6" s="91"/>
      <c r="D6" s="92">
        <v>12.42</v>
      </c>
      <c r="E6" s="93">
        <f t="shared" si="0"/>
        <v>3</v>
      </c>
      <c r="F6" s="93">
        <f t="shared" si="1"/>
        <v>3</v>
      </c>
      <c r="G6" s="94">
        <f>IF(Table62202732333738392343[[#This Row],[Non-Member]]="X"," ",IF(F6=" "," ",IFERROR(VLOOKUP(E6,Points!$A$2:$B$14,2,FALSE)," ")))</f>
        <v>12</v>
      </c>
      <c r="H6" s="92">
        <v>10.32</v>
      </c>
      <c r="I6" s="93">
        <f t="shared" si="2"/>
        <v>3</v>
      </c>
      <c r="J6" s="93">
        <f t="shared" si="3"/>
        <v>3</v>
      </c>
      <c r="K6" s="94">
        <f>IF(Table62202732333738392343[[#This Row],[Non-Member]]="X"," ",IF(J6=" "," ",IFERROR(VLOOKUP(I6,Points!$A$2:$B$14,2,FALSE)," ")))</f>
        <v>12</v>
      </c>
      <c r="L6" s="92">
        <v>10.62</v>
      </c>
      <c r="M6" s="93">
        <f t="shared" si="4"/>
        <v>3</v>
      </c>
      <c r="N6" s="93">
        <f t="shared" si="5"/>
        <v>3</v>
      </c>
      <c r="O6" s="94">
        <f>IF(Table62202732333738392343[[#This Row],[Non-Member]]="X"," ",IF(N6=" "," ",IFERROR(VLOOKUP(M6,Points!$A$2:$B$14,2,FALSE)," ")))</f>
        <v>12</v>
      </c>
      <c r="P6" s="92">
        <v>8.84</v>
      </c>
      <c r="Q6" s="93">
        <f t="shared" si="6"/>
        <v>1</v>
      </c>
      <c r="R6" s="93">
        <f t="shared" si="7"/>
        <v>1</v>
      </c>
      <c r="S6" s="94">
        <f>IF(Table62202732333738392343[[#This Row],[Non-Member]]="X"," ",IF(R6=" "," ",IFERROR(VLOOKUP(Q6,Points!$A$2:$B$14,2,FALSE)," ")))</f>
        <v>18</v>
      </c>
      <c r="T6" s="92">
        <v>11.78</v>
      </c>
      <c r="U6" s="93">
        <f t="shared" si="8"/>
        <v>5</v>
      </c>
      <c r="V6" s="93">
        <f t="shared" si="9"/>
        <v>5</v>
      </c>
      <c r="W6" s="94">
        <f>IF(Table62202732333738392343[[#This Row],[Non-Member]]="X"," ",IF(V6=" "," ",IFERROR(VLOOKUP(U6,Points!$A$2:$B$14,2,FALSE)," ")))</f>
        <v>6</v>
      </c>
      <c r="X6" s="92">
        <v>10.6</v>
      </c>
      <c r="Y6" s="93">
        <f t="shared" si="10"/>
        <v>3</v>
      </c>
      <c r="Z6" s="93">
        <f t="shared" si="11"/>
        <v>3</v>
      </c>
      <c r="AA6" s="94">
        <f>IF(Table62202732333738392343[[#This Row],[Non-Member]]="X"," ",IF(Z6=" "," ",IFERROR(VLOOKUP(Y6,Points!$A$2:$B$14,2,FALSE)," ")))</f>
        <v>12</v>
      </c>
      <c r="AB6" s="92">
        <v>10.94</v>
      </c>
      <c r="AC6" s="93">
        <f t="shared" si="12"/>
        <v>4</v>
      </c>
      <c r="AD6" s="93">
        <f t="shared" si="13"/>
        <v>4</v>
      </c>
      <c r="AE6" s="94">
        <f>IF(Table62202732333738392343[[#This Row],[Non-Member]]="X"," ",IF(AD6=" "," ",IFERROR(VLOOKUP(AC6,Points!$A$2:$B$14,2,FALSE)," ")))</f>
        <v>9</v>
      </c>
      <c r="AF6" s="92">
        <f t="shared" si="14"/>
        <v>21.54</v>
      </c>
      <c r="AG6" s="93">
        <f t="shared" si="15"/>
        <v>3</v>
      </c>
      <c r="AH6" s="93">
        <f t="shared" si="16"/>
        <v>3</v>
      </c>
      <c r="AI6" s="94">
        <f>IF(Table62202732333738392343[[#This Row],[Non-Member]]="X"," ",IF(AH6=" "," ",IFERROR(VLOOKUP(AG6,Points!$A$2:$B$14,2,FALSE)," ")))</f>
        <v>12</v>
      </c>
      <c r="AJ6" s="93">
        <f>IF(Table62202732333738392343[[#This Row],[Non-Member]]="X"," ",((IF(G6=" ",0,G6))+(IF(K6=" ",0,K6))+(IF(O6=" ",0,O6))+(IF(S6=" ",0,S6))+(IF(W6=" ",0,W6))+(IF(AA6=" ",0,AA6))+(IF(AE6=" ",0,AE6))+(IF(AI6=" ",0,AI6))))</f>
        <v>93</v>
      </c>
      <c r="AK6" s="95">
        <f t="shared" si="17"/>
        <v>93</v>
      </c>
      <c r="AL6" s="96">
        <f t="shared" si="18"/>
        <v>2</v>
      </c>
    </row>
    <row r="7" spans="2:38" x14ac:dyDescent="0.25">
      <c r="B7" s="90" t="s">
        <v>158</v>
      </c>
      <c r="C7" s="91"/>
      <c r="D7" s="92">
        <v>13.6</v>
      </c>
      <c r="E7" s="93">
        <f t="shared" si="0"/>
        <v>5</v>
      </c>
      <c r="F7" s="93">
        <f t="shared" si="1"/>
        <v>5</v>
      </c>
      <c r="G7" s="94">
        <f>IF(Table62202732333738392343[[#This Row],[Non-Member]]="X"," ",IF(F7=" "," ",IFERROR(VLOOKUP(E7,Points!$A$2:$B$14,2,FALSE)," ")))</f>
        <v>6</v>
      </c>
      <c r="H7" s="92">
        <v>10.53</v>
      </c>
      <c r="I7" s="93">
        <f t="shared" si="2"/>
        <v>4</v>
      </c>
      <c r="J7" s="93">
        <f t="shared" si="3"/>
        <v>4</v>
      </c>
      <c r="K7" s="94">
        <f>IF(Table62202732333738392343[[#This Row],[Non-Member]]="X"," ",IF(J7=" "," ",IFERROR(VLOOKUP(I7,Points!$A$2:$B$14,2,FALSE)," ")))</f>
        <v>9</v>
      </c>
      <c r="L7" s="92">
        <v>12.6</v>
      </c>
      <c r="M7" s="93">
        <f t="shared" si="4"/>
        <v>6</v>
      </c>
      <c r="N7" s="93">
        <f t="shared" si="5"/>
        <v>6</v>
      </c>
      <c r="O7" s="94">
        <f>IF(Table62202732333738392343[[#This Row],[Non-Member]]="X"," ",IF(N7=" "," ",IFERROR(VLOOKUP(M7,Points!$A$2:$B$14,2,FALSE)," ")))</f>
        <v>3</v>
      </c>
      <c r="P7" s="92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IF(Table62202732333738392343[[#This Row],[Non-Member]]="X"," ",IF(R7=" "," ",IFERROR(VLOOKUP(Q7,Points!$A$2:$B$14,2,FALSE)," ")))</f>
        <v xml:space="preserve"> </v>
      </c>
      <c r="T7" s="92">
        <v>10.63</v>
      </c>
      <c r="U7" s="93">
        <f t="shared" si="8"/>
        <v>2</v>
      </c>
      <c r="V7" s="93">
        <f t="shared" si="9"/>
        <v>2</v>
      </c>
      <c r="W7" s="94">
        <f>IF(Table62202732333738392343[[#This Row],[Non-Member]]="X"," ",IF(V7=" "," ",IFERROR(VLOOKUP(U7,Points!$A$2:$B$14,2,FALSE)," ")))</f>
        <v>15</v>
      </c>
      <c r="X7" s="92">
        <v>9.15</v>
      </c>
      <c r="Y7" s="93">
        <f t="shared" si="10"/>
        <v>2</v>
      </c>
      <c r="Z7" s="93">
        <f t="shared" si="11"/>
        <v>2</v>
      </c>
      <c r="AA7" s="94">
        <f>IF(Table62202732333738392343[[#This Row],[Non-Member]]="X"," ",IF(Z7=" "," ",IFERROR(VLOOKUP(Y7,Points!$A$2:$B$14,2,FALSE)," ")))</f>
        <v>15</v>
      </c>
      <c r="AB7" s="92">
        <v>10.44</v>
      </c>
      <c r="AC7" s="93">
        <f t="shared" si="12"/>
        <v>2</v>
      </c>
      <c r="AD7" s="93">
        <f t="shared" si="13"/>
        <v>2</v>
      </c>
      <c r="AE7" s="94">
        <f>IF(Table62202732333738392343[[#This Row],[Non-Member]]="X"," ",IF(AD7=" "," ",IFERROR(VLOOKUP(AC7,Points!$A$2:$B$14,2,FALSE)," ")))</f>
        <v>15</v>
      </c>
      <c r="AF7" s="92">
        <f t="shared" si="14"/>
        <v>19.59</v>
      </c>
      <c r="AG7" s="93">
        <f t="shared" si="15"/>
        <v>2</v>
      </c>
      <c r="AH7" s="93">
        <f t="shared" si="16"/>
        <v>2</v>
      </c>
      <c r="AI7" s="94">
        <f>IF(Table62202732333738392343[[#This Row],[Non-Member]]="X"," ",IF(AH7=" "," ",IFERROR(VLOOKUP(AG7,Points!$A$2:$B$14,2,FALSE)," ")))</f>
        <v>15</v>
      </c>
      <c r="AJ7" s="93">
        <f>IF(Table62202732333738392343[[#This Row],[Non-Member]]="X"," ",((IF(G7=" ",0,G7))+(IF(K7=" ",0,K7))+(IF(O7=" ",0,O7))+(IF(S7=" ",0,S7))+(IF(W7=" ",0,W7))+(IF(AA7=" ",0,AA7))+(IF(AE7=" ",0,AE7))+(IF(AI7=" ",0,AI7))))</f>
        <v>78</v>
      </c>
      <c r="AK7" s="95">
        <f t="shared" si="17"/>
        <v>78</v>
      </c>
      <c r="AL7" s="96">
        <f t="shared" si="18"/>
        <v>3</v>
      </c>
    </row>
    <row r="8" spans="2:38" x14ac:dyDescent="0.25">
      <c r="B8" s="90" t="s">
        <v>157</v>
      </c>
      <c r="C8" s="91"/>
      <c r="D8" s="92">
        <v>12.23</v>
      </c>
      <c r="E8" s="93">
        <f t="shared" si="0"/>
        <v>2</v>
      </c>
      <c r="F8" s="93">
        <f t="shared" si="1"/>
        <v>2</v>
      </c>
      <c r="G8" s="94">
        <f>IF(Table62202732333738392343[[#This Row],[Non-Member]]="X"," ",IF(F8=" "," ",IFERROR(VLOOKUP(E8,Points!$A$2:$B$14,2,FALSE)," ")))</f>
        <v>15</v>
      </c>
      <c r="H8" s="92">
        <v>12.29</v>
      </c>
      <c r="I8" s="93">
        <f t="shared" si="2"/>
        <v>5</v>
      </c>
      <c r="J8" s="93">
        <f t="shared" si="3"/>
        <v>5</v>
      </c>
      <c r="K8" s="94">
        <f>IF(Table62202732333738392343[[#This Row],[Non-Member]]="X"," ",IF(J8=" "," ",IFERROR(VLOOKUP(I8,Points!$A$2:$B$14,2,FALSE)," ")))</f>
        <v>6</v>
      </c>
      <c r="L8" s="92">
        <v>10.96</v>
      </c>
      <c r="M8" s="93">
        <f t="shared" si="4"/>
        <v>4</v>
      </c>
      <c r="N8" s="93">
        <f t="shared" si="5"/>
        <v>4</v>
      </c>
      <c r="O8" s="94">
        <f>IF(Table62202732333738392343[[#This Row],[Non-Member]]="X"," ",IF(N8=" "," ",IFERROR(VLOOKUP(M8,Points!$A$2:$B$14,2,FALSE)," ")))</f>
        <v>9</v>
      </c>
      <c r="P8" s="92">
        <v>12.91</v>
      </c>
      <c r="Q8" s="93">
        <f t="shared" si="6"/>
        <v>4</v>
      </c>
      <c r="R8" s="93">
        <f t="shared" si="7"/>
        <v>4</v>
      </c>
      <c r="S8" s="94">
        <f>IF(Table62202732333738392343[[#This Row],[Non-Member]]="X"," ",IF(R8=" "," ",IFERROR(VLOOKUP(Q8,Points!$A$2:$B$14,2,FALSE)," ")))</f>
        <v>9</v>
      </c>
      <c r="T8" s="92">
        <v>11.84</v>
      </c>
      <c r="U8" s="93">
        <f t="shared" si="8"/>
        <v>6</v>
      </c>
      <c r="V8" s="93">
        <f t="shared" si="9"/>
        <v>6</v>
      </c>
      <c r="W8" s="94">
        <f>IF(Table62202732333738392343[[#This Row],[Non-Member]]="X"," ",IF(V8=" "," ",IFERROR(VLOOKUP(U8,Points!$A$2:$B$14,2,FALSE)," ")))</f>
        <v>3</v>
      </c>
      <c r="X8" s="92">
        <v>12.19</v>
      </c>
      <c r="Y8" s="93">
        <f t="shared" si="10"/>
        <v>5</v>
      </c>
      <c r="Z8" s="93">
        <f t="shared" si="11"/>
        <v>5</v>
      </c>
      <c r="AA8" s="94">
        <f>IF(Table62202732333738392343[[#This Row],[Non-Member]]="X"," ",IF(Z8=" "," ",IFERROR(VLOOKUP(Y8,Points!$A$2:$B$14,2,FALSE)," ")))</f>
        <v>6</v>
      </c>
      <c r="AB8" s="92">
        <v>10.68</v>
      </c>
      <c r="AC8" s="93">
        <f t="shared" si="12"/>
        <v>3</v>
      </c>
      <c r="AD8" s="93">
        <f t="shared" si="13"/>
        <v>3</v>
      </c>
      <c r="AE8" s="94">
        <f>IF(Table62202732333738392343[[#This Row],[Non-Member]]="X"," ",IF(AD8=" "," ",IFERROR(VLOOKUP(AC8,Points!$A$2:$B$14,2,FALSE)," ")))</f>
        <v>12</v>
      </c>
      <c r="AF8" s="92">
        <f t="shared" si="14"/>
        <v>22.869999999999997</v>
      </c>
      <c r="AG8" s="93">
        <f t="shared" si="15"/>
        <v>4</v>
      </c>
      <c r="AH8" s="93">
        <f t="shared" si="16"/>
        <v>4</v>
      </c>
      <c r="AI8" s="94">
        <f>IF(Table62202732333738392343[[#This Row],[Non-Member]]="X"," ",IF(AH8=" "," ",IFERROR(VLOOKUP(AG8,Points!$A$2:$B$14,2,FALSE)," ")))</f>
        <v>9</v>
      </c>
      <c r="AJ8" s="93">
        <f>IF(Table62202732333738392343[[#This Row],[Non-Member]]="X"," ",((IF(G8=" ",0,G8))+(IF(K8=" ",0,K8))+(IF(O8=" ",0,O8))+(IF(S8=" ",0,S8))+(IF(W8=" ",0,W8))+(IF(AA8=" ",0,AA8))+(IF(AE8=" ",0,AE8))+(IF(AI8=" ",0,AI8))))</f>
        <v>69</v>
      </c>
      <c r="AK8" s="95">
        <f t="shared" si="17"/>
        <v>69</v>
      </c>
      <c r="AL8" s="96">
        <f t="shared" si="18"/>
        <v>4</v>
      </c>
    </row>
    <row r="9" spans="2:38" x14ac:dyDescent="0.25">
      <c r="B9" s="90" t="s">
        <v>162</v>
      </c>
      <c r="C9" s="91"/>
      <c r="D9" s="92">
        <v>10.49</v>
      </c>
      <c r="E9" s="93">
        <f t="shared" si="0"/>
        <v>1</v>
      </c>
      <c r="F9" s="93">
        <f t="shared" si="1"/>
        <v>1</v>
      </c>
      <c r="G9" s="94">
        <f>IF(Table62202732333738392343[[#This Row],[Non-Member]]="X"," ",IF(F9=" "," ",IFERROR(VLOOKUP(E9,Points!$A$2:$B$14,2,FALSE)," ")))</f>
        <v>18</v>
      </c>
      <c r="H9" s="92">
        <v>13.85</v>
      </c>
      <c r="I9" s="93">
        <f t="shared" si="2"/>
        <v>8</v>
      </c>
      <c r="J9" s="93" t="str">
        <f t="shared" si="3"/>
        <v xml:space="preserve"> </v>
      </c>
      <c r="K9" s="94" t="str">
        <f>IF(Table62202732333738392343[[#This Row],[Non-Member]]="X"," ",IF(J9=" "," ",IFERROR(VLOOKUP(I9,Points!$A$2:$B$14,2,FALSE)," ")))</f>
        <v xml:space="preserve"> </v>
      </c>
      <c r="L9" s="92">
        <v>9.34</v>
      </c>
      <c r="M9" s="93">
        <f t="shared" si="4"/>
        <v>1</v>
      </c>
      <c r="N9" s="93">
        <f t="shared" si="5"/>
        <v>1</v>
      </c>
      <c r="O9" s="94">
        <f>IF(Table62202732333738392343[[#This Row],[Non-Member]]="X"," ",IF(N9=" "," ",IFERROR(VLOOKUP(M9,Points!$A$2:$B$14,2,FALSE)," ")))</f>
        <v>18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IF(Table62202732333738392343[[#This Row],[Non-Member]]="X"," ",IF(R9=" "," ",IFERROR(VLOOKUP(Q9,Points!$A$2:$B$14,2,FALSE)," ")))</f>
        <v xml:space="preserve"> </v>
      </c>
      <c r="T9" s="92">
        <v>10.69</v>
      </c>
      <c r="U9" s="93">
        <f t="shared" si="8"/>
        <v>3</v>
      </c>
      <c r="V9" s="93">
        <f t="shared" si="9"/>
        <v>3</v>
      </c>
      <c r="W9" s="94">
        <f>IF(Table62202732333738392343[[#This Row],[Non-Member]]="X"," ",IF(V9=" "," ",IFERROR(VLOOKUP(U9,Points!$A$2:$B$14,2,FALSE)," ")))</f>
        <v>12</v>
      </c>
      <c r="X9" s="92">
        <v>0</v>
      </c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IF(Table62202732333738392343[[#This Row],[Non-Member]]="X"," ",IF(Z9=" "," ",IFERROR(VLOOKUP(Y9,Points!$A$2:$B$14,2,FALSE)," ")))</f>
        <v xml:space="preserve"> </v>
      </c>
      <c r="AB9" s="92">
        <v>11.18</v>
      </c>
      <c r="AC9" s="93">
        <f t="shared" si="12"/>
        <v>5</v>
      </c>
      <c r="AD9" s="93">
        <f t="shared" si="13"/>
        <v>5</v>
      </c>
      <c r="AE9" s="94">
        <f>IF(Table62202732333738392343[[#This Row],[Non-Member]]="X"," ",IF(AD9=" "," ",IFERROR(VLOOKUP(AC9,Points!$A$2:$B$14,2,FALSE)," ")))</f>
        <v>6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IF(Table62202732333738392343[[#This Row],[Non-Member]]="X"," ",IF(AH9=" "," ",IFERROR(VLOOKUP(AG9,Points!$A$2:$B$14,2,FALSE)," ")))</f>
        <v xml:space="preserve"> </v>
      </c>
      <c r="AJ9" s="93">
        <f>IF(Table62202732333738392343[[#This Row],[Non-Member]]="X"," ",((IF(G9=" ",0,G9))+(IF(K9=" ",0,K9))+(IF(O9=" ",0,O9))+(IF(S9=" ",0,S9))+(IF(W9=" ",0,W9))+(IF(AA9=" ",0,AA9))+(IF(AE9=" ",0,AE9))+(IF(AI9=" ",0,AI9))))</f>
        <v>54</v>
      </c>
      <c r="AK9" s="95">
        <f t="shared" si="17"/>
        <v>54</v>
      </c>
      <c r="AL9" s="96">
        <f t="shared" si="18"/>
        <v>5</v>
      </c>
    </row>
    <row r="10" spans="2:38" x14ac:dyDescent="0.25">
      <c r="B10" s="90" t="s">
        <v>205</v>
      </c>
      <c r="C10" s="91"/>
      <c r="D10" s="92">
        <v>18.72</v>
      </c>
      <c r="E10" s="93">
        <f t="shared" si="0"/>
        <v>8</v>
      </c>
      <c r="F10" s="93" t="str">
        <f t="shared" si="1"/>
        <v xml:space="preserve"> </v>
      </c>
      <c r="G10" s="94" t="str">
        <f>IF(Table62202732333738392343[[#This Row],[Non-Member]]="X"," ",IF(F10=" "," ",IFERROR(VLOOKUP(E10,Points!$A$2:$B$14,2,FALSE)," ")))</f>
        <v xml:space="preserve"> </v>
      </c>
      <c r="H10" s="92">
        <v>23.78</v>
      </c>
      <c r="I10" s="93">
        <f t="shared" si="2"/>
        <v>14</v>
      </c>
      <c r="J10" s="93" t="str">
        <f t="shared" si="3"/>
        <v xml:space="preserve"> </v>
      </c>
      <c r="K10" s="94" t="str">
        <f>IF(Table62202732333738392343[[#This Row],[Non-Member]]="X"," ",IF(J10=" "," ",IFERROR(VLOOKUP(I10,Points!$A$2:$B$14,2,FALSE)," ")))</f>
        <v xml:space="preserve"> </v>
      </c>
      <c r="L10" s="92">
        <v>12.47</v>
      </c>
      <c r="M10" s="93">
        <f t="shared" si="4"/>
        <v>5</v>
      </c>
      <c r="N10" s="93">
        <f t="shared" si="5"/>
        <v>5</v>
      </c>
      <c r="O10" s="94">
        <f>IF(Table62202732333738392343[[#This Row],[Non-Member]]="X"," ",IF(N10=" "," ",IFERROR(VLOOKUP(M10,Points!$A$2:$B$14,2,FALSE)," ")))</f>
        <v>6</v>
      </c>
      <c r="P10" s="92">
        <v>17.399999999999999</v>
      </c>
      <c r="Q10" s="93">
        <f t="shared" si="6"/>
        <v>5</v>
      </c>
      <c r="R10" s="93">
        <f t="shared" si="7"/>
        <v>5</v>
      </c>
      <c r="S10" s="94">
        <f>IF(Table62202732333738392343[[#This Row],[Non-Member]]="X"," ",IF(R10=" "," ",IFERROR(VLOOKUP(Q10,Points!$A$2:$B$14,2,FALSE)," ")))</f>
        <v>6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IF(Table62202732333738392343[[#This Row],[Non-Member]]="X"," ",IF(V10=" "," ",IFERROR(VLOOKUP(U10,Points!$A$2:$B$14,2,FALSE)," ")))</f>
        <v xml:space="preserve"> </v>
      </c>
      <c r="X10" s="92">
        <v>12.65</v>
      </c>
      <c r="Y10" s="93">
        <f t="shared" si="10"/>
        <v>6</v>
      </c>
      <c r="Z10" s="93">
        <f t="shared" si="11"/>
        <v>6</v>
      </c>
      <c r="AA10" s="94">
        <f>IF(Table62202732333738392343[[#This Row],[Non-Member]]="X"," ",IF(Z10=" "," ",IFERROR(VLOOKUP(Y10,Points!$A$2:$B$14,2,FALSE)," ")))</f>
        <v>3</v>
      </c>
      <c r="AB10" s="92">
        <v>12.59</v>
      </c>
      <c r="AC10" s="93">
        <f t="shared" si="12"/>
        <v>6</v>
      </c>
      <c r="AD10" s="93">
        <f t="shared" si="13"/>
        <v>6</v>
      </c>
      <c r="AE10" s="94">
        <f>IF(Table62202732333738392343[[#This Row],[Non-Member]]="X"," ",IF(AD10=" "," ",IFERROR(VLOOKUP(AC10,Points!$A$2:$B$14,2,FALSE)," ")))</f>
        <v>3</v>
      </c>
      <c r="AF10" s="92">
        <f t="shared" si="14"/>
        <v>25.240000000000002</v>
      </c>
      <c r="AG10" s="93">
        <f t="shared" si="15"/>
        <v>5</v>
      </c>
      <c r="AH10" s="93">
        <f t="shared" si="16"/>
        <v>5</v>
      </c>
      <c r="AI10" s="94">
        <f>IF(Table62202732333738392343[[#This Row],[Non-Member]]="X"," ",IF(AH10=" "," ",IFERROR(VLOOKUP(AG10,Points!$A$2:$B$14,2,FALSE)," ")))</f>
        <v>6</v>
      </c>
      <c r="AJ10" s="93">
        <f>IF(Table62202732333738392343[[#This Row],[Non-Member]]="X"," ",((IF(G10=" ",0,G10))+(IF(K10=" ",0,K10))+(IF(O10=" ",0,O10))+(IF(S10=" ",0,S10))+(IF(W10=" ",0,W10))+(IF(AA10=" ",0,AA10))+(IF(AE10=" ",0,AE10))+(IF(AI10=" ",0,AI10))))</f>
        <v>24</v>
      </c>
      <c r="AK10" s="95">
        <f t="shared" si="17"/>
        <v>24</v>
      </c>
      <c r="AL10" s="96">
        <f t="shared" si="18"/>
        <v>6</v>
      </c>
    </row>
    <row r="11" spans="2:38" x14ac:dyDescent="0.25">
      <c r="B11" s="90" t="s">
        <v>201</v>
      </c>
      <c r="C11" s="91"/>
      <c r="D11" s="92">
        <v>18.61</v>
      </c>
      <c r="E11" s="93">
        <f t="shared" si="0"/>
        <v>7</v>
      </c>
      <c r="F11" s="93" t="str">
        <f t="shared" si="1"/>
        <v xml:space="preserve"> </v>
      </c>
      <c r="G11" s="94" t="str">
        <f>IF(Table62202732333738392343[[#This Row],[Non-Member]]="X"," ",IF(F11=" "," ",IFERROR(VLOOKUP(E11,Points!$A$2:$B$14,2,FALSE)," ")))</f>
        <v xml:space="preserve"> </v>
      </c>
      <c r="H11" s="92">
        <v>13.07</v>
      </c>
      <c r="I11" s="93">
        <f t="shared" si="2"/>
        <v>7</v>
      </c>
      <c r="J11" s="93" t="str">
        <f t="shared" si="3"/>
        <v xml:space="preserve"> </v>
      </c>
      <c r="K11" s="94" t="str">
        <f>IF(Table62202732333738392343[[#This Row],[Non-Member]]="X"," ",IF(J11=" "," ",IFERROR(VLOOKUP(I11,Points!$A$2:$B$14,2,FALSE)," ")))</f>
        <v xml:space="preserve"> </v>
      </c>
      <c r="L11" s="92">
        <v>15.56</v>
      </c>
      <c r="M11" s="93">
        <f t="shared" si="4"/>
        <v>7</v>
      </c>
      <c r="N11" s="93" t="str">
        <f t="shared" si="5"/>
        <v xml:space="preserve"> </v>
      </c>
      <c r="O11" s="94" t="str">
        <f>IF(Table62202732333738392343[[#This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IF(Table62202732333738392343[[#This Row],[Non-Member]]="X"," ",IF(R11=" "," ",IFERROR(VLOOKUP(Q11,Points!$A$2:$B$14,2,FALSE)," ")))</f>
        <v xml:space="preserve"> 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IF(Table62202732333738392343[[#This Row],[Non-Member]]="X"," ",IF(V11=" "," ",IFERROR(VLOOKUP(U11,Points!$A$2:$B$14,2,FALSE)," ")))</f>
        <v xml:space="preserve"> </v>
      </c>
      <c r="X11" s="92">
        <v>11.9</v>
      </c>
      <c r="Y11" s="93">
        <f t="shared" si="10"/>
        <v>4</v>
      </c>
      <c r="Z11" s="93">
        <f t="shared" si="11"/>
        <v>4</v>
      </c>
      <c r="AA11" s="94">
        <f>IF(Table62202732333738392343[[#This Row],[Non-Member]]="X"," ",IF(Z11=" "," ",IFERROR(VLOOKUP(Y11,Points!$A$2:$B$14,2,FALSE)," ")))</f>
        <v>9</v>
      </c>
      <c r="AB11" s="92">
        <v>13.84</v>
      </c>
      <c r="AC11" s="93">
        <f t="shared" si="12"/>
        <v>7</v>
      </c>
      <c r="AD11" s="93" t="str">
        <f t="shared" si="13"/>
        <v xml:space="preserve"> </v>
      </c>
      <c r="AE11" s="94" t="str">
        <f>IF(Table62202732333738392343[[#This Row],[Non-Member]]="X"," ",IF(AD11=" "," ",IFERROR(VLOOKUP(AC11,Points!$A$2:$B$14,2,FALSE)," ")))</f>
        <v xml:space="preserve"> </v>
      </c>
      <c r="AF11" s="92">
        <f t="shared" si="14"/>
        <v>25.740000000000002</v>
      </c>
      <c r="AG11" s="93">
        <f t="shared" si="15"/>
        <v>6</v>
      </c>
      <c r="AH11" s="93">
        <f t="shared" si="16"/>
        <v>6</v>
      </c>
      <c r="AI11" s="94">
        <f>IF(Table62202732333738392343[[#This Row],[Non-Member]]="X"," ",IF(AH11=" "," ",IFERROR(VLOOKUP(AG11,Points!$A$2:$B$14,2,FALSE)," ")))</f>
        <v>3</v>
      </c>
      <c r="AJ11" s="93">
        <f>IF(Table62202732333738392343[[#This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7</v>
      </c>
    </row>
    <row r="12" spans="2:38" x14ac:dyDescent="0.25">
      <c r="B12" s="90" t="s">
        <v>202</v>
      </c>
      <c r="C12" s="91"/>
      <c r="D12" s="92">
        <v>21.08</v>
      </c>
      <c r="E12" s="97">
        <f t="shared" si="0"/>
        <v>9</v>
      </c>
      <c r="F12" s="97" t="str">
        <f t="shared" si="1"/>
        <v xml:space="preserve"> </v>
      </c>
      <c r="G12" s="94" t="str">
        <f>IF(Table62202732333738392343[[#This Row],[Non-Member]]="X"," ",IF(F12=" "," ",IFERROR(VLOOKUP(E12,Points!$A$2:$B$14,2,FALSE)," ")))</f>
        <v xml:space="preserve"> </v>
      </c>
      <c r="H12" s="92">
        <v>22</v>
      </c>
      <c r="I12" s="97">
        <f t="shared" si="2"/>
        <v>13</v>
      </c>
      <c r="J12" s="97" t="str">
        <f t="shared" si="3"/>
        <v xml:space="preserve"> </v>
      </c>
      <c r="K12" s="94" t="str">
        <f>IF(Table62202732333738392343[[#This Row],[Non-Member]]="X"," ",IF(J12=" "," ",IFERROR(VLOOKUP(I12,Points!$A$2:$B$14,2,FALSE)," ")))</f>
        <v xml:space="preserve"> </v>
      </c>
      <c r="L12" s="138">
        <v>0</v>
      </c>
      <c r="M12" s="97" t="str">
        <f t="shared" si="4"/>
        <v xml:space="preserve"> </v>
      </c>
      <c r="N12" s="97" t="str">
        <f t="shared" si="5"/>
        <v xml:space="preserve"> </v>
      </c>
      <c r="O12" s="94" t="str">
        <f>IF(Table62202732333738392343[[#This Row],[Non-Member]]="X"," ",IF(N12=" "," ",IFERROR(VLOOKUP(M12,Points!$A$2:$B$14,2,FALSE)," ")))</f>
        <v xml:space="preserve"> </v>
      </c>
      <c r="P12" s="92">
        <v>11.18</v>
      </c>
      <c r="Q12" s="97">
        <f t="shared" si="6"/>
        <v>3</v>
      </c>
      <c r="R12" s="97">
        <f t="shared" si="7"/>
        <v>3</v>
      </c>
      <c r="S12" s="94">
        <f>IF(Table62202732333738392343[[#This Row],[Non-Member]]="X"," ",IF(R12=" "," ",IFERROR(VLOOKUP(Q12,Points!$A$2:$B$14,2,FALSE)," ")))</f>
        <v>12</v>
      </c>
      <c r="T12" s="92"/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IF(Table62202732333738392343[[#This Row],[Non-Member]]="X"," ",IF(V12=" "," ",IFERROR(VLOOKUP(U12,Points!$A$2:$B$14,2,FALSE)," ")))</f>
        <v xml:space="preserve"> 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IF(Table62202732333738392343[[#This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IF(Table62202732333738392343[[#This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7" t="str">
        <f t="shared" si="15"/>
        <v xml:space="preserve"> </v>
      </c>
      <c r="AH12" s="97" t="str">
        <f t="shared" si="16"/>
        <v xml:space="preserve"> </v>
      </c>
      <c r="AI12" s="94" t="str">
        <f>IF(Table62202732333738392343[[#This Row],[Non-Member]]="X"," ",IF(AH12=" "," ",IFERROR(VLOOKUP(AG12,Points!$A$2:$B$14,2,FALSE)," ")))</f>
        <v xml:space="preserve"> </v>
      </c>
      <c r="AJ12" s="97">
        <f>IF(Table62202732333738392343[[#This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7"/>
        <v>12</v>
      </c>
      <c r="AL12" s="98">
        <f t="shared" si="18"/>
        <v>7</v>
      </c>
    </row>
    <row r="13" spans="2:38" x14ac:dyDescent="0.25">
      <c r="B13" s="90" t="s">
        <v>159</v>
      </c>
      <c r="C13" s="91"/>
      <c r="D13" s="92">
        <v>12.57</v>
      </c>
      <c r="E13" s="93">
        <f t="shared" si="0"/>
        <v>4</v>
      </c>
      <c r="F13" s="93">
        <f t="shared" si="1"/>
        <v>4</v>
      </c>
      <c r="G13" s="94">
        <f>IF(Table62202732333738392343[[#This Row],[Non-Member]]="X"," ",IF(F13=" "," ",IFERROR(VLOOKUP(E13,Points!$A$2:$B$14,2,FALSE)," ")))</f>
        <v>9</v>
      </c>
      <c r="H13" s="92">
        <v>14.56</v>
      </c>
      <c r="I13" s="93">
        <f t="shared" si="2"/>
        <v>9</v>
      </c>
      <c r="J13" s="93" t="str">
        <f t="shared" si="3"/>
        <v xml:space="preserve"> </v>
      </c>
      <c r="K13" s="94" t="str">
        <f>IF(Table62202732333738392343[[#This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IF(Table62202732333738392343[[#This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IF(Table62202732333738392343[[#This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IF(Table62202732333738392343[[#This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IF(Table62202732333738392343[[#This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IF(Table62202732333738392343[[#This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IF(Table62202732333738392343[[#This Row],[Non-Member]]="X"," ",IF(AH13=" "," ",IFERROR(VLOOKUP(AG13,Points!$A$2:$B$14,2,FALSE)," ")))</f>
        <v xml:space="preserve"> </v>
      </c>
      <c r="AJ13" s="93">
        <f>IF(Table62202732333738392343[[#This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7"/>
        <v>9</v>
      </c>
      <c r="AL13" s="96">
        <f t="shared" si="18"/>
        <v>9</v>
      </c>
    </row>
    <row r="14" spans="2:38" x14ac:dyDescent="0.25">
      <c r="B14" s="90" t="s">
        <v>198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IF(Table62202732333738392343[[#This Row],[Non-Member]]="X"," ",IF(F14=" "," ",IFERROR(VLOOKUP(E14,Points!$A$2:$B$14,2,FALSE)," ")))</f>
        <v xml:space="preserve"> </v>
      </c>
      <c r="H14" s="92">
        <v>12.56</v>
      </c>
      <c r="I14" s="93">
        <f t="shared" si="2"/>
        <v>6</v>
      </c>
      <c r="J14" s="93">
        <f t="shared" si="3"/>
        <v>6</v>
      </c>
      <c r="K14" s="94">
        <f>IF(Table62202732333738392343[[#This Row],[Non-Member]]="X"," ",IF(J14=" "," ",IFERROR(VLOOKUP(I14,Points!$A$2:$B$14,2,FALSE)," ")))</f>
        <v>3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IF(Table62202732333738392343[[#This Row],[Non-Member]]="X"," ",IF(N14=" "," ",IFERROR(VLOOKUP(M14,Points!$A$2:$B$14,2,FALSE)," ")))</f>
        <v xml:space="preserve"> </v>
      </c>
      <c r="P14" s="92">
        <v>17.75</v>
      </c>
      <c r="Q14" s="93">
        <f t="shared" si="6"/>
        <v>7</v>
      </c>
      <c r="R14" s="93">
        <f t="shared" si="7"/>
        <v>6</v>
      </c>
      <c r="S14" s="94">
        <f>IF(Table62202732333738392343[[#This Row],[Non-Member]]="X"," ",IF(R14=" "," ",IFERROR(VLOOKUP(Q14,Points!$A$2:$B$14,2,FALSE)," ")))</f>
        <v>1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IF(Table62202732333738392343[[#This Row],[Non-Member]]="X"," ",IF(V14=" "," ",IFERROR(VLOOKUP(U14,Points!$A$2:$B$14,2,FALSE)," ")))</f>
        <v xml:space="preserve"> </v>
      </c>
      <c r="X14" s="92">
        <v>0</v>
      </c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IF(Table62202732333738392343[[#This Row],[Non-Member]]="X"," ",IF(Z14=" "," ",IFERROR(VLOOKUP(Y14,Points!$A$2:$B$14,2,FALSE)," ")))</f>
        <v xml:space="preserve"> </v>
      </c>
      <c r="AB14" s="92">
        <v>16.16</v>
      </c>
      <c r="AC14" s="93">
        <f t="shared" si="12"/>
        <v>9</v>
      </c>
      <c r="AD14" s="93" t="str">
        <f t="shared" si="13"/>
        <v xml:space="preserve"> </v>
      </c>
      <c r="AE14" s="94" t="str">
        <f>IF(Table62202732333738392343[[#This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IF(Table62202732333738392343[[#This Row],[Non-Member]]="X"," ",IF(AH14=" "," ",IFERROR(VLOOKUP(AG14,Points!$A$2:$B$14,2,FALSE)," ")))</f>
        <v xml:space="preserve"> </v>
      </c>
      <c r="AJ14" s="93">
        <f>IF(Table62202732333738392343[[#This Row],[Non-Member]]="X"," ",((IF(G14=" ",0,G14))+(IF(K14=" ",0,K14))+(IF(O14=" ",0,O14))+(IF(S14=" ",0,S14))+(IF(W14=" ",0,W14))+(IF(AA14=" ",0,AA14))+(IF(AE14=" ",0,AE14))+(IF(AI14=" ",0,AI14))))</f>
        <v>4</v>
      </c>
      <c r="AK14" s="95">
        <f t="shared" si="17"/>
        <v>4</v>
      </c>
      <c r="AL14" s="96">
        <f t="shared" si="18"/>
        <v>10</v>
      </c>
    </row>
    <row r="15" spans="2:38" x14ac:dyDescent="0.25">
      <c r="B15" s="90" t="s">
        <v>206</v>
      </c>
      <c r="C15" s="91"/>
      <c r="D15" s="92">
        <v>31.59</v>
      </c>
      <c r="E15" s="93">
        <f t="shared" si="0"/>
        <v>11</v>
      </c>
      <c r="F15" s="93" t="str">
        <f t="shared" si="1"/>
        <v xml:space="preserve"> </v>
      </c>
      <c r="G15" s="94" t="str">
        <f>IF(Table62202732333738392343[[#This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IF(Table62202732333738392343[[#This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IF(Table62202732333738392343[[#This Row],[Non-Member]]="X"," ",IF(N15=" "," ",IFERROR(VLOOKUP(M15,Points!$A$2:$B$14,2,FALSE)," ")))</f>
        <v xml:space="preserve"> </v>
      </c>
      <c r="P15" s="92">
        <v>17.75</v>
      </c>
      <c r="Q15" s="93">
        <f t="shared" si="6"/>
        <v>7</v>
      </c>
      <c r="R15" s="93">
        <f t="shared" si="7"/>
        <v>6</v>
      </c>
      <c r="S15" s="94">
        <f>IF(Table62202732333738392343[[#This Row],[Non-Member]]="X"," ",IF(R15=" "," ",IFERROR(VLOOKUP(Q15,Points!$A$2:$B$14,2,FALSE)," ")))</f>
        <v>1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IF(Table62202732333738392343[[#This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IF(Table62202732333738392343[[#This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IF(Table62202732333738392343[[#This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IF(Table62202732333738392343[[#This Row],[Non-Member]]="X"," ",IF(AH15=" "," ",IFERROR(VLOOKUP(AG15,Points!$A$2:$B$14,2,FALSE)," ")))</f>
        <v xml:space="preserve"> </v>
      </c>
      <c r="AJ15" s="93">
        <f>IF(Table62202732333738392343[[#This Row],[Non-Member]]="X"," ",((IF(G15=" ",0,G15))+(IF(K15=" ",0,K15))+(IF(O15=" ",0,O15))+(IF(S15=" ",0,S15))+(IF(W15=" ",0,W15))+(IF(AA15=" ",0,AA15))+(IF(AE15=" ",0,AE15))+(IF(AI15=" ",0,AI15))))</f>
        <v>1</v>
      </c>
      <c r="AK15" s="95">
        <f t="shared" si="17"/>
        <v>1</v>
      </c>
      <c r="AL15" s="96">
        <f t="shared" si="18"/>
        <v>11</v>
      </c>
    </row>
    <row r="16" spans="2:38" x14ac:dyDescent="0.25">
      <c r="B16" s="90" t="s">
        <v>273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IF(Table62202732333738392343[[#This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IF(Table62202732333738392343[[#This Row],[Non-Member]]="X"," ",IF(J16=" "," ",IFERROR(VLOOKUP(I16,Points!$A$2:$B$14,2,FALSE)," ")))</f>
        <v xml:space="preserve"> </v>
      </c>
      <c r="L16" s="92">
        <v>18.91</v>
      </c>
      <c r="M16" s="93">
        <f t="shared" si="4"/>
        <v>8</v>
      </c>
      <c r="N16" s="93" t="str">
        <f t="shared" si="5"/>
        <v xml:space="preserve"> </v>
      </c>
      <c r="O16" s="94" t="str">
        <f>IF(Table62202732333738392343[[#This Row],[Non-Member]]="X"," ",IF(N16=" "," ",IFERROR(VLOOKUP(M16,Points!$A$2:$B$14,2,FALSE)," ")))</f>
        <v xml:space="preserve"> </v>
      </c>
      <c r="P16" s="92">
        <v>17.75</v>
      </c>
      <c r="Q16" s="93">
        <f t="shared" si="6"/>
        <v>7</v>
      </c>
      <c r="R16" s="93">
        <f t="shared" si="7"/>
        <v>6</v>
      </c>
      <c r="S16" s="94">
        <f>IF(Table62202732333738392343[[#This Row],[Non-Member]]="X"," ",IF(R16=" "," ",IFERROR(VLOOKUP(Q16,Points!$A$2:$B$14,2,FALSE)," ")))</f>
        <v>1</v>
      </c>
      <c r="T16" s="92">
        <v>17.14</v>
      </c>
      <c r="U16" s="93">
        <f t="shared" si="8"/>
        <v>9</v>
      </c>
      <c r="V16" s="93" t="str">
        <f t="shared" si="9"/>
        <v xml:space="preserve"> </v>
      </c>
      <c r="W16" s="94" t="str">
        <f>IF(Table62202732333738392343[[#This Row],[Non-Member]]="X"," ",IF(V16=" "," ",IFERROR(VLOOKUP(U16,Points!$A$2:$B$14,2,FALSE)," ")))</f>
        <v xml:space="preserve"> </v>
      </c>
      <c r="X16" s="92">
        <v>14.47</v>
      </c>
      <c r="Y16" s="93">
        <f t="shared" si="10"/>
        <v>7</v>
      </c>
      <c r="Z16" s="93" t="str">
        <f t="shared" si="11"/>
        <v xml:space="preserve"> </v>
      </c>
      <c r="AA16" s="94" t="str">
        <f>IF(Table62202732333738392343[[#This Row],[Non-Member]]="X"," ",IF(Z16=" "," ",IFERROR(VLOOKUP(Y16,Points!$A$2:$B$14,2,FALSE)," ")))</f>
        <v xml:space="preserve"> </v>
      </c>
      <c r="AB16" s="92">
        <v>23.06</v>
      </c>
      <c r="AC16" s="93">
        <f t="shared" si="12"/>
        <v>10</v>
      </c>
      <c r="AD16" s="93" t="str">
        <f t="shared" si="13"/>
        <v xml:space="preserve"> </v>
      </c>
      <c r="AE16" s="94" t="str">
        <f>IF(Table62202732333738392343[[#This Row],[Non-Member]]="X"," ",IF(AD16=" "," ",IFERROR(VLOOKUP(AC16,Points!$A$2:$B$14,2,FALSE)," ")))</f>
        <v xml:space="preserve"> </v>
      </c>
      <c r="AF16" s="92">
        <f t="shared" si="14"/>
        <v>37.53</v>
      </c>
      <c r="AG16" s="93">
        <f t="shared" si="15"/>
        <v>8</v>
      </c>
      <c r="AH16" s="93" t="str">
        <f t="shared" si="16"/>
        <v xml:space="preserve"> </v>
      </c>
      <c r="AI16" s="94" t="str">
        <f>IF(Table62202732333738392343[[#This Row],[Non-Member]]="X"," ",IF(AH16=" "," ",IFERROR(VLOOKUP(AG16,Points!$A$2:$B$14,2,FALSE)," ")))</f>
        <v xml:space="preserve"> </v>
      </c>
      <c r="AJ16" s="93">
        <f>IF(Table62202732333738392343[[#This Row],[Non-Member]]="X"," ",((IF(G16=" ",0,G16))+(IF(K16=" ",0,K16))+(IF(O16=" ",0,O16))+(IF(S16=" ",0,S16))+(IF(W16=" ",0,W16))+(IF(AA16=" ",0,AA16))+(IF(AE16=" ",0,AE16))+(IF(AI16=" ",0,AI16))))</f>
        <v>1</v>
      </c>
      <c r="AK16" s="95">
        <f t="shared" si="17"/>
        <v>1</v>
      </c>
      <c r="AL16" s="96">
        <f t="shared" si="18"/>
        <v>11</v>
      </c>
    </row>
    <row r="17" spans="2:38" x14ac:dyDescent="0.25">
      <c r="B17" s="90" t="s">
        <v>203</v>
      </c>
      <c r="C17" s="91"/>
      <c r="D17" s="92">
        <v>23.73</v>
      </c>
      <c r="E17" s="93">
        <f t="shared" si="0"/>
        <v>10</v>
      </c>
      <c r="F17" s="93" t="str">
        <f t="shared" si="1"/>
        <v xml:space="preserve"> </v>
      </c>
      <c r="G17" s="94" t="str">
        <f>IF(Table62202732333738392343[[#This Row],[Non-Member]]="X"," ",IF(F17=" "," ",IFERROR(VLOOKUP(E17,Points!$A$2:$B$14,2,FALSE)," ")))</f>
        <v xml:space="preserve"> </v>
      </c>
      <c r="H17" s="92">
        <v>16.97</v>
      </c>
      <c r="I17" s="93">
        <f t="shared" si="2"/>
        <v>12</v>
      </c>
      <c r="J17" s="93" t="str">
        <f t="shared" si="3"/>
        <v xml:space="preserve"> </v>
      </c>
      <c r="K17" s="94" t="str">
        <f>IF(Table62202732333738392343[[#This Row],[Non-Member]]="X"," ",IF(J17=" "," ",IFERROR(VLOOKUP(I17,Points!$A$2:$B$14,2,FALSE)," ")))</f>
        <v xml:space="preserve"> </v>
      </c>
      <c r="L17" s="92">
        <v>22.8</v>
      </c>
      <c r="M17" s="93">
        <f t="shared" si="4"/>
        <v>9</v>
      </c>
      <c r="N17" s="93" t="str">
        <f t="shared" si="5"/>
        <v xml:space="preserve"> </v>
      </c>
      <c r="O17" s="94" t="str">
        <f>IF(Table62202732333738392343[[#This Row],[Non-Member]]="X"," ",IF(N17=" "," ",IFERROR(VLOOKUP(M17,Points!$A$2:$B$14,2,FALSE)," ")))</f>
        <v xml:space="preserve"> </v>
      </c>
      <c r="P17" s="92">
        <v>21.36</v>
      </c>
      <c r="Q17" s="93">
        <f t="shared" si="6"/>
        <v>9</v>
      </c>
      <c r="R17" s="93" t="str">
        <f t="shared" si="7"/>
        <v xml:space="preserve"> </v>
      </c>
      <c r="S17" s="94" t="str">
        <f>IF(Table62202732333738392343[[#This Row],[Non-Member]]="X"," ",IF(R17=" "," ",IFERROR(VLOOKUP(Q17,Points!$A$2:$B$14,2,FALSE)," ")))</f>
        <v xml:space="preserve"> </v>
      </c>
      <c r="T17" s="92">
        <v>14.91</v>
      </c>
      <c r="U17" s="93">
        <f t="shared" si="8"/>
        <v>8</v>
      </c>
      <c r="V17" s="93" t="str">
        <f t="shared" si="9"/>
        <v xml:space="preserve"> </v>
      </c>
      <c r="W17" s="94" t="str">
        <f>IF(Table62202732333738392343[[#This Row],[Non-Member]]="X"," ",IF(V17=" "," ",IFERROR(VLOOKUP(U17,Points!$A$2:$B$14,2,FALSE)," ")))</f>
        <v xml:space="preserve"> </v>
      </c>
      <c r="X17" s="92">
        <v>17.43</v>
      </c>
      <c r="Y17" s="93">
        <f t="shared" si="10"/>
        <v>8</v>
      </c>
      <c r="Z17" s="93" t="str">
        <f t="shared" si="11"/>
        <v xml:space="preserve"> </v>
      </c>
      <c r="AA17" s="94" t="str">
        <f>IF(Table62202732333738392343[[#This Row],[Non-Member]]="X"," ",IF(Z17=" "," ",IFERROR(VLOOKUP(Y17,Points!$A$2:$B$14,2,FALSE)," ")))</f>
        <v xml:space="preserve"> </v>
      </c>
      <c r="AB17" s="92">
        <v>15.78</v>
      </c>
      <c r="AC17" s="93">
        <f t="shared" si="12"/>
        <v>8</v>
      </c>
      <c r="AD17" s="93" t="str">
        <f t="shared" si="13"/>
        <v xml:space="preserve"> </v>
      </c>
      <c r="AE17" s="94" t="str">
        <f>IF(Table62202732333738392343[[#This Row],[Non-Member]]="X"," ",IF(AD17=" "," ",IFERROR(VLOOKUP(AC17,Points!$A$2:$B$14,2,FALSE)," ")))</f>
        <v xml:space="preserve"> </v>
      </c>
      <c r="AF17" s="92">
        <f t="shared" si="14"/>
        <v>33.21</v>
      </c>
      <c r="AG17" s="93">
        <f t="shared" si="15"/>
        <v>7</v>
      </c>
      <c r="AH17" s="93" t="str">
        <f t="shared" si="16"/>
        <v xml:space="preserve"> </v>
      </c>
      <c r="AI17" s="94" t="str">
        <f>IF(Table62202732333738392343[[#This Row],[Non-Member]]="X"," ",IF(AH17=" "," ",IFERROR(VLOOKUP(AG17,Points!$A$2:$B$14,2,FALSE)," ")))</f>
        <v xml:space="preserve"> </v>
      </c>
      <c r="AJ17" s="93">
        <f>IF(Table62202732333738392343[[#This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25">
      <c r="B18" s="90" t="s">
        <v>250</v>
      </c>
      <c r="C18" s="91" t="s">
        <v>95</v>
      </c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IF(Table62202732333738392343[[#This Row],[Non-Member]]="X"," ",IF(F18=" "," ",IFERROR(VLOOKUP(E18,Points!$A$2:$B$14,2,FALSE)," ")))</f>
        <v xml:space="preserve"> </v>
      </c>
      <c r="H18" s="92">
        <v>15.65</v>
      </c>
      <c r="I18" s="97">
        <f t="shared" si="2"/>
        <v>10</v>
      </c>
      <c r="J18" s="97" t="str">
        <f t="shared" si="3"/>
        <v xml:space="preserve"> </v>
      </c>
      <c r="K18" s="94" t="str">
        <f>IF(Table62202732333738392343[[#This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IF(Table62202732333738392343[[#This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IF(Table62202732333738392343[[#This Row],[Non-Member]]="X"," ",IF(R18=" "," ",IFERROR(VLOOKUP(Q18,Points!$A$2:$B$14,2,FALSE)," ")))</f>
        <v xml:space="preserve"> </v>
      </c>
      <c r="T18" s="92">
        <v>14.22</v>
      </c>
      <c r="U18" s="97">
        <f t="shared" si="8"/>
        <v>7</v>
      </c>
      <c r="V18" s="97" t="str">
        <f t="shared" si="9"/>
        <v xml:space="preserve"> </v>
      </c>
      <c r="W18" s="94" t="str">
        <f>IF(Table62202732333738392343[[#This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IF(Table62202732333738392343[[#This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IF(Table62202732333738392343[[#This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IF(Table62202732333738392343[[#This Row],[Non-Member]]="X"," ",IF(AH18=" "," ",IFERROR(VLOOKUP(AG18,Points!$A$2:$B$14,2,FALSE)," ")))</f>
        <v xml:space="preserve"> </v>
      </c>
      <c r="AJ18" s="97" t="str">
        <f>IF(Table62202732333738392343[[#This Row],[Non-Member]]="X"," ",((IF(G18=" ",0,G18))+(IF(K18=" ",0,K18))+(IF(O18=" ",0,O18))+(IF(S18=" ",0,S18))+(IF(W18=" ",0,W18))+(IF(AA18=" ",0,AA18))+(IF(AE18=" ",0,AE18))+(IF(AI18=" ",0,AI18))))</f>
        <v xml:space="preserve"> 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 t="s">
        <v>249</v>
      </c>
      <c r="C19" s="91" t="s">
        <v>95</v>
      </c>
      <c r="D19" s="92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IF(Table62202732333738392343[[#This Row],[Non-Member]]="X"," ",IF(F19=" "," ",IFERROR(VLOOKUP(E19,Points!$A$2:$B$14,2,FALSE)," ")))</f>
        <v xml:space="preserve"> </v>
      </c>
      <c r="H19" s="92">
        <v>10.029999999999999</v>
      </c>
      <c r="I19" s="97">
        <f t="shared" si="2"/>
        <v>2</v>
      </c>
      <c r="J19" s="97">
        <f t="shared" si="3"/>
        <v>2</v>
      </c>
      <c r="K19" s="94" t="str">
        <f>IF(Table62202732333738392343[[#This Row],[Non-Member]]="X"," ",IF(J19=" "," ",IFERROR(VLOOKUP(I19,Points!$A$2:$B$14,2,FALSE)," ")))</f>
        <v xml:space="preserve"> </v>
      </c>
      <c r="L19" s="92"/>
      <c r="M19" s="97" t="str">
        <f t="shared" si="4"/>
        <v xml:space="preserve"> </v>
      </c>
      <c r="N19" s="97" t="str">
        <f t="shared" si="5"/>
        <v xml:space="preserve"> </v>
      </c>
      <c r="O19" s="94" t="str">
        <f>IF(Table62202732333738392343[[#This Row],[Non-Member]]="X"," ",IF(N19=" "," ",IFERROR(VLOOKUP(M19,Points!$A$2:$B$14,2,FALSE)," ")))</f>
        <v xml:space="preserve"> </v>
      </c>
      <c r="P19" s="92"/>
      <c r="Q19" s="97" t="str">
        <f t="shared" si="6"/>
        <v xml:space="preserve"> </v>
      </c>
      <c r="R19" s="97" t="str">
        <f t="shared" si="7"/>
        <v xml:space="preserve"> </v>
      </c>
      <c r="S19" s="94" t="str">
        <f>IF(Table62202732333738392343[[#This Row],[Non-Member]]="X"," ",IF(R19=" "," ",IFERROR(VLOOKUP(Q19,Points!$A$2:$B$14,2,FALSE)," ")))</f>
        <v xml:space="preserve"> </v>
      </c>
      <c r="T19" s="92">
        <v>11.09</v>
      </c>
      <c r="U19" s="97">
        <f t="shared" si="8"/>
        <v>4</v>
      </c>
      <c r="V19" s="97">
        <f t="shared" si="9"/>
        <v>4</v>
      </c>
      <c r="W19" s="94" t="str">
        <f>IF(Table62202732333738392343[[#This Row],[Non-Member]]="X"," ",IF(V19=" "," ",IFERROR(VLOOKUP(U19,Points!$A$2:$B$14,2,FALSE)," ")))</f>
        <v xml:space="preserve"> </v>
      </c>
      <c r="X19" s="92"/>
      <c r="Y19" s="97" t="str">
        <f t="shared" si="10"/>
        <v xml:space="preserve"> </v>
      </c>
      <c r="Z19" s="97" t="str">
        <f t="shared" si="11"/>
        <v xml:space="preserve"> </v>
      </c>
      <c r="AA19" s="94" t="str">
        <f>IF(Table62202732333738392343[[#This Row],[Non-Member]]="X"," ",IF(Z19=" "," ",IFERROR(VLOOKUP(Y19,Points!$A$2:$B$14,2,FALSE)," ")))</f>
        <v xml:space="preserve"> </v>
      </c>
      <c r="AB19" s="92"/>
      <c r="AC19" s="97" t="str">
        <f t="shared" si="12"/>
        <v xml:space="preserve"> </v>
      </c>
      <c r="AD19" s="97" t="str">
        <f t="shared" si="13"/>
        <v xml:space="preserve"> </v>
      </c>
      <c r="AE19" s="94" t="str">
        <f>IF(Table62202732333738392343[[#This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7" t="str">
        <f t="shared" si="15"/>
        <v xml:space="preserve"> </v>
      </c>
      <c r="AH19" s="97" t="str">
        <f t="shared" si="16"/>
        <v xml:space="preserve"> </v>
      </c>
      <c r="AI19" s="94" t="str">
        <f>IF(Table62202732333738392343[[#This Row],[Non-Member]]="X"," ",IF(AH19=" "," ",IFERROR(VLOOKUP(AG19,Points!$A$2:$B$14,2,FALSE)," ")))</f>
        <v xml:space="preserve"> </v>
      </c>
      <c r="AJ19" s="97" t="str">
        <f>IF(Table62202732333738392343[[#This Row],[Non-Member]]="X"," ",((IF(G19=" ",0,G19))+(IF(K19=" ",0,K19))+(IF(O19=" ",0,O19))+(IF(S19=" ",0,S19))+(IF(W19=" ",0,W19))+(IF(AA19=" ",0,AA19))+(IF(AE19=" ",0,AE19))+(IF(AI19=" ",0,AI19))))</f>
        <v xml:space="preserve"> </v>
      </c>
      <c r="AK19" s="95" t="str">
        <f t="shared" si="17"/>
        <v xml:space="preserve"> </v>
      </c>
      <c r="AL19" s="98" t="str">
        <f t="shared" si="18"/>
        <v xml:space="preserve"> </v>
      </c>
    </row>
    <row r="20" spans="2:38" x14ac:dyDescent="0.25">
      <c r="B20" s="90" t="s">
        <v>199</v>
      </c>
      <c r="C20" s="91"/>
      <c r="D20" s="92">
        <v>0</v>
      </c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IF(Table62202732333738392343[[#This Row],[Non-Member]]="X"," ",IF(F20=" "," ",IFERROR(VLOOKUP(E20,Points!$A$2:$B$14,2,FALSE)," ")))</f>
        <v xml:space="preserve"> </v>
      </c>
      <c r="H20" s="92">
        <v>16</v>
      </c>
      <c r="I20" s="93">
        <f t="shared" si="2"/>
        <v>11</v>
      </c>
      <c r="J20" s="93" t="str">
        <f t="shared" si="3"/>
        <v xml:space="preserve"> </v>
      </c>
      <c r="K20" s="94" t="str">
        <f>IF(Table62202732333738392343[[#This Row],[Non-Member]]="X"," ",IF(J20=" "," ",IFERROR(VLOOKUP(I20,Points!$A$2:$B$14,2,FALSE)," ")))</f>
        <v xml:space="preserve"> </v>
      </c>
      <c r="L20" s="92">
        <v>23.88</v>
      </c>
      <c r="M20" s="93">
        <f t="shared" si="4"/>
        <v>10</v>
      </c>
      <c r="N20" s="93" t="str">
        <f t="shared" si="5"/>
        <v xml:space="preserve"> </v>
      </c>
      <c r="O20" s="94" t="str">
        <f>IF(Table62202732333738392343[[#This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IF(Table62202732333738392343[[#This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IF(Table62202732333738392343[[#This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IF(Table62202732333738392343[[#This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IF(Table62202732333738392343[[#This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IF(Table62202732333738392343[[#This Row],[Non-Member]]="X"," ",IF(AH20=" "," ",IFERROR(VLOOKUP(AG20,Points!$A$2:$B$14,2,FALSE)," ")))</f>
        <v xml:space="preserve"> </v>
      </c>
      <c r="AJ20" s="93">
        <f>IF(Table62202732333738392343[[#This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IF(Table62202732333738392343[[#This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IF(Table62202732333738392343[[#This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IF(Table62202732333738392343[[#This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IF(Table62202732333738392343[[#This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IF(Table62202732333738392343[[#This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IF(Table62202732333738392343[[#This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IF(Table62202732333738392343[[#This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IF(Table62202732333738392343[[#This Row],[Non-Member]]="X"," ",IF(AH21=" "," ",IFERROR(VLOOKUP(AG21,Points!$A$2:$B$14,2,FALSE)," ")))</f>
        <v xml:space="preserve"> </v>
      </c>
      <c r="AJ21" s="93">
        <f>IF(Table62202732333738392343[[#This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IF(Table62202732333738392343[[#This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IF(Table62202732333738392343[[#This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IF(Table62202732333738392343[[#This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IF(Table62202732333738392343[[#This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IF(Table62202732333738392343[[#This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IF(Table62202732333738392343[[#This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IF(Table62202732333738392343[[#This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IF(Table62202732333738392343[[#This Row],[Non-Member]]="X"," ",IF(AH22=" "," ",IFERROR(VLOOKUP(AG22,Points!$A$2:$B$14,2,FALSE)," ")))</f>
        <v xml:space="preserve"> </v>
      </c>
      <c r="AJ22" s="93">
        <f>IF(Table62202732333738392343[[#This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IF(Table62202732333738392343[[#This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IF(Table62202732333738392343[[#This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IF(Table62202732333738392343[[#This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IF(Table62202732333738392343[[#This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IF(Table62202732333738392343[[#This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IF(Table62202732333738392343[[#This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IF(Table62202732333738392343[[#This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IF(Table62202732333738392343[[#This Row],[Non-Member]]="X"," ",IF(AH23=" "," ",IFERROR(VLOOKUP(AG23,Points!$A$2:$B$14,2,FALSE)," ")))</f>
        <v xml:space="preserve"> </v>
      </c>
      <c r="AJ23" s="93">
        <f>IF(Table62202732333738392343[[#This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IF(Table62202732333738392343[[#This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IF(Table62202732333738392343[[#This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IF(Table62202732333738392343[[#This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IF(Table62202732333738392343[[#This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IF(Table62202732333738392343[[#This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IF(Table62202732333738392343[[#This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IF(Table62202732333738392343[[#This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IF(Table62202732333738392343[[#This Row],[Non-Member]]="X"," ",IF(AH24=" "," ",IFERROR(VLOOKUP(AG24,Points!$A$2:$B$14,2,FALSE)," ")))</f>
        <v xml:space="preserve"> </v>
      </c>
      <c r="AJ24" s="93">
        <f>IF(Table62202732333738392343[[#This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TWLlFv3vw9bdTPT6nKLJAftc0Fst2XGZuPdoSwaxj5Tpk3T9pZYJhT+sKabUsULbIViZj2g4foJpTboB7YFNSA==" saltValue="3zqMQYZEIzDBy2HQMUZ4U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613E-F469-47A3-99AC-D097D5EBFF49}">
  <sheetPr codeName="Sheet76">
    <tabColor theme="8" tint="0.79998168889431442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117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75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163</v>
      </c>
      <c r="C5" s="84"/>
      <c r="D5" s="85">
        <v>0</v>
      </c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IF(Table6220273233373839232444[[#This Row],[Non-Member]]="X"," ",IF(F5=" "," ",IFERROR(VLOOKUP(E5,Points!$A$2:$B$14,2,FALSE)," ")))</f>
        <v xml:space="preserve"> </v>
      </c>
      <c r="H5" s="85">
        <v>0</v>
      </c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IF(Table6220273233373839232444[[#This Row],[Non-Member]]="X"," ",IF(J5=" "," ",IFERROR(VLOOKUP(I5,Points!$A$2:$B$14,2,FALSE)," ")))</f>
        <v xml:space="preserve"> </v>
      </c>
      <c r="L5" s="85">
        <v>6</v>
      </c>
      <c r="M5" s="86">
        <f t="shared" ref="M5:M24" si="4">IF(L5=0," ",_xlfn.RANK.AVG(L5,L$5:L$24,1)-COUNTIF(L$5:L$24,0))</f>
        <v>3</v>
      </c>
      <c r="N5" s="86">
        <f t="shared" ref="N5:N24" si="5">IF(L5=0," ",IF((RANK(L5,L$5:L$24,1)-COUNTIF(L$5:L$24,0)&gt;6)," ",RANK(L5,L$5:L$24,1)-COUNTIF(L$5:L$24,0)))</f>
        <v>3</v>
      </c>
      <c r="O5" s="87">
        <f>IF(Table6220273233373839232444[[#This Row],[Non-Member]]="X"," ",IF(N5=" "," ",IFERROR(VLOOKUP(M5,Points!$A$2:$B$14,2,FALSE)," ")))</f>
        <v>12</v>
      </c>
      <c r="P5" s="85">
        <v>9.4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IF(Table6220273233373839232444[[#This Row],[Non-Member]]="X"," ",IF(R5=" "," ",IFERROR(VLOOKUP(Q5,Points!$A$2:$B$14,2,FALSE)," ")))</f>
        <v>12</v>
      </c>
      <c r="T5" s="85">
        <v>8.1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IF(Table6220273233373839232444[[#This Row],[Non-Member]]="X"," ",IF(V5=" "," ",IFERROR(VLOOKUP(U5,Points!$A$2:$B$14,2,FALSE)," ")))</f>
        <v>18</v>
      </c>
      <c r="X5" s="85">
        <v>5.16</v>
      </c>
      <c r="Y5" s="86">
        <f t="shared" ref="Y5:Y24" si="10">IF(X5=0," ",_xlfn.RANK.AVG(X5,X$5:X$24,1)-COUNTIF(X$5:X$24,0))</f>
        <v>2</v>
      </c>
      <c r="Z5" s="86">
        <f t="shared" ref="Z5:Z24" si="11">IF(X5=0," ",IF((RANK(X5,X$5:X$24,1)-COUNTIF(X$5:X$24,0)&gt;6)," ",RANK(X5,X$5:X$24,1)-COUNTIF(X$5:X$24,0)))</f>
        <v>2</v>
      </c>
      <c r="AA5" s="87">
        <f>IF(Table6220273233373839232444[[#This Row],[Non-Member]]="X"," ",IF(Z5=" "," ",IFERROR(VLOOKUP(Y5,Points!$A$2:$B$14,2,FALSE)," ")))</f>
        <v>15</v>
      </c>
      <c r="AB5" s="85">
        <v>6.62</v>
      </c>
      <c r="AC5" s="86">
        <f t="shared" ref="AC5:AC24" si="12">IF(AB5=0," ",_xlfn.RANK.AVG(AB5,AB$5:AB$24,1)-COUNTIF(AB$5:AB$24,0))</f>
        <v>2</v>
      </c>
      <c r="AD5" s="86">
        <f t="shared" ref="AD5:AD24" si="13">IF(AB5=0," ",IF((RANK(AB5,AB$5:AB$24,1)-COUNTIF(AB$5:AB$24,0)&gt;6)," ",RANK(AB5,AB$5:AB$24,1)-COUNTIF(AB$5:AB$24,0)))</f>
        <v>2</v>
      </c>
      <c r="AE5" s="87">
        <f>IF(Table6220273233373839232444[[#This Row],[Non-Member]]="X"," ",IF(AD5=" "," ",IFERROR(VLOOKUP(AC5,Points!$A$2:$B$14,2,FALSE)," ")))</f>
        <v>15</v>
      </c>
      <c r="AF5" s="85">
        <f>IF(OR(X5=0,AB5=0)," ",X5+AB5)</f>
        <v>11.780000000000001</v>
      </c>
      <c r="AG5" s="86">
        <f>IF(OR(AF5=0,AF5=" ")," ",_xlfn.RANK.AVG(AF5,AF$5:AF$24,1)-COUNTIF(AF$5:AF$24,0))</f>
        <v>1</v>
      </c>
      <c r="AH5" s="86">
        <f>IF(OR(AF5=0,AF5=" ")," ",IF((RANK(AF5,AF$5:AF$24,1)-COUNTIF(AF$5:AF$24,0)&gt;6)," ",RANK(AF5,AF$5:AF$24,1)-COUNTIF(AF$5:AF$24,0)))</f>
        <v>1</v>
      </c>
      <c r="AI5" s="87">
        <f>IF(Table6220273233373839232444[[#This Row],[Non-Member]]="X"," ",IF(AH5=" "," ",IFERROR(VLOOKUP(AG5,Points!$A$2:$B$14,2,FALSE)," ")))</f>
        <v>18</v>
      </c>
      <c r="AJ5" s="86">
        <f>IF(Table6220273233373839232444[[#This Row],[Non-Member]]="X"," ",((IF(G5=" ",0,G5))+(IF(K5=" ",0,K5))+(IF(O5=" ",0,O5))+(IF(S5=" ",0,S5))+(IF(W5=" ",0,W5))+(IF(AA5=" ",0,AA5))+(IF(AE5=" ",0,AE5))+(IF(AI5=" ",0,AI5))))</f>
        <v>90</v>
      </c>
      <c r="AK5" s="88">
        <f t="shared" ref="AK5:AK24" si="14">IF(AJ5=0," ",AJ5)</f>
        <v>90</v>
      </c>
      <c r="AL5" s="89">
        <f t="shared" ref="AL5:AL24" si="15">IF(AK5=" "," ",RANK(AK5,$AK$5:$AK$24))</f>
        <v>1</v>
      </c>
    </row>
    <row r="6" spans="2:38" x14ac:dyDescent="0.25">
      <c r="B6" s="90" t="s">
        <v>160</v>
      </c>
      <c r="C6" s="91"/>
      <c r="D6" s="92">
        <v>4.17</v>
      </c>
      <c r="E6" s="93">
        <f t="shared" si="0"/>
        <v>1</v>
      </c>
      <c r="F6" s="93">
        <f t="shared" si="1"/>
        <v>1</v>
      </c>
      <c r="G6" s="94">
        <f>IF(Table6220273233373839232444[[#This Row],[Non-Member]]="X"," ",IF(F6=" "," ",IFERROR(VLOOKUP(E6,Points!$A$2:$B$14,2,FALSE)," ")))</f>
        <v>18</v>
      </c>
      <c r="H6" s="92">
        <v>12.63</v>
      </c>
      <c r="I6" s="93">
        <f t="shared" si="2"/>
        <v>3</v>
      </c>
      <c r="J6" s="93">
        <f t="shared" si="3"/>
        <v>3</v>
      </c>
      <c r="K6" s="94">
        <f>IF(Table6220273233373839232444[[#This Row],[Non-Member]]="X"," ",IF(J6=" "," ",IFERROR(VLOOKUP(I6,Points!$A$2:$B$14,2,FALSE)," ")))</f>
        <v>12</v>
      </c>
      <c r="L6" s="92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IF(Table6220273233373839232444[[#This Row],[Non-Member]]="X"," ",IF(N6=" "," ",IFERROR(VLOOKUP(M6,Points!$A$2:$B$14,2,FALSE)," ")))</f>
        <v xml:space="preserve"> </v>
      </c>
      <c r="P6" s="92">
        <v>3.35</v>
      </c>
      <c r="Q6" s="93">
        <f t="shared" si="6"/>
        <v>1</v>
      </c>
      <c r="R6" s="93">
        <f t="shared" si="7"/>
        <v>1</v>
      </c>
      <c r="S6" s="94">
        <f>IF(Table6220273233373839232444[[#This Row],[Non-Member]]="X"," ",IF(R6=" "," ",IFERROR(VLOOKUP(Q6,Points!$A$2:$B$14,2,FALSE)," ")))</f>
        <v>18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IF(Table6220273233373839232444[[#This Row],[Non-Member]]="X"," ",IF(V6=" "," ",IFERROR(VLOOKUP(U6,Points!$A$2:$B$14,2,FALSE)," ")))</f>
        <v xml:space="preserve"> </v>
      </c>
      <c r="X6" s="92">
        <v>5.4</v>
      </c>
      <c r="Y6" s="93">
        <f t="shared" si="10"/>
        <v>4</v>
      </c>
      <c r="Z6" s="93">
        <f t="shared" si="11"/>
        <v>4</v>
      </c>
      <c r="AA6" s="94">
        <f>IF(Table6220273233373839232444[[#This Row],[Non-Member]]="X"," ",IF(Z6=" "," ",IFERROR(VLOOKUP(Y6,Points!$A$2:$B$14,2,FALSE)," ")))</f>
        <v>9</v>
      </c>
      <c r="AB6" s="92">
        <v>0</v>
      </c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IF(Table6220273233373839232444[[#This Row],[Non-Member]]="X"," ",IF(AD6=" "," ",IFERROR(VLOOKUP(AC6,Points!$A$2:$B$14,2,FALSE)," ")))</f>
        <v xml:space="preserve"> </v>
      </c>
      <c r="AF6" s="163" t="s">
        <v>305</v>
      </c>
      <c r="AG6" s="93">
        <v>5</v>
      </c>
      <c r="AH6" s="93">
        <v>5</v>
      </c>
      <c r="AI6" s="94">
        <f>IF(Table6220273233373839232444[[#This Row],[Non-Member]]="X"," ",IF(AH6=" "," ",IFERROR(VLOOKUP(AG6,Points!$A$2:$B$14,2,FALSE)," ")))</f>
        <v>6</v>
      </c>
      <c r="AJ6" s="93">
        <f>IF(Table6220273233373839232444[[#This Row],[Non-Member]]="X"," ",((IF(G6=" ",0,G6))+(IF(K6=" ",0,K6))+(IF(O6=" ",0,O6))+(IF(S6=" ",0,S6))+(IF(W6=" ",0,W6))+(IF(AA6=" ",0,AA6))+(IF(AE6=" ",0,AE6))+(IF(AI6=" ",0,AI6))))</f>
        <v>63</v>
      </c>
      <c r="AK6" s="95">
        <f t="shared" si="14"/>
        <v>63</v>
      </c>
      <c r="AL6" s="96">
        <f t="shared" si="15"/>
        <v>2</v>
      </c>
    </row>
    <row r="7" spans="2:38" x14ac:dyDescent="0.25">
      <c r="B7" s="90" t="s">
        <v>162</v>
      </c>
      <c r="C7" s="91"/>
      <c r="D7" s="92">
        <v>4.96</v>
      </c>
      <c r="E7" s="93">
        <f t="shared" si="0"/>
        <v>2.5</v>
      </c>
      <c r="F7" s="93">
        <f t="shared" si="1"/>
        <v>2</v>
      </c>
      <c r="G7" s="94">
        <f>IF(Table6220273233373839232444[[#This Row],[Non-Member]]="X"," ",IF(F7=" "," ",IFERROR(VLOOKUP(E7,Points!$A$2:$B$14,2,FALSE)," ")))</f>
        <v>13.5</v>
      </c>
      <c r="H7" s="92">
        <v>5.96</v>
      </c>
      <c r="I7" s="93">
        <f t="shared" si="2"/>
        <v>2</v>
      </c>
      <c r="J7" s="93">
        <f t="shared" si="3"/>
        <v>2</v>
      </c>
      <c r="K7" s="94">
        <f>IF(Table6220273233373839232444[[#This Row],[Non-Member]]="X"," ",IF(J7=" "," ",IFERROR(VLOOKUP(I7,Points!$A$2:$B$14,2,FALSE)," ")))</f>
        <v>15</v>
      </c>
      <c r="L7" s="92">
        <v>6.9</v>
      </c>
      <c r="M7" s="93">
        <f t="shared" si="4"/>
        <v>4</v>
      </c>
      <c r="N7" s="93">
        <f t="shared" si="5"/>
        <v>4</v>
      </c>
      <c r="O7" s="94">
        <f>IF(Table6220273233373839232444[[#This Row],[Non-Member]]="X"," ",IF(N7=" "," ",IFERROR(VLOOKUP(M7,Points!$A$2:$B$14,2,FALSE)," ")))</f>
        <v>9</v>
      </c>
      <c r="P7" s="92">
        <v>4.05</v>
      </c>
      <c r="Q7" s="93">
        <f t="shared" si="6"/>
        <v>2</v>
      </c>
      <c r="R7" s="93">
        <f t="shared" si="7"/>
        <v>2</v>
      </c>
      <c r="S7" s="94">
        <f>IF(Table6220273233373839232444[[#This Row],[Non-Member]]="X"," ",IF(R7=" "," ",IFERROR(VLOOKUP(Q7,Points!$A$2:$B$14,2,FALSE)," ")))</f>
        <v>15</v>
      </c>
      <c r="T7" s="92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IF(Table6220273233373839232444[[#This Row],[Non-Member]]="X"," ",IF(V7=" "," ",IFERROR(VLOOKUP(U7,Points!$A$2:$B$14,2,FALSE)," ")))</f>
        <v xml:space="preserve"> </v>
      </c>
      <c r="X7" s="92">
        <v>13.4</v>
      </c>
      <c r="Y7" s="93">
        <f t="shared" si="10"/>
        <v>6</v>
      </c>
      <c r="Z7" s="93">
        <f t="shared" si="11"/>
        <v>6</v>
      </c>
      <c r="AA7" s="94">
        <f>IF(Table6220273233373839232444[[#This Row],[Non-Member]]="X"," ",IF(Z7=" "," ",IFERROR(VLOOKUP(Y7,Points!$A$2:$B$14,2,FALSE)," ")))</f>
        <v>3</v>
      </c>
      <c r="AB7" s="92">
        <v>0</v>
      </c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IF(Table6220273233373839232444[[#This Row],[Non-Member]]="X"," ",IF(AD7=" "," ",IFERROR(VLOOKUP(AC7,Points!$A$2:$B$14,2,FALSE)," ")))</f>
        <v xml:space="preserve"> </v>
      </c>
      <c r="AF7" s="163" t="s">
        <v>306</v>
      </c>
      <c r="AG7" s="93">
        <v>6</v>
      </c>
      <c r="AH7" s="93">
        <v>6</v>
      </c>
      <c r="AI7" s="94">
        <f>IF(Table6220273233373839232444[[#This Row],[Non-Member]]="X"," ",IF(AH7=" "," ",IFERROR(VLOOKUP(AG7,Points!$A$2:$B$14,2,FALSE)," ")))</f>
        <v>3</v>
      </c>
      <c r="AJ7" s="93">
        <f>IF(Table6220273233373839232444[[#This Row],[Non-Member]]="X"," ",((IF(G7=" ",0,G7))+(IF(K7=" ",0,K7))+(IF(O7=" ",0,O7))+(IF(S7=" ",0,S7))+(IF(W7=" ",0,W7))+(IF(AA7=" ",0,AA7))+(IF(AE7=" ",0,AE7))+(IF(AI7=" ",0,AI7))))</f>
        <v>58.5</v>
      </c>
      <c r="AK7" s="95">
        <f t="shared" si="14"/>
        <v>58.5</v>
      </c>
      <c r="AL7" s="96">
        <f t="shared" si="15"/>
        <v>3</v>
      </c>
    </row>
    <row r="8" spans="2:38" x14ac:dyDescent="0.25">
      <c r="B8" s="90" t="s">
        <v>158</v>
      </c>
      <c r="C8" s="91"/>
      <c r="D8" s="92">
        <v>0</v>
      </c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IF(Table6220273233373839232444[[#This Row],[Non-Member]]="X"," ",IF(F8=" "," ",IFERROR(VLOOKUP(E8,Points!$A$2:$B$14,2,FALSE)," ")))</f>
        <v xml:space="preserve"> 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IF(Table6220273233373839232444[[#This Row],[Non-Member]]="X"," ",IF(J8=" "," ",IFERROR(VLOOKUP(I8,Points!$A$2:$B$14,2,FALSE)," ")))</f>
        <v xml:space="preserve"> </v>
      </c>
      <c r="L8" s="92">
        <v>4.55</v>
      </c>
      <c r="M8" s="93">
        <f t="shared" si="4"/>
        <v>2</v>
      </c>
      <c r="N8" s="93">
        <f t="shared" si="5"/>
        <v>2</v>
      </c>
      <c r="O8" s="94">
        <f>IF(Table6220273233373839232444[[#This Row],[Non-Member]]="X"," ",IF(N8=" "," ",IFERROR(VLOOKUP(M8,Points!$A$2:$B$14,2,FALSE)," ")))</f>
        <v>15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IF(Table6220273233373839232444[[#This Row],[Non-Member]]="X"," ",IF(R8=" "," ",IFERROR(VLOOKUP(Q8,Points!$A$2:$B$14,2,FALSE)," ")))</f>
        <v xml:space="preserve"> 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IF(Table6220273233373839232444[[#This Row],[Non-Member]]="X"," ",IF(V8=" "," ",IFERROR(VLOOKUP(U8,Points!$A$2:$B$14,2,FALSE)," ")))</f>
        <v xml:space="preserve"> </v>
      </c>
      <c r="X8" s="92">
        <v>7</v>
      </c>
      <c r="Y8" s="93">
        <f t="shared" si="10"/>
        <v>5</v>
      </c>
      <c r="Z8" s="93">
        <f t="shared" si="11"/>
        <v>5</v>
      </c>
      <c r="AA8" s="94">
        <f>IF(Table6220273233373839232444[[#This Row],[Non-Member]]="X"," ",IF(Z8=" "," ",IFERROR(VLOOKUP(Y8,Points!$A$2:$B$14,2,FALSE)," ")))</f>
        <v>6</v>
      </c>
      <c r="AB8" s="92">
        <v>5.87</v>
      </c>
      <c r="AC8" s="93">
        <f t="shared" si="12"/>
        <v>1</v>
      </c>
      <c r="AD8" s="93">
        <f t="shared" si="13"/>
        <v>1</v>
      </c>
      <c r="AE8" s="94">
        <f>IF(Table6220273233373839232444[[#This Row],[Non-Member]]="X"," ",IF(AD8=" "," ",IFERROR(VLOOKUP(AC8,Points!$A$2:$B$14,2,FALSE)," ")))</f>
        <v>18</v>
      </c>
      <c r="AF8" s="92">
        <f>IF(OR(X8=0,AB8=0)," ",X8+AB8)</f>
        <v>12.870000000000001</v>
      </c>
      <c r="AG8" s="93">
        <f>IF(OR(AF8=0,AF8=" ")," ",_xlfn.RANK.AVG(AF8,AF$5:AF$24,1)-COUNTIF(AF$5:AF$24,0))</f>
        <v>2</v>
      </c>
      <c r="AH8" s="93">
        <f>IF(OR(AF8=0,AF8=" ")," ",IF((RANK(AF8,AF$5:AF$24,1)-COUNTIF(AF$5:AF$24,0)&gt;6)," ",RANK(AF8,AF$5:AF$24,1)-COUNTIF(AF$5:AF$24,0)))</f>
        <v>2</v>
      </c>
      <c r="AI8" s="94">
        <f>IF(Table6220273233373839232444[[#This Row],[Non-Member]]="X"," ",IF(AH8=" "," ",IFERROR(VLOOKUP(AG8,Points!$A$2:$B$14,2,FALSE)," ")))</f>
        <v>15</v>
      </c>
      <c r="AJ8" s="93">
        <f>IF(Table6220273233373839232444[[#This Row],[Non-Member]]="X"," ",((IF(G8=" ",0,G8))+(IF(K8=" ",0,K8))+(IF(O8=" ",0,O8))+(IF(S8=" ",0,S8))+(IF(W8=" ",0,W8))+(IF(AA8=" ",0,AA8))+(IF(AE8=" ",0,AE8))+(IF(AI8=" ",0,AI8))))</f>
        <v>54</v>
      </c>
      <c r="AK8" s="95">
        <f t="shared" si="14"/>
        <v>54</v>
      </c>
      <c r="AL8" s="96">
        <f t="shared" si="15"/>
        <v>4</v>
      </c>
    </row>
    <row r="9" spans="2:38" x14ac:dyDescent="0.25">
      <c r="B9" s="90" t="s">
        <v>156</v>
      </c>
      <c r="C9" s="91"/>
      <c r="D9" s="92">
        <v>4.96</v>
      </c>
      <c r="E9" s="93">
        <f t="shared" si="0"/>
        <v>2.5</v>
      </c>
      <c r="F9" s="93">
        <f t="shared" si="1"/>
        <v>2</v>
      </c>
      <c r="G9" s="94">
        <f>IF(Table6220273233373839232444[[#This Row],[Non-Member]]="X"," ",IF(F9=" "," ",IFERROR(VLOOKUP(E9,Points!$A$2:$B$14,2,FALSE)," ")))</f>
        <v>13.5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IF(Table6220273233373839232444[[#This Row],[Non-Member]]="X"," ",IF(J9=" "," ",IFERROR(VLOOKUP(I9,Points!$A$2:$B$14,2,FALSE)," ")))</f>
        <v xml:space="preserve"> 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IF(Table6220273233373839232444[[#This Row],[Non-Member]]="X"," ",IF(N9=" "," ",IFERROR(VLOOKUP(M9,Points!$A$2:$B$14,2,FALSE)," ")))</f>
        <v xml:space="preserve"> 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IF(Table6220273233373839232444[[#This Row],[Non-Member]]="X"," ",IF(R9=" "," ",IFERROR(VLOOKUP(Q9,Points!$A$2:$B$14,2,FALSE)," ")))</f>
        <v xml:space="preserve"> 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IF(Table6220273233373839232444[[#This Row],[Non-Member]]="X"," ",IF(V9=" "," ",IFERROR(VLOOKUP(U9,Points!$A$2:$B$14,2,FALSE)," ")))</f>
        <v xml:space="preserve"> </v>
      </c>
      <c r="X9" s="92">
        <v>4.09</v>
      </c>
      <c r="Y9" s="93">
        <f t="shared" si="10"/>
        <v>1</v>
      </c>
      <c r="Z9" s="93">
        <f t="shared" si="11"/>
        <v>1</v>
      </c>
      <c r="AA9" s="94">
        <f>IF(Table6220273233373839232444[[#This Row],[Non-Member]]="X"," ",IF(Z9=" "," ",IFERROR(VLOOKUP(Y9,Points!$A$2:$B$14,2,FALSE)," ")))</f>
        <v>18</v>
      </c>
      <c r="AB9" s="92">
        <v>0</v>
      </c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IF(Table6220273233373839232444[[#This Row],[Non-Member]]="X"," ",IF(AD9=" "," ",IFERROR(VLOOKUP(AC9,Points!$A$2:$B$14,2,FALSE)," ")))</f>
        <v xml:space="preserve"> </v>
      </c>
      <c r="AF9" s="163" t="s">
        <v>307</v>
      </c>
      <c r="AG9" s="93">
        <v>3</v>
      </c>
      <c r="AH9" s="93">
        <v>3</v>
      </c>
      <c r="AI9" s="94">
        <f>IF(Table6220273233373839232444[[#This Row],[Non-Member]]="X"," ",IF(AH9=" "," ",IFERROR(VLOOKUP(AG9,Points!$A$2:$B$14,2,FALSE)," ")))</f>
        <v>12</v>
      </c>
      <c r="AJ9" s="93">
        <f>IF(Table6220273233373839232444[[#This Row],[Non-Member]]="X"," ",((IF(G9=" ",0,G9))+(IF(K9=" ",0,K9))+(IF(O9=" ",0,O9))+(IF(S9=" ",0,S9))+(IF(W9=" ",0,W9))+(IF(AA9=" ",0,AA9))+(IF(AE9=" ",0,AE9))+(IF(AI9=" ",0,AI9))))</f>
        <v>43.5</v>
      </c>
      <c r="AK9" s="95">
        <f t="shared" si="14"/>
        <v>43.5</v>
      </c>
      <c r="AL9" s="96">
        <f t="shared" si="15"/>
        <v>5</v>
      </c>
    </row>
    <row r="10" spans="2:38" x14ac:dyDescent="0.25">
      <c r="B10" s="90" t="s">
        <v>201</v>
      </c>
      <c r="C10" s="91"/>
      <c r="D10" s="92">
        <v>0</v>
      </c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IF(Table6220273233373839232444[[#This Row],[Non-Member]]="X"," ",IF(F10=" "," ",IFERROR(VLOOKUP(E10,Points!$A$2:$B$14,2,FALSE)," ")))</f>
        <v xml:space="preserve"> </v>
      </c>
      <c r="H10" s="92">
        <v>0</v>
      </c>
      <c r="I10" s="97" t="str">
        <f t="shared" si="2"/>
        <v xml:space="preserve"> </v>
      </c>
      <c r="J10" s="97" t="str">
        <f t="shared" si="3"/>
        <v xml:space="preserve"> </v>
      </c>
      <c r="K10" s="94" t="str">
        <f>IF(Table6220273233373839232444[[#This Row],[Non-Member]]="X"," ",IF(J10=" "," ",IFERROR(VLOOKUP(I10,Points!$A$2:$B$14,2,FALSE)," ")))</f>
        <v xml:space="preserve"> </v>
      </c>
      <c r="L10" s="92">
        <v>0</v>
      </c>
      <c r="M10" s="97" t="str">
        <f t="shared" si="4"/>
        <v xml:space="preserve"> </v>
      </c>
      <c r="N10" s="97" t="str">
        <f t="shared" si="5"/>
        <v xml:space="preserve"> </v>
      </c>
      <c r="O10" s="94" t="str">
        <f>IF(Table6220273233373839232444[[#This Row],[Non-Member]]="X"," ",IF(N10=" "," ",IFERROR(VLOOKUP(M10,Points!$A$2:$B$14,2,FALSE)," ")))</f>
        <v xml:space="preserve"> </v>
      </c>
      <c r="P10" s="92">
        <v>0</v>
      </c>
      <c r="Q10" s="97" t="str">
        <f t="shared" si="6"/>
        <v xml:space="preserve"> </v>
      </c>
      <c r="R10" s="97" t="str">
        <f t="shared" si="7"/>
        <v xml:space="preserve"> </v>
      </c>
      <c r="S10" s="94" t="str">
        <f>IF(Table6220273233373839232444[[#This Row],[Non-Member]]="X"," ",IF(R10=" "," ",IFERROR(VLOOKUP(Q10,Points!$A$2:$B$14,2,FALSE)," ")))</f>
        <v xml:space="preserve"> </v>
      </c>
      <c r="T10" s="92">
        <v>0</v>
      </c>
      <c r="U10" s="97" t="str">
        <f t="shared" si="8"/>
        <v xml:space="preserve"> </v>
      </c>
      <c r="V10" s="97" t="str">
        <f t="shared" si="9"/>
        <v xml:space="preserve"> </v>
      </c>
      <c r="W10" s="94" t="str">
        <f>IF(Table6220273233373839232444[[#This Row],[Non-Member]]="X"," ",IF(V10=" "," ",IFERROR(VLOOKUP(U10,Points!$A$2:$B$14,2,FALSE)," ")))</f>
        <v xml:space="preserve"> </v>
      </c>
      <c r="X10" s="92">
        <v>5.35</v>
      </c>
      <c r="Y10" s="97">
        <f t="shared" si="10"/>
        <v>3</v>
      </c>
      <c r="Z10" s="97">
        <f t="shared" si="11"/>
        <v>3</v>
      </c>
      <c r="AA10" s="94">
        <f>IF(Table6220273233373839232444[[#This Row],[Non-Member]]="X"," ",IF(Z10=" "," ",IFERROR(VLOOKUP(Y10,Points!$A$2:$B$14,2,FALSE)," ")))</f>
        <v>12</v>
      </c>
      <c r="AB10" s="92">
        <v>0</v>
      </c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IF(Table6220273233373839232444[[#This Row],[Non-Member]]="X"," ",IF(AD10=" "," ",IFERROR(VLOOKUP(AC10,Points!$A$2:$B$14,2,FALSE)," ")))</f>
        <v xml:space="preserve"> </v>
      </c>
      <c r="AF10" s="163" t="s">
        <v>308</v>
      </c>
      <c r="AG10" s="97">
        <v>4</v>
      </c>
      <c r="AH10" s="97">
        <v>4</v>
      </c>
      <c r="AI10" s="94">
        <f>IF(Table6220273233373839232444[[#This Row],[Non-Member]]="X"," ",IF(AH10=" "," ",IFERROR(VLOOKUP(AG10,Points!$A$2:$B$14,2,FALSE)," ")))</f>
        <v>9</v>
      </c>
      <c r="AJ10" s="97">
        <f>IF(Table6220273233373839232444[[#This Row],[Non-Member]]="X"," ",((IF(G10=" ",0,G10))+(IF(K10=" ",0,K10))+(IF(O10=" ",0,O10))+(IF(S10=" ",0,S10))+(IF(W10=" ",0,W10))+(IF(AA10=" ",0,AA10))+(IF(AE10=" ",0,AE10))+(IF(AI10=" ",0,AI10))))</f>
        <v>21</v>
      </c>
      <c r="AK10" s="95">
        <f t="shared" si="14"/>
        <v>21</v>
      </c>
      <c r="AL10" s="98">
        <f t="shared" si="15"/>
        <v>6</v>
      </c>
    </row>
    <row r="11" spans="2:38" x14ac:dyDescent="0.25">
      <c r="B11" s="90" t="s">
        <v>206</v>
      </c>
      <c r="C11" s="91"/>
      <c r="D11" s="92">
        <v>0</v>
      </c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IF(Table6220273233373839232444[[#This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IF(Table6220273233373839232444[[#This Row],[Non-Member]]="X"," ",IF(J11=" "," ",IFERROR(VLOOKUP(I11,Points!$A$2:$B$14,2,FALSE)," ")))</f>
        <v xml:space="preserve"> </v>
      </c>
      <c r="L11" s="92"/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IF(Table6220273233373839232444[[#This Row],[Non-Member]]="X"," ",IF(N11=" "," ",IFERROR(VLOOKUP(M11,Points!$A$2:$B$14,2,FALSE)," ")))</f>
        <v xml:space="preserve"> </v>
      </c>
      <c r="P11" s="138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IF(Table6220273233373839232444[[#This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IF(Table6220273233373839232444[[#This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IF(Table6220273233373839232444[[#This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IF(Table6220273233373839232444[[#This Row],[Non-Member]]="X"," ",IF(AD11=" "," ",IFERROR(VLOOKUP(AC11,Points!$A$2:$B$14,2,FALSE)," ")))</f>
        <v xml:space="preserve"> </v>
      </c>
      <c r="AF11" s="92" t="str">
        <f t="shared" ref="AF11:AF24" si="16">IF(OR(X11=0,AB11=0)," ",X11+AB11)</f>
        <v xml:space="preserve"> </v>
      </c>
      <c r="AG11" s="93" t="str">
        <f t="shared" ref="AG11:AG24" si="17">IF(OR(AF11=0,AF11=" ")," ",_xlfn.RANK.AVG(AF11,AF$5:AF$24,1)-COUNTIF(AF$5:AF$24,0))</f>
        <v xml:space="preserve"> </v>
      </c>
      <c r="AH11" s="93" t="str">
        <f t="shared" ref="AH11:AH24" si="18">IF(OR(AF11=0,AF11=" ")," ",IF((RANK(AF11,AF$5:AF$24,1)-COUNTIF(AF$5:AF$24,0)&gt;6)," ",RANK(AF11,AF$5:AF$24,1)-COUNTIF(AF$5:AF$24,0)))</f>
        <v xml:space="preserve"> </v>
      </c>
      <c r="AI11" s="94" t="str">
        <f>IF(Table6220273233373839232444[[#This Row],[Non-Member]]="X"," ",IF(AH11=" "," ",IFERROR(VLOOKUP(AG11,Points!$A$2:$B$14,2,FALSE)," ")))</f>
        <v xml:space="preserve"> </v>
      </c>
      <c r="AJ11" s="93">
        <f>IF(Table6220273233373839232444[[#This Row],[Non-Member]]="X"," ",((IF(G11=" ",0,G11))+(IF(K11=" ",0,K11))+(IF(O11=" ",0,O11))+(IF(S11=" ",0,S11))+(IF(W11=" ",0,W11))+(IF(AA11=" ",0,AA11))+(IF(AE11=" ",0,AE11))+(IF(AI11=" ",0,AI11))))</f>
        <v>0</v>
      </c>
      <c r="AK11" s="95" t="str">
        <f t="shared" si="14"/>
        <v xml:space="preserve"> </v>
      </c>
      <c r="AL11" s="96" t="str">
        <f t="shared" si="15"/>
        <v xml:space="preserve"> </v>
      </c>
    </row>
    <row r="12" spans="2:38" x14ac:dyDescent="0.25">
      <c r="B12" s="90" t="s">
        <v>273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IF(Table6220273233373839232444[[#This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IF(Table6220273233373839232444[[#This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IF(Table6220273233373839232444[[#This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IF(Table6220273233373839232444[[#This Row],[Non-Member]]="X"," ",IF(R12=" "," ",IFERROR(VLOOKUP(Q12,Points!$A$2:$B$14,2,FALSE)," ")))</f>
        <v xml:space="preserve"> </v>
      </c>
      <c r="T12" s="92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IF(Table6220273233373839232444[[#This Row],[Non-Member]]="X"," ",IF(V12=" "," ",IFERROR(VLOOKUP(U12,Points!$A$2:$B$14,2,FALSE)," ")))</f>
        <v xml:space="preserve"> </v>
      </c>
      <c r="X12" s="92">
        <v>0</v>
      </c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IF(Table6220273233373839232444[[#This Row],[Non-Member]]="X"," ",IF(Z12=" "," ",IFERROR(VLOOKUP(Y12,Points!$A$2:$B$14,2,FALSE)," ")))</f>
        <v xml:space="preserve"> 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IF(Table6220273233373839232444[[#This Row],[Non-Member]]="X"," ",IF(AD12=" "," ",IFERROR(VLOOKUP(AC12,Points!$A$2:$B$14,2,FALSE)," ")))</f>
        <v xml:space="preserve"> </v>
      </c>
      <c r="AF12" s="92" t="str">
        <f t="shared" si="16"/>
        <v xml:space="preserve"> </v>
      </c>
      <c r="AG12" s="93" t="str">
        <f t="shared" si="17"/>
        <v xml:space="preserve"> </v>
      </c>
      <c r="AH12" s="93" t="str">
        <f t="shared" si="18"/>
        <v xml:space="preserve"> </v>
      </c>
      <c r="AI12" s="94" t="str">
        <f>IF(Table6220273233373839232444[[#This Row],[Non-Member]]="X"," ",IF(AH12=" "," ",IFERROR(VLOOKUP(AG12,Points!$A$2:$B$14,2,FALSE)," ")))</f>
        <v xml:space="preserve"> </v>
      </c>
      <c r="AJ12" s="93">
        <f>IF(Table6220273233373839232444[[#This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4"/>
        <v xml:space="preserve"> </v>
      </c>
      <c r="AL12" s="96" t="str">
        <f t="shared" si="15"/>
        <v xml:space="preserve"> </v>
      </c>
    </row>
    <row r="13" spans="2:38" x14ac:dyDescent="0.25">
      <c r="B13" s="90" t="s">
        <v>272</v>
      </c>
      <c r="C13" s="91" t="s">
        <v>95</v>
      </c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IF(Table6220273233373839232444[[#This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IF(Table6220273233373839232444[[#This Row],[Non-Member]]="X"," ",IF(J13=" "," ",IFERROR(VLOOKUP(I13,Points!$A$2:$B$14,2,FALSE)," ")))</f>
        <v xml:space="preserve"> </v>
      </c>
      <c r="L13" s="92">
        <v>3.8</v>
      </c>
      <c r="M13" s="93">
        <f t="shared" si="4"/>
        <v>1</v>
      </c>
      <c r="N13" s="93">
        <f t="shared" si="5"/>
        <v>1</v>
      </c>
      <c r="O13" s="94" t="str">
        <f>IF(Table6220273233373839232444[[#This Row],[Non-Member]]="X"," ",IF(N13=" "," ",IFERROR(VLOOKUP(M13,Points!$A$2:$B$14,2,FALSE)," ")))</f>
        <v xml:space="preserve"> 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IF(Table6220273233373839232444[[#This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IF(Table6220273233373839232444[[#This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IF(Table6220273233373839232444[[#This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IF(Table6220273233373839232444[[#This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IF(Table6220273233373839232444[[#This Row],[Non-Member]]="X"," ",IF(AH13=" "," ",IFERROR(VLOOKUP(AG13,Points!$A$2:$B$14,2,FALSE)," ")))</f>
        <v xml:space="preserve"> </v>
      </c>
      <c r="AJ13" s="93" t="str">
        <f>IF(Table6220273233373839232444[[#This Row],[Non-Member]]="X"," ",((IF(G13=" ",0,G13))+(IF(K13=" ",0,K13))+(IF(O13=" ",0,O13))+(IF(S13=" ",0,S13))+(IF(W13=" ",0,W13))+(IF(AA13=" ",0,AA13))+(IF(AE13=" ",0,AE13))+(IF(AI13=" ",0,AI13))))</f>
        <v xml:space="preserve"> </v>
      </c>
      <c r="AK13" s="95" t="str">
        <f t="shared" si="14"/>
        <v xml:space="preserve"> </v>
      </c>
      <c r="AL13" s="96" t="str">
        <f t="shared" si="15"/>
        <v xml:space="preserve"> </v>
      </c>
    </row>
    <row r="14" spans="2:38" x14ac:dyDescent="0.25">
      <c r="B14" s="90" t="s">
        <v>250</v>
      </c>
      <c r="C14" s="91" t="s">
        <v>95</v>
      </c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IF(Table6220273233373839232444[[#This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IF(Table6220273233373839232444[[#This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IF(Table6220273233373839232444[[#This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IF(Table6220273233373839232444[[#This Row],[Non-Member]]="X"," ",IF(R14=" "," ",IFERROR(VLOOKUP(Q14,Points!$A$2:$B$14,2,FALSE)," ")))</f>
        <v xml:space="preserve"> 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IF(Table6220273233373839232444[[#This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IF(Table6220273233373839232444[[#This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IF(Table6220273233373839232444[[#This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IF(Table6220273233373839232444[[#This Row],[Non-Member]]="X"," ",IF(AH14=" "," ",IFERROR(VLOOKUP(AG14,Points!$A$2:$B$14,2,FALSE)," ")))</f>
        <v xml:space="preserve"> </v>
      </c>
      <c r="AJ14" s="93" t="str">
        <f>IF(Table6220273233373839232444[[#This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25">
      <c r="B15" s="90" t="s">
        <v>249</v>
      </c>
      <c r="C15" s="91" t="s">
        <v>95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IF(Table6220273233373839232444[[#This Row],[Non-Member]]="X"," ",IF(F15=" "," ",IFERROR(VLOOKUP(E15,Points!$A$2:$B$14,2,FALSE)," ")))</f>
        <v xml:space="preserve"> </v>
      </c>
      <c r="H15" s="92">
        <v>3.52</v>
      </c>
      <c r="I15" s="93">
        <f t="shared" si="2"/>
        <v>1</v>
      </c>
      <c r="J15" s="93">
        <f t="shared" si="3"/>
        <v>1</v>
      </c>
      <c r="K15" s="94" t="str">
        <f>IF(Table6220273233373839232444[[#This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IF(Table6220273233373839232444[[#This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IF(Table6220273233373839232444[[#This Row],[Non-Member]]="X"," ",IF(R15=" "," ",IFERROR(VLOOKUP(Q15,Points!$A$2:$B$14,2,FALSE)," ")))</f>
        <v xml:space="preserve"> </v>
      </c>
      <c r="T15" s="92">
        <v>0</v>
      </c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IF(Table6220273233373839232444[[#This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IF(Table6220273233373839232444[[#This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IF(Table6220273233373839232444[[#This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3" t="str">
        <f t="shared" si="17"/>
        <v xml:space="preserve"> </v>
      </c>
      <c r="AH15" s="93" t="str">
        <f t="shared" si="18"/>
        <v xml:space="preserve"> </v>
      </c>
      <c r="AI15" s="94" t="str">
        <f>IF(Table6220273233373839232444[[#This Row],[Non-Member]]="X"," ",IF(AH15=" "," ",IFERROR(VLOOKUP(AG15,Points!$A$2:$B$14,2,FALSE)," ")))</f>
        <v xml:space="preserve"> </v>
      </c>
      <c r="AJ15" s="93" t="str">
        <f>IF(Table6220273233373839232444[[#This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25">
      <c r="B16" s="90" t="s">
        <v>204</v>
      </c>
      <c r="C16" s="91"/>
      <c r="D16" s="92">
        <v>0</v>
      </c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IF(Table6220273233373839232444[[#This Row],[Non-Member]]="X"," ",IF(F16=" "," ",IFERROR(VLOOKUP(E16,Points!$A$2:$B$14,2,FALSE)," ")))</f>
        <v xml:space="preserve"> </v>
      </c>
      <c r="H16" s="92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IF(Table6220273233373839232444[[#This Row],[Non-Member]]="X"," ",IF(J16=" "," ",IFERROR(VLOOKUP(I16,Points!$A$2:$B$14,2,FALSE)," ")))</f>
        <v xml:space="preserve"> </v>
      </c>
      <c r="L16" s="92">
        <v>0</v>
      </c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IF(Table6220273233373839232444[[#This Row],[Non-Member]]="X"," ",IF(N16=" "," ",IFERROR(VLOOKUP(M16,Points!$A$2:$B$14,2,FALSE)," ")))</f>
        <v xml:space="preserve"> </v>
      </c>
      <c r="P16" s="92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IF(Table6220273233373839232444[[#This Row],[Non-Member]]="X"," ",IF(R16=" "," ",IFERROR(VLOOKUP(Q16,Points!$A$2:$B$14,2,FALSE)," ")))</f>
        <v xml:space="preserve"> </v>
      </c>
      <c r="T16" s="92">
        <v>0</v>
      </c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IF(Table6220273233373839232444[[#This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IF(Table6220273233373839232444[[#This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IF(Table6220273233373839232444[[#This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3" t="str">
        <f t="shared" si="17"/>
        <v xml:space="preserve"> </v>
      </c>
      <c r="AH16" s="93" t="str">
        <f t="shared" si="18"/>
        <v xml:space="preserve"> </v>
      </c>
      <c r="AI16" s="94" t="str">
        <f>IF(Table6220273233373839232444[[#This Row],[Non-Member]]="X"," ",IF(AH16=" "," ",IFERROR(VLOOKUP(AG16,Points!$A$2:$B$14,2,FALSE)," ")))</f>
        <v xml:space="preserve"> </v>
      </c>
      <c r="AJ16" s="93">
        <f>IF(Table6220273233373839232444[[#This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25">
      <c r="B17" s="90" t="s">
        <v>198</v>
      </c>
      <c r="C17" s="91"/>
      <c r="D17" s="138">
        <v>0</v>
      </c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IF(Table6220273233373839232444[[#This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IF(Table6220273233373839232444[[#This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IF(Table6220273233373839232444[[#This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IF(Table6220273233373839232444[[#This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IF(Table6220273233373839232444[[#This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IF(Table6220273233373839232444[[#This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IF(Table6220273233373839232444[[#This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7" t="str">
        <f t="shared" si="17"/>
        <v xml:space="preserve"> </v>
      </c>
      <c r="AH17" s="97" t="str">
        <f t="shared" si="18"/>
        <v xml:space="preserve"> </v>
      </c>
      <c r="AI17" s="94" t="str">
        <f>IF(Table6220273233373839232444[[#This Row],[Non-Member]]="X"," ",IF(AH17=" "," ",IFERROR(VLOOKUP(AG17,Points!$A$2:$B$14,2,FALSE)," ")))</f>
        <v xml:space="preserve"> </v>
      </c>
      <c r="AJ17" s="97">
        <f>IF(Table6220273233373839232444[[#This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25">
      <c r="B18" s="90" t="s">
        <v>205</v>
      </c>
      <c r="C18" s="91"/>
      <c r="D18" s="92">
        <v>0</v>
      </c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IF(Table6220273233373839232444[[#This Row],[Non-Member]]="X"," ",IF(F18=" "," ",IFERROR(VLOOKUP(E18,Points!$A$2:$B$14,2,FALSE)," ")))</f>
        <v xml:space="preserve"> </v>
      </c>
      <c r="H18" s="92">
        <v>0</v>
      </c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IF(Table6220273233373839232444[[#This Row],[Non-Member]]="X"," ",IF(J18=" "," ",IFERROR(VLOOKUP(I18,Points!$A$2:$B$14,2,FALSE)," ")))</f>
        <v xml:space="preserve"> </v>
      </c>
      <c r="L18" s="92">
        <v>0</v>
      </c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IF(Table6220273233373839232444[[#This Row],[Non-Member]]="X"," ",IF(N18=" "," ",IFERROR(VLOOKUP(M18,Points!$A$2:$B$14,2,FALSE)," ")))</f>
        <v xml:space="preserve"> </v>
      </c>
      <c r="P18" s="92">
        <v>0</v>
      </c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IF(Table6220273233373839232444[[#This Row],[Non-Member]]="X"," ",IF(R18=" "," ",IFERROR(VLOOKUP(Q18,Points!$A$2:$B$14,2,FALSE)," ")))</f>
        <v xml:space="preserve"> </v>
      </c>
      <c r="T18" s="92">
        <v>0</v>
      </c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IF(Table6220273233373839232444[[#This Row],[Non-Member]]="X"," ",IF(V18=" "," ",IFERROR(VLOOKUP(U18,Points!$A$2:$B$14,2,FALSE)," ")))</f>
        <v xml:space="preserve"> </v>
      </c>
      <c r="X18" s="92">
        <v>0</v>
      </c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IF(Table6220273233373839232444[[#This Row],[Non-Member]]="X"," ",IF(Z18=" "," ",IFERROR(VLOOKUP(Y18,Points!$A$2:$B$14,2,FALSE)," ")))</f>
        <v xml:space="preserve"> </v>
      </c>
      <c r="AB18" s="92">
        <v>0</v>
      </c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IF(Table6220273233373839232444[[#This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7" t="str">
        <f t="shared" si="17"/>
        <v xml:space="preserve"> </v>
      </c>
      <c r="AH18" s="97" t="str">
        <f t="shared" si="18"/>
        <v xml:space="preserve"> </v>
      </c>
      <c r="AI18" s="94" t="str">
        <f>IF(Table6220273233373839232444[[#This Row],[Non-Member]]="X"," ",IF(AH18=" "," ",IFERROR(VLOOKUP(AG18,Points!$A$2:$B$14,2,FALSE)," ")))</f>
        <v xml:space="preserve"> </v>
      </c>
      <c r="AJ18" s="97">
        <f>IF(Table6220273233373839232444[[#This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25">
      <c r="B19" s="90" t="s">
        <v>202</v>
      </c>
      <c r="C19" s="91"/>
      <c r="D19" s="92">
        <v>0</v>
      </c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IF(Table6220273233373839232444[[#This Row],[Non-Member]]="X"," ",IF(F19=" "," ",IFERROR(VLOOKUP(E19,Points!$A$2:$B$14,2,FALSE)," ")))</f>
        <v xml:space="preserve"> </v>
      </c>
      <c r="H19" s="92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IF(Table6220273233373839232444[[#This Row],[Non-Member]]="X"," ",IF(J19=" "," ",IFERROR(VLOOKUP(I19,Points!$A$2:$B$14,2,FALSE)," ")))</f>
        <v xml:space="preserve"> </v>
      </c>
      <c r="L19" s="92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IF(Table6220273233373839232444[[#This Row],[Non-Member]]="X"," ",IF(N19=" "," ",IFERROR(VLOOKUP(M19,Points!$A$2:$B$14,2,FALSE)," ")))</f>
        <v xml:space="preserve"> </v>
      </c>
      <c r="P19" s="92">
        <v>0</v>
      </c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IF(Table6220273233373839232444[[#This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IF(Table6220273233373839232444[[#This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IF(Table6220273233373839232444[[#This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IF(Table6220273233373839232444[[#This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IF(Table6220273233373839232444[[#This Row],[Non-Member]]="X"," ",IF(AH19=" "," ",IFERROR(VLOOKUP(AG19,Points!$A$2:$B$14,2,FALSE)," ")))</f>
        <v xml:space="preserve"> </v>
      </c>
      <c r="AJ19" s="93">
        <f>IF(Table6220273233373839232444[[#This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25">
      <c r="B20" s="90" t="s">
        <v>159</v>
      </c>
      <c r="C20" s="91"/>
      <c r="D20" s="92">
        <v>0</v>
      </c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IF(Table6220273233373839232444[[#This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IF(Table6220273233373839232444[[#This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IF(Table6220273233373839232444[[#This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IF(Table6220273233373839232444[[#This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IF(Table6220273233373839232444[[#This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IF(Table6220273233373839232444[[#This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IF(Table6220273233373839232444[[#This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IF(Table6220273233373839232444[[#This Row],[Non-Member]]="X"," ",IF(AH20=" "," ",IFERROR(VLOOKUP(AG20,Points!$A$2:$B$14,2,FALSE)," ")))</f>
        <v xml:space="preserve"> </v>
      </c>
      <c r="AJ20" s="93">
        <f>IF(Table6220273233373839232444[[#This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IF(Table6220273233373839232444[[#This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IF(Table6220273233373839232444[[#This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IF(Table6220273233373839232444[[#This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IF(Table6220273233373839232444[[#This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IF(Table6220273233373839232444[[#This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IF(Table6220273233373839232444[[#This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IF(Table6220273233373839232444[[#This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IF(Table6220273233373839232444[[#This Row],[Non-Member]]="X"," ",IF(AH21=" "," ",IFERROR(VLOOKUP(AG21,Points!$A$2:$B$14,2,FALSE)," ")))</f>
        <v xml:space="preserve"> </v>
      </c>
      <c r="AJ21" s="93">
        <f>IF(Table6220273233373839232444[[#This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IF(Table6220273233373839232444[[#This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IF(Table6220273233373839232444[[#This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IF(Table6220273233373839232444[[#This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IF(Table6220273233373839232444[[#This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IF(Table6220273233373839232444[[#This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IF(Table6220273233373839232444[[#This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IF(Table6220273233373839232444[[#This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IF(Table6220273233373839232444[[#This Row],[Non-Member]]="X"," ",IF(AH22=" "," ",IFERROR(VLOOKUP(AG22,Points!$A$2:$B$14,2,FALSE)," ")))</f>
        <v xml:space="preserve"> </v>
      </c>
      <c r="AJ22" s="93">
        <f>IF(Table6220273233373839232444[[#This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IF(Table6220273233373839232444[[#This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IF(Table6220273233373839232444[[#This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IF(Table6220273233373839232444[[#This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IF(Table6220273233373839232444[[#This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IF(Table6220273233373839232444[[#This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IF(Table6220273233373839232444[[#This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IF(Table6220273233373839232444[[#This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IF(Table6220273233373839232444[[#This Row],[Non-Member]]="X"," ",IF(AH23=" "," ",IFERROR(VLOOKUP(AG23,Points!$A$2:$B$14,2,FALSE)," ")))</f>
        <v xml:space="preserve"> </v>
      </c>
      <c r="AJ23" s="93">
        <f>IF(Table6220273233373839232444[[#This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IF(Table6220273233373839232444[[#This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IF(Table6220273233373839232444[[#This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IF(Table6220273233373839232444[[#This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IF(Table6220273233373839232444[[#This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IF(Table6220273233373839232444[[#This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IF(Table6220273233373839232444[[#This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IF(Table6220273233373839232444[[#This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IF(Table6220273233373839232444[[#This Row],[Non-Member]]="X"," ",IF(AH24=" "," ",IFERROR(VLOOKUP(AG24,Points!$A$2:$B$14,2,FALSE)," ")))</f>
        <v xml:space="preserve"> </v>
      </c>
      <c r="AJ24" s="93">
        <f>IF(Table6220273233373839232444[[#This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rKSihqm1ZESl9TLCdId76nZH+cpeqdux3pajucYSK2sa6HphY8ZMKSRiNkDAObwiqsFdgPGt031YsgbnmnaBPA==" saltValue="hVBh6RsisX/GMlP4LmZsY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ignoredErrors>
    <ignoredError sqref="AF6:AH1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C3534-77A7-4559-861B-E797F3F3E6A8}">
  <sheetPr codeName="Sheet79">
    <tabColor theme="9" tint="0.79998168889431442"/>
    <pageSetUpPr fitToPage="1"/>
  </sheetPr>
  <dimension ref="B1:AL29"/>
  <sheetViews>
    <sheetView showGridLines="0" tabSelected="1" zoomScaleNormal="100" workbookViewId="0">
      <pane xSplit="2" topLeftCell="C1" activePane="topRight" state="frozen"/>
      <selection activeCell="F34" sqref="F34"/>
      <selection pane="topRight" activeCell="D5" sqref="D5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120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164</v>
      </c>
      <c r="C5" s="84"/>
      <c r="D5" s="85">
        <v>18.658000000000001</v>
      </c>
      <c r="E5" s="86">
        <f t="shared" ref="E5:E13" si="0">IF(D5=0," ",_xlfn.RANK.AVG(D5,D$5:D$24,1)-COUNTIF(D$5:D$24,0))</f>
        <v>2</v>
      </c>
      <c r="F5" s="86">
        <f t="shared" ref="F5:F13" si="1">IF(D5=0," ",IF((RANK(D5,D$5:D$24,1)-COUNTIF(D$5:D$24,0)&gt;6)," ",RANK(D5,D$5:D$24,1)-COUNTIF(D$5:D$24,0)))</f>
        <v>2</v>
      </c>
      <c r="G5" s="87">
        <f>IF(Table622027323337214147[[#This Row],[Non-Member]]="X"," ",IF(F5=" "," ",IFERROR(VLOOKUP(E5,Points!$A$2:$B$14,2,FALSE)," ")))</f>
        <v>15</v>
      </c>
      <c r="H5" s="85">
        <v>21.361999999999998</v>
      </c>
      <c r="I5" s="86">
        <f t="shared" ref="I5:I24" si="2">IF(H5=0," ",_xlfn.RANK.AVG(H5,H$5:H$24,1)-COUNTIF(H$5:H$24,0))</f>
        <v>10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IF(Table622027323337214147[[#This Row],[Non-Member]]="X"," ",IF(J5=" "," ",IFERROR(VLOOKUP(I5,Points!$A$2:$B$14,2,FALSE)," ")))</f>
        <v xml:space="preserve"> </v>
      </c>
      <c r="L5" s="85">
        <v>16.802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IF(Table622027323337214147[[#This Row],[Non-Member]]="X"," ",IF(N5=" "," ",IFERROR(VLOOKUP(M5,Points!$A$2:$B$14,2,FALSE)," ")))</f>
        <v>18</v>
      </c>
      <c r="P5" s="85">
        <v>17.148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IF(Table622027323337214147[[#This Row],[Non-Member]]="X"," ",IF(R5=" "," ",IFERROR(VLOOKUP(Q5,Points!$A$2:$B$14,2,FALSE)," ")))</f>
        <v>15</v>
      </c>
      <c r="T5" s="85">
        <v>22.689</v>
      </c>
      <c r="U5" s="86">
        <f t="shared" ref="U5:U24" si="8">IF(T5=0," ",_xlfn.RANK.AVG(T5,T$5:T$24,1)-COUNTIF(T$5:T$24,0))</f>
        <v>6</v>
      </c>
      <c r="V5" s="86">
        <f t="shared" ref="V5:V24" si="9">IF(T5=0," ",IF((RANK(T5,T$5:T$24,1)-COUNTIF(T$5:T$24,0)&gt;6)," ",RANK(T5,T$5:T$24,1)-COUNTIF(T$5:T$24,0)))</f>
        <v>6</v>
      </c>
      <c r="W5" s="87">
        <f>IF(Table622027323337214147[[#This Row],[Non-Member]]="X"," ",IF(V5=" "," ",IFERROR(VLOOKUP(U5,Points!$A$2:$B$14,2,FALSE)," ")))</f>
        <v>3</v>
      </c>
      <c r="X5" s="85">
        <v>17.96</v>
      </c>
      <c r="Y5" s="86">
        <f t="shared" ref="Y5:Y24" si="10">IF(X5=0," ",_xlfn.RANK.AVG(X5,X$5:X$24,1)-COUNTIF(X$5:X$24,0))</f>
        <v>3</v>
      </c>
      <c r="Z5" s="86">
        <f t="shared" ref="Z5:Z24" si="11">IF(X5=0," ",IF((RANK(X5,X$5:X$24,1)-COUNTIF(X$5:X$24,0)&gt;6)," ",RANK(X5,X$5:X$24,1)-COUNTIF(X$5:X$24,0)))</f>
        <v>3</v>
      </c>
      <c r="AA5" s="87">
        <f>IF(Table622027323337214147[[#This Row],[Non-Member]]="X"," ",IF(Z5=" "," ",IFERROR(VLOOKUP(Y5,Points!$A$2:$B$14,2,FALSE)," ")))</f>
        <v>12</v>
      </c>
      <c r="AB5" s="85">
        <v>18.126999999999999</v>
      </c>
      <c r="AC5" s="86">
        <f t="shared" ref="AC5:AC24" si="12">IF(AB5=0," ",_xlfn.RANK.AVG(AB5,AB$5:AB$24,1)-COUNTIF(AB$5:AB$24,0))</f>
        <v>4</v>
      </c>
      <c r="AD5" s="86">
        <f t="shared" ref="AD5:AD24" si="13">IF(AB5=0," ",IF((RANK(AB5,AB$5:AB$24,1)-COUNTIF(AB$5:AB$24,0)&gt;6)," ",RANK(AB5,AB$5:AB$24,1)-COUNTIF(AB$5:AB$24,0)))</f>
        <v>4</v>
      </c>
      <c r="AE5" s="87">
        <f>IF(Table622027323337214147[[#This Row],[Non-Member]]="X"," ",IF(AD5=" "," ",IFERROR(VLOOKUP(AC5,Points!$A$2:$B$14,2,FALSE)," ")))</f>
        <v>9</v>
      </c>
      <c r="AF5" s="85">
        <f t="shared" ref="AF5:AF24" si="14">IF(OR(X5=0,AB5=0)," ",X5+AB5)</f>
        <v>36.087000000000003</v>
      </c>
      <c r="AG5" s="86">
        <f t="shared" ref="AG5:AG24" si="15">IF(OR(AF5=0,AF5=" ")," ",_xlfn.RANK.AVG(AF5,AF$5:AF$24,1)-COUNTIF(AF$5:AF$24,0))</f>
        <v>3</v>
      </c>
      <c r="AH5" s="86">
        <f t="shared" ref="AH5:AH24" si="16">IF(OR(AF5=0,AF5=" ")," ",IF((RANK(AF5,AF$5:AF$24,1)-COUNTIF(AF$5:AF$24,0)&gt;6)," ",RANK(AF5,AF$5:AF$24,1)-COUNTIF(AF$5:AF$24,0)))</f>
        <v>3</v>
      </c>
      <c r="AI5" s="87">
        <f>IF(Table622027323337214147[[#This Row],[Non-Member]]="X"," ",IF(AH5=" "," ",IFERROR(VLOOKUP(AG5,Points!$A$2:$B$14,2,FALSE)," ")))</f>
        <v>12</v>
      </c>
      <c r="AJ5" s="86">
        <f>IF(Table622027323337214147[[#This Row],[Non-Member]]="X"," ",((IF(G5=" ",0,G5))+(IF(K5=" ",0,K5))+(IF(O5=" ",0,O5))+(IF(S5=" ",0,S5))+(IF(W5=" ",0,W5))+(IF(AA5=" ",0,AA5))+(IF(AE5=" ",0,AE5))+(IF(AI5=" ",0,AI5))))</f>
        <v>84</v>
      </c>
      <c r="AK5" s="88">
        <f t="shared" ref="AK5:AK24" si="17">IF(AJ5=0," ",AJ5)</f>
        <v>84</v>
      </c>
      <c r="AL5" s="89">
        <f t="shared" ref="AL5:AL24" si="18">IF(AK5=" "," ",RANK(AK5,$AK$5:$AK$24))</f>
        <v>1</v>
      </c>
    </row>
    <row r="6" spans="2:38" x14ac:dyDescent="0.25">
      <c r="B6" s="90" t="s">
        <v>259</v>
      </c>
      <c r="C6" s="91"/>
      <c r="D6" s="92"/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IF(Table622027323337214147[[#This Row],[Non-Member]]="X"," ",IF(F6=" "," ",IFERROR(VLOOKUP(E6,Points!$A$2:$B$14,2,FALSE)," ")))</f>
        <v xml:space="preserve"> </v>
      </c>
      <c r="H6" s="92">
        <v>19.504999999999999</v>
      </c>
      <c r="I6" s="93">
        <f t="shared" si="2"/>
        <v>6</v>
      </c>
      <c r="J6" s="93">
        <f t="shared" si="3"/>
        <v>6</v>
      </c>
      <c r="K6" s="94">
        <f>IF(Table622027323337214147[[#This Row],[Non-Member]]="X"," ",IF(J6=" "," ",IFERROR(VLOOKUP(I6,Points!$A$2:$B$14,2,FALSE)," ")))</f>
        <v>3</v>
      </c>
      <c r="L6" s="92">
        <v>18.920999999999999</v>
      </c>
      <c r="M6" s="93">
        <f t="shared" si="4"/>
        <v>7</v>
      </c>
      <c r="N6" s="93" t="str">
        <f t="shared" si="5"/>
        <v xml:space="preserve"> </v>
      </c>
      <c r="O6" s="94" t="str">
        <f>IF(Table622027323337214147[[#This Row],[Non-Member]]="X"," ",IF(N6=" "," ",IFERROR(VLOOKUP(M6,Points!$A$2:$B$14,2,FALSE)," ")))</f>
        <v xml:space="preserve"> </v>
      </c>
      <c r="P6" s="92">
        <v>16.966000000000001</v>
      </c>
      <c r="Q6" s="93">
        <f t="shared" si="6"/>
        <v>1</v>
      </c>
      <c r="R6" s="93">
        <f t="shared" si="7"/>
        <v>1</v>
      </c>
      <c r="S6" s="94">
        <f>IF(Table622027323337214147[[#This Row],[Non-Member]]="X"," ",IF(R6=" "," ",IFERROR(VLOOKUP(Q6,Points!$A$2:$B$14,2,FALSE)," ")))</f>
        <v>18</v>
      </c>
      <c r="T6" s="92">
        <v>23.707000000000001</v>
      </c>
      <c r="U6" s="93">
        <f t="shared" si="8"/>
        <v>9</v>
      </c>
      <c r="V6" s="93" t="str">
        <f t="shared" si="9"/>
        <v xml:space="preserve"> </v>
      </c>
      <c r="W6" s="94" t="str">
        <f>IF(Table622027323337214147[[#This Row],[Non-Member]]="X"," ",IF(V6=" "," ",IFERROR(VLOOKUP(U6,Points!$A$2:$B$14,2,FALSE)," ")))</f>
        <v xml:space="preserve"> </v>
      </c>
      <c r="X6" s="92">
        <v>17.297000000000001</v>
      </c>
      <c r="Y6" s="93">
        <f t="shared" si="10"/>
        <v>1</v>
      </c>
      <c r="Z6" s="93">
        <f t="shared" si="11"/>
        <v>1</v>
      </c>
      <c r="AA6" s="94">
        <f>IF(Table622027323337214147[[#This Row],[Non-Member]]="X"," ",IF(Z6=" "," ",IFERROR(VLOOKUP(Y6,Points!$A$2:$B$14,2,FALSE)," ")))</f>
        <v>18</v>
      </c>
      <c r="AB6" s="92">
        <v>17.498999999999999</v>
      </c>
      <c r="AC6" s="93">
        <f t="shared" si="12"/>
        <v>1</v>
      </c>
      <c r="AD6" s="93">
        <f t="shared" si="13"/>
        <v>1</v>
      </c>
      <c r="AE6" s="94">
        <f>IF(Table622027323337214147[[#This Row],[Non-Member]]="X"," ",IF(AD6=" "," ",IFERROR(VLOOKUP(AC6,Points!$A$2:$B$14,2,FALSE)," ")))</f>
        <v>18</v>
      </c>
      <c r="AF6" s="92">
        <f t="shared" si="14"/>
        <v>34.795999999999999</v>
      </c>
      <c r="AG6" s="93">
        <f t="shared" si="15"/>
        <v>1</v>
      </c>
      <c r="AH6" s="93">
        <f t="shared" si="16"/>
        <v>1</v>
      </c>
      <c r="AI6" s="94">
        <f>IF(Table622027323337214147[[#This Row],[Non-Member]]="X"," ",IF(AH6=" "," ",IFERROR(VLOOKUP(AG6,Points!$A$2:$B$14,2,FALSE)," ")))</f>
        <v>18</v>
      </c>
      <c r="AJ6" s="93">
        <f>IF(Table622027323337214147[[#This Row],[Non-Member]]="X"," ",((IF(G6=" ",0,G6))+(IF(K6=" ",0,K6))+(IF(O6=" ",0,O6))+(IF(S6=" ",0,S6))+(IF(W6=" ",0,W6))+(IF(AA6=" ",0,AA6))+(IF(AE6=" ",0,AE6))+(IF(AI6=" ",0,AI6))))</f>
        <v>75</v>
      </c>
      <c r="AK6" s="95">
        <f t="shared" si="17"/>
        <v>75</v>
      </c>
      <c r="AL6" s="96">
        <f t="shared" si="18"/>
        <v>2</v>
      </c>
    </row>
    <row r="7" spans="2:38" x14ac:dyDescent="0.25">
      <c r="B7" s="90" t="s">
        <v>188</v>
      </c>
      <c r="C7" s="91"/>
      <c r="D7" s="92">
        <v>22.777000000000001</v>
      </c>
      <c r="E7" s="93">
        <f t="shared" si="0"/>
        <v>5</v>
      </c>
      <c r="F7" s="93">
        <f t="shared" si="1"/>
        <v>5</v>
      </c>
      <c r="G7" s="94">
        <f>IF(Table622027323337214147[[#This Row],[Non-Member]]="X"," ",IF(F7=" "," ",IFERROR(VLOOKUP(E7,Points!$A$2:$B$14,2,FALSE)," ")))</f>
        <v>6</v>
      </c>
      <c r="H7" s="92"/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IF(Table622027323337214147[[#This Row],[Non-Member]]="X"," ",IF(J7=" "," ",IFERROR(VLOOKUP(I7,Points!$A$2:$B$14,2,FALSE)," ")))</f>
        <v xml:space="preserve"> </v>
      </c>
      <c r="L7" s="92"/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IF(Table622027323337214147[[#This Row],[Non-Member]]="X"," ",IF(N7=" "," ",IFERROR(VLOOKUP(M7,Points!$A$2:$B$14,2,FALSE)," ")))</f>
        <v xml:space="preserve"> </v>
      </c>
      <c r="P7" s="92"/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IF(Table622027323337214147[[#This Row],[Non-Member]]="X"," ",IF(R7=" "," ",IFERROR(VLOOKUP(Q7,Points!$A$2:$B$14,2,FALSE)," ")))</f>
        <v xml:space="preserve"> </v>
      </c>
      <c r="T7" s="92">
        <v>17.725000000000001</v>
      </c>
      <c r="U7" s="93">
        <f t="shared" si="8"/>
        <v>1</v>
      </c>
      <c r="V7" s="93">
        <f t="shared" si="9"/>
        <v>1</v>
      </c>
      <c r="W7" s="94">
        <f>IF(Table622027323337214147[[#This Row],[Non-Member]]="X"," ",IF(V7=" "," ",IFERROR(VLOOKUP(U7,Points!$A$2:$B$14,2,FALSE)," ")))</f>
        <v>18</v>
      </c>
      <c r="X7" s="92">
        <v>17.821999999999999</v>
      </c>
      <c r="Y7" s="93">
        <f t="shared" si="10"/>
        <v>2</v>
      </c>
      <c r="Z7" s="93">
        <f t="shared" si="11"/>
        <v>2</v>
      </c>
      <c r="AA7" s="94">
        <f>IF(Table622027323337214147[[#This Row],[Non-Member]]="X"," ",IF(Z7=" "," ",IFERROR(VLOOKUP(Y7,Points!$A$2:$B$14,2,FALSE)," ")))</f>
        <v>15</v>
      </c>
      <c r="AB7" s="92">
        <v>18.111999999999998</v>
      </c>
      <c r="AC7" s="93">
        <f t="shared" si="12"/>
        <v>3</v>
      </c>
      <c r="AD7" s="93">
        <f t="shared" si="13"/>
        <v>3</v>
      </c>
      <c r="AE7" s="94">
        <f>IF(Table622027323337214147[[#This Row],[Non-Member]]="X"," ",IF(AD7=" "," ",IFERROR(VLOOKUP(AC7,Points!$A$2:$B$14,2,FALSE)," ")))</f>
        <v>12</v>
      </c>
      <c r="AF7" s="92">
        <f t="shared" si="14"/>
        <v>35.933999999999997</v>
      </c>
      <c r="AG7" s="93">
        <f t="shared" si="15"/>
        <v>2</v>
      </c>
      <c r="AH7" s="93">
        <f t="shared" si="16"/>
        <v>2</v>
      </c>
      <c r="AI7" s="94">
        <f>IF(Table622027323337214147[[#This Row],[Non-Member]]="X"," ",IF(AH7=" "," ",IFERROR(VLOOKUP(AG7,Points!$A$2:$B$14,2,FALSE)," ")))</f>
        <v>15</v>
      </c>
      <c r="AJ7" s="93">
        <f>IF(Table622027323337214147[[#This Row],[Non-Member]]="X"," ",((IF(G7=" ",0,G7))+(IF(K7=" ",0,K7))+(IF(O7=" ",0,O7))+(IF(S7=" ",0,S7))+(IF(W7=" ",0,W7))+(IF(AA7=" ",0,AA7))+(IF(AE7=" ",0,AE7))+(IF(AI7=" ",0,AI7))))</f>
        <v>66</v>
      </c>
      <c r="AK7" s="95">
        <f t="shared" si="17"/>
        <v>66</v>
      </c>
      <c r="AL7" s="96">
        <f t="shared" si="18"/>
        <v>3</v>
      </c>
    </row>
    <row r="8" spans="2:38" x14ac:dyDescent="0.25">
      <c r="B8" s="90" t="s">
        <v>161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IF(Table622027323337214147[[#This Row],[Non-Member]]="X"," ",IF(F8=" "," ",IFERROR(VLOOKUP(E8,Points!$A$2:$B$14,2,FALSE)," ")))</f>
        <v xml:space="preserve"> </v>
      </c>
      <c r="H8" s="92">
        <v>18.337</v>
      </c>
      <c r="I8" s="97">
        <f t="shared" si="2"/>
        <v>2</v>
      </c>
      <c r="J8" s="97">
        <f t="shared" si="3"/>
        <v>2</v>
      </c>
      <c r="K8" s="94">
        <f>IF(Table622027323337214147[[#This Row],[Non-Member]]="X"," ",IF(J8=" "," ",IFERROR(VLOOKUP(I8,Points!$A$2:$B$14,2,FALSE)," ")))</f>
        <v>15</v>
      </c>
      <c r="L8" s="92">
        <v>17.195</v>
      </c>
      <c r="M8" s="97">
        <f t="shared" si="4"/>
        <v>3</v>
      </c>
      <c r="N8" s="97">
        <f t="shared" si="5"/>
        <v>3</v>
      </c>
      <c r="O8" s="94">
        <f>IF(Table622027323337214147[[#This Row],[Non-Member]]="X"," ",IF(N8=" "," ",IFERROR(VLOOKUP(M8,Points!$A$2:$B$14,2,FALSE)," ")))</f>
        <v>12</v>
      </c>
      <c r="P8" s="92">
        <v>21.757000000000001</v>
      </c>
      <c r="Q8" s="97">
        <f t="shared" si="6"/>
        <v>11</v>
      </c>
      <c r="R8" s="97" t="str">
        <f t="shared" si="7"/>
        <v xml:space="preserve"> </v>
      </c>
      <c r="S8" s="94" t="str">
        <f>IF(Table622027323337214147[[#This Row],[Non-Member]]="X"," ",IF(R8=" "," ",IFERROR(VLOOKUP(Q8,Points!$A$2:$B$14,2,FALSE)," ")))</f>
        <v xml:space="preserve"> </v>
      </c>
      <c r="T8" s="92">
        <v>33.540999999999997</v>
      </c>
      <c r="U8" s="97">
        <f t="shared" si="8"/>
        <v>10</v>
      </c>
      <c r="V8" s="97" t="str">
        <f t="shared" si="9"/>
        <v xml:space="preserve"> </v>
      </c>
      <c r="W8" s="94" t="str">
        <f>IF(Table622027323337214147[[#This Row],[Non-Member]]="X"," ",IF(V8=" "," ",IFERROR(VLOOKUP(U8,Points!$A$2:$B$14,2,FALSE)," ")))</f>
        <v xml:space="preserve"> </v>
      </c>
      <c r="X8" s="92">
        <v>18.395</v>
      </c>
      <c r="Y8" s="97">
        <f t="shared" si="10"/>
        <v>6</v>
      </c>
      <c r="Z8" s="97">
        <f t="shared" si="11"/>
        <v>6</v>
      </c>
      <c r="AA8" s="94">
        <f>IF(Table622027323337214147[[#This Row],[Non-Member]]="X"," ",IF(Z8=" "," ",IFERROR(VLOOKUP(Y8,Points!$A$2:$B$14,2,FALSE)," ")))</f>
        <v>3</v>
      </c>
      <c r="AB8" s="92">
        <v>18.003</v>
      </c>
      <c r="AC8" s="97">
        <f t="shared" si="12"/>
        <v>2</v>
      </c>
      <c r="AD8" s="97">
        <f t="shared" si="13"/>
        <v>2</v>
      </c>
      <c r="AE8" s="94">
        <f>IF(Table622027323337214147[[#This Row],[Non-Member]]="X"," ",IF(AD8=" "," ",IFERROR(VLOOKUP(AC8,Points!$A$2:$B$14,2,FALSE)," ")))</f>
        <v>15</v>
      </c>
      <c r="AF8" s="92">
        <f t="shared" si="14"/>
        <v>36.397999999999996</v>
      </c>
      <c r="AG8" s="97">
        <f t="shared" si="15"/>
        <v>4</v>
      </c>
      <c r="AH8" s="97">
        <f t="shared" si="16"/>
        <v>4</v>
      </c>
      <c r="AI8" s="94">
        <f>IF(Table622027323337214147[[#This Row],[Non-Member]]="X"," ",IF(AH8=" "," ",IFERROR(VLOOKUP(AG8,Points!$A$2:$B$14,2,FALSE)," ")))</f>
        <v>9</v>
      </c>
      <c r="AJ8" s="97">
        <f>IF(Table622027323337214147[[#This Row],[Non-Member]]="X"," ",((IF(G8=" ",0,G8))+(IF(K8=" ",0,K8))+(IF(O8=" ",0,O8))+(IF(S8=" ",0,S8))+(IF(W8=" ",0,W8))+(IF(AA8=" ",0,AA8))+(IF(AE8=" ",0,AE8))+(IF(AI8=" ",0,AI8))))</f>
        <v>54</v>
      </c>
      <c r="AK8" s="95">
        <f t="shared" si="17"/>
        <v>54</v>
      </c>
      <c r="AL8" s="98">
        <f t="shared" si="18"/>
        <v>4</v>
      </c>
    </row>
    <row r="9" spans="2:38" x14ac:dyDescent="0.25">
      <c r="B9" s="90" t="s">
        <v>166</v>
      </c>
      <c r="C9" s="91"/>
      <c r="D9" s="92">
        <v>19.602</v>
      </c>
      <c r="E9" s="93">
        <f t="shared" si="0"/>
        <v>4</v>
      </c>
      <c r="F9" s="93">
        <f t="shared" si="1"/>
        <v>4</v>
      </c>
      <c r="G9" s="94">
        <f>IF(Table622027323337214147[[#This Row],[Non-Member]]="X"," ",IF(F9=" "," ",IFERROR(VLOOKUP(E9,Points!$A$2:$B$14,2,FALSE)," ")))</f>
        <v>9</v>
      </c>
      <c r="H9" s="92"/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IF(Table622027323337214147[[#This Row],[Non-Member]]="X"," ",IF(J9=" "," ",IFERROR(VLOOKUP(I9,Points!$A$2:$B$14,2,FALSE)," ")))</f>
        <v xml:space="preserve"> </v>
      </c>
      <c r="L9" s="92"/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IF(Table622027323337214147[[#This Row],[Non-Member]]="X"," ",IF(N9=" "," ",IFERROR(VLOOKUP(M9,Points!$A$2:$B$14,2,FALSE)," ")))</f>
        <v xml:space="preserve"> </v>
      </c>
      <c r="P9" s="92">
        <v>17.433</v>
      </c>
      <c r="Q9" s="93">
        <f t="shared" si="6"/>
        <v>3</v>
      </c>
      <c r="R9" s="93">
        <f t="shared" si="7"/>
        <v>3</v>
      </c>
      <c r="S9" s="94">
        <f>IF(Table622027323337214147[[#This Row],[Non-Member]]="X"," ",IF(R9=" "," ",IFERROR(VLOOKUP(Q9,Points!$A$2:$B$14,2,FALSE)," ")))</f>
        <v>12</v>
      </c>
      <c r="T9" s="92">
        <v>18.297000000000001</v>
      </c>
      <c r="U9" s="93">
        <f t="shared" si="8"/>
        <v>2</v>
      </c>
      <c r="V9" s="93">
        <f t="shared" si="9"/>
        <v>2</v>
      </c>
      <c r="W9" s="94">
        <f>IF(Table622027323337214147[[#This Row],[Non-Member]]="X"," ",IF(V9=" "," ",IFERROR(VLOOKUP(U9,Points!$A$2:$B$14,2,FALSE)," ")))</f>
        <v>15</v>
      </c>
      <c r="X9" s="92">
        <v>18.151</v>
      </c>
      <c r="Y9" s="93">
        <f t="shared" si="10"/>
        <v>4</v>
      </c>
      <c r="Z9" s="93">
        <f t="shared" si="11"/>
        <v>4</v>
      </c>
      <c r="AA9" s="94">
        <f>IF(Table622027323337214147[[#This Row],[Non-Member]]="X"," ",IF(Z9=" "," ",IFERROR(VLOOKUP(Y9,Points!$A$2:$B$14,2,FALSE)," ")))</f>
        <v>9</v>
      </c>
      <c r="AB9" s="92">
        <v>18.596</v>
      </c>
      <c r="AC9" s="93">
        <f t="shared" si="12"/>
        <v>6</v>
      </c>
      <c r="AD9" s="93">
        <f t="shared" si="13"/>
        <v>6</v>
      </c>
      <c r="AE9" s="94">
        <f>IF(Table622027323337214147[[#This Row],[Non-Member]]="X"," ",IF(AD9=" "," ",IFERROR(VLOOKUP(AC9,Points!$A$2:$B$14,2,FALSE)," ")))</f>
        <v>3</v>
      </c>
      <c r="AF9" s="92">
        <f t="shared" si="14"/>
        <v>36.747</v>
      </c>
      <c r="AG9" s="93">
        <f t="shared" si="15"/>
        <v>6</v>
      </c>
      <c r="AH9" s="93">
        <f t="shared" si="16"/>
        <v>6</v>
      </c>
      <c r="AI9" s="94">
        <f>IF(Table622027323337214147[[#This Row],[Non-Member]]="X"," ",IF(AH9=" "," ",IFERROR(VLOOKUP(AG9,Points!$A$2:$B$14,2,FALSE)," ")))</f>
        <v>3</v>
      </c>
      <c r="AJ9" s="93">
        <f>IF(Table622027323337214147[[#This Row],[Non-Member]]="X"," ",((IF(G9=" ",0,G9))+(IF(K9=" ",0,K9))+(IF(O9=" ",0,O9))+(IF(S9=" ",0,S9))+(IF(W9=" ",0,W9))+(IF(AA9=" ",0,AA9))+(IF(AE9=" ",0,AE9))+(IF(AI9=" ",0,AI9))))</f>
        <v>51</v>
      </c>
      <c r="AK9" s="95">
        <f t="shared" si="17"/>
        <v>51</v>
      </c>
      <c r="AL9" s="96">
        <f t="shared" si="18"/>
        <v>5</v>
      </c>
    </row>
    <row r="10" spans="2:38" x14ac:dyDescent="0.25">
      <c r="B10" s="90" t="s">
        <v>185</v>
      </c>
      <c r="C10" s="91"/>
      <c r="D10" s="92">
        <v>19.521000000000001</v>
      </c>
      <c r="E10" s="93">
        <f t="shared" si="0"/>
        <v>3</v>
      </c>
      <c r="F10" s="93">
        <f t="shared" si="1"/>
        <v>3</v>
      </c>
      <c r="G10" s="94">
        <f>IF(Table622027323337214147[[#This Row],[Non-Member]]="X"," ",IF(F10=" "," ",IFERROR(VLOOKUP(E10,Points!$A$2:$B$14,2,FALSE)," ")))</f>
        <v>12</v>
      </c>
      <c r="H10" s="92">
        <v>19.206</v>
      </c>
      <c r="I10" s="93">
        <f t="shared" si="2"/>
        <v>5</v>
      </c>
      <c r="J10" s="93">
        <f t="shared" si="3"/>
        <v>5</v>
      </c>
      <c r="K10" s="94">
        <f>IF(Table622027323337214147[[#This Row],[Non-Member]]="X"," ",IF(J10=" "," ",IFERROR(VLOOKUP(I10,Points!$A$2:$B$14,2,FALSE)," ")))</f>
        <v>6</v>
      </c>
      <c r="L10" s="92">
        <v>17.800999999999998</v>
      </c>
      <c r="M10" s="93">
        <f t="shared" si="4"/>
        <v>5</v>
      </c>
      <c r="N10" s="93">
        <f t="shared" si="5"/>
        <v>5</v>
      </c>
      <c r="O10" s="94">
        <f>IF(Table622027323337214147[[#This Row],[Non-Member]]="X"," ",IF(N10=" "," ",IFERROR(VLOOKUP(M10,Points!$A$2:$B$14,2,FALSE)," ")))</f>
        <v>6</v>
      </c>
      <c r="P10" s="92">
        <v>17.747</v>
      </c>
      <c r="Q10" s="93">
        <f t="shared" si="6"/>
        <v>5</v>
      </c>
      <c r="R10" s="93">
        <f t="shared" si="7"/>
        <v>5</v>
      </c>
      <c r="S10" s="94">
        <f>IF(Table622027323337214147[[#This Row],[Non-Member]]="X"," ",IF(R10=" "," ",IFERROR(VLOOKUP(Q10,Points!$A$2:$B$14,2,FALSE)," ")))</f>
        <v>6</v>
      </c>
      <c r="T10" s="92">
        <v>19.010000000000002</v>
      </c>
      <c r="U10" s="93">
        <f t="shared" si="8"/>
        <v>3</v>
      </c>
      <c r="V10" s="93">
        <f t="shared" si="9"/>
        <v>3</v>
      </c>
      <c r="W10" s="94">
        <f>IF(Table622027323337214147[[#This Row],[Non-Member]]="X"," ",IF(V10=" "," ",IFERROR(VLOOKUP(U10,Points!$A$2:$B$14,2,FALSE)," ")))</f>
        <v>12</v>
      </c>
      <c r="X10" s="92">
        <v>19.318999999999999</v>
      </c>
      <c r="Y10" s="93">
        <f t="shared" si="10"/>
        <v>7</v>
      </c>
      <c r="Z10" s="93" t="str">
        <f t="shared" si="11"/>
        <v xml:space="preserve"> </v>
      </c>
      <c r="AA10" s="94" t="str">
        <f>IF(Table622027323337214147[[#This Row],[Non-Member]]="X"," ",IF(Z10=" "," ",IFERROR(VLOOKUP(Y10,Points!$A$2:$B$14,2,FALSE)," ")))</f>
        <v xml:space="preserve"> </v>
      </c>
      <c r="AB10" s="92">
        <v>19.515000000000001</v>
      </c>
      <c r="AC10" s="93">
        <f t="shared" si="12"/>
        <v>7</v>
      </c>
      <c r="AD10" s="93" t="str">
        <f t="shared" si="13"/>
        <v xml:space="preserve"> </v>
      </c>
      <c r="AE10" s="94" t="str">
        <f>IF(Table622027323337214147[[#This Row],[Non-Member]]="X"," ",IF(AD10=" "," ",IFERROR(VLOOKUP(AC10,Points!$A$2:$B$14,2,FALSE)," ")))</f>
        <v xml:space="preserve"> </v>
      </c>
      <c r="AF10" s="92">
        <f t="shared" si="14"/>
        <v>38.834000000000003</v>
      </c>
      <c r="AG10" s="93">
        <f t="shared" si="15"/>
        <v>7</v>
      </c>
      <c r="AH10" s="93" t="str">
        <f t="shared" si="16"/>
        <v xml:space="preserve"> </v>
      </c>
      <c r="AI10" s="94" t="str">
        <f>IF(Table622027323337214147[[#This Row],[Non-Member]]="X"," ",IF(AH10=" "," ",IFERROR(VLOOKUP(AG10,Points!$A$2:$B$14,2,FALSE)," ")))</f>
        <v xml:space="preserve"> </v>
      </c>
      <c r="AJ10" s="93">
        <f>IF(Table622027323337214147[[#This Row],[Non-Member]]="X"," ",((IF(G10=" ",0,G10))+(IF(K10=" ",0,K10))+(IF(O10=" ",0,O10))+(IF(S10=" ",0,S10))+(IF(W10=" ",0,W10))+(IF(AA10=" ",0,AA10))+(IF(AE10=" ",0,AE10))+(IF(AI10=" ",0,AI10))))</f>
        <v>42</v>
      </c>
      <c r="AK10" s="95">
        <f t="shared" si="17"/>
        <v>42</v>
      </c>
      <c r="AL10" s="96">
        <f t="shared" si="18"/>
        <v>6</v>
      </c>
    </row>
    <row r="11" spans="2:38" x14ac:dyDescent="0.25">
      <c r="B11" s="90" t="s">
        <v>257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IF(Table622027323337214147[[#This Row],[Non-Member]]="X"," ",IF(F11=" "," ",IFERROR(VLOOKUP(E11,Points!$A$2:$B$14,2,FALSE)," ")))</f>
        <v xml:space="preserve"> </v>
      </c>
      <c r="H11" s="92">
        <v>19.687999999999999</v>
      </c>
      <c r="I11" s="93">
        <f t="shared" si="2"/>
        <v>7</v>
      </c>
      <c r="J11" s="93" t="str">
        <f t="shared" si="3"/>
        <v xml:space="preserve"> </v>
      </c>
      <c r="K11" s="94" t="str">
        <f>IF(Table622027323337214147[[#This Row],[Non-Member]]="X"," ",IF(J11=" "," ",IFERROR(VLOOKUP(I11,Points!$A$2:$B$14,2,FALSE)," ")))</f>
        <v xml:space="preserve"> </v>
      </c>
      <c r="L11" s="92">
        <v>17.763999999999999</v>
      </c>
      <c r="M11" s="93">
        <f t="shared" si="4"/>
        <v>4</v>
      </c>
      <c r="N11" s="93">
        <f t="shared" si="5"/>
        <v>4</v>
      </c>
      <c r="O11" s="94">
        <f>IF(Table622027323337214147[[#This Row],[Non-Member]]="X"," ",IF(N11=" "," ",IFERROR(VLOOKUP(M11,Points!$A$2:$B$14,2,FALSE)," ")))</f>
        <v>9</v>
      </c>
      <c r="P11" s="92">
        <v>18.221</v>
      </c>
      <c r="Q11" s="93">
        <f t="shared" si="6"/>
        <v>7</v>
      </c>
      <c r="R11" s="93" t="str">
        <f t="shared" si="7"/>
        <v xml:space="preserve"> </v>
      </c>
      <c r="S11" s="94" t="str">
        <f>IF(Table622027323337214147[[#This Row],[Non-Member]]="X"," ",IF(R11=" "," ",IFERROR(VLOOKUP(Q11,Points!$A$2:$B$14,2,FALSE)," ")))</f>
        <v xml:space="preserve"> </v>
      </c>
      <c r="T11" s="92">
        <v>23.466000000000001</v>
      </c>
      <c r="U11" s="93">
        <f t="shared" si="8"/>
        <v>8</v>
      </c>
      <c r="V11" s="93" t="str">
        <f t="shared" si="9"/>
        <v xml:space="preserve"> </v>
      </c>
      <c r="W11" s="99" t="str">
        <f>IF(Table622027323337214147[[#This Row],[Non-Member]]="X"," ",IF(V11=" "," ",IFERROR(VLOOKUP(U11,Points!$A$2:$B$14,2,FALSE)," ")))</f>
        <v xml:space="preserve"> </v>
      </c>
      <c r="X11" s="92">
        <v>18.242000000000001</v>
      </c>
      <c r="Y11" s="93">
        <f t="shared" si="10"/>
        <v>5</v>
      </c>
      <c r="Z11" s="93">
        <f t="shared" si="11"/>
        <v>5</v>
      </c>
      <c r="AA11" s="94">
        <f>IF(Table622027323337214147[[#This Row],[Non-Member]]="X"," ",IF(Z11=" "," ",IFERROR(VLOOKUP(Y11,Points!$A$2:$B$14,2,FALSE)," ")))</f>
        <v>6</v>
      </c>
      <c r="AB11" s="92">
        <v>18.451000000000001</v>
      </c>
      <c r="AC11" s="93">
        <f t="shared" si="12"/>
        <v>5</v>
      </c>
      <c r="AD11" s="93">
        <f t="shared" si="13"/>
        <v>5</v>
      </c>
      <c r="AE11" s="94">
        <f>IF(Table622027323337214147[[#This Row],[Non-Member]]="X"," ",IF(AD11=" "," ",IFERROR(VLOOKUP(AC11,Points!$A$2:$B$14,2,FALSE)," ")))</f>
        <v>6</v>
      </c>
      <c r="AF11" s="92">
        <f t="shared" si="14"/>
        <v>36.692999999999998</v>
      </c>
      <c r="AG11" s="93">
        <f t="shared" si="15"/>
        <v>5</v>
      </c>
      <c r="AH11" s="93">
        <f t="shared" si="16"/>
        <v>5</v>
      </c>
      <c r="AI11" s="94">
        <f>IF(Table622027323337214147[[#This Row],[Non-Member]]="X"," ",IF(AH11=" "," ",IFERROR(VLOOKUP(AG11,Points!$A$2:$B$14,2,FALSE)," ")))</f>
        <v>6</v>
      </c>
      <c r="AJ11" s="93">
        <f>IF(Table622027323337214147[[#This Row],[Non-Member]]="X"," ",((IF(G11=" ",0,G11))+(IF(K11=" ",0,K11))+(IF(O11=" ",0,O11))+(IF(S11=" ",0,S11))+(IF(W11=" ",0,W11))+(IF(AA11=" ",0,AA11))+(IF(AE11=" ",0,AE11))+(IF(AI11=" ",0,AI11))))</f>
        <v>27</v>
      </c>
      <c r="AK11" s="95">
        <f t="shared" si="17"/>
        <v>27</v>
      </c>
      <c r="AL11" s="96">
        <f t="shared" si="18"/>
        <v>7</v>
      </c>
    </row>
    <row r="12" spans="2:38" x14ac:dyDescent="0.25">
      <c r="B12" s="90" t="s">
        <v>264</v>
      </c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IF(Table622027323337214147[[#This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IF(Table622027323337214147[[#This Row],[Non-Member]]="X"," ",IF(J12=" "," ",IFERROR(VLOOKUP(I12,Points!$A$2:$B$14,2,FALSE)," ")))</f>
        <v xml:space="preserve"> </v>
      </c>
      <c r="L12" s="92">
        <v>17.021000000000001</v>
      </c>
      <c r="M12" s="93">
        <f t="shared" si="4"/>
        <v>2</v>
      </c>
      <c r="N12" s="93">
        <f t="shared" si="5"/>
        <v>2</v>
      </c>
      <c r="O12" s="94">
        <f>IF(Table622027323337214147[[#This Row],[Non-Member]]="X"," ",IF(N12=" "," ",IFERROR(VLOOKUP(M12,Points!$A$2:$B$14,2,FALSE)," ")))</f>
        <v>15</v>
      </c>
      <c r="P12" s="92">
        <v>17.495000000000001</v>
      </c>
      <c r="Q12" s="93">
        <f t="shared" si="6"/>
        <v>4</v>
      </c>
      <c r="R12" s="93">
        <f t="shared" si="7"/>
        <v>4</v>
      </c>
      <c r="S12" s="94">
        <f>IF(Table622027323337214147[[#This Row],[Non-Member]]="X"," ",IF(R12=" "," ",IFERROR(VLOOKUP(Q12,Points!$A$2:$B$14,2,FALSE)," ")))</f>
        <v>9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IF(Table622027323337214147[[#This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IF(Table622027323337214147[[#This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IF(Table622027323337214147[[#This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IF(Table622027323337214147[[#This Row],[Non-Member]]="X"," ",IF(AH12=" "," ",IFERROR(VLOOKUP(AG12,Points!$A$2:$B$14,2,FALSE)," ")))</f>
        <v xml:space="preserve"> </v>
      </c>
      <c r="AJ12" s="93">
        <f>IF(Table622027323337214147[[#This Row],[Non-Member]]="X"," ",((IF(G12=" ",0,G12))+(IF(K12=" ",0,K12))+(IF(O12=" ",0,O12))+(IF(S12=" ",0,S12))+(IF(W12=" ",0,W12))+(IF(AA12=" ",0,AA12))+(IF(AE12=" ",0,AE12))+(IF(AI12=" ",0,AI12))))</f>
        <v>24</v>
      </c>
      <c r="AK12" s="95">
        <f t="shared" si="17"/>
        <v>24</v>
      </c>
      <c r="AL12" s="96">
        <f t="shared" si="18"/>
        <v>8</v>
      </c>
    </row>
    <row r="13" spans="2:38" x14ac:dyDescent="0.25">
      <c r="B13" s="90" t="s">
        <v>168</v>
      </c>
      <c r="C13" s="91"/>
      <c r="D13" s="92">
        <v>18.609000000000002</v>
      </c>
      <c r="E13" s="93">
        <f t="shared" si="0"/>
        <v>1</v>
      </c>
      <c r="F13" s="93">
        <f t="shared" si="1"/>
        <v>1</v>
      </c>
      <c r="G13" s="94">
        <f>IF(Table622027323337214147[[#This Row],[Non-Member]]="X"," ",IF(F13=" "," ",IFERROR(VLOOKUP(E13,Points!$A$2:$B$14,2,FALSE)," ")))</f>
        <v>18</v>
      </c>
      <c r="H13" s="92">
        <v>20.608000000000001</v>
      </c>
      <c r="I13" s="93">
        <f t="shared" si="2"/>
        <v>8</v>
      </c>
      <c r="J13" s="93" t="str">
        <f t="shared" si="3"/>
        <v xml:space="preserve"> </v>
      </c>
      <c r="K13" s="94" t="str">
        <f>IF(Table622027323337214147[[#This Row],[Non-Member]]="X"," ",IF(J13=" "," ",IFERROR(VLOOKUP(I13,Points!$A$2:$B$14,2,FALSE)," ")))</f>
        <v xml:space="preserve"> </v>
      </c>
      <c r="L13" s="92">
        <v>19.373999999999999</v>
      </c>
      <c r="M13" s="93">
        <f t="shared" si="4"/>
        <v>8</v>
      </c>
      <c r="N13" s="93" t="str">
        <f t="shared" si="5"/>
        <v xml:space="preserve"> </v>
      </c>
      <c r="O13" s="94" t="str">
        <f>IF(Table622027323337214147[[#This Row],[Non-Member]]="X"," ",IF(N13=" "," ",IFERROR(VLOOKUP(M13,Points!$A$2:$B$14,2,FALSE)," ")))</f>
        <v xml:space="preserve"> </v>
      </c>
      <c r="P13" s="92">
        <v>18.097999999999999</v>
      </c>
      <c r="Q13" s="93">
        <f t="shared" si="6"/>
        <v>6</v>
      </c>
      <c r="R13" s="93">
        <f t="shared" si="7"/>
        <v>6</v>
      </c>
      <c r="S13" s="94">
        <f>IF(Table622027323337214147[[#This Row],[Non-Member]]="X"," ",IF(R13=" "," ",IFERROR(VLOOKUP(Q13,Points!$A$2:$B$14,2,FALSE)," ")))</f>
        <v>3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IF(Table622027323337214147[[#This Row],[Non-Member]]="X"," ",IF(V13=" "," ",IFERROR(VLOOKUP(U13,Points!$A$2:$B$14,2,FALSE)," ")))</f>
        <v xml:space="preserve"> </v>
      </c>
      <c r="X13" s="92">
        <v>0</v>
      </c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IF(Table622027323337214147[[#This Row],[Non-Member]]="X"," ",IF(Z13=" "," ",IFERROR(VLOOKUP(Y13,Points!$A$2:$B$14,2,FALSE)," ")))</f>
        <v xml:space="preserve"> </v>
      </c>
      <c r="AB13" s="92">
        <v>24.841999999999999</v>
      </c>
      <c r="AC13" s="93">
        <f t="shared" si="12"/>
        <v>10</v>
      </c>
      <c r="AD13" s="93" t="str">
        <f t="shared" si="13"/>
        <v xml:space="preserve"> </v>
      </c>
      <c r="AE13" s="94" t="str">
        <f>IF(Table622027323337214147[[#This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IF(Table622027323337214147[[#This Row],[Non-Member]]="X"," ",IF(AH13=" "," ",IFERROR(VLOOKUP(AG13,Points!$A$2:$B$14,2,FALSE)," ")))</f>
        <v xml:space="preserve"> </v>
      </c>
      <c r="AJ13" s="93">
        <f>IF(Table622027323337214147[[#This Row],[Non-Member]]="X"," ",((IF(G13=" ",0,G13))+(IF(K13=" ",0,K13))+(IF(O13=" ",0,O13))+(IF(S13=" ",0,S13))+(IF(W13=" ",0,W13))+(IF(AA13=" ",0,AA13))+(IF(AE13=" ",0,AE13))+(IF(AI13=" ",0,AI13))))</f>
        <v>21</v>
      </c>
      <c r="AK13" s="95">
        <f t="shared" si="17"/>
        <v>21</v>
      </c>
      <c r="AL13" s="96">
        <f t="shared" si="18"/>
        <v>9</v>
      </c>
    </row>
    <row r="14" spans="2:38" x14ac:dyDescent="0.25">
      <c r="B14" s="90" t="s">
        <v>258</v>
      </c>
      <c r="C14" s="91"/>
      <c r="D14" s="92"/>
      <c r="E14" s="93"/>
      <c r="F14" s="93"/>
      <c r="G14" s="94"/>
      <c r="H14" s="92">
        <v>18.084</v>
      </c>
      <c r="I14" s="93">
        <f t="shared" si="2"/>
        <v>1</v>
      </c>
      <c r="J14" s="93">
        <f t="shared" si="3"/>
        <v>1</v>
      </c>
      <c r="K14" s="94">
        <f>IF(Table622027323337214147[[#This Row],[Non-Member]]="X"," ",IF(J14=" "," ",IFERROR(VLOOKUP(I14,Points!$A$2:$B$14,2,FALSE)," ")))</f>
        <v>18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IF(Table622027323337214147[[#This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IF(Table622027323337214147[[#This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IF(Table622027323337214147[[#This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IF(Table622027323337214147[[#This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IF(Table622027323337214147[[#This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IF(Table622027323337214147[[#This Row],[Non-Member]]="X"," ",IF(AH14=" "," ",IFERROR(VLOOKUP(AG14,Points!$A$2:$B$14,2,FALSE)," ")))</f>
        <v xml:space="preserve"> </v>
      </c>
      <c r="AJ14" s="93">
        <f>IF(Table622027323337214147[[#This Row],[Non-Member]]="X"," ",((IF(G14=" ",0,G14))+(IF(K14=" ",0,K14))+(IF(O14=" ",0,O14))+(IF(S14=" ",0,S14))+(IF(W14=" ",0,W14))+(IF(AA14=" ",0,AA14))+(IF(AE14=" ",0,AE14))+(IF(AI14=" ",0,AI14))))</f>
        <v>18</v>
      </c>
      <c r="AK14" s="95">
        <f t="shared" si="17"/>
        <v>18</v>
      </c>
      <c r="AL14" s="96">
        <f t="shared" si="18"/>
        <v>10</v>
      </c>
    </row>
    <row r="15" spans="2:38" x14ac:dyDescent="0.25">
      <c r="B15" s="90" t="s">
        <v>169</v>
      </c>
      <c r="C15" s="91"/>
      <c r="D15" s="92">
        <v>24.408000000000001</v>
      </c>
      <c r="E15" s="93">
        <f t="shared" ref="E15:E24" si="19">IF(D15=0," ",_xlfn.RANK.AVG(D15,D$5:D$24,1)-COUNTIF(D$5:D$24,0))</f>
        <v>7</v>
      </c>
      <c r="F15" s="93" t="str">
        <f t="shared" ref="F15:F24" si="20">IF(D15=0," ",IF((RANK(D15,D$5:D$24,1)-COUNTIF(D$5:D$24,0)&gt;6)," ",RANK(D15,D$5:D$24,1)-COUNTIF(D$5:D$24,0)))</f>
        <v xml:space="preserve"> </v>
      </c>
      <c r="G15" s="94" t="str">
        <f>IF(Table622027323337214147[[#This Row],[Non-Member]]="X"," ",IF(F15=" "," ",IFERROR(VLOOKUP(E15,Points!$A$2:$B$14,2,FALSE)," ")))</f>
        <v xml:space="preserve"> </v>
      </c>
      <c r="H15" s="92">
        <v>19.042999999999999</v>
      </c>
      <c r="I15" s="93">
        <f t="shared" si="2"/>
        <v>4</v>
      </c>
      <c r="J15" s="93">
        <f t="shared" si="3"/>
        <v>4</v>
      </c>
      <c r="K15" s="94">
        <f>IF(Table622027323337214147[[#This Row],[Non-Member]]="X"," ",IF(J15=" "," ",IFERROR(VLOOKUP(I15,Points!$A$2:$B$14,2,FALSE)," ")))</f>
        <v>9</v>
      </c>
      <c r="L15" s="92">
        <v>18.643999999999998</v>
      </c>
      <c r="M15" s="93">
        <f t="shared" si="4"/>
        <v>6</v>
      </c>
      <c r="N15" s="93">
        <f t="shared" si="5"/>
        <v>6</v>
      </c>
      <c r="O15" s="94">
        <f>IF(Table622027323337214147[[#This Row],[Non-Member]]="X"," ",IF(N15=" "," ",IFERROR(VLOOKUP(M15,Points!$A$2:$B$14,2,FALSE)," ")))</f>
        <v>3</v>
      </c>
      <c r="P15" s="92">
        <v>23.218</v>
      </c>
      <c r="Q15" s="93">
        <f t="shared" si="6"/>
        <v>12</v>
      </c>
      <c r="R15" s="93" t="str">
        <f t="shared" si="7"/>
        <v xml:space="preserve"> </v>
      </c>
      <c r="S15" s="94" t="str">
        <f>IF(Table622027323337214147[[#This Row],[Non-Member]]="X"," ",IF(R15=" "," ",IFERROR(VLOOKUP(Q15,Points!$A$2:$B$14,2,FALSE)," ")))</f>
        <v xml:space="preserve"> </v>
      </c>
      <c r="T15" s="92">
        <v>23.372</v>
      </c>
      <c r="U15" s="93">
        <f t="shared" si="8"/>
        <v>7</v>
      </c>
      <c r="V15" s="93" t="str">
        <f t="shared" si="9"/>
        <v xml:space="preserve"> </v>
      </c>
      <c r="W15" s="94" t="str">
        <f>IF(Table622027323337214147[[#This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IF(Table622027323337214147[[#This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IF(Table622027323337214147[[#This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IF(Table622027323337214147[[#This Row],[Non-Member]]="X"," ",IF(AH15=" "," ",IFERROR(VLOOKUP(AG15,Points!$A$2:$B$14,2,FALSE)," ")))</f>
        <v xml:space="preserve"> </v>
      </c>
      <c r="AJ15" s="93">
        <f>IF(Table622027323337214147[[#This Row],[Non-Member]]="X"," ",((IF(G15=" ",0,G15))+(IF(K15=" ",0,K15))+(IF(O15=" ",0,O15))+(IF(S15=" ",0,S15))+(IF(W15=" ",0,W15))+(IF(AA15=" ",0,AA15))+(IF(AE15=" ",0,AE15))+(IF(AI15=" ",0,AI15))))</f>
        <v>12</v>
      </c>
      <c r="AK15" s="95">
        <f t="shared" si="17"/>
        <v>12</v>
      </c>
      <c r="AL15" s="96">
        <f t="shared" si="18"/>
        <v>11</v>
      </c>
    </row>
    <row r="16" spans="2:38" x14ac:dyDescent="0.25">
      <c r="B16" s="90" t="s">
        <v>260</v>
      </c>
      <c r="C16" s="91"/>
      <c r="D16" s="92"/>
      <c r="E16" s="93" t="str">
        <f t="shared" si="19"/>
        <v xml:space="preserve"> </v>
      </c>
      <c r="F16" s="93" t="str">
        <f t="shared" si="20"/>
        <v xml:space="preserve"> </v>
      </c>
      <c r="G16" s="94" t="str">
        <f>IF(Table622027323337214147[[#This Row],[Non-Member]]="X"," ",IF(F16=" "," ",IFERROR(VLOOKUP(E16,Points!$A$2:$B$14,2,FALSE)," ")))</f>
        <v xml:space="preserve"> </v>
      </c>
      <c r="H16" s="92">
        <v>18.946000000000002</v>
      </c>
      <c r="I16" s="93">
        <f t="shared" si="2"/>
        <v>3</v>
      </c>
      <c r="J16" s="93">
        <f t="shared" si="3"/>
        <v>3</v>
      </c>
      <c r="K16" s="94">
        <f>IF(Table622027323337214147[[#This Row],[Non-Member]]="X"," ",IF(J16=" "," ",IFERROR(VLOOKUP(I16,Points!$A$2:$B$14,2,FALSE)," ")))</f>
        <v>12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IF(Table622027323337214147[[#This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IF(Table622027323337214147[[#This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IF(Table622027323337214147[[#This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IF(Table622027323337214147[[#This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IF(Table622027323337214147[[#This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IF(Table622027323337214147[[#This Row],[Non-Member]]="X"," ",IF(AH16=" "," ",IFERROR(VLOOKUP(AG16,Points!$A$2:$B$14,2,FALSE)," ")))</f>
        <v xml:space="preserve"> </v>
      </c>
      <c r="AJ16" s="93">
        <f>IF(Table622027323337214147[[#This Row],[Non-Member]]="X"," ",((IF(G16=" ",0,G16))+(IF(K16=" ",0,K16))+(IF(O16=" ",0,O16))+(IF(S16=" ",0,S16))+(IF(W16=" ",0,W16))+(IF(AA16=" ",0,AA16))+(IF(AE16=" ",0,AE16))+(IF(AI16=" ",0,AI16))))</f>
        <v>12</v>
      </c>
      <c r="AK16" s="95">
        <f t="shared" si="17"/>
        <v>12</v>
      </c>
      <c r="AL16" s="96">
        <f t="shared" si="18"/>
        <v>11</v>
      </c>
    </row>
    <row r="17" spans="2:38" x14ac:dyDescent="0.25">
      <c r="B17" s="90" t="s">
        <v>186</v>
      </c>
      <c r="C17" s="91"/>
      <c r="D17" s="92">
        <v>23.495000000000001</v>
      </c>
      <c r="E17" s="93">
        <f t="shared" si="19"/>
        <v>6</v>
      </c>
      <c r="F17" s="93">
        <f t="shared" si="20"/>
        <v>6</v>
      </c>
      <c r="G17" s="94">
        <f>IF(Table622027323337214147[[#This Row],[Non-Member]]="X"," ",IF(F17=" "," ",IFERROR(VLOOKUP(E17,Points!$A$2:$B$14,2,FALSE)," ")))</f>
        <v>3</v>
      </c>
      <c r="H17" s="92">
        <v>20.827000000000002</v>
      </c>
      <c r="I17" s="93">
        <f t="shared" si="2"/>
        <v>9</v>
      </c>
      <c r="J17" s="93" t="str">
        <f t="shared" si="3"/>
        <v xml:space="preserve"> </v>
      </c>
      <c r="K17" s="94" t="str">
        <f>IF(Table622027323337214147[[#This Row],[Non-Member]]="X"," ",IF(J17=" "," ",IFERROR(VLOOKUP(I17,Points!$A$2:$B$14,2,FALSE)," ")))</f>
        <v xml:space="preserve"> </v>
      </c>
      <c r="L17" s="92">
        <v>19.452999999999999</v>
      </c>
      <c r="M17" s="93">
        <f t="shared" si="4"/>
        <v>9</v>
      </c>
      <c r="N17" s="93" t="str">
        <f t="shared" si="5"/>
        <v xml:space="preserve"> </v>
      </c>
      <c r="O17" s="94" t="str">
        <f>IF(Table622027323337214147[[#This Row],[Non-Member]]="X"," ",IF(N17=" "," ",IFERROR(VLOOKUP(M17,Points!$A$2:$B$14,2,FALSE)," ")))</f>
        <v xml:space="preserve"> </v>
      </c>
      <c r="P17" s="92">
        <v>18.486000000000001</v>
      </c>
      <c r="Q17" s="93">
        <f t="shared" si="6"/>
        <v>8</v>
      </c>
      <c r="R17" s="93" t="str">
        <f t="shared" si="7"/>
        <v xml:space="preserve"> </v>
      </c>
      <c r="S17" s="94" t="str">
        <f>IF(Table622027323337214147[[#This Row],[Non-Member]]="X"," ",IF(R17=" "," ",IFERROR(VLOOKUP(Q17,Points!$A$2:$B$14,2,FALSE)," ")))</f>
        <v xml:space="preserve"> </v>
      </c>
      <c r="T17" s="92">
        <v>19.097999999999999</v>
      </c>
      <c r="U17" s="93">
        <f t="shared" si="8"/>
        <v>4</v>
      </c>
      <c r="V17" s="93">
        <f t="shared" si="9"/>
        <v>4</v>
      </c>
      <c r="W17" s="94">
        <f>IF(Table622027323337214147[[#This Row],[Non-Member]]="X"," ",IF(V17=" "," ",IFERROR(VLOOKUP(U17,Points!$A$2:$B$14,2,FALSE)," ")))</f>
        <v>9</v>
      </c>
      <c r="X17" s="92">
        <v>20.074999999999999</v>
      </c>
      <c r="Y17" s="93">
        <f t="shared" si="10"/>
        <v>8</v>
      </c>
      <c r="Z17" s="93" t="str">
        <f t="shared" si="11"/>
        <v xml:space="preserve"> </v>
      </c>
      <c r="AA17" s="94" t="str">
        <f>IF(Table622027323337214147[[#This Row],[Non-Member]]="X"," ",IF(Z17=" "," ",IFERROR(VLOOKUP(Y17,Points!$A$2:$B$14,2,FALSE)," ")))</f>
        <v xml:space="preserve"> </v>
      </c>
      <c r="AB17" s="92">
        <v>20.167000000000002</v>
      </c>
      <c r="AC17" s="93">
        <f t="shared" si="12"/>
        <v>8</v>
      </c>
      <c r="AD17" s="93" t="str">
        <f t="shared" si="13"/>
        <v xml:space="preserve"> </v>
      </c>
      <c r="AE17" s="94" t="str">
        <f>IF(Table622027323337214147[[#This Row],[Non-Member]]="X"," ",IF(AD17=" "," ",IFERROR(VLOOKUP(AC17,Points!$A$2:$B$14,2,FALSE)," ")))</f>
        <v xml:space="preserve"> </v>
      </c>
      <c r="AF17" s="92">
        <f t="shared" si="14"/>
        <v>40.242000000000004</v>
      </c>
      <c r="AG17" s="93">
        <f t="shared" si="15"/>
        <v>8</v>
      </c>
      <c r="AH17" s="93" t="str">
        <f t="shared" si="16"/>
        <v xml:space="preserve"> </v>
      </c>
      <c r="AI17" s="94" t="str">
        <f>IF(Table622027323337214147[[#This Row],[Non-Member]]="X"," ",IF(AH17=" "," ",IFERROR(VLOOKUP(AG17,Points!$A$2:$B$14,2,FALSE)," ")))</f>
        <v xml:space="preserve"> </v>
      </c>
      <c r="AJ17" s="93">
        <f>IF(Table622027323337214147[[#This Row],[Non-Member]]="X"," ",((IF(G17=" ",0,G17))+(IF(K17=" ",0,K17))+(IF(O17=" ",0,O17))+(IF(S17=" ",0,S17))+(IF(W17=" ",0,W17))+(IF(AA17=" ",0,AA17))+(IF(AE17=" ",0,AE17))+(IF(AI17=" ",0,AI17))))</f>
        <v>12</v>
      </c>
      <c r="AK17" s="95">
        <f t="shared" si="17"/>
        <v>12</v>
      </c>
      <c r="AL17" s="96">
        <f t="shared" si="18"/>
        <v>11</v>
      </c>
    </row>
    <row r="18" spans="2:38" x14ac:dyDescent="0.25">
      <c r="B18" s="90" t="s">
        <v>167</v>
      </c>
      <c r="C18" s="91"/>
      <c r="D18" s="92">
        <v>31.637</v>
      </c>
      <c r="E18" s="97">
        <f t="shared" si="19"/>
        <v>10</v>
      </c>
      <c r="F18" s="97" t="str">
        <f t="shared" si="20"/>
        <v xml:space="preserve"> </v>
      </c>
      <c r="G18" s="94" t="str">
        <f>IF(Table622027323337214147[[#This Row],[Non-Member]]="X"," ",IF(F18=" "," ",IFERROR(VLOOKUP(E18,Points!$A$2:$B$14,2,FALSE)," ")))</f>
        <v xml:space="preserve"> </v>
      </c>
      <c r="H18" s="92">
        <v>27.221</v>
      </c>
      <c r="I18" s="97">
        <f t="shared" si="2"/>
        <v>12</v>
      </c>
      <c r="J18" s="97" t="str">
        <f t="shared" si="3"/>
        <v xml:space="preserve"> </v>
      </c>
      <c r="K18" s="94" t="str">
        <f>IF(Table622027323337214147[[#This Row],[Non-Member]]="X"," ",IF(J18=" "," ",IFERROR(VLOOKUP(I18,Points!$A$2:$B$14,2,FALSE)," ")))</f>
        <v xml:space="preserve"> </v>
      </c>
      <c r="L18" s="92">
        <v>20.349</v>
      </c>
      <c r="M18" s="97">
        <f t="shared" si="4"/>
        <v>10</v>
      </c>
      <c r="N18" s="97" t="str">
        <f t="shared" si="5"/>
        <v xml:space="preserve"> </v>
      </c>
      <c r="O18" s="94" t="str">
        <f>IF(Table622027323337214147[[#This Row],[Non-Member]]="X"," ",IF(N18=" "," ",IFERROR(VLOOKUP(M18,Points!$A$2:$B$14,2,FALSE)," ")))</f>
        <v xml:space="preserve"> </v>
      </c>
      <c r="P18" s="92">
        <v>19.896000000000001</v>
      </c>
      <c r="Q18" s="97">
        <f t="shared" si="6"/>
        <v>9</v>
      </c>
      <c r="R18" s="97" t="str">
        <f t="shared" si="7"/>
        <v xml:space="preserve"> </v>
      </c>
      <c r="S18" s="94" t="str">
        <f>IF(Table622027323337214147[[#This Row],[Non-Member]]="X"," ",IF(R18=" "," ",IFERROR(VLOOKUP(Q18,Points!$A$2:$B$14,2,FALSE)," ")))</f>
        <v xml:space="preserve"> </v>
      </c>
      <c r="T18" s="92">
        <v>20.757000000000001</v>
      </c>
      <c r="U18" s="97">
        <f t="shared" si="8"/>
        <v>5</v>
      </c>
      <c r="V18" s="97">
        <f t="shared" si="9"/>
        <v>5</v>
      </c>
      <c r="W18" s="94">
        <f>IF(Table622027323337214147[[#This Row],[Non-Member]]="X"," ",IF(V18=" "," ",IFERROR(VLOOKUP(U18,Points!$A$2:$B$14,2,FALSE)," ")))</f>
        <v>6</v>
      </c>
      <c r="X18" s="92">
        <v>20.632999999999999</v>
      </c>
      <c r="Y18" s="97">
        <f t="shared" si="10"/>
        <v>9</v>
      </c>
      <c r="Z18" s="97" t="str">
        <f t="shared" si="11"/>
        <v xml:space="preserve"> </v>
      </c>
      <c r="AA18" s="94" t="str">
        <f>IF(Table622027323337214147[[#This Row],[Non-Member]]="X"," ",IF(Z18=" "," ",IFERROR(VLOOKUP(Y18,Points!$A$2:$B$14,2,FALSE)," ")))</f>
        <v xml:space="preserve"> </v>
      </c>
      <c r="AB18" s="92">
        <v>20.489000000000001</v>
      </c>
      <c r="AC18" s="97">
        <f t="shared" si="12"/>
        <v>9</v>
      </c>
      <c r="AD18" s="97" t="str">
        <f t="shared" si="13"/>
        <v xml:space="preserve"> </v>
      </c>
      <c r="AE18" s="94" t="str">
        <f>IF(Table622027323337214147[[#This Row],[Non-Member]]="X"," ",IF(AD18=" "," ",IFERROR(VLOOKUP(AC18,Points!$A$2:$B$14,2,FALSE)," ")))</f>
        <v xml:space="preserve"> </v>
      </c>
      <c r="AF18" s="92">
        <f t="shared" si="14"/>
        <v>41.122</v>
      </c>
      <c r="AG18" s="97">
        <f t="shared" si="15"/>
        <v>9</v>
      </c>
      <c r="AH18" s="97" t="str">
        <f t="shared" si="16"/>
        <v xml:space="preserve"> </v>
      </c>
      <c r="AI18" s="94" t="str">
        <f>IF(Table622027323337214147[[#This Row],[Non-Member]]="X"," ",IF(AH18=" "," ",IFERROR(VLOOKUP(AG18,Points!$A$2:$B$14,2,FALSE)," ")))</f>
        <v xml:space="preserve"> </v>
      </c>
      <c r="AJ18" s="97">
        <f>IF(Table622027323337214147[[#This Row],[Non-Member]]="X"," ",((IF(G18=" ",0,G18))+(IF(K18=" ",0,K18))+(IF(O18=" ",0,O18))+(IF(S18=" ",0,S18))+(IF(W18=" ",0,W18))+(IF(AA18=" ",0,AA18))+(IF(AE18=" ",0,AE18))+(IF(AI18=" ",0,AI18))))</f>
        <v>6</v>
      </c>
      <c r="AK18" s="95">
        <f t="shared" si="17"/>
        <v>6</v>
      </c>
      <c r="AL18" s="98">
        <f t="shared" si="18"/>
        <v>14</v>
      </c>
    </row>
    <row r="19" spans="2:38" x14ac:dyDescent="0.25">
      <c r="B19" s="90" t="s">
        <v>165</v>
      </c>
      <c r="C19" s="91"/>
      <c r="D19" s="92">
        <v>27.658000000000001</v>
      </c>
      <c r="E19" s="93">
        <f t="shared" si="19"/>
        <v>9</v>
      </c>
      <c r="F19" s="93" t="str">
        <f t="shared" si="20"/>
        <v xml:space="preserve"> </v>
      </c>
      <c r="G19" s="94" t="str">
        <f>IF(Table622027323337214147[[#This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IF(Table622027323337214147[[#This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IF(Table622027323337214147[[#This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IF(Table622027323337214147[[#This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IF(Table622027323337214147[[#This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IF(Table622027323337214147[[#This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IF(Table622027323337214147[[#This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IF(Table622027323337214147[[#This Row],[Non-Member]]="X"," ",IF(AH19=" "," ",IFERROR(VLOOKUP(AG19,Points!$A$2:$B$14,2,FALSE)," ")))</f>
        <v xml:space="preserve"> </v>
      </c>
      <c r="AJ19" s="93">
        <f>IF(Table622027323337214147[[#This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 t="s">
        <v>187</v>
      </c>
      <c r="C20" s="91"/>
      <c r="D20" s="92">
        <v>25.143000000000001</v>
      </c>
      <c r="E20" s="97">
        <f t="shared" si="19"/>
        <v>8</v>
      </c>
      <c r="F20" s="97" t="str">
        <f t="shared" si="20"/>
        <v xml:space="preserve"> </v>
      </c>
      <c r="G20" s="94" t="str">
        <f>IF(Table622027323337214147[[#This Row],[Non-Member]]="X"," ",IF(F20=" "," ",IFERROR(VLOOKUP(E20,Points!$A$2:$B$14,2,FALSE)," ")))</f>
        <v xml:space="preserve"> </v>
      </c>
      <c r="H20" s="92">
        <v>23.414000000000001</v>
      </c>
      <c r="I20" s="97">
        <f t="shared" si="2"/>
        <v>11</v>
      </c>
      <c r="J20" s="97" t="str">
        <f t="shared" si="3"/>
        <v xml:space="preserve"> </v>
      </c>
      <c r="K20" s="94" t="str">
        <f>IF(Table622027323337214147[[#This Row],[Non-Member]]="X"," ",IF(J20=" "," ",IFERROR(VLOOKUP(I20,Points!$A$2:$B$14,2,FALSE)," ")))</f>
        <v xml:space="preserve"> </v>
      </c>
      <c r="L20" s="92"/>
      <c r="M20" s="97" t="str">
        <f t="shared" si="4"/>
        <v xml:space="preserve"> </v>
      </c>
      <c r="N20" s="97" t="str">
        <f t="shared" si="5"/>
        <v xml:space="preserve"> </v>
      </c>
      <c r="O20" s="94" t="str">
        <f>IF(Table622027323337214147[[#This Row],[Non-Member]]="X"," ",IF(N20=" "," ",IFERROR(VLOOKUP(M20,Points!$A$2:$B$14,2,FALSE)," ")))</f>
        <v xml:space="preserve"> </v>
      </c>
      <c r="P20" s="92">
        <v>20.457000000000001</v>
      </c>
      <c r="Q20" s="97">
        <f t="shared" si="6"/>
        <v>10</v>
      </c>
      <c r="R20" s="97" t="str">
        <f t="shared" si="7"/>
        <v xml:space="preserve"> </v>
      </c>
      <c r="S20" s="94" t="str">
        <f>IF(Table622027323337214147[[#This Row],[Non-Member]]="X"," ",IF(R20=" "," ",IFERROR(VLOOKUP(Q20,Points!$A$2:$B$14,2,FALSE)," ")))</f>
        <v xml:space="preserve"> </v>
      </c>
      <c r="T20" s="92"/>
      <c r="U20" s="97" t="str">
        <f t="shared" si="8"/>
        <v xml:space="preserve"> </v>
      </c>
      <c r="V20" s="97" t="str">
        <f t="shared" si="9"/>
        <v xml:space="preserve"> </v>
      </c>
      <c r="W20" s="94" t="str">
        <f>IF(Table622027323337214147[[#This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IF(Table622027323337214147[[#This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IF(Table622027323337214147[[#This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7" t="str">
        <f t="shared" si="15"/>
        <v xml:space="preserve"> </v>
      </c>
      <c r="AH20" s="97" t="str">
        <f t="shared" si="16"/>
        <v xml:space="preserve"> </v>
      </c>
      <c r="AI20" s="94" t="str">
        <f>IF(Table622027323337214147[[#This Row],[Non-Member]]="X"," ",IF(AH20=" "," ",IFERROR(VLOOKUP(AG20,Points!$A$2:$B$14,2,FALSE)," ")))</f>
        <v xml:space="preserve"> </v>
      </c>
      <c r="AJ20" s="97">
        <f>IF(Table622027323337214147[[#This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25">
      <c r="B21" s="90"/>
      <c r="C21" s="91"/>
      <c r="D21" s="92"/>
      <c r="E21" s="93" t="str">
        <f t="shared" si="19"/>
        <v xml:space="preserve"> </v>
      </c>
      <c r="F21" s="93" t="str">
        <f t="shared" si="20"/>
        <v xml:space="preserve"> </v>
      </c>
      <c r="G21" s="94" t="str">
        <f>IF(Table622027323337214147[[#This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IF(Table622027323337214147[[#This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IF(Table622027323337214147[[#This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IF(Table622027323337214147[[#This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IF(Table622027323337214147[[#This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IF(Table622027323337214147[[#This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IF(Table622027323337214147[[#This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IF(Table622027323337214147[[#This Row],[Non-Member]]="X"," ",IF(AH21=" "," ",IFERROR(VLOOKUP(AG21,Points!$A$2:$B$14,2,FALSE)," ")))</f>
        <v xml:space="preserve"> </v>
      </c>
      <c r="AJ21" s="93">
        <f>IF(Table622027323337214147[[#This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92"/>
      <c r="E22" s="93" t="str">
        <f t="shared" si="19"/>
        <v xml:space="preserve"> </v>
      </c>
      <c r="F22" s="93" t="str">
        <f t="shared" si="20"/>
        <v xml:space="preserve"> </v>
      </c>
      <c r="G22" s="94" t="str">
        <f>IF(Table622027323337214147[[#This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IF(Table622027323337214147[[#This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IF(Table622027323337214147[[#This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IF(Table622027323337214147[[#This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IF(Table622027323337214147[[#This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IF(Table622027323337214147[[#This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IF(Table622027323337214147[[#This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IF(Table622027323337214147[[#This Row],[Non-Member]]="X"," ",IF(AH22=" "," ",IFERROR(VLOOKUP(AG22,Points!$A$2:$B$14,2,FALSE)," ")))</f>
        <v xml:space="preserve"> </v>
      </c>
      <c r="AJ22" s="93">
        <f>IF(Table622027323337214147[[#This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92"/>
      <c r="E23" s="93" t="str">
        <f t="shared" si="19"/>
        <v xml:space="preserve"> </v>
      </c>
      <c r="F23" s="93" t="str">
        <f t="shared" si="20"/>
        <v xml:space="preserve"> </v>
      </c>
      <c r="G23" s="94" t="str">
        <f>IF(Table622027323337214147[[#This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IF(Table622027323337214147[[#This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IF(Table622027323337214147[[#This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IF(Table622027323337214147[[#This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IF(Table622027323337214147[[#This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IF(Table622027323337214147[[#This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IF(Table622027323337214147[[#This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IF(Table622027323337214147[[#This Row],[Non-Member]]="X"," ",IF(AH23=" "," ",IFERROR(VLOOKUP(AG23,Points!$A$2:$B$14,2,FALSE)," ")))</f>
        <v xml:space="preserve"> </v>
      </c>
      <c r="AJ23" s="93">
        <f>IF(Table622027323337214147[[#This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19"/>
        <v xml:space="preserve"> </v>
      </c>
      <c r="F24" s="103" t="str">
        <f t="shared" si="20"/>
        <v xml:space="preserve"> </v>
      </c>
      <c r="G24" s="104" t="str">
        <f>IF(Table622027323337214147[[#This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IF(Table622027323337214147[[#This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IF(Table622027323337214147[[#This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IF(Table622027323337214147[[#This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IF(Table622027323337214147[[#This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IF(Table622027323337214147[[#This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IF(Table622027323337214147[[#This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IF(Table622027323337214147[[#This Row],[Non-Member]]="X"," ",IF(AH24=" "," ",IFERROR(VLOOKUP(AG24,Points!$A$2:$B$14,2,FALSE)," ")))</f>
        <v xml:space="preserve"> </v>
      </c>
      <c r="AJ24" s="93">
        <f>IF(Table622027323337214147[[#This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4IGe5VwHL9zXj4GZTCvAl/6HInG9BcsPBBJXPNe14OW67Aziw0ApqabT2X//PCA3CxHhLhtM7NgHDTOvv//rZA==" saltValue="a1Qwys1DyYyjKjCSG2bQ9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5E8CF-B318-4C2B-B87E-1794C0CC35E2}">
  <sheetPr codeName="Sheet77">
    <tabColor theme="8" tint="0.79998168889431442"/>
    <pageSetUpPr fitToPage="1"/>
  </sheetPr>
  <dimension ref="B1:AC28"/>
  <sheetViews>
    <sheetView showGridLines="0" workbookViewId="0">
      <pane xSplit="2" topLeftCell="D1" activePane="topRight" state="frozen"/>
      <selection activeCell="K33" sqref="K33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47" style="62" customWidth="1"/>
    <col min="3" max="3" width="11.6640625" style="60" hidden="1" customWidth="1"/>
    <col min="4" max="4" width="11.6640625" style="60" customWidth="1"/>
    <col min="5" max="5" width="11.6640625" style="57" customWidth="1"/>
    <col min="6" max="6" width="11.6640625" style="60" hidden="1" customWidth="1"/>
    <col min="7" max="7" width="11.6640625" style="60" customWidth="1"/>
    <col min="8" max="8" width="11.6640625" style="57" customWidth="1"/>
    <col min="9" max="9" width="11.6640625" style="60" hidden="1" customWidth="1"/>
    <col min="10" max="10" width="11.6640625" style="60" customWidth="1"/>
    <col min="11" max="11" width="11.6640625" style="57" customWidth="1"/>
    <col min="12" max="12" width="11.6640625" style="60" hidden="1" customWidth="1"/>
    <col min="13" max="13" width="11.6640625" style="60" customWidth="1"/>
    <col min="14" max="14" width="11.6640625" style="57" customWidth="1"/>
    <col min="15" max="15" width="11.6640625" style="60" hidden="1" customWidth="1"/>
    <col min="16" max="16" width="11.6640625" style="60" customWidth="1"/>
    <col min="17" max="17" width="11.6640625" style="57" customWidth="1"/>
    <col min="18" max="18" width="11.6640625" style="60" hidden="1" customWidth="1"/>
    <col min="19" max="19" width="11.6640625" style="60" customWidth="1"/>
    <col min="20" max="20" width="11.6640625" style="57" customWidth="1"/>
    <col min="21" max="21" width="11.6640625" style="60" hidden="1" customWidth="1"/>
    <col min="22" max="22" width="11.6640625" style="60" customWidth="1"/>
    <col min="23" max="23" width="11.6640625" style="57" customWidth="1"/>
    <col min="24" max="24" width="11.6640625" style="60" hidden="1" customWidth="1"/>
    <col min="25" max="25" width="11.6640625" style="60" customWidth="1"/>
    <col min="26" max="26" width="11.6640625" style="57" customWidth="1"/>
    <col min="27" max="27" width="11.6640625" style="60" hidden="1" customWidth="1"/>
    <col min="28" max="28" width="11.6640625" style="60" customWidth="1"/>
    <col min="29" max="29" width="11.6640625" style="57" customWidth="1"/>
    <col min="30" max="16384" width="9.109375" style="62"/>
  </cols>
  <sheetData>
    <row r="1" spans="2:29" ht="18" thickBot="1" x14ac:dyDescent="0.35">
      <c r="B1" s="54"/>
    </row>
    <row r="2" spans="2:29" s="64" customFormat="1" ht="17.399999999999999" x14ac:dyDescent="0.3">
      <c r="B2" s="139" t="s">
        <v>113</v>
      </c>
      <c r="C2" s="165">
        <v>43590</v>
      </c>
      <c r="D2" s="166"/>
      <c r="E2" s="167"/>
      <c r="F2" s="166">
        <v>43632</v>
      </c>
      <c r="G2" s="166"/>
      <c r="H2" s="167"/>
      <c r="I2" s="166">
        <v>43659</v>
      </c>
      <c r="J2" s="166"/>
      <c r="K2" s="167"/>
      <c r="L2" s="166">
        <v>43660</v>
      </c>
      <c r="M2" s="166"/>
      <c r="N2" s="167"/>
      <c r="O2" s="166">
        <v>43681</v>
      </c>
      <c r="P2" s="166"/>
      <c r="Q2" s="167"/>
      <c r="R2" s="166" t="s">
        <v>183</v>
      </c>
      <c r="S2" s="166"/>
      <c r="T2" s="167"/>
      <c r="U2" s="166" t="s">
        <v>184</v>
      </c>
      <c r="V2" s="166"/>
      <c r="W2" s="167"/>
      <c r="X2" s="166" t="s">
        <v>3</v>
      </c>
      <c r="Y2" s="166"/>
      <c r="Z2" s="167"/>
      <c r="AA2" s="166" t="s">
        <v>4</v>
      </c>
      <c r="AB2" s="166"/>
      <c r="AC2" s="167"/>
    </row>
    <row r="3" spans="2:29" s="74" customFormat="1" ht="14.4" thickBot="1" x14ac:dyDescent="0.3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3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25">
      <c r="B5" s="140" t="s">
        <v>158</v>
      </c>
      <c r="C5" s="118">
        <f>IFERROR(IF(VLOOKUP($B5,'JR G-Breakaway'!$B$5:$AI$24,6,FALSE)=" ",0,VLOOKUP($B5,'JR G-Breakaway'!$B$5:$AI$24,6,FALSE)),0)+IFERROR(IF(VLOOKUP($B5,'JR G-Barrels'!$B$5:$AI$24,6,FALSE)=" ",0,VLOOKUP($B5,'JR G-Barrels'!$B$5:$AI$24,6,FALSE)),0)+IFERROR(IF(VLOOKUP($B5,'JR G-Poles'!$B$5:$AI$24,6,FALSE)=" ",0,VLOOKUP($B5,'JR G-Poles'!$B$5:$AI$24,6,FALSE)),0)+IFERROR(IF(VLOOKUP($B5,'JR G-Goats'!$B$5:$AI$24,6,FALSE)=" ",0,VLOOKUP($B5,'JR G-Goats'!$B$5:$AI$24,6,FALSE)),0)+IFERROR(IF(VLOOKUP($B5,'JR-Team Roping-Header'!$B$5:$N$24,3,FALSE)=" ",0,VLOOKUP($B5,'JR-Team Roping-Header'!$B$5:$N$24,3,FALSE)),0)+IFERROR(IF(VLOOKUP($B5,'JR-Team Roping-Heeler'!$B$5:$N$24,3,FALSE)=" ",0,VLOOKUP($B5,'JR-Team Roping-Heeler'!$B$5:$N$24,3,FALSE)),0)</f>
        <v>63</v>
      </c>
      <c r="D5" s="88">
        <f t="shared" ref="D5:D24" si="0">IF(C5&gt;0,C5," ")</f>
        <v>63</v>
      </c>
      <c r="E5" s="84">
        <f t="shared" ref="E5:E24" si="1">IF(C5=0," ",RANK(C5,C$5:C$24,0))</f>
        <v>1</v>
      </c>
      <c r="F5" s="119">
        <f>IFERROR(IF(VLOOKUP($B5,'JR G-Breakaway'!$B$5:$AI$24,10,FALSE)=" ",0,VLOOKUP($B5,'JR G-Breakaway'!$B$5:$AI$24,10,FALSE)),0)+IFERROR(IF(VLOOKUP($B5,'JR G-Barrels'!$B$5:$AI$24,10,FALSE)=" ",0,VLOOKUP($B5,'JR G-Barrels'!$B$5:$AI$24,10,FALSE)),0)+IFERROR(IF(VLOOKUP($B5,'JR G-Poles'!$B$5:$AI$24,10,FALSE)=" ",0,VLOOKUP($B5,'JR G-Poles'!$B$5:$AI$24,10,FALSE)),0)+IFERROR(IF(VLOOKUP($B5,'JR G-Goats'!$B$5:$AI$24,10,FALSE)=" ",0,VLOOKUP($B5,'JR G-Goats'!$B$5:$AI$24,10,FALSE)),0)+IFERROR(IF(VLOOKUP($B5,'JR-Team Roping-Header'!$B$5:$N$24,4,FALSE)=" ",0,VLOOKUP($B5,'JR-Team Roping-Header'!$B$5:$N$24,4,FALSE)),0)+IFERROR(IF(VLOOKUP($B5,'JR-Team Roping-Heeler'!$B$5:$N$24,4,FALSE)=" ",0,VLOOKUP($B5,'JR-Team Roping-Heeler'!$B$5:$N$24,4,FALSE)),0)</f>
        <v>36</v>
      </c>
      <c r="G5" s="88">
        <f t="shared" ref="G5:G24" si="2">IF(F5&gt;0,F5," ")</f>
        <v>36</v>
      </c>
      <c r="H5" s="84">
        <f t="shared" ref="H5:H24" si="3">IF(F5=0," ",RANK(F5,F$5:F$24,0))</f>
        <v>2</v>
      </c>
      <c r="I5" s="119">
        <f>IFERROR(IF(VLOOKUP($B5,'JR G-Breakaway'!$B$5:$AI$24,14,FALSE)=" ",0,VLOOKUP($B5,'JR G-Breakaway'!$B$5:$AI$24,14,FALSE)),0)+IFERROR(IF(VLOOKUP($B5,'JR G-Barrels'!$B$5:$AI$24,14,FALSE)=" ",0,VLOOKUP($B5,'JR G-Barrels'!$B$5:$AI$24,14,FALSE)),0)+IFERROR(IF(VLOOKUP($B5,'JR G-Poles'!$B$5:$AI$24,14,FALSE)=" ",0,VLOOKUP($B5,'JR G-Poles'!$B$5:$AI$24,14,FALSE)),0)+IFERROR(IF(VLOOKUP($B5,'JR G-Goats'!$B$5:$AI$24,14,FALSE)=" ",0,VLOOKUP($B5,'JR G-Goats'!$B$5:$AI$24,14,FALSE)),0)+IFERROR(IF(VLOOKUP($B5,'JR-Team Roping-Header'!$B$5:$N$24,5,FALSE)=" ",0,VLOOKUP($B5,'JR-Team Roping-Header'!$B$5:$N$24,5,FALSE)),0)+IFERROR(IF(VLOOKUP($B5,'JR-Team Roping-Heeler'!$B$5:$N$24,5,FALSE)=" ",0,VLOOKUP($B5,'JR-Team Roping-Heeler'!$B$5:$N$24,5,FALSE)),0)</f>
        <v>51</v>
      </c>
      <c r="J5" s="88">
        <f t="shared" ref="J5:J24" si="4">IF(I5&gt;0,I5," ")</f>
        <v>51</v>
      </c>
      <c r="K5" s="84">
        <f t="shared" ref="K5:K24" si="5">IF(I5=0," ",RANK(I5,I$5:I$24,0))</f>
        <v>1</v>
      </c>
      <c r="L5" s="119">
        <f>IFERROR(IF(VLOOKUP($B5,'JR G-Breakaway'!$B$5:$AI$24,18,FALSE)=" ",0,VLOOKUP($B5,'JR G-Breakaway'!$B$5:$AI$24,18,FALSE)),0)+IFERROR(IF(VLOOKUP($B5,'JR G-Barrels'!$B$5:$AI$24,18,FALSE)=" ",0,VLOOKUP($B5,'JR G-Barrels'!$B$5:$AI$24,18,FALSE)),0)+IFERROR(IF(VLOOKUP($B5,'JR G-Poles'!$B$5:$AI$24,18,FALSE)=" ",0,VLOOKUP($B5,'JR G-Poles'!$B$5:$AI$24,18,FALSE)),0)+IFERROR(IF(VLOOKUP($B5,'JR G-Goats'!$B$5:$AI$24,18,FALSE)=" ",0,VLOOKUP($B5,'JR G-Goats'!$B$5:$AI$24,18,FALSE)),0)+IFERROR(IF(VLOOKUP($B5,'JR-Team Roping-Header'!$B$5:$N$24,6,FALSE)=" ",0,VLOOKUP($B5,'JR-Team Roping-Header'!$B$5:$N$24,6,FALSE)),0)+IFERROR(IF(VLOOKUP($B5,'JR-Team Roping-Heeler'!$B$5:$N$24,6,FALSE)=" ",0,VLOOKUP($B5,'JR-Team Roping-Heeler'!$B$5:$N$24,6,FALSE)),0)</f>
        <v>27</v>
      </c>
      <c r="M5" s="88">
        <f t="shared" ref="M5:M24" si="6">IF(L5&gt;0,L5," ")</f>
        <v>27</v>
      </c>
      <c r="N5" s="84">
        <f t="shared" ref="N5:N24" si="7">IF(L5=0," ",RANK(L5,L$5:L$24,0))</f>
        <v>4</v>
      </c>
      <c r="O5" s="119">
        <f>IFERROR(IF(VLOOKUP($B5,'JR G-Breakaway'!$B$5:$AI$24,22,FALSE)=" ",0,VLOOKUP($B5,'JR G-Breakaway'!$B$5:$AI$24,22,FALSE)),0)+IFERROR(IF(VLOOKUP($B5,'JR G-Barrels'!$B$5:$AI$24,22,FALSE)=" ",0,VLOOKUP($B5,'JR G-Barrels'!$B$5:$AI$24,22,FALSE)),0)+IFERROR(IF(VLOOKUP($B5,'JR G-Poles'!$B$5:$AI$24,22,FALSE)=" ",0,VLOOKUP($B5,'JR G-Poles'!$B$5:$AI$24,22,FALSE)),0)+IFERROR(IF(VLOOKUP($B5,'JR G-Goats'!$B$5:$AI$24,22,FALSE)=" ",0,VLOOKUP($B5,'JR G-Goats'!$B$5:$AI$24,22,FALSE)),0)+IFERROR(IF(VLOOKUP($B5,'JR-Team Roping-Header'!$B$5:$N$24,7,FALSE)=" ",0,VLOOKUP($B5,'JR-Team Roping-Header'!$B$5:$N$24,7,FALSE)),0)+IFERROR(IF(VLOOKUP($B5,'JR-Team Roping-Heeler'!$B$5:$N$24,7,FALSE)=" ",0,VLOOKUP($B5,'JR-Team Roping-Heeler'!$B$5:$N$24,7,FALSE)),0)</f>
        <v>51</v>
      </c>
      <c r="P5" s="88">
        <f t="shared" ref="P5:P24" si="8">IF(O5&gt;0,O5," ")</f>
        <v>51</v>
      </c>
      <c r="Q5" s="84">
        <f t="shared" ref="Q5:Q24" si="9">IF(O5=0," ",RANK(O5,O$5:O$24,0))</f>
        <v>1</v>
      </c>
      <c r="R5" s="118">
        <f>IFERROR(IF(VLOOKUP($B5,'JR G-Breakaway'!$B$5:$AI$24,26,FALSE)=" ",0,VLOOKUP($B5,'JR G-Breakaway'!$B$5:$AI$24,26,FALSE)),0)+IFERROR(IF(VLOOKUP($B5,'JR G-Barrels'!$B$5:$AI$24,26,FALSE)=" ",0,VLOOKUP($B5,'JR G-Barrels'!$B$5:$AI$24,26,FALSE)),0)+IFERROR(IF(VLOOKUP($B5,'JR G-Poles'!$B$5:$AI$24,26,FALSE)=" ",0,VLOOKUP($B5,'JR G-Poles'!$B$5:$AI$24,26,FALSE)),0)+IFERROR(IF(VLOOKUP($B5,'JR G-Goats'!$B$5:$AI$24,26,FALSE)=" ",0,VLOOKUP($B5,'JR G-Goats'!$B$5:$AI$24,26,FALSE)),0)+IFERROR(IF(VLOOKUP($B5,'JR-Team Roping-Header'!$B$5:$N$24,8,FALSE)=" ",0,VLOOKUP($B5,'JR-Team Roping-Header'!$B$5:$N$24,8,FALSE)),0)+IFERROR(IF(VLOOKUP($B5,'JR-Team Roping-Heeler'!$B$5:$N$24,8,FALSE)=" ",0,VLOOKUP($B5,'JR-Team Roping-Heeler'!$B$5:$N$24,8,FALSE)),0)</f>
        <v>36</v>
      </c>
      <c r="S5" s="88">
        <f t="shared" ref="S5:S24" si="10">IF(R5&gt;0,R5," ")</f>
        <v>36</v>
      </c>
      <c r="T5" s="84">
        <f t="shared" ref="T5:T24" si="11">IF(R5=0," ",RANK(R5,R$5:R$24,0))</f>
        <v>3</v>
      </c>
      <c r="U5" s="119">
        <f>IFERROR(IF(VLOOKUP($B5,'JR G-Breakaway'!$B$5:$AI$24,30,FALSE)=" ",0,VLOOKUP($B5,'JR G-Breakaway'!$B$5:$AI$24,30,FALSE)),0)+IFERROR(IF(VLOOKUP($B5,'JR G-Barrels'!$B$5:$AI$24,30,FALSE)=" ",0,VLOOKUP($B5,'JR G-Barrels'!$B$5:$AI$24,30,FALSE)),0)+IFERROR(IF(VLOOKUP($B5,'JR G-Poles'!$B$5:$AI$24,30,FALSE)=" ",0,VLOOKUP($B5,'JR G-Poles'!$B$5:$AI$24,30,FALSE)),0)+IFERROR(IF(VLOOKUP($B5,'JR G-Goats'!$B$5:$AI$24,30,FALSE)=" ",0,VLOOKUP($B5,'JR G-Goats'!$B$5:$AI$24,30,FALSE)),0)+IFERROR(IF(VLOOKUP($B5,'JR-Team Roping-Header'!$B$5:$N$24,9,FALSE)=" ",0,VLOOKUP($B5,'JR-Team Roping-Header'!$B$5:$N$24,9,FALSE)),0)+IFERROR(IF(VLOOKUP($B5,'JR-Team Roping-Heeler'!$B$5:$N$24,9,FALSE)=" ",0,VLOOKUP($B5,'JR-Team Roping-Heeler'!$B$5:$N$24,9,FALSE)),0)</f>
        <v>63</v>
      </c>
      <c r="V5" s="88">
        <f t="shared" ref="V5:V24" si="12">IF(U5&gt;0,U5," ")</f>
        <v>63</v>
      </c>
      <c r="W5" s="84">
        <f t="shared" ref="W5:W24" si="13">IF(U5=0," ",RANK(U5,U$5:U$24,0))</f>
        <v>1</v>
      </c>
      <c r="X5" s="119">
        <f>IFERROR(IF(VLOOKUP($B5,'JR G-Breakaway'!$B$5:$AI$24,34,FALSE)=" ",0,VLOOKUP($B5,'JR G-Breakaway'!$B$5:$AI$24,34,FALSE)),0)+IFERROR(IF(VLOOKUP($B5,'JR G-Barrels'!$B$5:$AI$24,34,FALSE)=" ",0,VLOOKUP($B5,'JR G-Barrels'!$B$5:$AI$24,34,FALSE)),0)+IFERROR(IF(VLOOKUP($B5,'JR G-Poles'!$B$5:$AI$24,34,FALSE)=" ",0,VLOOKUP($B5,'JR G-Poles'!$B$5:$AI$24,34,FALSE)),0)+IFERROR(IF(VLOOKUP($B5,'JR G-Goats'!$B$5:$AI$24,34,FALSE)=" ",0,VLOOKUP($B5,'JR G-Goats'!$B$5:$AI$24,34,FALSE)),0)+IFERROR(IF(VLOOKUP($B5,'JR-Team Roping-Header'!$B$5:$N$24,10,FALSE)=" ",0,VLOOKUP($B5,'JR-Team Roping-Header'!$B$5:$N$24,10,FALSE)),0)+IFERROR(IF(VLOOKUP($B5,'JR-Team Roping-Heeler'!$B$5:$N$24,10,FALSE)=" ",0,VLOOKUP($B5,'JR-Team Roping-Heeler'!$B$5:$N$24,10,FALSE)),0)</f>
        <v>51</v>
      </c>
      <c r="Y5" s="88">
        <f t="shared" ref="Y5:Y24" si="14">IF(X5&gt;0,X5," ")</f>
        <v>51</v>
      </c>
      <c r="Z5" s="84">
        <f t="shared" ref="Z5:Z24" si="15">IF(X5=0," ",RANK(X5,X$5:X$24,0))</f>
        <v>1</v>
      </c>
      <c r="AA5" s="119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378</v>
      </c>
      <c r="AB5" s="88">
        <f t="shared" ref="AB5:AB24" si="16">IF(AA5&gt;0,AA5," ")</f>
        <v>378</v>
      </c>
      <c r="AC5" s="84">
        <f t="shared" ref="AC5:AC24" si="17">IF(AB5=" "," ",RANK(AB5,AB$5:AB$24))</f>
        <v>1</v>
      </c>
    </row>
    <row r="6" spans="2:29" x14ac:dyDescent="0.25">
      <c r="B6" s="141" t="s">
        <v>160</v>
      </c>
      <c r="C6" s="120">
        <f>IFERROR(IF(VLOOKUP($B6,'JR G-Breakaway'!$B$5:$AI$24,6,FALSE)=" ",0,VLOOKUP($B6,'JR G-Breakaway'!$B$5:$AI$24,6,FALSE)),0)+IFERROR(IF(VLOOKUP($B6,'JR G-Barrels'!$B$5:$AI$24,6,FALSE)=" ",0,VLOOKUP($B6,'JR G-Barrels'!$B$5:$AI$24,6,FALSE)),0)+IFERROR(IF(VLOOKUP($B6,'JR G-Poles'!$B$5:$AI$24,6,FALSE)=" ",0,VLOOKUP($B6,'JR G-Poles'!$B$5:$AI$24,6,FALSE)),0)+IFERROR(IF(VLOOKUP($B6,'JR G-Goats'!$B$5:$AI$24,6,FALSE)=" ",0,VLOOKUP($B6,'JR G-Goats'!$B$5:$AI$24,6,FALSE)),0)+IFERROR(IF(VLOOKUP($B6,'JR-Team Roping-Header'!$B$5:$N$24,3,FALSE)=" ",0,VLOOKUP($B6,'JR-Team Roping-Header'!$B$5:$N$24,3,FALSE)),0)+IFERROR(IF(VLOOKUP($B6,'JR-Team Roping-Heeler'!$B$5:$N$24,3,FALSE)=" ",0,VLOOKUP($B6,'JR-Team Roping-Heeler'!$B$5:$N$24,3,FALSE)),0)</f>
        <v>36</v>
      </c>
      <c r="D6" s="95">
        <f t="shared" si="0"/>
        <v>36</v>
      </c>
      <c r="E6" s="91">
        <f t="shared" si="1"/>
        <v>3</v>
      </c>
      <c r="F6" s="121">
        <f>IFERROR(IF(VLOOKUP($B6,'JR G-Breakaway'!$B$5:$AI$24,10,FALSE)=" ",0,VLOOKUP($B6,'JR G-Breakaway'!$B$5:$AI$24,10,FALSE)),0)+IFERROR(IF(VLOOKUP($B6,'JR G-Barrels'!$B$5:$AI$24,10,FALSE)=" ",0,VLOOKUP($B6,'JR G-Barrels'!$B$5:$AI$24,10,FALSE)),0)+IFERROR(IF(VLOOKUP($B6,'JR G-Poles'!$B$5:$AI$24,10,FALSE)=" ",0,VLOOKUP($B6,'JR G-Poles'!$B$5:$AI$24,10,FALSE)),0)+IFERROR(IF(VLOOKUP($B6,'JR G-Goats'!$B$5:$AI$24,10,FALSE)=" ",0,VLOOKUP($B6,'JR G-Goats'!$B$5:$AI$24,10,FALSE)),0)+IFERROR(IF(VLOOKUP($B6,'JR-Team Roping-Header'!$B$5:$N$24,4,FALSE)=" ",0,VLOOKUP($B6,'JR-Team Roping-Header'!$B$5:$N$24,4,FALSE)),0)+IFERROR(IF(VLOOKUP($B6,'JR-Team Roping-Heeler'!$B$5:$N$24,4,FALSE)=" ",0,VLOOKUP($B6,'JR-Team Roping-Heeler'!$B$5:$N$24,4,FALSE)),0)</f>
        <v>93</v>
      </c>
      <c r="G6" s="95">
        <f t="shared" si="2"/>
        <v>93</v>
      </c>
      <c r="H6" s="91">
        <f t="shared" si="3"/>
        <v>1</v>
      </c>
      <c r="I6" s="121">
        <f>IFERROR(IF(VLOOKUP($B6,'JR G-Breakaway'!$B$5:$AI$24,14,FALSE)=" ",0,VLOOKUP($B6,'JR G-Breakaway'!$B$5:$AI$24,14,FALSE)),0)+IFERROR(IF(VLOOKUP($B6,'JR G-Barrels'!$B$5:$AI$24,14,FALSE)=" ",0,VLOOKUP($B6,'JR G-Barrels'!$B$5:$AI$24,14,FALSE)),0)+IFERROR(IF(VLOOKUP($B6,'JR G-Poles'!$B$5:$AI$24,14,FALSE)=" ",0,VLOOKUP($B6,'JR G-Poles'!$B$5:$AI$24,14,FALSE)),0)+IFERROR(IF(VLOOKUP($B6,'JR G-Goats'!$B$5:$AI$24,14,FALSE)=" ",0,VLOOKUP($B6,'JR G-Goats'!$B$5:$AI$24,14,FALSE)),0)+IFERROR(IF(VLOOKUP($B6,'JR-Team Roping-Header'!$B$5:$N$24,5,FALSE)=" ",0,VLOOKUP($B6,'JR-Team Roping-Header'!$B$5:$N$24,5,FALSE)),0)+IFERROR(IF(VLOOKUP($B6,'JR-Team Roping-Heeler'!$B$5:$N$24,5,FALSE)=" ",0,VLOOKUP($B6,'JR-Team Roping-Heeler'!$B$5:$N$24,5,FALSE)),0)</f>
        <v>45</v>
      </c>
      <c r="J6" s="95">
        <f t="shared" si="4"/>
        <v>45</v>
      </c>
      <c r="K6" s="91">
        <f t="shared" si="5"/>
        <v>2</v>
      </c>
      <c r="L6" s="121">
        <f>IFERROR(IF(VLOOKUP($B6,'JR G-Breakaway'!$B$5:$AI$24,18,FALSE)=" ",0,VLOOKUP($B6,'JR G-Breakaway'!$B$5:$AI$24,18,FALSE)),0)+IFERROR(IF(VLOOKUP($B6,'JR G-Barrels'!$B$5:$AI$24,18,FALSE)=" ",0,VLOOKUP($B6,'JR G-Barrels'!$B$5:$AI$24,18,FALSE)),0)+IFERROR(IF(VLOOKUP($B6,'JR G-Poles'!$B$5:$AI$24,18,FALSE)=" ",0,VLOOKUP($B6,'JR G-Poles'!$B$5:$AI$24,18,FALSE)),0)+IFERROR(IF(VLOOKUP($B6,'JR G-Goats'!$B$5:$AI$24,18,FALSE)=" ",0,VLOOKUP($B6,'JR G-Goats'!$B$5:$AI$24,18,FALSE)),0)+IFERROR(IF(VLOOKUP($B6,'JR-Team Roping-Header'!$B$5:$N$24,6,FALSE)=" ",0,VLOOKUP($B6,'JR-Team Roping-Header'!$B$5:$N$24,6,FALSE)),0)+IFERROR(IF(VLOOKUP($B6,'JR-Team Roping-Heeler'!$B$5:$N$24,6,FALSE)=" ",0,VLOOKUP($B6,'JR-Team Roping-Heeler'!$B$5:$N$24,6,FALSE)),0)</f>
        <v>57</v>
      </c>
      <c r="M6" s="95">
        <f t="shared" si="6"/>
        <v>57</v>
      </c>
      <c r="N6" s="91">
        <f t="shared" si="7"/>
        <v>1</v>
      </c>
      <c r="O6" s="121">
        <f>IFERROR(IF(VLOOKUP($B6,'JR G-Breakaway'!$B$5:$AI$24,22,FALSE)=" ",0,VLOOKUP($B6,'JR G-Breakaway'!$B$5:$AI$24,22,FALSE)),0)+IFERROR(IF(VLOOKUP($B6,'JR G-Barrels'!$B$5:$AI$24,22,FALSE)=" ",0,VLOOKUP($B6,'JR G-Barrels'!$B$5:$AI$24,22,FALSE)),0)+IFERROR(IF(VLOOKUP($B6,'JR G-Poles'!$B$5:$AI$24,22,FALSE)=" ",0,VLOOKUP($B6,'JR G-Poles'!$B$5:$AI$24,22,FALSE)),0)+IFERROR(IF(VLOOKUP($B6,'JR G-Goats'!$B$5:$AI$24,22,FALSE)=" ",0,VLOOKUP($B6,'JR G-Goats'!$B$5:$AI$24,22,FALSE)),0)+IFERROR(IF(VLOOKUP($B6,'JR-Team Roping-Header'!$B$5:$N$24,7,FALSE)=" ",0,VLOOKUP($B6,'JR-Team Roping-Header'!$B$5:$N$24,7,FALSE)),0)+IFERROR(IF(VLOOKUP($B6,'JR-Team Roping-Heeler'!$B$5:$N$24,7,FALSE)=" ",0,VLOOKUP($B6,'JR-Team Roping-Heeler'!$B$5:$N$24,7,FALSE)),0)</f>
        <v>36</v>
      </c>
      <c r="P6" s="95">
        <f t="shared" si="8"/>
        <v>36</v>
      </c>
      <c r="Q6" s="91">
        <f t="shared" si="9"/>
        <v>3</v>
      </c>
      <c r="R6" s="121">
        <f>IFERROR(IF(VLOOKUP($B6,'JR G-Breakaway'!$B$5:$AI$24,26,FALSE)=" ",0,VLOOKUP($B6,'JR G-Breakaway'!$B$5:$AI$24,26,FALSE)),0)+IFERROR(IF(VLOOKUP($B6,'JR G-Barrels'!$B$5:$AI$24,26,FALSE)=" ",0,VLOOKUP($B6,'JR G-Barrels'!$B$5:$AI$24,26,FALSE)),0)+IFERROR(IF(VLOOKUP($B6,'JR G-Poles'!$B$5:$AI$24,26,FALSE)=" ",0,VLOOKUP($B6,'JR G-Poles'!$B$5:$AI$24,26,FALSE)),0)+IFERROR(IF(VLOOKUP($B6,'JR G-Goats'!$B$5:$AI$24,26,FALSE)=" ",0,VLOOKUP($B6,'JR G-Goats'!$B$5:$AI$24,26,FALSE)),0)+IFERROR(IF(VLOOKUP($B6,'JR-Team Roping-Header'!$B$5:$N$24,8,FALSE)=" ",0,VLOOKUP($B6,'JR-Team Roping-Header'!$B$5:$N$24,8,FALSE)),0)+IFERROR(IF(VLOOKUP($B6,'JR-Team Roping-Heeler'!$B$5:$N$24,8,FALSE)=" ",0,VLOOKUP($B6,'JR-Team Roping-Heeler'!$B$5:$N$24,8,FALSE)),0)</f>
        <v>36</v>
      </c>
      <c r="S6" s="95">
        <f t="shared" si="10"/>
        <v>36</v>
      </c>
      <c r="T6" s="91">
        <f t="shared" si="11"/>
        <v>3</v>
      </c>
      <c r="U6" s="121">
        <f>IFERROR(IF(VLOOKUP($B6,'JR G-Breakaway'!$B$5:$AI$24,30,FALSE)=" ",0,VLOOKUP($B6,'JR G-Breakaway'!$B$5:$AI$24,30,FALSE)),0)+IFERROR(IF(VLOOKUP($B6,'JR G-Barrels'!$B$5:$AI$24,30,FALSE)=" ",0,VLOOKUP($B6,'JR G-Barrels'!$B$5:$AI$24,30,FALSE)),0)+IFERROR(IF(VLOOKUP($B6,'JR G-Poles'!$B$5:$AI$24,30,FALSE)=" ",0,VLOOKUP($B6,'JR G-Poles'!$B$5:$AI$24,30,FALSE)),0)+IFERROR(IF(VLOOKUP($B6,'JR G-Goats'!$B$5:$AI$24,30,FALSE)=" ",0,VLOOKUP($B6,'JR G-Goats'!$B$5:$AI$24,30,FALSE)),0)+IFERROR(IF(VLOOKUP($B6,'JR-Team Roping-Header'!$B$5:$N$24,9,FALSE)=" ",0,VLOOKUP($B6,'JR-Team Roping-Header'!$B$5:$N$24,9,FALSE)),0)+IFERROR(IF(VLOOKUP($B6,'JR-Team Roping-Heeler'!$B$5:$N$24,9,FALSE)=" ",0,VLOOKUP($B6,'JR-Team Roping-Heeler'!$B$5:$N$24,9,FALSE)),0)</f>
        <v>30</v>
      </c>
      <c r="V6" s="95">
        <f t="shared" si="12"/>
        <v>30</v>
      </c>
      <c r="W6" s="91">
        <f t="shared" si="13"/>
        <v>3</v>
      </c>
      <c r="X6" s="121">
        <f>IFERROR(IF(VLOOKUP($B6,'JR G-Breakaway'!$B$5:$AI$24,34,FALSE)=" ",0,VLOOKUP($B6,'JR G-Breakaway'!$B$5:$AI$24,34,FALSE)),0)+IFERROR(IF(VLOOKUP($B6,'JR G-Barrels'!$B$5:$AI$24,34,FALSE)=" ",0,VLOOKUP($B6,'JR G-Barrels'!$B$5:$AI$24,34,FALSE)),0)+IFERROR(IF(VLOOKUP($B6,'JR G-Poles'!$B$5:$AI$24,34,FALSE)=" ",0,VLOOKUP($B6,'JR G-Poles'!$B$5:$AI$24,34,FALSE)),0)+IFERROR(IF(VLOOKUP($B6,'JR G-Goats'!$B$5:$AI$24,34,FALSE)=" ",0,VLOOKUP($B6,'JR G-Goats'!$B$5:$AI$24,34,FALSE)),0)+IFERROR(IF(VLOOKUP($B6,'JR-Team Roping-Header'!$B$5:$N$24,10,FALSE)=" ",0,VLOOKUP($B6,'JR-Team Roping-Header'!$B$5:$N$24,10,FALSE)),0)+IFERROR(IF(VLOOKUP($B6,'JR-Team Roping-Heeler'!$B$5:$N$24,10,FALSE)=" ",0,VLOOKUP($B6,'JR-Team Roping-Heeler'!$B$5:$N$24,10,FALSE)),0)</f>
        <v>36</v>
      </c>
      <c r="Y6" s="95">
        <f t="shared" si="14"/>
        <v>36</v>
      </c>
      <c r="Z6" s="91">
        <f t="shared" si="15"/>
        <v>3</v>
      </c>
      <c r="AA6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369</v>
      </c>
      <c r="AB6" s="95">
        <f t="shared" si="16"/>
        <v>369</v>
      </c>
      <c r="AC6" s="91">
        <f t="shared" si="17"/>
        <v>2</v>
      </c>
    </row>
    <row r="7" spans="2:29" x14ac:dyDescent="0.25">
      <c r="B7" s="141" t="s">
        <v>162</v>
      </c>
      <c r="C7" s="120">
        <f>IFERROR(IF(VLOOKUP($B7,'JR G-Breakaway'!$B$5:$AI$24,6,FALSE)=" ",0,VLOOKUP($B7,'JR G-Breakaway'!$B$5:$AI$24,6,FALSE)),0)+IFERROR(IF(VLOOKUP($B7,'JR G-Barrels'!$B$5:$AI$24,6,FALSE)=" ",0,VLOOKUP($B7,'JR G-Barrels'!$B$5:$AI$24,6,FALSE)),0)+IFERROR(IF(VLOOKUP($B7,'JR G-Poles'!$B$5:$AI$24,6,FALSE)=" ",0,VLOOKUP($B7,'JR G-Poles'!$B$5:$AI$24,6,FALSE)),0)+IFERROR(IF(VLOOKUP($B7,'JR G-Goats'!$B$5:$AI$24,6,FALSE)=" ",0,VLOOKUP($B7,'JR G-Goats'!$B$5:$AI$24,6,FALSE)),0)+IFERROR(IF(VLOOKUP($B7,'JR-Team Roping-Header'!$B$5:$N$24,3,FALSE)=" ",0,VLOOKUP($B7,'JR-Team Roping-Header'!$B$5:$N$24,3,FALSE)),0)+IFERROR(IF(VLOOKUP($B7,'JR-Team Roping-Heeler'!$B$5:$N$24,3,FALSE)=" ",0,VLOOKUP($B7,'JR-Team Roping-Heeler'!$B$5:$N$24,3,FALSE)),0)</f>
        <v>52.5</v>
      </c>
      <c r="D7" s="95">
        <f t="shared" si="0"/>
        <v>52.5</v>
      </c>
      <c r="E7" s="91">
        <f t="shared" si="1"/>
        <v>2</v>
      </c>
      <c r="F7" s="121">
        <f>IFERROR(IF(VLOOKUP($B7,'JR G-Breakaway'!$B$5:$AI$24,10,FALSE)=" ",0,VLOOKUP($B7,'JR G-Breakaway'!$B$5:$AI$24,10,FALSE)),0)+IFERROR(IF(VLOOKUP($B7,'JR G-Barrels'!$B$5:$AI$24,10,FALSE)=" ",0,VLOOKUP($B7,'JR G-Barrels'!$B$5:$AI$24,10,FALSE)),0)+IFERROR(IF(VLOOKUP($B7,'JR G-Poles'!$B$5:$AI$24,10,FALSE)=" ",0,VLOOKUP($B7,'JR G-Poles'!$B$5:$AI$24,10,FALSE)),0)+IFERROR(IF(VLOOKUP($B7,'JR G-Goats'!$B$5:$AI$24,10,FALSE)=" ",0,VLOOKUP($B7,'JR G-Goats'!$B$5:$AI$24,10,FALSE)),0)+IFERROR(IF(VLOOKUP($B7,'JR-Team Roping-Header'!$B$5:$N$24,4,FALSE)=" ",0,VLOOKUP($B7,'JR-Team Roping-Header'!$B$5:$N$24,4,FALSE)),0)+IFERROR(IF(VLOOKUP($B7,'JR-Team Roping-Heeler'!$B$5:$N$24,4,FALSE)=" ",0,VLOOKUP($B7,'JR-Team Roping-Heeler'!$B$5:$N$24,4,FALSE)),0)</f>
        <v>30</v>
      </c>
      <c r="G7" s="95">
        <f t="shared" si="2"/>
        <v>30</v>
      </c>
      <c r="H7" s="91">
        <f t="shared" si="3"/>
        <v>3</v>
      </c>
      <c r="I7" s="121">
        <f>IFERROR(IF(VLOOKUP($B7,'JR G-Breakaway'!$B$5:$AI$24,14,FALSE)=" ",0,VLOOKUP($B7,'JR G-Breakaway'!$B$5:$AI$24,14,FALSE)),0)+IFERROR(IF(VLOOKUP($B7,'JR G-Barrels'!$B$5:$AI$24,14,FALSE)=" ",0,VLOOKUP($B7,'JR G-Barrels'!$B$5:$AI$24,14,FALSE)),0)+IFERROR(IF(VLOOKUP($B7,'JR G-Poles'!$B$5:$AI$24,14,FALSE)=" ",0,VLOOKUP($B7,'JR G-Poles'!$B$5:$AI$24,14,FALSE)),0)+IFERROR(IF(VLOOKUP($B7,'JR G-Goats'!$B$5:$AI$24,14,FALSE)=" ",0,VLOOKUP($B7,'JR G-Goats'!$B$5:$AI$24,14,FALSE)),0)+IFERROR(IF(VLOOKUP($B7,'JR-Team Roping-Header'!$B$5:$N$24,5,FALSE)=" ",0,VLOOKUP($B7,'JR-Team Roping-Header'!$B$5:$N$24,5,FALSE)),0)+IFERROR(IF(VLOOKUP($B7,'JR-Team Roping-Heeler'!$B$5:$N$24,5,FALSE)=" ",0,VLOOKUP($B7,'JR-Team Roping-Heeler'!$B$5:$N$24,5,FALSE)),0)</f>
        <v>36</v>
      </c>
      <c r="J7" s="95">
        <f t="shared" si="4"/>
        <v>36</v>
      </c>
      <c r="K7" s="91">
        <f t="shared" si="5"/>
        <v>3</v>
      </c>
      <c r="L7" s="121">
        <f>IFERROR(IF(VLOOKUP($B7,'JR G-Breakaway'!$B$5:$AI$24,18,FALSE)=" ",0,VLOOKUP($B7,'JR G-Breakaway'!$B$5:$AI$24,18,FALSE)),0)+IFERROR(IF(VLOOKUP($B7,'JR G-Barrels'!$B$5:$AI$24,18,FALSE)=" ",0,VLOOKUP($B7,'JR G-Barrels'!$B$5:$AI$24,18,FALSE)),0)+IFERROR(IF(VLOOKUP($B7,'JR G-Poles'!$B$5:$AI$24,18,FALSE)=" ",0,VLOOKUP($B7,'JR G-Poles'!$B$5:$AI$24,18,FALSE)),0)+IFERROR(IF(VLOOKUP($B7,'JR G-Goats'!$B$5:$AI$24,18,FALSE)=" ",0,VLOOKUP($B7,'JR G-Goats'!$B$5:$AI$24,18,FALSE)),0)+IFERROR(IF(VLOOKUP($B7,'JR-Team Roping-Header'!$B$5:$N$24,6,FALSE)=" ",0,VLOOKUP($B7,'JR-Team Roping-Header'!$B$5:$N$24,6,FALSE)),0)+IFERROR(IF(VLOOKUP($B7,'JR-Team Roping-Heeler'!$B$5:$N$24,6,FALSE)=" ",0,VLOOKUP($B7,'JR-Team Roping-Heeler'!$B$5:$N$24,6,FALSE)),0)</f>
        <v>33</v>
      </c>
      <c r="M7" s="95">
        <f t="shared" si="6"/>
        <v>33</v>
      </c>
      <c r="N7" s="91">
        <f t="shared" si="7"/>
        <v>3</v>
      </c>
      <c r="O7" s="121">
        <f>IFERROR(IF(VLOOKUP($B7,'JR G-Breakaway'!$B$5:$AI$24,22,FALSE)=" ",0,VLOOKUP($B7,'JR G-Breakaway'!$B$5:$AI$24,22,FALSE)),0)+IFERROR(IF(VLOOKUP($B7,'JR G-Barrels'!$B$5:$AI$24,22,FALSE)=" ",0,VLOOKUP($B7,'JR G-Barrels'!$B$5:$AI$24,22,FALSE)),0)+IFERROR(IF(VLOOKUP($B7,'JR G-Poles'!$B$5:$AI$24,22,FALSE)=" ",0,VLOOKUP($B7,'JR G-Poles'!$B$5:$AI$24,22,FALSE)),0)+IFERROR(IF(VLOOKUP($B7,'JR G-Goats'!$B$5:$AI$24,22,FALSE)=" ",0,VLOOKUP($B7,'JR G-Goats'!$B$5:$AI$24,22,FALSE)),0)+IFERROR(IF(VLOOKUP($B7,'JR-Team Roping-Header'!$B$5:$N$24,7,FALSE)=" ",0,VLOOKUP($B7,'JR-Team Roping-Header'!$B$5:$N$24,7,FALSE)),0)+IFERROR(IF(VLOOKUP($B7,'JR-Team Roping-Heeler'!$B$5:$N$24,7,FALSE)=" ",0,VLOOKUP($B7,'JR-Team Roping-Heeler'!$B$5:$N$24,7,FALSE)),0)</f>
        <v>39</v>
      </c>
      <c r="P7" s="95">
        <f t="shared" si="8"/>
        <v>39</v>
      </c>
      <c r="Q7" s="91">
        <f t="shared" si="9"/>
        <v>2</v>
      </c>
      <c r="R7" s="121">
        <f>IFERROR(IF(VLOOKUP($B7,'JR G-Breakaway'!$B$5:$AI$24,26,FALSE)=" ",0,VLOOKUP($B7,'JR G-Breakaway'!$B$5:$AI$24,26,FALSE)),0)+IFERROR(IF(VLOOKUP($B7,'JR G-Barrels'!$B$5:$AI$24,26,FALSE)=" ",0,VLOOKUP($B7,'JR G-Barrels'!$B$5:$AI$24,26,FALSE)),0)+IFERROR(IF(VLOOKUP($B7,'JR G-Poles'!$B$5:$AI$24,26,FALSE)=" ",0,VLOOKUP($B7,'JR G-Poles'!$B$5:$AI$24,26,FALSE)),0)+IFERROR(IF(VLOOKUP($B7,'JR G-Goats'!$B$5:$AI$24,26,FALSE)=" ",0,VLOOKUP($B7,'JR G-Goats'!$B$5:$AI$24,26,FALSE)),0)+IFERROR(IF(VLOOKUP($B7,'JR-Team Roping-Header'!$B$5:$N$24,8,FALSE)=" ",0,VLOOKUP($B7,'JR-Team Roping-Header'!$B$5:$N$24,8,FALSE)),0)+IFERROR(IF(VLOOKUP($B7,'JR-Team Roping-Heeler'!$B$5:$N$24,8,FALSE)=" ",0,VLOOKUP($B7,'JR-Team Roping-Heeler'!$B$5:$N$24,8,FALSE)),0)</f>
        <v>51</v>
      </c>
      <c r="S7" s="95">
        <f t="shared" si="10"/>
        <v>51</v>
      </c>
      <c r="T7" s="91">
        <f t="shared" si="11"/>
        <v>1</v>
      </c>
      <c r="U7" s="121">
        <f>IFERROR(IF(VLOOKUP($B7,'JR G-Breakaway'!$B$5:$AI$24,30,FALSE)=" ",0,VLOOKUP($B7,'JR G-Breakaway'!$B$5:$AI$24,30,FALSE)),0)+IFERROR(IF(VLOOKUP($B7,'JR G-Barrels'!$B$5:$AI$24,30,FALSE)=" ",0,VLOOKUP($B7,'JR G-Barrels'!$B$5:$AI$24,30,FALSE)),0)+IFERROR(IF(VLOOKUP($B7,'JR G-Poles'!$B$5:$AI$24,30,FALSE)=" ",0,VLOOKUP($B7,'JR G-Poles'!$B$5:$AI$24,30,FALSE)),0)+IFERROR(IF(VLOOKUP($B7,'JR G-Goats'!$B$5:$AI$24,30,FALSE)=" ",0,VLOOKUP($B7,'JR G-Goats'!$B$5:$AI$24,30,FALSE)),0)+IFERROR(IF(VLOOKUP($B7,'JR-Team Roping-Header'!$B$5:$N$24,9,FALSE)=" ",0,VLOOKUP($B7,'JR-Team Roping-Header'!$B$5:$N$24,9,FALSE)),0)+IFERROR(IF(VLOOKUP($B7,'JR-Team Roping-Heeler'!$B$5:$N$24,9,FALSE)=" ",0,VLOOKUP($B7,'JR-Team Roping-Heeler'!$B$5:$N$24,9,FALSE)),0)</f>
        <v>39</v>
      </c>
      <c r="V7" s="95">
        <f t="shared" si="12"/>
        <v>39</v>
      </c>
      <c r="W7" s="91">
        <f t="shared" si="13"/>
        <v>2</v>
      </c>
      <c r="X7" s="121">
        <f>IFERROR(IF(VLOOKUP($B7,'JR G-Breakaway'!$B$5:$AI$24,34,FALSE)=" ",0,VLOOKUP($B7,'JR G-Breakaway'!$B$5:$AI$24,34,FALSE)),0)+IFERROR(IF(VLOOKUP($B7,'JR G-Barrels'!$B$5:$AI$24,34,FALSE)=" ",0,VLOOKUP($B7,'JR G-Barrels'!$B$5:$AI$24,34,FALSE)),0)+IFERROR(IF(VLOOKUP($B7,'JR G-Poles'!$B$5:$AI$24,34,FALSE)=" ",0,VLOOKUP($B7,'JR G-Poles'!$B$5:$AI$24,34,FALSE)),0)+IFERROR(IF(VLOOKUP($B7,'JR G-Goats'!$B$5:$AI$24,34,FALSE)=" ",0,VLOOKUP($B7,'JR G-Goats'!$B$5:$AI$24,34,FALSE)),0)+IFERROR(IF(VLOOKUP($B7,'JR-Team Roping-Header'!$B$5:$N$24,10,FALSE)=" ",0,VLOOKUP($B7,'JR-Team Roping-Header'!$B$5:$N$24,10,FALSE)),0)+IFERROR(IF(VLOOKUP($B7,'JR-Team Roping-Heeler'!$B$5:$N$24,10,FALSE)=" ",0,VLOOKUP($B7,'JR-Team Roping-Heeler'!$B$5:$N$24,10,FALSE)),0)</f>
        <v>48</v>
      </c>
      <c r="Y7" s="95">
        <f t="shared" si="14"/>
        <v>48</v>
      </c>
      <c r="Z7" s="91">
        <f t="shared" si="15"/>
        <v>2</v>
      </c>
      <c r="AA7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328.5</v>
      </c>
      <c r="AB7" s="95">
        <f t="shared" si="16"/>
        <v>328.5</v>
      </c>
      <c r="AC7" s="91">
        <f t="shared" si="17"/>
        <v>3</v>
      </c>
    </row>
    <row r="8" spans="2:29" x14ac:dyDescent="0.25">
      <c r="B8" s="141" t="s">
        <v>156</v>
      </c>
      <c r="C8" s="120">
        <f>IFERROR(IF(VLOOKUP($B8,'JR G-Breakaway'!$B$5:$AI$24,6,FALSE)=" ",0,VLOOKUP($B8,'JR G-Breakaway'!$B$5:$AI$24,6,FALSE)),0)+IFERROR(IF(VLOOKUP($B8,'JR G-Barrels'!$B$5:$AI$24,6,FALSE)=" ",0,VLOOKUP($B8,'JR G-Barrels'!$B$5:$AI$24,6,FALSE)),0)+IFERROR(IF(VLOOKUP($B8,'JR G-Poles'!$B$5:$AI$24,6,FALSE)=" ",0,VLOOKUP($B8,'JR G-Poles'!$B$5:$AI$24,6,FALSE)),0)+IFERROR(IF(VLOOKUP($B8,'JR G-Goats'!$B$5:$AI$24,6,FALSE)=" ",0,VLOOKUP($B8,'JR G-Goats'!$B$5:$AI$24,6,FALSE)),0)+IFERROR(IF(VLOOKUP($B8,'JR-Team Roping-Header'!$B$5:$N$24,3,FALSE)=" ",0,VLOOKUP($B8,'JR-Team Roping-Header'!$B$5:$N$24,3,FALSE)),0)+IFERROR(IF(VLOOKUP($B8,'JR-Team Roping-Heeler'!$B$5:$N$24,3,FALSE)=" ",0,VLOOKUP($B8,'JR-Team Roping-Heeler'!$B$5:$N$24,3,FALSE)),0)</f>
        <v>25.5</v>
      </c>
      <c r="D8" s="95">
        <f t="shared" si="0"/>
        <v>25.5</v>
      </c>
      <c r="E8" s="91">
        <f t="shared" si="1"/>
        <v>4</v>
      </c>
      <c r="F8" s="121">
        <f>IFERROR(IF(VLOOKUP($B8,'JR G-Breakaway'!$B$5:$AI$24,10,FALSE)=" ",0,VLOOKUP($B8,'JR G-Breakaway'!$B$5:$AI$24,10,FALSE)),0)+IFERROR(IF(VLOOKUP($B8,'JR G-Barrels'!$B$5:$AI$24,10,FALSE)=" ",0,VLOOKUP($B8,'JR G-Barrels'!$B$5:$AI$24,10,FALSE)),0)+IFERROR(IF(VLOOKUP($B8,'JR G-Poles'!$B$5:$AI$24,10,FALSE)=" ",0,VLOOKUP($B8,'JR G-Poles'!$B$5:$AI$24,10,FALSE)),0)+IFERROR(IF(VLOOKUP($B8,'JR G-Goats'!$B$5:$AI$24,10,FALSE)=" ",0,VLOOKUP($B8,'JR G-Goats'!$B$5:$AI$24,10,FALSE)),0)+IFERROR(IF(VLOOKUP($B8,'JR-Team Roping-Header'!$B$5:$N$24,4,FALSE)=" ",0,VLOOKUP($B8,'JR-Team Roping-Header'!$B$5:$N$24,4,FALSE)),0)+IFERROR(IF(VLOOKUP($B8,'JR-Team Roping-Heeler'!$B$5:$N$24,4,FALSE)=" ",0,VLOOKUP($B8,'JR-Team Roping-Heeler'!$B$5:$N$24,4,FALSE)),0)</f>
        <v>18</v>
      </c>
      <c r="G8" s="95">
        <f t="shared" si="2"/>
        <v>18</v>
      </c>
      <c r="H8" s="91">
        <f t="shared" si="3"/>
        <v>5</v>
      </c>
      <c r="I8" s="121">
        <f>IFERROR(IF(VLOOKUP($B8,'JR G-Breakaway'!$B$5:$AI$24,14,FALSE)=" ",0,VLOOKUP($B8,'JR G-Breakaway'!$B$5:$AI$24,14,FALSE)),0)+IFERROR(IF(VLOOKUP($B8,'JR G-Barrels'!$B$5:$AI$24,14,FALSE)=" ",0,VLOOKUP($B8,'JR G-Barrels'!$B$5:$AI$24,14,FALSE)),0)+IFERROR(IF(VLOOKUP($B8,'JR G-Poles'!$B$5:$AI$24,14,FALSE)=" ",0,VLOOKUP($B8,'JR G-Poles'!$B$5:$AI$24,14,FALSE)),0)+IFERROR(IF(VLOOKUP($B8,'JR G-Goats'!$B$5:$AI$24,14,FALSE)=" ",0,VLOOKUP($B8,'JR G-Goats'!$B$5:$AI$24,14,FALSE)),0)+IFERROR(IF(VLOOKUP($B8,'JR-Team Roping-Header'!$B$5:$N$24,5,FALSE)=" ",0,VLOOKUP($B8,'JR-Team Roping-Header'!$B$5:$N$24,5,FALSE)),0)+IFERROR(IF(VLOOKUP($B8,'JR-Team Roping-Heeler'!$B$5:$N$24,5,FALSE)=" ",0,VLOOKUP($B8,'JR-Team Roping-Heeler'!$B$5:$N$24,5,FALSE)),0)</f>
        <v>24</v>
      </c>
      <c r="J8" s="95">
        <f t="shared" si="4"/>
        <v>24</v>
      </c>
      <c r="K8" s="91">
        <f t="shared" si="5"/>
        <v>4</v>
      </c>
      <c r="L8" s="121">
        <f>IFERROR(IF(VLOOKUP($B8,'JR G-Breakaway'!$B$5:$AI$24,18,FALSE)=" ",0,VLOOKUP($B8,'JR G-Breakaway'!$B$5:$AI$24,18,FALSE)),0)+IFERROR(IF(VLOOKUP($B8,'JR G-Barrels'!$B$5:$AI$24,18,FALSE)=" ",0,VLOOKUP($B8,'JR G-Barrels'!$B$5:$AI$24,18,FALSE)),0)+IFERROR(IF(VLOOKUP($B8,'JR G-Poles'!$B$5:$AI$24,18,FALSE)=" ",0,VLOOKUP($B8,'JR G-Poles'!$B$5:$AI$24,18,FALSE)),0)+IFERROR(IF(VLOOKUP($B8,'JR G-Goats'!$B$5:$AI$24,18,FALSE)=" ",0,VLOOKUP($B8,'JR G-Goats'!$B$5:$AI$24,18,FALSE)),0)+IFERROR(IF(VLOOKUP($B8,'JR-Team Roping-Header'!$B$5:$N$24,6,FALSE)=" ",0,VLOOKUP($B8,'JR-Team Roping-Header'!$B$5:$N$24,6,FALSE)),0)+IFERROR(IF(VLOOKUP($B8,'JR-Team Roping-Heeler'!$B$5:$N$24,6,FALSE)=" ",0,VLOOKUP($B8,'JR-Team Roping-Heeler'!$B$5:$N$24,6,FALSE)),0)</f>
        <v>39</v>
      </c>
      <c r="M8" s="95">
        <f t="shared" si="6"/>
        <v>39</v>
      </c>
      <c r="N8" s="91">
        <f t="shared" si="7"/>
        <v>2</v>
      </c>
      <c r="O8" s="121">
        <f>IFERROR(IF(VLOOKUP($B8,'JR G-Breakaway'!$B$5:$AI$24,22,FALSE)=" ",0,VLOOKUP($B8,'JR G-Breakaway'!$B$5:$AI$24,22,FALSE)),0)+IFERROR(IF(VLOOKUP($B8,'JR G-Barrels'!$B$5:$AI$24,22,FALSE)=" ",0,VLOOKUP($B8,'JR G-Barrels'!$B$5:$AI$24,22,FALSE)),0)+IFERROR(IF(VLOOKUP($B8,'JR G-Poles'!$B$5:$AI$24,22,FALSE)=" ",0,VLOOKUP($B8,'JR G-Poles'!$B$5:$AI$24,22,FALSE)),0)+IFERROR(IF(VLOOKUP($B8,'JR G-Goats'!$B$5:$AI$24,22,FALSE)=" ",0,VLOOKUP($B8,'JR G-Goats'!$B$5:$AI$24,22,FALSE)),0)+IFERROR(IF(VLOOKUP($B8,'JR-Team Roping-Header'!$B$5:$N$24,7,FALSE)=" ",0,VLOOKUP($B8,'JR-Team Roping-Header'!$B$5:$N$24,7,FALSE)),0)+IFERROR(IF(VLOOKUP($B8,'JR-Team Roping-Heeler'!$B$5:$N$24,7,FALSE)=" ",0,VLOOKUP($B8,'JR-Team Roping-Heeler'!$B$5:$N$24,7,FALSE)),0)</f>
        <v>9</v>
      </c>
      <c r="P8" s="95">
        <f t="shared" si="8"/>
        <v>9</v>
      </c>
      <c r="Q8" s="91">
        <f t="shared" si="9"/>
        <v>6</v>
      </c>
      <c r="R8" s="121">
        <f>IFERROR(IF(VLOOKUP($B8,'JR G-Breakaway'!$B$5:$AI$24,26,FALSE)=" ",0,VLOOKUP($B8,'JR G-Breakaway'!$B$5:$AI$24,26,FALSE)),0)+IFERROR(IF(VLOOKUP($B8,'JR G-Barrels'!$B$5:$AI$24,26,FALSE)=" ",0,VLOOKUP($B8,'JR G-Barrels'!$B$5:$AI$24,26,FALSE)),0)+IFERROR(IF(VLOOKUP($B8,'JR G-Poles'!$B$5:$AI$24,26,FALSE)=" ",0,VLOOKUP($B8,'JR G-Poles'!$B$5:$AI$24,26,FALSE)),0)+IFERROR(IF(VLOOKUP($B8,'JR G-Goats'!$B$5:$AI$24,26,FALSE)=" ",0,VLOOKUP($B8,'JR G-Goats'!$B$5:$AI$24,26,FALSE)),0)+IFERROR(IF(VLOOKUP($B8,'JR-Team Roping-Header'!$B$5:$N$24,8,FALSE)=" ",0,VLOOKUP($B8,'JR-Team Roping-Header'!$B$5:$N$24,8,FALSE)),0)+IFERROR(IF(VLOOKUP($B8,'JR-Team Roping-Heeler'!$B$5:$N$24,8,FALSE)=" ",0,VLOOKUP($B8,'JR-Team Roping-Heeler'!$B$5:$N$24,8,FALSE)),0)</f>
        <v>48</v>
      </c>
      <c r="S8" s="95">
        <f t="shared" si="10"/>
        <v>48</v>
      </c>
      <c r="T8" s="91">
        <f t="shared" si="11"/>
        <v>2</v>
      </c>
      <c r="U8" s="121">
        <f>IFERROR(IF(VLOOKUP($B8,'JR G-Breakaway'!$B$5:$AI$24,30,FALSE)=" ",0,VLOOKUP($B8,'JR G-Breakaway'!$B$5:$AI$24,30,FALSE)),0)+IFERROR(IF(VLOOKUP($B8,'JR G-Barrels'!$B$5:$AI$24,30,FALSE)=" ",0,VLOOKUP($B8,'JR G-Barrels'!$B$5:$AI$24,30,FALSE)),0)+IFERROR(IF(VLOOKUP($B8,'JR G-Poles'!$B$5:$AI$24,30,FALSE)=" ",0,VLOOKUP($B8,'JR G-Poles'!$B$5:$AI$24,30,FALSE)),0)+IFERROR(IF(VLOOKUP($B8,'JR G-Goats'!$B$5:$AI$24,30,FALSE)=" ",0,VLOOKUP($B8,'JR G-Goats'!$B$5:$AI$24,30,FALSE)),0)+IFERROR(IF(VLOOKUP($B8,'JR-Team Roping-Header'!$B$5:$N$24,9,FALSE)=" ",0,VLOOKUP($B8,'JR-Team Roping-Header'!$B$5:$N$24,9,FALSE)),0)+IFERROR(IF(VLOOKUP($B8,'JR-Team Roping-Heeler'!$B$5:$N$24,9,FALSE)=" ",0,VLOOKUP($B8,'JR-Team Roping-Heeler'!$B$5:$N$24,9,FALSE)),0)</f>
        <v>15</v>
      </c>
      <c r="V8" s="95">
        <f t="shared" si="12"/>
        <v>15</v>
      </c>
      <c r="W8" s="91">
        <f t="shared" si="13"/>
        <v>4</v>
      </c>
      <c r="X8" s="121">
        <f>IFERROR(IF(VLOOKUP($B8,'JR G-Breakaway'!$B$5:$AI$24,34,FALSE)=" ",0,VLOOKUP($B8,'JR G-Breakaway'!$B$5:$AI$24,34,FALSE)),0)+IFERROR(IF(VLOOKUP($B8,'JR G-Barrels'!$B$5:$AI$24,34,FALSE)=" ",0,VLOOKUP($B8,'JR G-Barrels'!$B$5:$AI$24,34,FALSE)),0)+IFERROR(IF(VLOOKUP($B8,'JR G-Poles'!$B$5:$AI$24,34,FALSE)=" ",0,VLOOKUP($B8,'JR G-Poles'!$B$5:$AI$24,34,FALSE)),0)+IFERROR(IF(VLOOKUP($B8,'JR G-Goats'!$B$5:$AI$24,34,FALSE)=" ",0,VLOOKUP($B8,'JR G-Goats'!$B$5:$AI$24,34,FALSE)),0)+IFERROR(IF(VLOOKUP($B8,'JR-Team Roping-Header'!$B$5:$N$24,10,FALSE)=" ",0,VLOOKUP($B8,'JR-Team Roping-Header'!$B$5:$N$24,10,FALSE)),0)+IFERROR(IF(VLOOKUP($B8,'JR-Team Roping-Heeler'!$B$5:$N$24,10,FALSE)=" ",0,VLOOKUP($B8,'JR-Team Roping-Heeler'!$B$5:$N$24,10,FALSE)),0)</f>
        <v>30</v>
      </c>
      <c r="Y8" s="95">
        <f t="shared" si="14"/>
        <v>30</v>
      </c>
      <c r="Z8" s="91">
        <f t="shared" si="15"/>
        <v>4</v>
      </c>
      <c r="AA8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208.5</v>
      </c>
      <c r="AB8" s="95">
        <f t="shared" si="16"/>
        <v>208.5</v>
      </c>
      <c r="AC8" s="91">
        <f t="shared" si="17"/>
        <v>4</v>
      </c>
    </row>
    <row r="9" spans="2:29" x14ac:dyDescent="0.25">
      <c r="B9" s="141" t="s">
        <v>201</v>
      </c>
      <c r="C9" s="120">
        <f>IFERROR(IF(VLOOKUP($B9,'JR G-Breakaway'!$B$5:$AI$24,6,FALSE)=" ",0,VLOOKUP($B9,'JR G-Breakaway'!$B$5:$AI$24,6,FALSE)),0)+IFERROR(IF(VLOOKUP($B9,'JR G-Barrels'!$B$5:$AI$24,6,FALSE)=" ",0,VLOOKUP($B9,'JR G-Barrels'!$B$5:$AI$24,6,FALSE)),0)+IFERROR(IF(VLOOKUP($B9,'JR G-Poles'!$B$5:$AI$24,6,FALSE)=" ",0,VLOOKUP($B9,'JR G-Poles'!$B$5:$AI$24,6,FALSE)),0)+IFERROR(IF(VLOOKUP($B9,'JR G-Goats'!$B$5:$AI$24,6,FALSE)=" ",0,VLOOKUP($B9,'JR G-Goats'!$B$5:$AI$24,6,FALSE)),0)+IFERROR(IF(VLOOKUP($B9,'JR-Team Roping-Header'!$B$5:$N$24,3,FALSE)=" ",0,VLOOKUP($B9,'JR-Team Roping-Header'!$B$5:$N$24,3,FALSE)),0)+IFERROR(IF(VLOOKUP($B9,'JR-Team Roping-Heeler'!$B$5:$N$24,3,FALSE)=" ",0,VLOOKUP($B9,'JR-Team Roping-Heeler'!$B$5:$N$24,3,FALSE)),0)</f>
        <v>18</v>
      </c>
      <c r="D9" s="95">
        <f t="shared" si="0"/>
        <v>18</v>
      </c>
      <c r="E9" s="91">
        <f t="shared" si="1"/>
        <v>6</v>
      </c>
      <c r="F9" s="121">
        <f>IFERROR(IF(VLOOKUP($B9,'JR G-Breakaway'!$B$5:$AI$24,10,FALSE)=" ",0,VLOOKUP($B9,'JR G-Breakaway'!$B$5:$AI$24,10,FALSE)),0)+IFERROR(IF(VLOOKUP($B9,'JR G-Barrels'!$B$5:$AI$24,10,FALSE)=" ",0,VLOOKUP($B9,'JR G-Barrels'!$B$5:$AI$24,10,FALSE)),0)+IFERROR(IF(VLOOKUP($B9,'JR G-Poles'!$B$5:$AI$24,10,FALSE)=" ",0,VLOOKUP($B9,'JR G-Poles'!$B$5:$AI$24,10,FALSE)),0)+IFERROR(IF(VLOOKUP($B9,'JR G-Goats'!$B$5:$AI$24,10,FALSE)=" ",0,VLOOKUP($B9,'JR G-Goats'!$B$5:$AI$24,10,FALSE)),0)+IFERROR(IF(VLOOKUP($B9,'JR-Team Roping-Header'!$B$5:$N$24,4,FALSE)=" ",0,VLOOKUP($B9,'JR-Team Roping-Header'!$B$5:$N$24,4,FALSE)),0)+IFERROR(IF(VLOOKUP($B9,'JR-Team Roping-Heeler'!$B$5:$N$24,4,FALSE)=" ",0,VLOOKUP($B9,'JR-Team Roping-Heeler'!$B$5:$N$24,4,FALSE)),0)</f>
        <v>21</v>
      </c>
      <c r="G9" s="95">
        <f t="shared" si="2"/>
        <v>21</v>
      </c>
      <c r="H9" s="91">
        <f t="shared" si="3"/>
        <v>4</v>
      </c>
      <c r="I9" s="121">
        <f>IFERROR(IF(VLOOKUP($B9,'JR G-Breakaway'!$B$5:$AI$24,14,FALSE)=" ",0,VLOOKUP($B9,'JR G-Breakaway'!$B$5:$AI$24,14,FALSE)),0)+IFERROR(IF(VLOOKUP($B9,'JR G-Barrels'!$B$5:$AI$24,14,FALSE)=" ",0,VLOOKUP($B9,'JR G-Barrels'!$B$5:$AI$24,14,FALSE)),0)+IFERROR(IF(VLOOKUP($B9,'JR G-Poles'!$B$5:$AI$24,14,FALSE)=" ",0,VLOOKUP($B9,'JR G-Poles'!$B$5:$AI$24,14,FALSE)),0)+IFERROR(IF(VLOOKUP($B9,'JR G-Goats'!$B$5:$AI$24,14,FALSE)=" ",0,VLOOKUP($B9,'JR G-Goats'!$B$5:$AI$24,14,FALSE)),0)+IFERROR(IF(VLOOKUP($B9,'JR-Team Roping-Header'!$B$5:$N$24,5,FALSE)=" ",0,VLOOKUP($B9,'JR-Team Roping-Header'!$B$5:$N$24,5,FALSE)),0)+IFERROR(IF(VLOOKUP($B9,'JR-Team Roping-Heeler'!$B$5:$N$24,5,FALSE)=" ",0,VLOOKUP($B9,'JR-Team Roping-Heeler'!$B$5:$N$24,5,FALSE)),0)</f>
        <v>18</v>
      </c>
      <c r="J9" s="95">
        <f t="shared" si="4"/>
        <v>18</v>
      </c>
      <c r="K9" s="91">
        <f t="shared" si="5"/>
        <v>7</v>
      </c>
      <c r="L9" s="121">
        <f>IFERROR(IF(VLOOKUP($B9,'JR G-Breakaway'!$B$5:$AI$24,18,FALSE)=" ",0,VLOOKUP($B9,'JR G-Breakaway'!$B$5:$AI$24,18,FALSE)),0)+IFERROR(IF(VLOOKUP($B9,'JR G-Barrels'!$B$5:$AI$24,18,FALSE)=" ",0,VLOOKUP($B9,'JR G-Barrels'!$B$5:$AI$24,18,FALSE)),0)+IFERROR(IF(VLOOKUP($B9,'JR G-Poles'!$B$5:$AI$24,18,FALSE)=" ",0,VLOOKUP($B9,'JR G-Poles'!$B$5:$AI$24,18,FALSE)),0)+IFERROR(IF(VLOOKUP($B9,'JR G-Goats'!$B$5:$AI$24,18,FALSE)=" ",0,VLOOKUP($B9,'JR G-Goats'!$B$5:$AI$24,18,FALSE)),0)+IFERROR(IF(VLOOKUP($B9,'JR-Team Roping-Header'!$B$5:$N$24,6,FALSE)=" ",0,VLOOKUP($B9,'JR-Team Roping-Header'!$B$5:$N$24,6,FALSE)),0)+IFERROR(IF(VLOOKUP($B9,'JR-Team Roping-Heeler'!$B$5:$N$24,6,FALSE)=" ",0,VLOOKUP($B9,'JR-Team Roping-Heeler'!$B$5:$N$24,6,FALSE)),0)</f>
        <v>0</v>
      </c>
      <c r="M9" s="95" t="str">
        <f t="shared" si="6"/>
        <v xml:space="preserve"> </v>
      </c>
      <c r="N9" s="91" t="str">
        <f t="shared" si="7"/>
        <v xml:space="preserve"> </v>
      </c>
      <c r="O9" s="121">
        <f>IFERROR(IF(VLOOKUP($B9,'JR G-Breakaway'!$B$5:$AI$24,22,FALSE)=" ",0,VLOOKUP($B9,'JR G-Breakaway'!$B$5:$AI$24,22,FALSE)),0)+IFERROR(IF(VLOOKUP($B9,'JR G-Barrels'!$B$5:$AI$24,22,FALSE)=" ",0,VLOOKUP($B9,'JR G-Barrels'!$B$5:$AI$24,22,FALSE)),0)+IFERROR(IF(VLOOKUP($B9,'JR G-Poles'!$B$5:$AI$24,22,FALSE)=" ",0,VLOOKUP($B9,'JR G-Poles'!$B$5:$AI$24,22,FALSE)),0)+IFERROR(IF(VLOOKUP($B9,'JR G-Goats'!$B$5:$AI$24,22,FALSE)=" ",0,VLOOKUP($B9,'JR G-Goats'!$B$5:$AI$24,22,FALSE)),0)+IFERROR(IF(VLOOKUP($B9,'JR-Team Roping-Header'!$B$5:$N$24,7,FALSE)=" ",0,VLOOKUP($B9,'JR-Team Roping-Header'!$B$5:$N$24,7,FALSE)),0)+IFERROR(IF(VLOOKUP($B9,'JR-Team Roping-Heeler'!$B$5:$N$24,7,FALSE)=" ",0,VLOOKUP($B9,'JR-Team Roping-Heeler'!$B$5:$N$24,7,FALSE)),0)</f>
        <v>9</v>
      </c>
      <c r="P9" s="95">
        <f t="shared" si="8"/>
        <v>9</v>
      </c>
      <c r="Q9" s="91">
        <f t="shared" si="9"/>
        <v>6</v>
      </c>
      <c r="R9" s="121">
        <f>IFERROR(IF(VLOOKUP($B9,'JR G-Breakaway'!$B$5:$AI$24,26,FALSE)=" ",0,VLOOKUP($B9,'JR G-Breakaway'!$B$5:$AI$24,26,FALSE)),0)+IFERROR(IF(VLOOKUP($B9,'JR G-Barrels'!$B$5:$AI$24,26,FALSE)=" ",0,VLOOKUP($B9,'JR G-Barrels'!$B$5:$AI$24,26,FALSE)),0)+IFERROR(IF(VLOOKUP($B9,'JR G-Poles'!$B$5:$AI$24,26,FALSE)=" ",0,VLOOKUP($B9,'JR G-Poles'!$B$5:$AI$24,26,FALSE)),0)+IFERROR(IF(VLOOKUP($B9,'JR G-Goats'!$B$5:$AI$24,26,FALSE)=" ",0,VLOOKUP($B9,'JR G-Goats'!$B$5:$AI$24,26,FALSE)),0)+IFERROR(IF(VLOOKUP($B9,'JR-Team Roping-Header'!$B$5:$N$24,8,FALSE)=" ",0,VLOOKUP($B9,'JR-Team Roping-Header'!$B$5:$N$24,8,FALSE)),0)+IFERROR(IF(VLOOKUP($B9,'JR-Team Roping-Heeler'!$B$5:$N$24,8,FALSE)=" ",0,VLOOKUP($B9,'JR-Team Roping-Heeler'!$B$5:$N$24,8,FALSE)),0)</f>
        <v>33</v>
      </c>
      <c r="S9" s="95">
        <f t="shared" si="10"/>
        <v>33</v>
      </c>
      <c r="T9" s="91">
        <f t="shared" si="11"/>
        <v>5</v>
      </c>
      <c r="U9" s="121">
        <f>IFERROR(IF(VLOOKUP($B9,'JR G-Breakaway'!$B$5:$AI$24,30,FALSE)=" ",0,VLOOKUP($B9,'JR G-Breakaway'!$B$5:$AI$24,30,FALSE)),0)+IFERROR(IF(VLOOKUP($B9,'JR G-Barrels'!$B$5:$AI$24,30,FALSE)=" ",0,VLOOKUP($B9,'JR G-Barrels'!$B$5:$AI$24,30,FALSE)),0)+IFERROR(IF(VLOOKUP($B9,'JR G-Poles'!$B$5:$AI$24,30,FALSE)=" ",0,VLOOKUP($B9,'JR G-Poles'!$B$5:$AI$24,30,FALSE)),0)+IFERROR(IF(VLOOKUP($B9,'JR G-Goats'!$B$5:$AI$24,30,FALSE)=" ",0,VLOOKUP($B9,'JR G-Goats'!$B$5:$AI$24,30,FALSE)),0)+IFERROR(IF(VLOOKUP($B9,'JR-Team Roping-Header'!$B$5:$N$24,9,FALSE)=" ",0,VLOOKUP($B9,'JR-Team Roping-Header'!$B$5:$N$24,9,FALSE)),0)+IFERROR(IF(VLOOKUP($B9,'JR-Team Roping-Heeler'!$B$5:$N$24,9,FALSE)=" ",0,VLOOKUP($B9,'JR-Team Roping-Heeler'!$B$5:$N$24,9,FALSE)),0)</f>
        <v>6</v>
      </c>
      <c r="V9" s="95">
        <f t="shared" si="12"/>
        <v>6</v>
      </c>
      <c r="W9" s="91">
        <f t="shared" si="13"/>
        <v>10</v>
      </c>
      <c r="X9" s="121">
        <f>IFERROR(IF(VLOOKUP($B9,'JR G-Breakaway'!$B$5:$AI$24,34,FALSE)=" ",0,VLOOKUP($B9,'JR G-Breakaway'!$B$5:$AI$24,34,FALSE)),0)+IFERROR(IF(VLOOKUP($B9,'JR G-Barrels'!$B$5:$AI$24,34,FALSE)=" ",0,VLOOKUP($B9,'JR G-Barrels'!$B$5:$AI$24,34,FALSE)),0)+IFERROR(IF(VLOOKUP($B9,'JR G-Poles'!$B$5:$AI$24,34,FALSE)=" ",0,VLOOKUP($B9,'JR G-Poles'!$B$5:$AI$24,34,FALSE)),0)+IFERROR(IF(VLOOKUP($B9,'JR G-Goats'!$B$5:$AI$24,34,FALSE)=" ",0,VLOOKUP($B9,'JR G-Goats'!$B$5:$AI$24,34,FALSE)),0)+IFERROR(IF(VLOOKUP($B9,'JR-Team Roping-Header'!$B$5:$N$24,10,FALSE)=" ",0,VLOOKUP($B9,'JR-Team Roping-Header'!$B$5:$N$24,10,FALSE)),0)+IFERROR(IF(VLOOKUP($B9,'JR-Team Roping-Heeler'!$B$5:$N$24,10,FALSE)=" ",0,VLOOKUP($B9,'JR-Team Roping-Heeler'!$B$5:$N$24,10,FALSE)),0)</f>
        <v>21</v>
      </c>
      <c r="Y9" s="95">
        <f t="shared" si="14"/>
        <v>21</v>
      </c>
      <c r="Z9" s="91">
        <f t="shared" si="15"/>
        <v>6</v>
      </c>
      <c r="AA9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126</v>
      </c>
      <c r="AB9" s="95">
        <f t="shared" si="16"/>
        <v>126</v>
      </c>
      <c r="AC9" s="91">
        <f t="shared" si="17"/>
        <v>5</v>
      </c>
    </row>
    <row r="10" spans="2:29" x14ac:dyDescent="0.25">
      <c r="B10" s="154" t="s">
        <v>163</v>
      </c>
      <c r="C10" s="120">
        <f>IFERROR(IF(VLOOKUP($B10,'JR G-Breakaway'!$B$5:$AI$24,6,FALSE)=" ",0,VLOOKUP($B10,'JR G-Breakaway'!$B$5:$AI$24,6,FALSE)),0)+IFERROR(IF(VLOOKUP($B10,'JR G-Barrels'!$B$5:$AI$24,6,FALSE)=" ",0,VLOOKUP($B10,'JR G-Barrels'!$B$5:$AI$24,6,FALSE)),0)+IFERROR(IF(VLOOKUP($B10,'JR G-Poles'!$B$5:$AI$24,6,FALSE)=" ",0,VLOOKUP($B10,'JR G-Poles'!$B$5:$AI$24,6,FALSE)),0)+IFERROR(IF(VLOOKUP($B10,'JR G-Goats'!$B$5:$AI$24,6,FALSE)=" ",0,VLOOKUP($B10,'JR G-Goats'!$B$5:$AI$24,6,FALSE)),0)+IFERROR(IF(VLOOKUP($B10,'JR-Team Roping-Header'!$B$5:$N$24,3,FALSE)=" ",0,VLOOKUP($B10,'JR-Team Roping-Header'!$B$5:$N$24,3,FALSE)),0)+IFERROR(IF(VLOOKUP($B10,'JR-Team Roping-Heeler'!$B$5:$N$24,3,FALSE)=" ",0,VLOOKUP($B10,'JR-Team Roping-Heeler'!$B$5:$N$24,3,FALSE)),0)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IFERROR(IF(VLOOKUP($B10,'JR G-Breakaway'!$B$5:$AI$24,10,FALSE)=" ",0,VLOOKUP($B10,'JR G-Breakaway'!$B$5:$AI$24,10,FALSE)),0)+IFERROR(IF(VLOOKUP($B10,'JR G-Barrels'!$B$5:$AI$24,10,FALSE)=" ",0,VLOOKUP($B10,'JR G-Barrels'!$B$5:$AI$24,10,FALSE)),0)+IFERROR(IF(VLOOKUP($B10,'JR G-Poles'!$B$5:$AI$24,10,FALSE)=" ",0,VLOOKUP($B10,'JR G-Poles'!$B$5:$AI$24,10,FALSE)),0)+IFERROR(IF(VLOOKUP($B10,'JR G-Goats'!$B$5:$AI$24,10,FALSE)=" ",0,VLOOKUP($B10,'JR G-Goats'!$B$5:$AI$24,10,FALSE)),0)+IFERROR(IF(VLOOKUP($B10,'JR-Team Roping-Header'!$B$5:$N$24,4,FALSE)=" ",0,VLOOKUP($B10,'JR-Team Roping-Header'!$B$5:$N$24,4,FALSE)),0)+IFERROR(IF(VLOOKUP($B10,'JR-Team Roping-Heeler'!$B$5:$N$24,4,FALSE)=" ",0,VLOOKUP($B10,'JR-Team Roping-Heeler'!$B$5:$N$24,4,FALSE)),0)</f>
        <v>3</v>
      </c>
      <c r="G10" s="95">
        <f t="shared" si="2"/>
        <v>3</v>
      </c>
      <c r="H10" s="91">
        <f t="shared" si="3"/>
        <v>8</v>
      </c>
      <c r="I10" s="121">
        <f>IFERROR(IF(VLOOKUP($B10,'JR G-Breakaway'!$B$5:$AI$24,14,FALSE)=" ",0,VLOOKUP($B10,'JR G-Breakaway'!$B$5:$AI$24,14,FALSE)),0)+IFERROR(IF(VLOOKUP($B10,'JR G-Barrels'!$B$5:$AI$24,14,FALSE)=" ",0,VLOOKUP($B10,'JR G-Barrels'!$B$5:$AI$24,14,FALSE)),0)+IFERROR(IF(VLOOKUP($B10,'JR G-Poles'!$B$5:$AI$24,14,FALSE)=" ",0,VLOOKUP($B10,'JR G-Poles'!$B$5:$AI$24,14,FALSE)),0)+IFERROR(IF(VLOOKUP($B10,'JR G-Goats'!$B$5:$AI$24,14,FALSE)=" ",0,VLOOKUP($B10,'JR G-Goats'!$B$5:$AI$24,14,FALSE)),0)+IFERROR(IF(VLOOKUP($B10,'JR-Team Roping-Header'!$B$5:$N$24,5,FALSE)=" ",0,VLOOKUP($B10,'JR-Team Roping-Header'!$B$5:$N$24,5,FALSE)),0)+IFERROR(IF(VLOOKUP($B10,'JR-Team Roping-Heeler'!$B$5:$N$24,5,FALSE)=" ",0,VLOOKUP($B10,'JR-Team Roping-Heeler'!$B$5:$N$24,5,FALSE)),0)</f>
        <v>24</v>
      </c>
      <c r="J10" s="95">
        <f t="shared" si="4"/>
        <v>24</v>
      </c>
      <c r="K10" s="91">
        <f t="shared" si="5"/>
        <v>4</v>
      </c>
      <c r="L10" s="121">
        <f>IFERROR(IF(VLOOKUP($B10,'JR G-Breakaway'!$B$5:$AI$24,18,FALSE)=" ",0,VLOOKUP($B10,'JR G-Breakaway'!$B$5:$AI$24,18,FALSE)),0)+IFERROR(IF(VLOOKUP($B10,'JR G-Barrels'!$B$5:$AI$24,18,FALSE)=" ",0,VLOOKUP($B10,'JR G-Barrels'!$B$5:$AI$24,18,FALSE)),0)+IFERROR(IF(VLOOKUP($B10,'JR G-Poles'!$B$5:$AI$24,18,FALSE)=" ",0,VLOOKUP($B10,'JR G-Poles'!$B$5:$AI$24,18,FALSE)),0)+IFERROR(IF(VLOOKUP($B10,'JR G-Goats'!$B$5:$AI$24,18,FALSE)=" ",0,VLOOKUP($B10,'JR G-Goats'!$B$5:$AI$24,18,FALSE)),0)+IFERROR(IF(VLOOKUP($B10,'JR-Team Roping-Header'!$B$5:$N$24,6,FALSE)=" ",0,VLOOKUP($B10,'JR-Team Roping-Header'!$B$5:$N$24,6,FALSE)),0)+IFERROR(IF(VLOOKUP($B10,'JR-Team Roping-Heeler'!$B$5:$N$24,6,FALSE)=" ",0,VLOOKUP($B10,'JR-Team Roping-Heeler'!$B$5:$N$24,6,FALSE)),0)</f>
        <v>12</v>
      </c>
      <c r="M10" s="95">
        <f t="shared" si="6"/>
        <v>12</v>
      </c>
      <c r="N10" s="91">
        <f t="shared" si="7"/>
        <v>7</v>
      </c>
      <c r="O10" s="121">
        <f>IFERROR(IF(VLOOKUP($B10,'JR G-Breakaway'!$B$5:$AI$24,22,FALSE)=" ",0,VLOOKUP($B10,'JR G-Breakaway'!$B$5:$AI$24,22,FALSE)),0)+IFERROR(IF(VLOOKUP($B10,'JR G-Barrels'!$B$5:$AI$24,22,FALSE)=" ",0,VLOOKUP($B10,'JR G-Barrels'!$B$5:$AI$24,22,FALSE)),0)+IFERROR(IF(VLOOKUP($B10,'JR G-Poles'!$B$5:$AI$24,22,FALSE)=" ",0,VLOOKUP($B10,'JR G-Poles'!$B$5:$AI$24,22,FALSE)),0)+IFERROR(IF(VLOOKUP($B10,'JR G-Goats'!$B$5:$AI$24,22,FALSE)=" ",0,VLOOKUP($B10,'JR G-Goats'!$B$5:$AI$24,22,FALSE)),0)+IFERROR(IF(VLOOKUP($B10,'JR-Team Roping-Header'!$B$5:$N$24,7,FALSE)=" ",0,VLOOKUP($B10,'JR-Team Roping-Header'!$B$5:$N$24,7,FALSE)),0)+IFERROR(IF(VLOOKUP($B10,'JR-Team Roping-Heeler'!$B$5:$N$24,7,FALSE)=" ",0,VLOOKUP($B10,'JR-Team Roping-Heeler'!$B$5:$N$24,7,FALSE)),0)</f>
        <v>18</v>
      </c>
      <c r="P10" s="95">
        <f t="shared" si="8"/>
        <v>18</v>
      </c>
      <c r="Q10" s="91">
        <f t="shared" si="9"/>
        <v>4</v>
      </c>
      <c r="R10" s="121">
        <f>IFERROR(IF(VLOOKUP($B10,'JR G-Breakaway'!$B$5:$AI$24,26,FALSE)=" ",0,VLOOKUP($B10,'JR G-Breakaway'!$B$5:$AI$24,26,FALSE)),0)+IFERROR(IF(VLOOKUP($B10,'JR G-Barrels'!$B$5:$AI$24,26,FALSE)=" ",0,VLOOKUP($B10,'JR G-Barrels'!$B$5:$AI$24,26,FALSE)),0)+IFERROR(IF(VLOOKUP($B10,'JR G-Poles'!$B$5:$AI$24,26,FALSE)=" ",0,VLOOKUP($B10,'JR G-Poles'!$B$5:$AI$24,26,FALSE)),0)+IFERROR(IF(VLOOKUP($B10,'JR G-Goats'!$B$5:$AI$24,26,FALSE)=" ",0,VLOOKUP($B10,'JR G-Goats'!$B$5:$AI$24,26,FALSE)),0)+IFERROR(IF(VLOOKUP($B10,'JR-Team Roping-Header'!$B$5:$N$24,8,FALSE)=" ",0,VLOOKUP($B10,'JR-Team Roping-Header'!$B$5:$N$24,8,FALSE)),0)+IFERROR(IF(VLOOKUP($B10,'JR-Team Roping-Heeler'!$B$5:$N$24,8,FALSE)=" ",0,VLOOKUP($B10,'JR-Team Roping-Heeler'!$B$5:$N$24,8,FALSE)),0)</f>
        <v>27</v>
      </c>
      <c r="S10" s="95">
        <f t="shared" si="10"/>
        <v>27</v>
      </c>
      <c r="T10" s="91">
        <f t="shared" si="11"/>
        <v>6</v>
      </c>
      <c r="U10" s="121">
        <f>IFERROR(IF(VLOOKUP($B10,'JR G-Breakaway'!$B$5:$AI$24,30,FALSE)=" ",0,VLOOKUP($B10,'JR G-Breakaway'!$B$5:$AI$24,30,FALSE)),0)+IFERROR(IF(VLOOKUP($B10,'JR G-Barrels'!$B$5:$AI$24,30,FALSE)=" ",0,VLOOKUP($B10,'JR G-Barrels'!$B$5:$AI$24,30,FALSE)),0)+IFERROR(IF(VLOOKUP($B10,'JR G-Poles'!$B$5:$AI$24,30,FALSE)=" ",0,VLOOKUP($B10,'JR G-Poles'!$B$5:$AI$24,30,FALSE)),0)+IFERROR(IF(VLOOKUP($B10,'JR G-Goats'!$B$5:$AI$24,30,FALSE)=" ",0,VLOOKUP($B10,'JR G-Goats'!$B$5:$AI$24,30,FALSE)),0)+IFERROR(IF(VLOOKUP($B10,'JR-Team Roping-Header'!$B$5:$N$24,9,FALSE)=" ",0,VLOOKUP($B10,'JR-Team Roping-Header'!$B$5:$N$24,9,FALSE)),0)+IFERROR(IF(VLOOKUP($B10,'JR-Team Roping-Heeler'!$B$5:$N$24,9,FALSE)=" ",0,VLOOKUP($B10,'JR-Team Roping-Heeler'!$B$5:$N$24,9,FALSE)),0)</f>
        <v>15</v>
      </c>
      <c r="V10" s="95">
        <f t="shared" si="12"/>
        <v>15</v>
      </c>
      <c r="W10" s="91">
        <f t="shared" si="13"/>
        <v>4</v>
      </c>
      <c r="X10" s="121">
        <f>IFERROR(IF(VLOOKUP($B10,'JR G-Breakaway'!$B$5:$AI$24,34,FALSE)=" ",0,VLOOKUP($B10,'JR G-Breakaway'!$B$5:$AI$24,34,FALSE)),0)+IFERROR(IF(VLOOKUP($B10,'JR G-Barrels'!$B$5:$AI$24,34,FALSE)=" ",0,VLOOKUP($B10,'JR G-Barrels'!$B$5:$AI$24,34,FALSE)),0)+IFERROR(IF(VLOOKUP($B10,'JR G-Poles'!$B$5:$AI$24,34,FALSE)=" ",0,VLOOKUP($B10,'JR G-Poles'!$B$5:$AI$24,34,FALSE)),0)+IFERROR(IF(VLOOKUP($B10,'JR G-Goats'!$B$5:$AI$24,34,FALSE)=" ",0,VLOOKUP($B10,'JR G-Goats'!$B$5:$AI$24,34,FALSE)),0)+IFERROR(IF(VLOOKUP($B10,'JR-Team Roping-Header'!$B$5:$N$24,10,FALSE)=" ",0,VLOOKUP($B10,'JR-Team Roping-Header'!$B$5:$N$24,10,FALSE)),0)+IFERROR(IF(VLOOKUP($B10,'JR-Team Roping-Heeler'!$B$5:$N$24,10,FALSE)=" ",0,VLOOKUP($B10,'JR-Team Roping-Heeler'!$B$5:$N$24,10,FALSE)),0)</f>
        <v>27</v>
      </c>
      <c r="Y10" s="95">
        <f t="shared" si="14"/>
        <v>27</v>
      </c>
      <c r="Z10" s="91">
        <f t="shared" si="15"/>
        <v>5</v>
      </c>
      <c r="AA10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126</v>
      </c>
      <c r="AB10" s="95">
        <f t="shared" si="16"/>
        <v>126</v>
      </c>
      <c r="AC10" s="91">
        <f t="shared" si="17"/>
        <v>5</v>
      </c>
    </row>
    <row r="11" spans="2:29" x14ac:dyDescent="0.25">
      <c r="B11" s="141" t="s">
        <v>157</v>
      </c>
      <c r="C11" s="120">
        <f>IFERROR(IF(VLOOKUP($B11,'JR G-Breakaway'!$B$5:$AI$24,6,FALSE)=" ",0,VLOOKUP($B11,'JR G-Breakaway'!$B$5:$AI$24,6,FALSE)),0)+IFERROR(IF(VLOOKUP($B11,'JR G-Barrels'!$B$5:$AI$24,6,FALSE)=" ",0,VLOOKUP($B11,'JR G-Barrels'!$B$5:$AI$24,6,FALSE)),0)+IFERROR(IF(VLOOKUP($B11,'JR G-Poles'!$B$5:$AI$24,6,FALSE)=" ",0,VLOOKUP($B11,'JR G-Poles'!$B$5:$AI$24,6,FALSE)),0)+IFERROR(IF(VLOOKUP($B11,'JR G-Goats'!$B$5:$AI$24,6,FALSE)=" ",0,VLOOKUP($B11,'JR G-Goats'!$B$5:$AI$24,6,FALSE)),0)+IFERROR(IF(VLOOKUP($B11,'JR-Team Roping-Header'!$B$5:$N$24,3,FALSE)=" ",0,VLOOKUP($B11,'JR-Team Roping-Header'!$B$5:$N$24,3,FALSE)),0)+IFERROR(IF(VLOOKUP($B11,'JR-Team Roping-Heeler'!$B$5:$N$24,3,FALSE)=" ",0,VLOOKUP($B11,'JR-Team Roping-Heeler'!$B$5:$N$24,3,FALSE)),0)</f>
        <v>24</v>
      </c>
      <c r="D11" s="95">
        <f t="shared" si="0"/>
        <v>24</v>
      </c>
      <c r="E11" s="91">
        <f t="shared" si="1"/>
        <v>5</v>
      </c>
      <c r="F11" s="121">
        <f>IFERROR(IF(VLOOKUP($B11,'JR G-Breakaway'!$B$5:$AI$24,10,FALSE)=" ",0,VLOOKUP($B11,'JR G-Breakaway'!$B$5:$AI$24,10,FALSE)),0)+IFERROR(IF(VLOOKUP($B11,'JR G-Barrels'!$B$5:$AI$24,10,FALSE)=" ",0,VLOOKUP($B11,'JR G-Barrels'!$B$5:$AI$24,10,FALSE)),0)+IFERROR(IF(VLOOKUP($B11,'JR G-Poles'!$B$5:$AI$24,10,FALSE)=" ",0,VLOOKUP($B11,'JR G-Poles'!$B$5:$AI$24,10,FALSE)),0)+IFERROR(IF(VLOOKUP($B11,'JR G-Goats'!$B$5:$AI$24,10,FALSE)=" ",0,VLOOKUP($B11,'JR G-Goats'!$B$5:$AI$24,10,FALSE)),0)+IFERROR(IF(VLOOKUP($B11,'JR-Team Roping-Header'!$B$5:$N$24,4,FALSE)=" ",0,VLOOKUP($B11,'JR-Team Roping-Header'!$B$5:$N$24,4,FALSE)),0)+IFERROR(IF(VLOOKUP($B11,'JR-Team Roping-Heeler'!$B$5:$N$24,4,FALSE)=" ",0,VLOOKUP($B11,'JR-Team Roping-Heeler'!$B$5:$N$24,4,FALSE)),0)</f>
        <v>6</v>
      </c>
      <c r="G11" s="95">
        <f t="shared" si="2"/>
        <v>6</v>
      </c>
      <c r="H11" s="91">
        <f t="shared" si="3"/>
        <v>6</v>
      </c>
      <c r="I11" s="121">
        <f>IFERROR(IF(VLOOKUP($B11,'JR G-Breakaway'!$B$5:$AI$24,14,FALSE)=" ",0,VLOOKUP($B11,'JR G-Breakaway'!$B$5:$AI$24,14,FALSE)),0)+IFERROR(IF(VLOOKUP($B11,'JR G-Barrels'!$B$5:$AI$24,14,FALSE)=" ",0,VLOOKUP($B11,'JR G-Barrels'!$B$5:$AI$24,14,FALSE)),0)+IFERROR(IF(VLOOKUP($B11,'JR G-Poles'!$B$5:$AI$24,14,FALSE)=" ",0,VLOOKUP($B11,'JR G-Poles'!$B$5:$AI$24,14,FALSE)),0)+IFERROR(IF(VLOOKUP($B11,'JR G-Goats'!$B$5:$AI$24,14,FALSE)=" ",0,VLOOKUP($B11,'JR G-Goats'!$B$5:$AI$24,14,FALSE)),0)+IFERROR(IF(VLOOKUP($B11,'JR-Team Roping-Header'!$B$5:$N$24,5,FALSE)=" ",0,VLOOKUP($B11,'JR-Team Roping-Header'!$B$5:$N$24,5,FALSE)),0)+IFERROR(IF(VLOOKUP($B11,'JR-Team Roping-Heeler'!$B$5:$N$24,5,FALSE)=" ",0,VLOOKUP($B11,'JR-Team Roping-Heeler'!$B$5:$N$24,5,FALSE)),0)</f>
        <v>9</v>
      </c>
      <c r="J11" s="95">
        <f t="shared" si="4"/>
        <v>9</v>
      </c>
      <c r="K11" s="91">
        <f t="shared" si="5"/>
        <v>8</v>
      </c>
      <c r="L11" s="121">
        <f>IFERROR(IF(VLOOKUP($B11,'JR G-Breakaway'!$B$5:$AI$24,18,FALSE)=" ",0,VLOOKUP($B11,'JR G-Breakaway'!$B$5:$AI$24,18,FALSE)),0)+IFERROR(IF(VLOOKUP($B11,'JR G-Barrels'!$B$5:$AI$24,18,FALSE)=" ",0,VLOOKUP($B11,'JR G-Barrels'!$B$5:$AI$24,18,FALSE)),0)+IFERROR(IF(VLOOKUP($B11,'JR G-Poles'!$B$5:$AI$24,18,FALSE)=" ",0,VLOOKUP($B11,'JR G-Poles'!$B$5:$AI$24,18,FALSE)),0)+IFERROR(IF(VLOOKUP($B11,'JR G-Goats'!$B$5:$AI$24,18,FALSE)=" ",0,VLOOKUP($B11,'JR G-Goats'!$B$5:$AI$24,18,FALSE)),0)+IFERROR(IF(VLOOKUP($B11,'JR-Team Roping-Header'!$B$5:$N$24,6,FALSE)=" ",0,VLOOKUP($B11,'JR-Team Roping-Header'!$B$5:$N$24,6,FALSE)),0)+IFERROR(IF(VLOOKUP($B11,'JR-Team Roping-Heeler'!$B$5:$N$24,6,FALSE)=" ",0,VLOOKUP($B11,'JR-Team Roping-Heeler'!$B$5:$N$24,6,FALSE)),0)</f>
        <v>24</v>
      </c>
      <c r="M11" s="95">
        <f t="shared" si="6"/>
        <v>24</v>
      </c>
      <c r="N11" s="91">
        <f t="shared" si="7"/>
        <v>5</v>
      </c>
      <c r="O11" s="121">
        <f>IFERROR(IF(VLOOKUP($B11,'JR G-Breakaway'!$B$5:$AI$24,22,FALSE)=" ",0,VLOOKUP($B11,'JR G-Breakaway'!$B$5:$AI$24,22,FALSE)),0)+IFERROR(IF(VLOOKUP($B11,'JR G-Barrels'!$B$5:$AI$24,22,FALSE)=" ",0,VLOOKUP($B11,'JR G-Barrels'!$B$5:$AI$24,22,FALSE)),0)+IFERROR(IF(VLOOKUP($B11,'JR G-Poles'!$B$5:$AI$24,22,FALSE)=" ",0,VLOOKUP($B11,'JR G-Poles'!$B$5:$AI$24,22,FALSE)),0)+IFERROR(IF(VLOOKUP($B11,'JR G-Goats'!$B$5:$AI$24,22,FALSE)=" ",0,VLOOKUP($B11,'JR G-Goats'!$B$5:$AI$24,22,FALSE)),0)+IFERROR(IF(VLOOKUP($B11,'JR-Team Roping-Header'!$B$5:$N$24,7,FALSE)=" ",0,VLOOKUP($B11,'JR-Team Roping-Header'!$B$5:$N$24,7,FALSE)),0)+IFERROR(IF(VLOOKUP($B11,'JR-Team Roping-Heeler'!$B$5:$N$24,7,FALSE)=" ",0,VLOOKUP($B11,'JR-Team Roping-Heeler'!$B$5:$N$24,7,FALSE)),0)</f>
        <v>3</v>
      </c>
      <c r="P11" s="95">
        <f t="shared" si="8"/>
        <v>3</v>
      </c>
      <c r="Q11" s="91">
        <f t="shared" si="9"/>
        <v>8</v>
      </c>
      <c r="R11" s="121">
        <f>IFERROR(IF(VLOOKUP($B11,'JR G-Breakaway'!$B$5:$AI$24,26,FALSE)=" ",0,VLOOKUP($B11,'JR G-Breakaway'!$B$5:$AI$24,26,FALSE)),0)+IFERROR(IF(VLOOKUP($B11,'JR G-Barrels'!$B$5:$AI$24,26,FALSE)=" ",0,VLOOKUP($B11,'JR G-Barrels'!$B$5:$AI$24,26,FALSE)),0)+IFERROR(IF(VLOOKUP($B11,'JR G-Poles'!$B$5:$AI$24,26,FALSE)=" ",0,VLOOKUP($B11,'JR G-Poles'!$B$5:$AI$24,26,FALSE)),0)+IFERROR(IF(VLOOKUP($B11,'JR G-Goats'!$B$5:$AI$24,26,FALSE)=" ",0,VLOOKUP($B11,'JR G-Goats'!$B$5:$AI$24,26,FALSE)),0)+IFERROR(IF(VLOOKUP($B11,'JR-Team Roping-Header'!$B$5:$N$24,8,FALSE)=" ",0,VLOOKUP($B11,'JR-Team Roping-Header'!$B$5:$N$24,8,FALSE)),0)+IFERROR(IF(VLOOKUP($B11,'JR-Team Roping-Heeler'!$B$5:$N$24,8,FALSE)=" ",0,VLOOKUP($B11,'JR-Team Roping-Heeler'!$B$5:$N$24,8,FALSE)),0)</f>
        <v>6</v>
      </c>
      <c r="S11" s="95">
        <f t="shared" si="10"/>
        <v>6</v>
      </c>
      <c r="T11" s="91">
        <f t="shared" si="11"/>
        <v>10</v>
      </c>
      <c r="U11" s="121">
        <f>IFERROR(IF(VLOOKUP($B11,'JR G-Breakaway'!$B$5:$AI$24,30,FALSE)=" ",0,VLOOKUP($B11,'JR G-Breakaway'!$B$5:$AI$24,30,FALSE)),0)+IFERROR(IF(VLOOKUP($B11,'JR G-Barrels'!$B$5:$AI$24,30,FALSE)=" ",0,VLOOKUP($B11,'JR G-Barrels'!$B$5:$AI$24,30,FALSE)),0)+IFERROR(IF(VLOOKUP($B11,'JR G-Poles'!$B$5:$AI$24,30,FALSE)=" ",0,VLOOKUP($B11,'JR G-Poles'!$B$5:$AI$24,30,FALSE)),0)+IFERROR(IF(VLOOKUP($B11,'JR G-Goats'!$B$5:$AI$24,30,FALSE)=" ",0,VLOOKUP($B11,'JR G-Goats'!$B$5:$AI$24,30,FALSE)),0)+IFERROR(IF(VLOOKUP($B11,'JR-Team Roping-Header'!$B$5:$N$24,9,FALSE)=" ",0,VLOOKUP($B11,'JR-Team Roping-Header'!$B$5:$N$24,9,FALSE)),0)+IFERROR(IF(VLOOKUP($B11,'JR-Team Roping-Heeler'!$B$5:$N$24,9,FALSE)=" ",0,VLOOKUP($B11,'JR-Team Roping-Heeler'!$B$5:$N$24,9,FALSE)),0)</f>
        <v>12</v>
      </c>
      <c r="V11" s="95">
        <f t="shared" si="12"/>
        <v>12</v>
      </c>
      <c r="W11" s="91">
        <f t="shared" si="13"/>
        <v>7</v>
      </c>
      <c r="X11" s="121">
        <f>IFERROR(IF(VLOOKUP($B11,'JR G-Breakaway'!$B$5:$AI$24,34,FALSE)=" ",0,VLOOKUP($B11,'JR G-Breakaway'!$B$5:$AI$24,34,FALSE)),0)+IFERROR(IF(VLOOKUP($B11,'JR G-Barrels'!$B$5:$AI$24,34,FALSE)=" ",0,VLOOKUP($B11,'JR G-Barrels'!$B$5:$AI$24,34,FALSE)),0)+IFERROR(IF(VLOOKUP($B11,'JR G-Poles'!$B$5:$AI$24,34,FALSE)=" ",0,VLOOKUP($B11,'JR G-Poles'!$B$5:$AI$24,34,FALSE)),0)+IFERROR(IF(VLOOKUP($B11,'JR G-Goats'!$B$5:$AI$24,34,FALSE)=" ",0,VLOOKUP($B11,'JR G-Goats'!$B$5:$AI$24,34,FALSE)),0)+IFERROR(IF(VLOOKUP($B11,'JR-Team Roping-Header'!$B$5:$N$24,10,FALSE)=" ",0,VLOOKUP($B11,'JR-Team Roping-Header'!$B$5:$N$24,10,FALSE)),0)+IFERROR(IF(VLOOKUP($B11,'JR-Team Roping-Heeler'!$B$5:$N$24,10,FALSE)=" ",0,VLOOKUP($B11,'JR-Team Roping-Heeler'!$B$5:$N$24,10,FALSE)),0)</f>
        <v>12</v>
      </c>
      <c r="Y11" s="95">
        <f t="shared" si="14"/>
        <v>12</v>
      </c>
      <c r="Z11" s="91">
        <f t="shared" si="15"/>
        <v>9</v>
      </c>
      <c r="AA11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96</v>
      </c>
      <c r="AB11" s="95">
        <f t="shared" si="16"/>
        <v>96</v>
      </c>
      <c r="AC11" s="91">
        <f t="shared" si="17"/>
        <v>7</v>
      </c>
    </row>
    <row r="12" spans="2:29" x14ac:dyDescent="0.25">
      <c r="B12" s="154" t="s">
        <v>198</v>
      </c>
      <c r="C12" s="120">
        <f>IFERROR(IF(VLOOKUP($B12,'JR G-Breakaway'!$B$5:$AI$24,6,FALSE)=" ",0,VLOOKUP($B12,'JR G-Breakaway'!$B$5:$AI$24,6,FALSE)),0)+IFERROR(IF(VLOOKUP($B12,'JR G-Barrels'!$B$5:$AI$24,6,FALSE)=" ",0,VLOOKUP($B12,'JR G-Barrels'!$B$5:$AI$24,6,FALSE)),0)+IFERROR(IF(VLOOKUP($B12,'JR G-Poles'!$B$5:$AI$24,6,FALSE)=" ",0,VLOOKUP($B12,'JR G-Poles'!$B$5:$AI$24,6,FALSE)),0)+IFERROR(IF(VLOOKUP($B12,'JR G-Goats'!$B$5:$AI$24,6,FALSE)=" ",0,VLOOKUP($B12,'JR G-Goats'!$B$5:$AI$24,6,FALSE)),0)+IFERROR(IF(VLOOKUP($B12,'JR-Team Roping-Header'!$B$5:$N$24,3,FALSE)=" ",0,VLOOKUP($B12,'JR-Team Roping-Header'!$B$5:$N$24,3,FALSE)),0)+IFERROR(IF(VLOOKUP($B12,'JR-Team Roping-Heeler'!$B$5:$N$24,3,FALSE)=" ",0,VLOOKUP($B12,'JR-Team Roping-Heeler'!$B$5:$N$24,3,FALSE)),0)</f>
        <v>12</v>
      </c>
      <c r="D12" s="95">
        <f t="shared" si="0"/>
        <v>12</v>
      </c>
      <c r="E12" s="91">
        <f t="shared" si="1"/>
        <v>7</v>
      </c>
      <c r="F12" s="121">
        <f>IFERROR(IF(VLOOKUP($B12,'JR G-Breakaway'!$B$5:$AI$24,10,FALSE)=" ",0,VLOOKUP($B12,'JR G-Breakaway'!$B$5:$AI$24,10,FALSE)),0)+IFERROR(IF(VLOOKUP($B12,'JR G-Barrels'!$B$5:$AI$24,10,FALSE)=" ",0,VLOOKUP($B12,'JR G-Barrels'!$B$5:$AI$24,10,FALSE)),0)+IFERROR(IF(VLOOKUP($B12,'JR G-Poles'!$B$5:$AI$24,10,FALSE)=" ",0,VLOOKUP($B12,'JR G-Poles'!$B$5:$AI$24,10,FALSE)),0)+IFERROR(IF(VLOOKUP($B12,'JR G-Goats'!$B$5:$AI$24,10,FALSE)=" ",0,VLOOKUP($B12,'JR G-Goats'!$B$5:$AI$24,10,FALSE)),0)+IFERROR(IF(VLOOKUP($B12,'JR-Team Roping-Header'!$B$5:$N$24,4,FALSE)=" ",0,VLOOKUP($B12,'JR-Team Roping-Header'!$B$5:$N$24,4,FALSE)),0)+IFERROR(IF(VLOOKUP($B12,'JR-Team Roping-Heeler'!$B$5:$N$24,4,FALSE)=" ",0,VLOOKUP($B12,'JR-Team Roping-Heeler'!$B$5:$N$24,4,FALSE)),0)</f>
        <v>3</v>
      </c>
      <c r="G12" s="95">
        <f t="shared" si="2"/>
        <v>3</v>
      </c>
      <c r="H12" s="91">
        <f t="shared" si="3"/>
        <v>8</v>
      </c>
      <c r="I12" s="121">
        <f>IFERROR(IF(VLOOKUP($B12,'JR G-Breakaway'!$B$5:$AI$24,14,FALSE)=" ",0,VLOOKUP($B12,'JR G-Breakaway'!$B$5:$AI$24,14,FALSE)),0)+IFERROR(IF(VLOOKUP($B12,'JR G-Barrels'!$B$5:$AI$24,14,FALSE)=" ",0,VLOOKUP($B12,'JR G-Barrels'!$B$5:$AI$24,14,FALSE)),0)+IFERROR(IF(VLOOKUP($B12,'JR G-Poles'!$B$5:$AI$24,14,FALSE)=" ",0,VLOOKUP($B12,'JR G-Poles'!$B$5:$AI$24,14,FALSE)),0)+IFERROR(IF(VLOOKUP($B12,'JR G-Goats'!$B$5:$AI$24,14,FALSE)=" ",0,VLOOKUP($B12,'JR G-Goats'!$B$5:$AI$24,14,FALSE)),0)+IFERROR(IF(VLOOKUP($B12,'JR-Team Roping-Header'!$B$5:$N$24,5,FALSE)=" ",0,VLOOKUP($B12,'JR-Team Roping-Header'!$B$5:$N$24,5,FALSE)),0)+IFERROR(IF(VLOOKUP($B12,'JR-Team Roping-Heeler'!$B$5:$N$24,5,FALSE)=" ",0,VLOOKUP($B12,'JR-Team Roping-Heeler'!$B$5:$N$24,5,FALSE)),0)</f>
        <v>21</v>
      </c>
      <c r="J12" s="95">
        <f t="shared" si="4"/>
        <v>21</v>
      </c>
      <c r="K12" s="91">
        <f t="shared" si="5"/>
        <v>6</v>
      </c>
      <c r="L12" s="121">
        <f>IFERROR(IF(VLOOKUP($B12,'JR G-Breakaway'!$B$5:$AI$24,18,FALSE)=" ",0,VLOOKUP($B12,'JR G-Breakaway'!$B$5:$AI$24,18,FALSE)),0)+IFERROR(IF(VLOOKUP($B12,'JR G-Barrels'!$B$5:$AI$24,18,FALSE)=" ",0,VLOOKUP($B12,'JR G-Barrels'!$B$5:$AI$24,18,FALSE)),0)+IFERROR(IF(VLOOKUP($B12,'JR G-Poles'!$B$5:$AI$24,18,FALSE)=" ",0,VLOOKUP($B12,'JR G-Poles'!$B$5:$AI$24,18,FALSE)),0)+IFERROR(IF(VLOOKUP($B12,'JR G-Goats'!$B$5:$AI$24,18,FALSE)=" ",0,VLOOKUP($B12,'JR G-Goats'!$B$5:$AI$24,18,FALSE)),0)+IFERROR(IF(VLOOKUP($B12,'JR-Team Roping-Header'!$B$5:$N$24,6,FALSE)=" ",0,VLOOKUP($B12,'JR-Team Roping-Header'!$B$5:$N$24,6,FALSE)),0)+IFERROR(IF(VLOOKUP($B12,'JR-Team Roping-Heeler'!$B$5:$N$24,6,FALSE)=" ",0,VLOOKUP($B12,'JR-Team Roping-Heeler'!$B$5:$N$24,6,FALSE)),0)</f>
        <v>19</v>
      </c>
      <c r="M12" s="95">
        <f t="shared" si="6"/>
        <v>19</v>
      </c>
      <c r="N12" s="91">
        <f t="shared" si="7"/>
        <v>6</v>
      </c>
      <c r="O12" s="121">
        <f>IFERROR(IF(VLOOKUP($B12,'JR G-Breakaway'!$B$5:$AI$24,22,FALSE)=" ",0,VLOOKUP($B12,'JR G-Breakaway'!$B$5:$AI$24,22,FALSE)),0)+IFERROR(IF(VLOOKUP($B12,'JR G-Barrels'!$B$5:$AI$24,22,FALSE)=" ",0,VLOOKUP($B12,'JR G-Barrels'!$B$5:$AI$24,22,FALSE)),0)+IFERROR(IF(VLOOKUP($B12,'JR G-Poles'!$B$5:$AI$24,22,FALSE)=" ",0,VLOOKUP($B12,'JR G-Poles'!$B$5:$AI$24,22,FALSE)),0)+IFERROR(IF(VLOOKUP($B12,'JR G-Goats'!$B$5:$AI$24,22,FALSE)=" ",0,VLOOKUP($B12,'JR G-Goats'!$B$5:$AI$24,22,FALSE)),0)+IFERROR(IF(VLOOKUP($B12,'JR-Team Roping-Header'!$B$5:$N$24,7,FALSE)=" ",0,VLOOKUP($B12,'JR-Team Roping-Header'!$B$5:$N$24,7,FALSE)),0)+IFERROR(IF(VLOOKUP($B12,'JR-Team Roping-Heeler'!$B$5:$N$24,7,FALSE)=" ",0,VLOOKUP($B12,'JR-Team Roping-Heeler'!$B$5:$N$24,7,FALSE)),0)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IFERROR(IF(VLOOKUP($B12,'JR G-Breakaway'!$B$5:$AI$24,26,FALSE)=" ",0,VLOOKUP($B12,'JR G-Breakaway'!$B$5:$AI$24,26,FALSE)),0)+IFERROR(IF(VLOOKUP($B12,'JR G-Barrels'!$B$5:$AI$24,26,FALSE)=" ",0,VLOOKUP($B12,'JR G-Barrels'!$B$5:$AI$24,26,FALSE)),0)+IFERROR(IF(VLOOKUP($B12,'JR G-Poles'!$B$5:$AI$24,26,FALSE)=" ",0,VLOOKUP($B12,'JR G-Poles'!$B$5:$AI$24,26,FALSE)),0)+IFERROR(IF(VLOOKUP($B12,'JR G-Goats'!$B$5:$AI$24,26,FALSE)=" ",0,VLOOKUP($B12,'JR G-Goats'!$B$5:$AI$24,26,FALSE)),0)+IFERROR(IF(VLOOKUP($B12,'JR-Team Roping-Header'!$B$5:$N$24,8,FALSE)=" ",0,VLOOKUP($B12,'JR-Team Roping-Header'!$B$5:$N$24,8,FALSE)),0)+IFERROR(IF(VLOOKUP($B12,'JR-Team Roping-Heeler'!$B$5:$N$24,8,FALSE)=" ",0,VLOOKUP($B12,'JR-Team Roping-Heeler'!$B$5:$N$24,8,FALSE)),0)</f>
        <v>15</v>
      </c>
      <c r="S12" s="95">
        <f t="shared" si="10"/>
        <v>15</v>
      </c>
      <c r="T12" s="91">
        <f t="shared" si="11"/>
        <v>7</v>
      </c>
      <c r="U12" s="121">
        <f>IFERROR(IF(VLOOKUP($B12,'JR G-Breakaway'!$B$5:$AI$24,30,FALSE)=" ",0,VLOOKUP($B12,'JR G-Breakaway'!$B$5:$AI$24,30,FALSE)),0)+IFERROR(IF(VLOOKUP($B12,'JR G-Barrels'!$B$5:$AI$24,30,FALSE)=" ",0,VLOOKUP($B12,'JR G-Barrels'!$B$5:$AI$24,30,FALSE)),0)+IFERROR(IF(VLOOKUP($B12,'JR G-Poles'!$B$5:$AI$24,30,FALSE)=" ",0,VLOOKUP($B12,'JR G-Poles'!$B$5:$AI$24,30,FALSE)),0)+IFERROR(IF(VLOOKUP($B12,'JR G-Goats'!$B$5:$AI$24,30,FALSE)=" ",0,VLOOKUP($B12,'JR G-Goats'!$B$5:$AI$24,30,FALSE)),0)+IFERROR(IF(VLOOKUP($B12,'JR-Team Roping-Header'!$B$5:$N$24,9,FALSE)=" ",0,VLOOKUP($B12,'JR-Team Roping-Header'!$B$5:$N$24,9,FALSE)),0)+IFERROR(IF(VLOOKUP($B12,'JR-Team Roping-Heeler'!$B$5:$N$24,9,FALSE)=" ",0,VLOOKUP($B12,'JR-Team Roping-Heeler'!$B$5:$N$24,9,FALSE)),0)</f>
        <v>15</v>
      </c>
      <c r="V12" s="95">
        <f t="shared" si="12"/>
        <v>15</v>
      </c>
      <c r="W12" s="91">
        <f t="shared" si="13"/>
        <v>4</v>
      </c>
      <c r="X12" s="121">
        <f>IFERROR(IF(VLOOKUP($B12,'JR G-Breakaway'!$B$5:$AI$24,34,FALSE)=" ",0,VLOOKUP($B12,'JR G-Breakaway'!$B$5:$AI$24,34,FALSE)),0)+IFERROR(IF(VLOOKUP($B12,'JR G-Barrels'!$B$5:$AI$24,34,FALSE)=" ",0,VLOOKUP($B12,'JR G-Barrels'!$B$5:$AI$24,34,FALSE)),0)+IFERROR(IF(VLOOKUP($B12,'JR G-Poles'!$B$5:$AI$24,34,FALSE)=" ",0,VLOOKUP($B12,'JR G-Poles'!$B$5:$AI$24,34,FALSE)),0)+IFERROR(IF(VLOOKUP($B12,'JR G-Goats'!$B$5:$AI$24,34,FALSE)=" ",0,VLOOKUP($B12,'JR G-Goats'!$B$5:$AI$24,34,FALSE)),0)+IFERROR(IF(VLOOKUP($B12,'JR-Team Roping-Header'!$B$5:$N$24,10,FALSE)=" ",0,VLOOKUP($B12,'JR-Team Roping-Header'!$B$5:$N$24,10,FALSE)),0)+IFERROR(IF(VLOOKUP($B12,'JR-Team Roping-Heeler'!$B$5:$N$24,10,FALSE)=" ",0,VLOOKUP($B12,'JR-Team Roping-Heeler'!$B$5:$N$24,10,FALSE)),0)</f>
        <v>3</v>
      </c>
      <c r="Y12" s="95">
        <f t="shared" si="14"/>
        <v>3</v>
      </c>
      <c r="Z12" s="91">
        <f t="shared" si="15"/>
        <v>11</v>
      </c>
      <c r="AA12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88</v>
      </c>
      <c r="AB12" s="95">
        <f t="shared" si="16"/>
        <v>88</v>
      </c>
      <c r="AC12" s="91">
        <f t="shared" si="17"/>
        <v>8</v>
      </c>
    </row>
    <row r="13" spans="2:29" x14ac:dyDescent="0.25">
      <c r="B13" s="154" t="s">
        <v>148</v>
      </c>
      <c r="C13" s="120">
        <f>IFERROR(IF(VLOOKUP($B13,'JR G-Breakaway'!$B$5:$AI$24,6,FALSE)=" ",0,VLOOKUP($B13,'JR G-Breakaway'!$B$5:$AI$24,6,FALSE)),0)+IFERROR(IF(VLOOKUP($B13,'JR G-Barrels'!$B$5:$AI$24,6,FALSE)=" ",0,VLOOKUP($B13,'JR G-Barrels'!$B$5:$AI$24,6,FALSE)),0)+IFERROR(IF(VLOOKUP($B13,'JR G-Poles'!$B$5:$AI$24,6,FALSE)=" ",0,VLOOKUP($B13,'JR G-Poles'!$B$5:$AI$24,6,FALSE)),0)+IFERROR(IF(VLOOKUP($B13,'JR G-Goats'!$B$5:$AI$24,6,FALSE)=" ",0,VLOOKUP($B13,'JR G-Goats'!$B$5:$AI$24,6,FALSE)),0)+IFERROR(IF(VLOOKUP($B13,'JR-Team Roping-Header'!$B$5:$N$24,3,FALSE)=" ",0,VLOOKUP($B13,'JR-Team Roping-Header'!$B$5:$N$24,3,FALSE)),0)+IFERROR(IF(VLOOKUP($B13,'JR-Team Roping-Heeler'!$B$5:$N$24,3,FALSE)=" ",0,VLOOKUP($B13,'JR-Team Roping-Heeler'!$B$5:$N$24,3,FALSE)),0)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IFERROR(IF(VLOOKUP($B13,'JR G-Breakaway'!$B$5:$AI$24,10,FALSE)=" ",0,VLOOKUP($B13,'JR G-Breakaway'!$B$5:$AI$24,10,FALSE)),0)+IFERROR(IF(VLOOKUP($B13,'JR G-Barrels'!$B$5:$AI$24,10,FALSE)=" ",0,VLOOKUP($B13,'JR G-Barrels'!$B$5:$AI$24,10,FALSE)),0)+IFERROR(IF(VLOOKUP($B13,'JR G-Poles'!$B$5:$AI$24,10,FALSE)=" ",0,VLOOKUP($B13,'JR G-Poles'!$B$5:$AI$24,10,FALSE)),0)+IFERROR(IF(VLOOKUP($B13,'JR G-Goats'!$B$5:$AI$24,10,FALSE)=" ",0,VLOOKUP($B13,'JR G-Goats'!$B$5:$AI$24,10,FALSE)),0)+IFERROR(IF(VLOOKUP($B13,'JR-Team Roping-Header'!$B$5:$N$24,4,FALSE)=" ",0,VLOOKUP($B13,'JR-Team Roping-Header'!$B$5:$N$24,4,FALSE)),0)+IFERROR(IF(VLOOKUP($B13,'JR-Team Roping-Heeler'!$B$5:$N$24,4,FALSE)=" ",0,VLOOKUP($B13,'JR-Team Roping-Heeler'!$B$5:$N$24,4,FALSE)),0)</f>
        <v>0</v>
      </c>
      <c r="G13" s="95" t="str">
        <f t="shared" si="2"/>
        <v xml:space="preserve"> </v>
      </c>
      <c r="H13" s="91" t="str">
        <f t="shared" si="3"/>
        <v xml:space="preserve"> </v>
      </c>
      <c r="I13" s="121">
        <f>IFERROR(IF(VLOOKUP($B13,'JR G-Breakaway'!$B$5:$AI$24,14,FALSE)=" ",0,VLOOKUP($B13,'JR G-Breakaway'!$B$5:$AI$24,14,FALSE)),0)+IFERROR(IF(VLOOKUP($B13,'JR G-Barrels'!$B$5:$AI$24,14,FALSE)=" ",0,VLOOKUP($B13,'JR G-Barrels'!$B$5:$AI$24,14,FALSE)),0)+IFERROR(IF(VLOOKUP($B13,'JR G-Poles'!$B$5:$AI$24,14,FALSE)=" ",0,VLOOKUP($B13,'JR G-Poles'!$B$5:$AI$24,14,FALSE)),0)+IFERROR(IF(VLOOKUP($B13,'JR G-Goats'!$B$5:$AI$24,14,FALSE)=" ",0,VLOOKUP($B13,'JR G-Goats'!$B$5:$AI$24,14,FALSE)),0)+IFERROR(IF(VLOOKUP($B13,'JR-Team Roping-Header'!$B$5:$N$24,5,FALSE)=" ",0,VLOOKUP($B13,'JR-Team Roping-Header'!$B$5:$N$24,5,FALSE)),0)+IFERROR(IF(VLOOKUP($B13,'JR-Team Roping-Heeler'!$B$5:$N$24,5,FALSE)=" ",0,VLOOKUP($B13,'JR-Team Roping-Heeler'!$B$5:$N$24,5,FALSE)),0)</f>
        <v>3</v>
      </c>
      <c r="J13" s="95">
        <f t="shared" si="4"/>
        <v>3</v>
      </c>
      <c r="K13" s="91">
        <f t="shared" si="5"/>
        <v>11</v>
      </c>
      <c r="L13" s="121">
        <f>IFERROR(IF(VLOOKUP($B13,'JR G-Breakaway'!$B$5:$AI$24,18,FALSE)=" ",0,VLOOKUP($B13,'JR G-Breakaway'!$B$5:$AI$24,18,FALSE)),0)+IFERROR(IF(VLOOKUP($B13,'JR G-Barrels'!$B$5:$AI$24,18,FALSE)=" ",0,VLOOKUP($B13,'JR G-Barrels'!$B$5:$AI$24,18,FALSE)),0)+IFERROR(IF(VLOOKUP($B13,'JR G-Poles'!$B$5:$AI$24,18,FALSE)=" ",0,VLOOKUP($B13,'JR G-Poles'!$B$5:$AI$24,18,FALSE)),0)+IFERROR(IF(VLOOKUP($B13,'JR G-Goats'!$B$5:$AI$24,18,FALSE)=" ",0,VLOOKUP($B13,'JR G-Goats'!$B$5:$AI$24,18,FALSE)),0)+IFERROR(IF(VLOOKUP($B13,'JR-Team Roping-Header'!$B$5:$N$24,6,FALSE)=" ",0,VLOOKUP($B13,'JR-Team Roping-Header'!$B$5:$N$24,6,FALSE)),0)+IFERROR(IF(VLOOKUP($B13,'JR-Team Roping-Heeler'!$B$5:$N$24,6,FALSE)=" ",0,VLOOKUP($B13,'JR-Team Roping-Heeler'!$B$5:$N$24,6,FALSE)),0)</f>
        <v>12</v>
      </c>
      <c r="M13" s="95">
        <f t="shared" si="6"/>
        <v>12</v>
      </c>
      <c r="N13" s="91">
        <f t="shared" si="7"/>
        <v>7</v>
      </c>
      <c r="O13" s="121">
        <f>IFERROR(IF(VLOOKUP($B13,'JR G-Breakaway'!$B$5:$AI$24,22,FALSE)=" ",0,VLOOKUP($B13,'JR G-Breakaway'!$B$5:$AI$24,22,FALSE)),0)+IFERROR(IF(VLOOKUP($B13,'JR G-Barrels'!$B$5:$AI$24,22,FALSE)=" ",0,VLOOKUP($B13,'JR G-Barrels'!$B$5:$AI$24,22,FALSE)),0)+IFERROR(IF(VLOOKUP($B13,'JR G-Poles'!$B$5:$AI$24,22,FALSE)=" ",0,VLOOKUP($B13,'JR G-Poles'!$B$5:$AI$24,22,FALSE)),0)+IFERROR(IF(VLOOKUP($B13,'JR G-Goats'!$B$5:$AI$24,22,FALSE)=" ",0,VLOOKUP($B13,'JR G-Goats'!$B$5:$AI$24,22,FALSE)),0)+IFERROR(IF(VLOOKUP($B13,'JR-Team Roping-Header'!$B$5:$N$24,7,FALSE)=" ",0,VLOOKUP($B13,'JR-Team Roping-Header'!$B$5:$N$24,7,FALSE)),0)+IFERROR(IF(VLOOKUP($B13,'JR-Team Roping-Heeler'!$B$5:$N$24,7,FALSE)=" ",0,VLOOKUP($B13,'JR-Team Roping-Heeler'!$B$5:$N$24,7,FALSE)),0)</f>
        <v>15</v>
      </c>
      <c r="P13" s="95">
        <f t="shared" si="8"/>
        <v>15</v>
      </c>
      <c r="Q13" s="91">
        <f t="shared" si="9"/>
        <v>5</v>
      </c>
      <c r="R13" s="121">
        <f>IFERROR(IF(VLOOKUP($B13,'JR G-Breakaway'!$B$5:$AI$24,26,FALSE)=" ",0,VLOOKUP($B13,'JR G-Breakaway'!$B$5:$AI$24,26,FALSE)),0)+IFERROR(IF(VLOOKUP($B13,'JR G-Barrels'!$B$5:$AI$24,26,FALSE)=" ",0,VLOOKUP($B13,'JR G-Barrels'!$B$5:$AI$24,26,FALSE)),0)+IFERROR(IF(VLOOKUP($B13,'JR G-Poles'!$B$5:$AI$24,26,FALSE)=" ",0,VLOOKUP($B13,'JR G-Poles'!$B$5:$AI$24,26,FALSE)),0)+IFERROR(IF(VLOOKUP($B13,'JR G-Goats'!$B$5:$AI$24,26,FALSE)=" ",0,VLOOKUP($B13,'JR G-Goats'!$B$5:$AI$24,26,FALSE)),0)+IFERROR(IF(VLOOKUP($B13,'JR-Team Roping-Header'!$B$5:$N$24,8,FALSE)=" ",0,VLOOKUP($B13,'JR-Team Roping-Header'!$B$5:$N$24,8,FALSE)),0)+IFERROR(IF(VLOOKUP($B13,'JR-Team Roping-Heeler'!$B$5:$N$24,8,FALSE)=" ",0,VLOOKUP($B13,'JR-Team Roping-Heeler'!$B$5:$N$24,8,FALSE)),0)</f>
        <v>12</v>
      </c>
      <c r="S13" s="95">
        <f t="shared" si="10"/>
        <v>12</v>
      </c>
      <c r="T13" s="91">
        <f t="shared" si="11"/>
        <v>8</v>
      </c>
      <c r="U13" s="121">
        <f>IFERROR(IF(VLOOKUP($B13,'JR G-Breakaway'!$B$5:$AI$24,30,FALSE)=" ",0,VLOOKUP($B13,'JR G-Breakaway'!$B$5:$AI$24,30,FALSE)),0)+IFERROR(IF(VLOOKUP($B13,'JR G-Barrels'!$B$5:$AI$24,30,FALSE)=" ",0,VLOOKUP($B13,'JR G-Barrels'!$B$5:$AI$24,30,FALSE)),0)+IFERROR(IF(VLOOKUP($B13,'JR G-Poles'!$B$5:$AI$24,30,FALSE)=" ",0,VLOOKUP($B13,'JR G-Poles'!$B$5:$AI$24,30,FALSE)),0)+IFERROR(IF(VLOOKUP($B13,'JR G-Goats'!$B$5:$AI$24,30,FALSE)=" ",0,VLOOKUP($B13,'JR G-Goats'!$B$5:$AI$24,30,FALSE)),0)+IFERROR(IF(VLOOKUP($B13,'JR-Team Roping-Header'!$B$5:$N$24,9,FALSE)=" ",0,VLOOKUP($B13,'JR-Team Roping-Header'!$B$5:$N$24,9,FALSE)),0)+IFERROR(IF(VLOOKUP($B13,'JR-Team Roping-Heeler'!$B$5:$N$24,9,FALSE)=" ",0,VLOOKUP($B13,'JR-Team Roping-Heeler'!$B$5:$N$24,9,FALSE)),0)</f>
        <v>12</v>
      </c>
      <c r="V13" s="95">
        <f t="shared" si="12"/>
        <v>12</v>
      </c>
      <c r="W13" s="91">
        <f t="shared" si="13"/>
        <v>7</v>
      </c>
      <c r="X13" s="121">
        <f>IFERROR(IF(VLOOKUP($B13,'JR G-Breakaway'!$B$5:$AI$24,34,FALSE)=" ",0,VLOOKUP($B13,'JR G-Breakaway'!$B$5:$AI$24,34,FALSE)),0)+IFERROR(IF(VLOOKUP($B13,'JR G-Barrels'!$B$5:$AI$24,34,FALSE)=" ",0,VLOOKUP($B13,'JR G-Barrels'!$B$5:$AI$24,34,FALSE)),0)+IFERROR(IF(VLOOKUP($B13,'JR G-Poles'!$B$5:$AI$24,34,FALSE)=" ",0,VLOOKUP($B13,'JR G-Poles'!$B$5:$AI$24,34,FALSE)),0)+IFERROR(IF(VLOOKUP($B13,'JR G-Goats'!$B$5:$AI$24,34,FALSE)=" ",0,VLOOKUP($B13,'JR G-Goats'!$B$5:$AI$24,34,FALSE)),0)+IFERROR(IF(VLOOKUP($B13,'JR-Team Roping-Header'!$B$5:$N$24,10,FALSE)=" ",0,VLOOKUP($B13,'JR-Team Roping-Header'!$B$5:$N$24,10,FALSE)),0)+IFERROR(IF(VLOOKUP($B13,'JR-Team Roping-Heeler'!$B$5:$N$24,10,FALSE)=" ",0,VLOOKUP($B13,'JR-Team Roping-Heeler'!$B$5:$N$24,10,FALSE)),0)</f>
        <v>15</v>
      </c>
      <c r="Y13" s="95">
        <f t="shared" si="14"/>
        <v>15</v>
      </c>
      <c r="Z13" s="91">
        <f t="shared" si="15"/>
        <v>7</v>
      </c>
      <c r="AA13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69</v>
      </c>
      <c r="AB13" s="95">
        <f t="shared" si="16"/>
        <v>69</v>
      </c>
      <c r="AC13" s="91">
        <f t="shared" si="17"/>
        <v>9</v>
      </c>
    </row>
    <row r="14" spans="2:29" x14ac:dyDescent="0.25">
      <c r="B14" s="154" t="s">
        <v>205</v>
      </c>
      <c r="C14" s="120">
        <f>IFERROR(IF(VLOOKUP($B14,'JR G-Breakaway'!$B$5:$AI$24,6,FALSE)=" ",0,VLOOKUP($B14,'JR G-Breakaway'!$B$5:$AI$24,6,FALSE)),0)+IFERROR(IF(VLOOKUP($B14,'JR G-Barrels'!$B$5:$AI$24,6,FALSE)=" ",0,VLOOKUP($B14,'JR G-Barrels'!$B$5:$AI$24,6,FALSE)),0)+IFERROR(IF(VLOOKUP($B14,'JR G-Poles'!$B$5:$AI$24,6,FALSE)=" ",0,VLOOKUP($B14,'JR G-Poles'!$B$5:$AI$24,6,FALSE)),0)+IFERROR(IF(VLOOKUP($B14,'JR G-Goats'!$B$5:$AI$24,6,FALSE)=" ",0,VLOOKUP($B14,'JR G-Goats'!$B$5:$AI$24,6,FALSE)),0)+IFERROR(IF(VLOOKUP($B14,'JR-Team Roping-Header'!$B$5:$N$24,3,FALSE)=" ",0,VLOOKUP($B14,'JR-Team Roping-Header'!$B$5:$N$24,3,FALSE)),0)+IFERROR(IF(VLOOKUP($B14,'JR-Team Roping-Heeler'!$B$5:$N$24,3,FALSE)=" ",0,VLOOKUP($B14,'JR-Team Roping-Heeler'!$B$5:$N$24,3,FALSE)),0)</f>
        <v>9</v>
      </c>
      <c r="D14" s="95">
        <f t="shared" si="0"/>
        <v>9</v>
      </c>
      <c r="E14" s="122">
        <f t="shared" si="1"/>
        <v>8</v>
      </c>
      <c r="F14" s="121">
        <f>IFERROR(IF(VLOOKUP($B14,'JR G-Breakaway'!$B$5:$AI$24,10,FALSE)=" ",0,VLOOKUP($B14,'JR G-Breakaway'!$B$5:$AI$24,10,FALSE)),0)+IFERROR(IF(VLOOKUP($B14,'JR G-Barrels'!$B$5:$AI$24,10,FALSE)=" ",0,VLOOKUP($B14,'JR G-Barrels'!$B$5:$AI$24,10,FALSE)),0)+IFERROR(IF(VLOOKUP($B14,'JR G-Poles'!$B$5:$AI$24,10,FALSE)=" ",0,VLOOKUP($B14,'JR G-Poles'!$B$5:$AI$24,10,FALSE)),0)+IFERROR(IF(VLOOKUP($B14,'JR G-Goats'!$B$5:$AI$24,10,FALSE)=" ",0,VLOOKUP($B14,'JR G-Goats'!$B$5:$AI$24,10,FALSE)),0)+IFERROR(IF(VLOOKUP($B14,'JR-Team Roping-Header'!$B$5:$N$24,4,FALSE)=" ",0,VLOOKUP($B14,'JR-Team Roping-Header'!$B$5:$N$24,4,FALSE)),0)+IFERROR(IF(VLOOKUP($B14,'JR-Team Roping-Heeler'!$B$5:$N$24,4,FALSE)=" ",0,VLOOKUP($B14,'JR-Team Roping-Heeler'!$B$5:$N$24,4,FALSE)),0)</f>
        <v>6</v>
      </c>
      <c r="G14" s="95">
        <f t="shared" si="2"/>
        <v>6</v>
      </c>
      <c r="H14" s="122">
        <f t="shared" si="3"/>
        <v>6</v>
      </c>
      <c r="I14" s="121">
        <f>IFERROR(IF(VLOOKUP($B14,'JR G-Breakaway'!$B$5:$AI$24,14,FALSE)=" ",0,VLOOKUP($B14,'JR G-Breakaway'!$B$5:$AI$24,14,FALSE)),0)+IFERROR(IF(VLOOKUP($B14,'JR G-Barrels'!$B$5:$AI$24,14,FALSE)=" ",0,VLOOKUP($B14,'JR G-Barrels'!$B$5:$AI$24,14,FALSE)),0)+IFERROR(IF(VLOOKUP($B14,'JR G-Poles'!$B$5:$AI$24,14,FALSE)=" ",0,VLOOKUP($B14,'JR G-Poles'!$B$5:$AI$24,14,FALSE)),0)+IFERROR(IF(VLOOKUP($B14,'JR G-Goats'!$B$5:$AI$24,14,FALSE)=" ",0,VLOOKUP($B14,'JR G-Goats'!$B$5:$AI$24,14,FALSE)),0)+IFERROR(IF(VLOOKUP($B14,'JR-Team Roping-Header'!$B$5:$N$24,5,FALSE)=" ",0,VLOOKUP($B14,'JR-Team Roping-Header'!$B$5:$N$24,5,FALSE)),0)+IFERROR(IF(VLOOKUP($B14,'JR-Team Roping-Heeler'!$B$5:$N$24,5,FALSE)=" ",0,VLOOKUP($B14,'JR-Team Roping-Heeler'!$B$5:$N$24,5,FALSE)),0)</f>
        <v>6</v>
      </c>
      <c r="J14" s="95">
        <f t="shared" si="4"/>
        <v>6</v>
      </c>
      <c r="K14" s="122">
        <f t="shared" si="5"/>
        <v>10</v>
      </c>
      <c r="L14" s="121">
        <f>IFERROR(IF(VLOOKUP($B14,'JR G-Breakaway'!$B$5:$AI$24,18,FALSE)=" ",0,VLOOKUP($B14,'JR G-Breakaway'!$B$5:$AI$24,18,FALSE)),0)+IFERROR(IF(VLOOKUP($B14,'JR G-Barrels'!$B$5:$AI$24,18,FALSE)=" ",0,VLOOKUP($B14,'JR G-Barrels'!$B$5:$AI$24,18,FALSE)),0)+IFERROR(IF(VLOOKUP($B14,'JR G-Poles'!$B$5:$AI$24,18,FALSE)=" ",0,VLOOKUP($B14,'JR G-Poles'!$B$5:$AI$24,18,FALSE)),0)+IFERROR(IF(VLOOKUP($B14,'JR G-Goats'!$B$5:$AI$24,18,FALSE)=" ",0,VLOOKUP($B14,'JR G-Goats'!$B$5:$AI$24,18,FALSE)),0)+IFERROR(IF(VLOOKUP($B14,'JR-Team Roping-Header'!$B$5:$N$24,6,FALSE)=" ",0,VLOOKUP($B14,'JR-Team Roping-Header'!$B$5:$N$24,6,FALSE)),0)+IFERROR(IF(VLOOKUP($B14,'JR-Team Roping-Heeler'!$B$5:$N$24,6,FALSE)=" ",0,VLOOKUP($B14,'JR-Team Roping-Heeler'!$B$5:$N$24,6,FALSE)),0)</f>
        <v>12</v>
      </c>
      <c r="M14" s="95">
        <f t="shared" si="6"/>
        <v>12</v>
      </c>
      <c r="N14" s="122">
        <f t="shared" si="7"/>
        <v>7</v>
      </c>
      <c r="O14" s="121">
        <f>IFERROR(IF(VLOOKUP($B14,'JR G-Breakaway'!$B$5:$AI$24,22,FALSE)=" ",0,VLOOKUP($B14,'JR G-Breakaway'!$B$5:$AI$24,22,FALSE)),0)+IFERROR(IF(VLOOKUP($B14,'JR G-Barrels'!$B$5:$AI$24,22,FALSE)=" ",0,VLOOKUP($B14,'JR G-Barrels'!$B$5:$AI$24,22,FALSE)),0)+IFERROR(IF(VLOOKUP($B14,'JR G-Poles'!$B$5:$AI$24,22,FALSE)=" ",0,VLOOKUP($B14,'JR G-Poles'!$B$5:$AI$24,22,FALSE)),0)+IFERROR(IF(VLOOKUP($B14,'JR G-Goats'!$B$5:$AI$24,22,FALSE)=" ",0,VLOOKUP($B14,'JR G-Goats'!$B$5:$AI$24,22,FALSE)),0)+IFERROR(IF(VLOOKUP($B14,'JR-Team Roping-Header'!$B$5:$N$24,7,FALSE)=" ",0,VLOOKUP($B14,'JR-Team Roping-Header'!$B$5:$N$24,7,FALSE)),0)+IFERROR(IF(VLOOKUP($B14,'JR-Team Roping-Heeler'!$B$5:$N$24,7,FALSE)=" ",0,VLOOKUP($B14,'JR-Team Roping-Heeler'!$B$5:$N$24,7,FALSE)),0)</f>
        <v>0</v>
      </c>
      <c r="P14" s="95" t="str">
        <f t="shared" si="8"/>
        <v xml:space="preserve"> </v>
      </c>
      <c r="Q14" s="122" t="str">
        <f t="shared" si="9"/>
        <v xml:space="preserve"> </v>
      </c>
      <c r="R14" s="121">
        <f>IFERROR(IF(VLOOKUP($B14,'JR G-Breakaway'!$B$5:$AI$24,26,FALSE)=" ",0,VLOOKUP($B14,'JR G-Breakaway'!$B$5:$AI$24,26,FALSE)),0)+IFERROR(IF(VLOOKUP($B14,'JR G-Barrels'!$B$5:$AI$24,26,FALSE)=" ",0,VLOOKUP($B14,'JR G-Barrels'!$B$5:$AI$24,26,FALSE)),0)+IFERROR(IF(VLOOKUP($B14,'JR G-Poles'!$B$5:$AI$24,26,FALSE)=" ",0,VLOOKUP($B14,'JR G-Poles'!$B$5:$AI$24,26,FALSE)),0)+IFERROR(IF(VLOOKUP($B14,'JR G-Goats'!$B$5:$AI$24,26,FALSE)=" ",0,VLOOKUP($B14,'JR G-Goats'!$B$5:$AI$24,26,FALSE)),0)+IFERROR(IF(VLOOKUP($B14,'JR-Team Roping-Header'!$B$5:$N$24,8,FALSE)=" ",0,VLOOKUP($B14,'JR-Team Roping-Header'!$B$5:$N$24,8,FALSE)),0)+IFERROR(IF(VLOOKUP($B14,'JR-Team Roping-Heeler'!$B$5:$N$24,8,FALSE)=" ",0,VLOOKUP($B14,'JR-Team Roping-Heeler'!$B$5:$N$24,8,FALSE)),0)</f>
        <v>3</v>
      </c>
      <c r="S14" s="95">
        <f t="shared" si="10"/>
        <v>3</v>
      </c>
      <c r="T14" s="122">
        <f t="shared" si="11"/>
        <v>11</v>
      </c>
      <c r="U14" s="121">
        <f>IFERROR(IF(VLOOKUP($B14,'JR G-Breakaway'!$B$5:$AI$24,30,FALSE)=" ",0,VLOOKUP($B14,'JR G-Breakaway'!$B$5:$AI$24,30,FALSE)),0)+IFERROR(IF(VLOOKUP($B14,'JR G-Barrels'!$B$5:$AI$24,30,FALSE)=" ",0,VLOOKUP($B14,'JR G-Barrels'!$B$5:$AI$24,30,FALSE)),0)+IFERROR(IF(VLOOKUP($B14,'JR G-Poles'!$B$5:$AI$24,30,FALSE)=" ",0,VLOOKUP($B14,'JR G-Poles'!$B$5:$AI$24,30,FALSE)),0)+IFERROR(IF(VLOOKUP($B14,'JR G-Goats'!$B$5:$AI$24,30,FALSE)=" ",0,VLOOKUP($B14,'JR G-Goats'!$B$5:$AI$24,30,FALSE)),0)+IFERROR(IF(VLOOKUP($B14,'JR-Team Roping-Header'!$B$5:$N$24,9,FALSE)=" ",0,VLOOKUP($B14,'JR-Team Roping-Header'!$B$5:$N$24,9,FALSE)),0)+IFERROR(IF(VLOOKUP($B14,'JR-Team Roping-Heeler'!$B$5:$N$24,9,FALSE)=" ",0,VLOOKUP($B14,'JR-Team Roping-Heeler'!$B$5:$N$24,9,FALSE)),0)</f>
        <v>12</v>
      </c>
      <c r="V14" s="95">
        <f t="shared" si="12"/>
        <v>12</v>
      </c>
      <c r="W14" s="122">
        <f t="shared" si="13"/>
        <v>7</v>
      </c>
      <c r="X14" s="121">
        <f>IFERROR(IF(VLOOKUP($B14,'JR G-Breakaway'!$B$5:$AI$24,34,FALSE)=" ",0,VLOOKUP($B14,'JR G-Breakaway'!$B$5:$AI$24,34,FALSE)),0)+IFERROR(IF(VLOOKUP($B14,'JR G-Barrels'!$B$5:$AI$24,34,FALSE)=" ",0,VLOOKUP($B14,'JR G-Barrels'!$B$5:$AI$24,34,FALSE)),0)+IFERROR(IF(VLOOKUP($B14,'JR G-Poles'!$B$5:$AI$24,34,FALSE)=" ",0,VLOOKUP($B14,'JR G-Poles'!$B$5:$AI$24,34,FALSE)),0)+IFERROR(IF(VLOOKUP($B14,'JR G-Goats'!$B$5:$AI$24,34,FALSE)=" ",0,VLOOKUP($B14,'JR G-Goats'!$B$5:$AI$24,34,FALSE)),0)+IFERROR(IF(VLOOKUP($B14,'JR-Team Roping-Header'!$B$5:$N$24,10,FALSE)=" ",0,VLOOKUP($B14,'JR-Team Roping-Header'!$B$5:$N$24,10,FALSE)),0)+IFERROR(IF(VLOOKUP($B14,'JR-Team Roping-Heeler'!$B$5:$N$24,10,FALSE)=" ",0,VLOOKUP($B14,'JR-Team Roping-Heeler'!$B$5:$N$24,10,FALSE)),0)</f>
        <v>15</v>
      </c>
      <c r="Y14" s="95">
        <f t="shared" si="14"/>
        <v>15</v>
      </c>
      <c r="Z14" s="122">
        <f t="shared" si="15"/>
        <v>7</v>
      </c>
      <c r="AA14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63</v>
      </c>
      <c r="AB14" s="95">
        <f t="shared" si="16"/>
        <v>63</v>
      </c>
      <c r="AC14" s="122">
        <f t="shared" si="17"/>
        <v>10</v>
      </c>
    </row>
    <row r="15" spans="2:29" x14ac:dyDescent="0.25">
      <c r="B15" s="142" t="s">
        <v>199</v>
      </c>
      <c r="C15" s="120">
        <f>IFERROR(IF(VLOOKUP($B15,'JR G-Breakaway'!$B$5:$AI$24,6,FALSE)=" ",0,VLOOKUP($B15,'JR G-Breakaway'!$B$5:$AI$24,6,FALSE)),0)+IFERROR(IF(VLOOKUP($B15,'JR G-Barrels'!$B$5:$AI$24,6,FALSE)=" ",0,VLOOKUP($B15,'JR G-Barrels'!$B$5:$AI$24,6,FALSE)),0)+IFERROR(IF(VLOOKUP($B15,'JR G-Poles'!$B$5:$AI$24,6,FALSE)=" ",0,VLOOKUP($B15,'JR G-Poles'!$B$5:$AI$24,6,FALSE)),0)+IFERROR(IF(VLOOKUP($B15,'JR G-Goats'!$B$5:$AI$24,6,FALSE)=" ",0,VLOOKUP($B15,'JR G-Goats'!$B$5:$AI$24,6,FALSE)),0)+IFERROR(IF(VLOOKUP($B15,'JR-Team Roping-Header'!$B$5:$N$24,3,FALSE)=" ",0,VLOOKUP($B15,'JR-Team Roping-Header'!$B$5:$N$24,3,FALSE)),0)+IFERROR(IF(VLOOKUP($B15,'JR-Team Roping-Heeler'!$B$5:$N$24,3,FALSE)=" ",0,VLOOKUP($B15,'JR-Team Roping-Heeler'!$B$5:$N$24,3,FALSE)),0)</f>
        <v>3</v>
      </c>
      <c r="D15" s="95">
        <f t="shared" si="0"/>
        <v>3</v>
      </c>
      <c r="E15" s="91">
        <f t="shared" si="1"/>
        <v>10</v>
      </c>
      <c r="F15" s="121">
        <f>IFERROR(IF(VLOOKUP($B15,'JR G-Breakaway'!$B$5:$AI$24,10,FALSE)=" ",0,VLOOKUP($B15,'JR G-Breakaway'!$B$5:$AI$24,10,FALSE)),0)+IFERROR(IF(VLOOKUP($B15,'JR G-Barrels'!$B$5:$AI$24,10,FALSE)=" ",0,VLOOKUP($B15,'JR G-Barrels'!$B$5:$AI$24,10,FALSE)),0)+IFERROR(IF(VLOOKUP($B15,'JR G-Poles'!$B$5:$AI$24,10,FALSE)=" ",0,VLOOKUP($B15,'JR G-Poles'!$B$5:$AI$24,10,FALSE)),0)+IFERROR(IF(VLOOKUP($B15,'JR G-Goats'!$B$5:$AI$24,10,FALSE)=" ",0,VLOOKUP($B15,'JR G-Goats'!$B$5:$AI$24,10,FALSE)),0)+IFERROR(IF(VLOOKUP($B15,'JR-Team Roping-Header'!$B$5:$N$24,4,FALSE)=" ",0,VLOOKUP($B15,'JR-Team Roping-Header'!$B$5:$N$24,4,FALSE)),0)+IFERROR(IF(VLOOKUP($B15,'JR-Team Roping-Heeler'!$B$5:$N$24,4,FALSE)=" ",0,VLOOKUP($B15,'JR-Team Roping-Heeler'!$B$5:$N$24,4,FALSE)),0)</f>
        <v>0</v>
      </c>
      <c r="G15" s="95" t="str">
        <f t="shared" si="2"/>
        <v xml:space="preserve"> </v>
      </c>
      <c r="H15" s="91" t="str">
        <f t="shared" si="3"/>
        <v xml:space="preserve"> </v>
      </c>
      <c r="I15" s="121">
        <f>IFERROR(IF(VLOOKUP($B15,'JR G-Breakaway'!$B$5:$AI$24,14,FALSE)=" ",0,VLOOKUP($B15,'JR G-Breakaway'!$B$5:$AI$24,14,FALSE)),0)+IFERROR(IF(VLOOKUP($B15,'JR G-Barrels'!$B$5:$AI$24,14,FALSE)=" ",0,VLOOKUP($B15,'JR G-Barrels'!$B$5:$AI$24,14,FALSE)),0)+IFERROR(IF(VLOOKUP($B15,'JR G-Poles'!$B$5:$AI$24,14,FALSE)=" ",0,VLOOKUP($B15,'JR G-Poles'!$B$5:$AI$24,14,FALSE)),0)+IFERROR(IF(VLOOKUP($B15,'JR G-Goats'!$B$5:$AI$24,14,FALSE)=" ",0,VLOOKUP($B15,'JR G-Goats'!$B$5:$AI$24,14,FALSE)),0)+IFERROR(IF(VLOOKUP($B15,'JR-Team Roping-Header'!$B$5:$N$24,5,FALSE)=" ",0,VLOOKUP($B15,'JR-Team Roping-Header'!$B$5:$N$24,5,FALSE)),0)+IFERROR(IF(VLOOKUP($B15,'JR-Team Roping-Heeler'!$B$5:$N$24,5,FALSE)=" ",0,VLOOKUP($B15,'JR-Team Roping-Heeler'!$B$5:$N$24,5,FALSE)),0)</f>
        <v>9</v>
      </c>
      <c r="J15" s="95">
        <f t="shared" si="4"/>
        <v>9</v>
      </c>
      <c r="K15" s="91">
        <f t="shared" si="5"/>
        <v>8</v>
      </c>
      <c r="L15" s="121">
        <f>IFERROR(IF(VLOOKUP($B15,'JR G-Breakaway'!$B$5:$AI$24,18,FALSE)=" ",0,VLOOKUP($B15,'JR G-Breakaway'!$B$5:$AI$24,18,FALSE)),0)+IFERROR(IF(VLOOKUP($B15,'JR G-Barrels'!$B$5:$AI$24,18,FALSE)=" ",0,VLOOKUP($B15,'JR G-Barrels'!$B$5:$AI$24,18,FALSE)),0)+IFERROR(IF(VLOOKUP($B15,'JR G-Poles'!$B$5:$AI$24,18,FALSE)=" ",0,VLOOKUP($B15,'JR G-Poles'!$B$5:$AI$24,18,FALSE)),0)+IFERROR(IF(VLOOKUP($B15,'JR G-Goats'!$B$5:$AI$24,18,FALSE)=" ",0,VLOOKUP($B15,'JR G-Goats'!$B$5:$AI$24,18,FALSE)),0)+IFERROR(IF(VLOOKUP($B15,'JR-Team Roping-Header'!$B$5:$N$24,6,FALSE)=" ",0,VLOOKUP($B15,'JR-Team Roping-Header'!$B$5:$N$24,6,FALSE)),0)+IFERROR(IF(VLOOKUP($B15,'JR-Team Roping-Heeler'!$B$5:$N$24,6,FALSE)=" ",0,VLOOKUP($B15,'JR-Team Roping-Heeler'!$B$5:$N$24,6,FALSE)),0)</f>
        <v>0</v>
      </c>
      <c r="M15" s="95" t="str">
        <f t="shared" si="6"/>
        <v xml:space="preserve"> </v>
      </c>
      <c r="N15" s="91" t="str">
        <f t="shared" si="7"/>
        <v xml:space="preserve"> </v>
      </c>
      <c r="O15" s="121">
        <f>IFERROR(IF(VLOOKUP($B15,'JR G-Breakaway'!$B$5:$AI$24,22,FALSE)=" ",0,VLOOKUP($B15,'JR G-Breakaway'!$B$5:$AI$24,22,FALSE)),0)+IFERROR(IF(VLOOKUP($B15,'JR G-Barrels'!$B$5:$AI$24,22,FALSE)=" ",0,VLOOKUP($B15,'JR G-Barrels'!$B$5:$AI$24,22,FALSE)),0)+IFERROR(IF(VLOOKUP($B15,'JR G-Poles'!$B$5:$AI$24,22,FALSE)=" ",0,VLOOKUP($B15,'JR G-Poles'!$B$5:$AI$24,22,FALSE)),0)+IFERROR(IF(VLOOKUP($B15,'JR G-Goats'!$B$5:$AI$24,22,FALSE)=" ",0,VLOOKUP($B15,'JR G-Goats'!$B$5:$AI$24,22,FALSE)),0)+IFERROR(IF(VLOOKUP($B15,'JR-Team Roping-Header'!$B$5:$N$24,7,FALSE)=" ",0,VLOOKUP($B15,'JR-Team Roping-Header'!$B$5:$N$24,7,FALSE)),0)+IFERROR(IF(VLOOKUP($B15,'JR-Team Roping-Heeler'!$B$5:$N$24,7,FALSE)=" ",0,VLOOKUP($B15,'JR-Team Roping-Heeler'!$B$5:$N$24,7,FALSE)),0)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IFERROR(IF(VLOOKUP($B15,'JR G-Breakaway'!$B$5:$AI$24,26,FALSE)=" ",0,VLOOKUP($B15,'JR G-Breakaway'!$B$5:$AI$24,26,FALSE)),0)+IFERROR(IF(VLOOKUP($B15,'JR G-Barrels'!$B$5:$AI$24,26,FALSE)=" ",0,VLOOKUP($B15,'JR G-Barrels'!$B$5:$AI$24,26,FALSE)),0)+IFERROR(IF(VLOOKUP($B15,'JR G-Poles'!$B$5:$AI$24,26,FALSE)=" ",0,VLOOKUP($B15,'JR G-Poles'!$B$5:$AI$24,26,FALSE)),0)+IFERROR(IF(VLOOKUP($B15,'JR G-Goats'!$B$5:$AI$24,26,FALSE)=" ",0,VLOOKUP($B15,'JR G-Goats'!$B$5:$AI$24,26,FALSE)),0)+IFERROR(IF(VLOOKUP($B15,'JR-Team Roping-Header'!$B$5:$N$24,8,FALSE)=" ",0,VLOOKUP($B15,'JR-Team Roping-Header'!$B$5:$N$24,8,FALSE)),0)+IFERROR(IF(VLOOKUP($B15,'JR-Team Roping-Heeler'!$B$5:$N$24,8,FALSE)=" ",0,VLOOKUP($B15,'JR-Team Roping-Heeler'!$B$5:$N$24,8,FALSE)),0)</f>
        <v>9</v>
      </c>
      <c r="S15" s="95">
        <f t="shared" si="10"/>
        <v>9</v>
      </c>
      <c r="T15" s="91">
        <f t="shared" si="11"/>
        <v>9</v>
      </c>
      <c r="U15" s="121">
        <f>IFERROR(IF(VLOOKUP($B15,'JR G-Breakaway'!$B$5:$AI$24,30,FALSE)=" ",0,VLOOKUP($B15,'JR G-Breakaway'!$B$5:$AI$24,30,FALSE)),0)+IFERROR(IF(VLOOKUP($B15,'JR G-Barrels'!$B$5:$AI$24,30,FALSE)=" ",0,VLOOKUP($B15,'JR G-Barrels'!$B$5:$AI$24,30,FALSE)),0)+IFERROR(IF(VLOOKUP($B15,'JR G-Poles'!$B$5:$AI$24,30,FALSE)=" ",0,VLOOKUP($B15,'JR G-Poles'!$B$5:$AI$24,30,FALSE)),0)+IFERROR(IF(VLOOKUP($B15,'JR G-Goats'!$B$5:$AI$24,30,FALSE)=" ",0,VLOOKUP($B15,'JR G-Goats'!$B$5:$AI$24,30,FALSE)),0)+IFERROR(IF(VLOOKUP($B15,'JR-Team Roping-Header'!$B$5:$N$24,9,FALSE)=" ",0,VLOOKUP($B15,'JR-Team Roping-Header'!$B$5:$N$24,9,FALSE)),0)+IFERROR(IF(VLOOKUP($B15,'JR-Team Roping-Heeler'!$B$5:$N$24,9,FALSE)=" ",0,VLOOKUP($B15,'JR-Team Roping-Heeler'!$B$5:$N$24,9,FALSE)),0)</f>
        <v>3</v>
      </c>
      <c r="V15" s="95">
        <f t="shared" si="12"/>
        <v>3</v>
      </c>
      <c r="W15" s="91">
        <f t="shared" si="13"/>
        <v>11</v>
      </c>
      <c r="X15" s="121">
        <f>IFERROR(IF(VLOOKUP($B15,'JR G-Breakaway'!$B$5:$AI$24,34,FALSE)=" ",0,VLOOKUP($B15,'JR G-Breakaway'!$B$5:$AI$24,34,FALSE)),0)+IFERROR(IF(VLOOKUP($B15,'JR G-Barrels'!$B$5:$AI$24,34,FALSE)=" ",0,VLOOKUP($B15,'JR G-Barrels'!$B$5:$AI$24,34,FALSE)),0)+IFERROR(IF(VLOOKUP($B15,'JR G-Poles'!$B$5:$AI$24,34,FALSE)=" ",0,VLOOKUP($B15,'JR G-Poles'!$B$5:$AI$24,34,FALSE)),0)+IFERROR(IF(VLOOKUP($B15,'JR G-Goats'!$B$5:$AI$24,34,FALSE)=" ",0,VLOOKUP($B15,'JR G-Goats'!$B$5:$AI$24,34,FALSE)),0)+IFERROR(IF(VLOOKUP($B15,'JR-Team Roping-Header'!$B$5:$N$24,10,FALSE)=" ",0,VLOOKUP($B15,'JR-Team Roping-Header'!$B$5:$N$24,10,FALSE)),0)+IFERROR(IF(VLOOKUP($B15,'JR-Team Roping-Heeler'!$B$5:$N$24,10,FALSE)=" ",0,VLOOKUP($B15,'JR-Team Roping-Heeler'!$B$5:$N$24,10,FALSE)),0)</f>
        <v>12</v>
      </c>
      <c r="Y15" s="95">
        <f t="shared" si="14"/>
        <v>12</v>
      </c>
      <c r="Z15" s="91">
        <f t="shared" si="15"/>
        <v>9</v>
      </c>
      <c r="AA15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36</v>
      </c>
      <c r="AB15" s="95">
        <f t="shared" si="16"/>
        <v>36</v>
      </c>
      <c r="AC15" s="91">
        <f t="shared" si="17"/>
        <v>11</v>
      </c>
    </row>
    <row r="16" spans="2:29" x14ac:dyDescent="0.25">
      <c r="B16" s="154" t="s">
        <v>202</v>
      </c>
      <c r="C16" s="120">
        <f>IFERROR(IF(VLOOKUP($B16,'JR G-Breakaway'!$B$5:$AI$24,6,FALSE)=" ",0,VLOOKUP($B16,'JR G-Breakaway'!$B$5:$AI$24,6,FALSE)),0)+IFERROR(IF(VLOOKUP($B16,'JR G-Barrels'!$B$5:$AI$24,6,FALSE)=" ",0,VLOOKUP($B16,'JR G-Barrels'!$B$5:$AI$24,6,FALSE)),0)+IFERROR(IF(VLOOKUP($B16,'JR G-Poles'!$B$5:$AI$24,6,FALSE)=" ",0,VLOOKUP($B16,'JR G-Poles'!$B$5:$AI$24,6,FALSE)),0)+IFERROR(IF(VLOOKUP($B16,'JR G-Goats'!$B$5:$AI$24,6,FALSE)=" ",0,VLOOKUP($B16,'JR G-Goats'!$B$5:$AI$24,6,FALSE)),0)+IFERROR(IF(VLOOKUP($B16,'JR-Team Roping-Header'!$B$5:$N$24,3,FALSE)=" ",0,VLOOKUP($B16,'JR-Team Roping-Header'!$B$5:$N$24,3,FALSE)),0)+IFERROR(IF(VLOOKUP($B16,'JR-Team Roping-Heeler'!$B$5:$N$24,3,FALSE)=" ",0,VLOOKUP($B16,'JR-Team Roping-Heeler'!$B$5:$N$24,3,FALSE)),0)</f>
        <v>3</v>
      </c>
      <c r="D16" s="95">
        <f t="shared" si="0"/>
        <v>3</v>
      </c>
      <c r="E16" s="91">
        <f t="shared" si="1"/>
        <v>10</v>
      </c>
      <c r="F16" s="121">
        <f>IFERROR(IF(VLOOKUP($B16,'JR G-Breakaway'!$B$5:$AI$24,10,FALSE)=" ",0,VLOOKUP($B16,'JR G-Breakaway'!$B$5:$AI$24,10,FALSE)),0)+IFERROR(IF(VLOOKUP($B16,'JR G-Barrels'!$B$5:$AI$24,10,FALSE)=" ",0,VLOOKUP($B16,'JR G-Barrels'!$B$5:$AI$24,10,FALSE)),0)+IFERROR(IF(VLOOKUP($B16,'JR G-Poles'!$B$5:$AI$24,10,FALSE)=" ",0,VLOOKUP($B16,'JR G-Poles'!$B$5:$AI$24,10,FALSE)),0)+IFERROR(IF(VLOOKUP($B16,'JR G-Goats'!$B$5:$AI$24,10,FALSE)=" ",0,VLOOKUP($B16,'JR G-Goats'!$B$5:$AI$24,10,FALSE)),0)+IFERROR(IF(VLOOKUP($B16,'JR-Team Roping-Header'!$B$5:$N$24,4,FALSE)=" ",0,VLOOKUP($B16,'JR-Team Roping-Header'!$B$5:$N$24,4,FALSE)),0)+IFERROR(IF(VLOOKUP($B16,'JR-Team Roping-Heeler'!$B$5:$N$24,4,FALSE)=" ",0,VLOOKUP($B16,'JR-Team Roping-Heeler'!$B$5:$N$24,4,FALSE)),0)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IFERROR(IF(VLOOKUP($B16,'JR G-Breakaway'!$B$5:$AI$24,14,FALSE)=" ",0,VLOOKUP($B16,'JR G-Breakaway'!$B$5:$AI$24,14,FALSE)),0)+IFERROR(IF(VLOOKUP($B16,'JR G-Barrels'!$B$5:$AI$24,14,FALSE)=" ",0,VLOOKUP($B16,'JR G-Barrels'!$B$5:$AI$24,14,FALSE)),0)+IFERROR(IF(VLOOKUP($B16,'JR G-Poles'!$B$5:$AI$24,14,FALSE)=" ",0,VLOOKUP($B16,'JR G-Poles'!$B$5:$AI$24,14,FALSE)),0)+IFERROR(IF(VLOOKUP($B16,'JR G-Goats'!$B$5:$AI$24,14,FALSE)=" ",0,VLOOKUP($B16,'JR G-Goats'!$B$5:$AI$24,14,FALSE)),0)+IFERROR(IF(VLOOKUP($B16,'JR-Team Roping-Header'!$B$5:$N$24,5,FALSE)=" ",0,VLOOKUP($B16,'JR-Team Roping-Header'!$B$5:$N$24,5,FALSE)),0)+IFERROR(IF(VLOOKUP($B16,'JR-Team Roping-Heeler'!$B$5:$N$24,5,FALSE)=" ",0,VLOOKUP($B16,'JR-Team Roping-Heeler'!$B$5:$N$24,5,FALSE)),0)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IFERROR(IF(VLOOKUP($B16,'JR G-Breakaway'!$B$5:$AI$24,18,FALSE)=" ",0,VLOOKUP($B16,'JR G-Breakaway'!$B$5:$AI$24,18,FALSE)),0)+IFERROR(IF(VLOOKUP($B16,'JR G-Barrels'!$B$5:$AI$24,18,FALSE)=" ",0,VLOOKUP($B16,'JR G-Barrels'!$B$5:$AI$24,18,FALSE)),0)+IFERROR(IF(VLOOKUP($B16,'JR G-Poles'!$B$5:$AI$24,18,FALSE)=" ",0,VLOOKUP($B16,'JR G-Poles'!$B$5:$AI$24,18,FALSE)),0)+IFERROR(IF(VLOOKUP($B16,'JR G-Goats'!$B$5:$AI$24,18,FALSE)=" ",0,VLOOKUP($B16,'JR G-Goats'!$B$5:$AI$24,18,FALSE)),0)+IFERROR(IF(VLOOKUP($B16,'JR-Team Roping-Header'!$B$5:$N$24,6,FALSE)=" ",0,VLOOKUP($B16,'JR-Team Roping-Header'!$B$5:$N$24,6,FALSE)),0)+IFERROR(IF(VLOOKUP($B16,'JR-Team Roping-Heeler'!$B$5:$N$24,6,FALSE)=" ",0,VLOOKUP($B16,'JR-Team Roping-Heeler'!$B$5:$N$24,6,FALSE)),0)</f>
        <v>12</v>
      </c>
      <c r="M16" s="95">
        <f t="shared" si="6"/>
        <v>12</v>
      </c>
      <c r="N16" s="91">
        <f t="shared" si="7"/>
        <v>7</v>
      </c>
      <c r="O16" s="121">
        <f>IFERROR(IF(VLOOKUP($B16,'JR G-Breakaway'!$B$5:$AI$24,22,FALSE)=" ",0,VLOOKUP($B16,'JR G-Breakaway'!$B$5:$AI$24,22,FALSE)),0)+IFERROR(IF(VLOOKUP($B16,'JR G-Barrels'!$B$5:$AI$24,22,FALSE)=" ",0,VLOOKUP($B16,'JR G-Barrels'!$B$5:$AI$24,22,FALSE)),0)+IFERROR(IF(VLOOKUP($B16,'JR G-Poles'!$B$5:$AI$24,22,FALSE)=" ",0,VLOOKUP($B16,'JR G-Poles'!$B$5:$AI$24,22,FALSE)),0)+IFERROR(IF(VLOOKUP($B16,'JR G-Goats'!$B$5:$AI$24,22,FALSE)=" ",0,VLOOKUP($B16,'JR G-Goats'!$B$5:$AI$24,22,FALSE)),0)+IFERROR(IF(VLOOKUP($B16,'JR-Team Roping-Header'!$B$5:$N$24,7,FALSE)=" ",0,VLOOKUP($B16,'JR-Team Roping-Header'!$B$5:$N$24,7,FALSE)),0)+IFERROR(IF(VLOOKUP($B16,'JR-Team Roping-Heeler'!$B$5:$N$24,7,FALSE)=" ",0,VLOOKUP($B16,'JR-Team Roping-Heeler'!$B$5:$N$24,7,FALSE)),0)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IFERROR(IF(VLOOKUP($B16,'JR G-Breakaway'!$B$5:$AI$24,26,FALSE)=" ",0,VLOOKUP($B16,'JR G-Breakaway'!$B$5:$AI$24,26,FALSE)),0)+IFERROR(IF(VLOOKUP($B16,'JR G-Barrels'!$B$5:$AI$24,26,FALSE)=" ",0,VLOOKUP($B16,'JR G-Barrels'!$B$5:$AI$24,26,FALSE)),0)+IFERROR(IF(VLOOKUP($B16,'JR G-Poles'!$B$5:$AI$24,26,FALSE)=" ",0,VLOOKUP($B16,'JR G-Poles'!$B$5:$AI$24,26,FALSE)),0)+IFERROR(IF(VLOOKUP($B16,'JR G-Goats'!$B$5:$AI$24,26,FALSE)=" ",0,VLOOKUP($B16,'JR G-Goats'!$B$5:$AI$24,26,FALSE)),0)+IFERROR(IF(VLOOKUP($B16,'JR-Team Roping-Header'!$B$5:$N$24,8,FALSE)=" ",0,VLOOKUP($B16,'JR-Team Roping-Header'!$B$5:$N$24,8,FALSE)),0)+IFERROR(IF(VLOOKUP($B16,'JR-Team Roping-Heeler'!$B$5:$N$24,8,FALSE)=" ",0,VLOOKUP($B16,'JR-Team Roping-Heeler'!$B$5:$N$24,8,FALSE)),0)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IFERROR(IF(VLOOKUP($B16,'JR G-Breakaway'!$B$5:$AI$24,30,FALSE)=" ",0,VLOOKUP($B16,'JR G-Breakaway'!$B$5:$AI$24,30,FALSE)),0)+IFERROR(IF(VLOOKUP($B16,'JR G-Barrels'!$B$5:$AI$24,30,FALSE)=" ",0,VLOOKUP($B16,'JR G-Barrels'!$B$5:$AI$24,30,FALSE)),0)+IFERROR(IF(VLOOKUP($B16,'JR G-Poles'!$B$5:$AI$24,30,FALSE)=" ",0,VLOOKUP($B16,'JR G-Poles'!$B$5:$AI$24,30,FALSE)),0)+IFERROR(IF(VLOOKUP($B16,'JR G-Goats'!$B$5:$AI$24,30,FALSE)=" ",0,VLOOKUP($B16,'JR G-Goats'!$B$5:$AI$24,30,FALSE)),0)+IFERROR(IF(VLOOKUP($B16,'JR-Team Roping-Header'!$B$5:$N$24,9,FALSE)=" ",0,VLOOKUP($B16,'JR-Team Roping-Header'!$B$5:$N$24,9,FALSE)),0)+IFERROR(IF(VLOOKUP($B16,'JR-Team Roping-Heeler'!$B$5:$N$24,9,FALSE)=" ",0,VLOOKUP($B16,'JR-Team Roping-Heeler'!$B$5:$N$24,9,FALSE)),0)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IFERROR(IF(VLOOKUP($B16,'JR G-Breakaway'!$B$5:$AI$24,34,FALSE)=" ",0,VLOOKUP($B16,'JR G-Breakaway'!$B$5:$AI$24,34,FALSE)),0)+IFERROR(IF(VLOOKUP($B16,'JR G-Barrels'!$B$5:$AI$24,34,FALSE)=" ",0,VLOOKUP($B16,'JR G-Barrels'!$B$5:$AI$24,34,FALSE)),0)+IFERROR(IF(VLOOKUP($B16,'JR G-Poles'!$B$5:$AI$24,34,FALSE)=" ",0,VLOOKUP($B16,'JR G-Poles'!$B$5:$AI$24,34,FALSE)),0)+IFERROR(IF(VLOOKUP($B16,'JR G-Goats'!$B$5:$AI$24,34,FALSE)=" ",0,VLOOKUP($B16,'JR G-Goats'!$B$5:$AI$24,34,FALSE)),0)+IFERROR(IF(VLOOKUP($B16,'JR-Team Roping-Header'!$B$5:$N$24,10,FALSE)=" ",0,VLOOKUP($B16,'JR-Team Roping-Header'!$B$5:$N$24,10,FALSE)),0)+IFERROR(IF(VLOOKUP($B16,'JR-Team Roping-Heeler'!$B$5:$N$24,10,FALSE)=" ",0,VLOOKUP($B16,'JR-Team Roping-Heeler'!$B$5:$N$24,10,FALSE)),0)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15</v>
      </c>
      <c r="AB16" s="95">
        <f t="shared" si="16"/>
        <v>15</v>
      </c>
      <c r="AC16" s="91">
        <f t="shared" si="17"/>
        <v>12</v>
      </c>
    </row>
    <row r="17" spans="2:29" x14ac:dyDescent="0.25">
      <c r="B17" s="142" t="s">
        <v>159</v>
      </c>
      <c r="C17" s="120">
        <f>IFERROR(IF(VLOOKUP($B17,'JR G-Breakaway'!$B$5:$AI$24,6,FALSE)=" ",0,VLOOKUP($B17,'JR G-Breakaway'!$B$5:$AI$24,6,FALSE)),0)+IFERROR(IF(VLOOKUP($B17,'JR G-Barrels'!$B$5:$AI$24,6,FALSE)=" ",0,VLOOKUP($B17,'JR G-Barrels'!$B$5:$AI$24,6,FALSE)),0)+IFERROR(IF(VLOOKUP($B17,'JR G-Poles'!$B$5:$AI$24,6,FALSE)=" ",0,VLOOKUP($B17,'JR G-Poles'!$B$5:$AI$24,6,FALSE)),0)+IFERROR(IF(VLOOKUP($B17,'JR G-Goats'!$B$5:$AI$24,6,FALSE)=" ",0,VLOOKUP($B17,'JR G-Goats'!$B$5:$AI$24,6,FALSE)),0)+IFERROR(IF(VLOOKUP($B17,'JR-Team Roping-Header'!$B$5:$N$24,3,FALSE)=" ",0,VLOOKUP($B17,'JR-Team Roping-Header'!$B$5:$N$24,3,FALSE)),0)+IFERROR(IF(VLOOKUP($B17,'JR-Team Roping-Heeler'!$B$5:$N$24,3,FALSE)=" ",0,VLOOKUP($B17,'JR-Team Roping-Heeler'!$B$5:$N$24,3,FALSE)),0)</f>
        <v>9</v>
      </c>
      <c r="D17" s="95">
        <f t="shared" si="0"/>
        <v>9</v>
      </c>
      <c r="E17" s="91">
        <f t="shared" si="1"/>
        <v>8</v>
      </c>
      <c r="F17" s="121">
        <f>IFERROR(IF(VLOOKUP($B17,'JR G-Breakaway'!$B$5:$AI$24,10,FALSE)=" ",0,VLOOKUP($B17,'JR G-Breakaway'!$B$5:$AI$24,10,FALSE)),0)+IFERROR(IF(VLOOKUP($B17,'JR G-Barrels'!$B$5:$AI$24,10,FALSE)=" ",0,VLOOKUP($B17,'JR G-Barrels'!$B$5:$AI$24,10,FALSE)),0)+IFERROR(IF(VLOOKUP($B17,'JR G-Poles'!$B$5:$AI$24,10,FALSE)=" ",0,VLOOKUP($B17,'JR G-Poles'!$B$5:$AI$24,10,FALSE)),0)+IFERROR(IF(VLOOKUP($B17,'JR G-Goats'!$B$5:$AI$24,10,FALSE)=" ",0,VLOOKUP($B17,'JR G-Goats'!$B$5:$AI$24,10,FALSE)),0)+IFERROR(IF(VLOOKUP($B17,'JR-Team Roping-Header'!$B$5:$N$24,4,FALSE)=" ",0,VLOOKUP($B17,'JR-Team Roping-Header'!$B$5:$N$24,4,FALSE)),0)+IFERROR(IF(VLOOKUP($B17,'JR-Team Roping-Heeler'!$B$5:$N$24,4,FALSE)=" ",0,VLOOKUP($B17,'JR-Team Roping-Heeler'!$B$5:$N$24,4,FALSE)),0)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IFERROR(IF(VLOOKUP($B17,'JR G-Breakaway'!$B$5:$AI$24,14,FALSE)=" ",0,VLOOKUP($B17,'JR G-Breakaway'!$B$5:$AI$24,14,FALSE)),0)+IFERROR(IF(VLOOKUP($B17,'JR G-Barrels'!$B$5:$AI$24,14,FALSE)=" ",0,VLOOKUP($B17,'JR G-Barrels'!$B$5:$AI$24,14,FALSE)),0)+IFERROR(IF(VLOOKUP($B17,'JR G-Poles'!$B$5:$AI$24,14,FALSE)=" ",0,VLOOKUP($B17,'JR G-Poles'!$B$5:$AI$24,14,FALSE)),0)+IFERROR(IF(VLOOKUP($B17,'JR G-Goats'!$B$5:$AI$24,14,FALSE)=" ",0,VLOOKUP($B17,'JR G-Goats'!$B$5:$AI$24,14,FALSE)),0)+IFERROR(IF(VLOOKUP($B17,'JR-Team Roping-Header'!$B$5:$N$24,5,FALSE)=" ",0,VLOOKUP($B17,'JR-Team Roping-Header'!$B$5:$N$24,5,FALSE)),0)+IFERROR(IF(VLOOKUP($B17,'JR-Team Roping-Heeler'!$B$5:$N$24,5,FALSE)=" ",0,VLOOKUP($B17,'JR-Team Roping-Heeler'!$B$5:$N$24,5,FALSE)),0)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IFERROR(IF(VLOOKUP($B17,'JR G-Breakaway'!$B$5:$AI$24,18,FALSE)=" ",0,VLOOKUP($B17,'JR G-Breakaway'!$B$5:$AI$24,18,FALSE)),0)+IFERROR(IF(VLOOKUP($B17,'JR G-Barrels'!$B$5:$AI$24,18,FALSE)=" ",0,VLOOKUP($B17,'JR G-Barrels'!$B$5:$AI$24,18,FALSE)),0)+IFERROR(IF(VLOOKUP($B17,'JR G-Poles'!$B$5:$AI$24,18,FALSE)=" ",0,VLOOKUP($B17,'JR G-Poles'!$B$5:$AI$24,18,FALSE)),0)+IFERROR(IF(VLOOKUP($B17,'JR G-Goats'!$B$5:$AI$24,18,FALSE)=" ",0,VLOOKUP($B17,'JR G-Goats'!$B$5:$AI$24,18,FALSE)),0)+IFERROR(IF(VLOOKUP($B17,'JR-Team Roping-Header'!$B$5:$N$24,6,FALSE)=" ",0,VLOOKUP($B17,'JR-Team Roping-Header'!$B$5:$N$24,6,FALSE)),0)+IFERROR(IF(VLOOKUP($B17,'JR-Team Roping-Heeler'!$B$5:$N$24,6,FALSE)=" ",0,VLOOKUP($B17,'JR-Team Roping-Heeler'!$B$5:$N$24,6,FALSE)),0)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IFERROR(IF(VLOOKUP($B17,'JR G-Breakaway'!$B$5:$AI$24,22,FALSE)=" ",0,VLOOKUP($B17,'JR G-Breakaway'!$B$5:$AI$24,22,FALSE)),0)+IFERROR(IF(VLOOKUP($B17,'JR G-Barrels'!$B$5:$AI$24,22,FALSE)=" ",0,VLOOKUP($B17,'JR G-Barrels'!$B$5:$AI$24,22,FALSE)),0)+IFERROR(IF(VLOOKUP($B17,'JR G-Poles'!$B$5:$AI$24,22,FALSE)=" ",0,VLOOKUP($B17,'JR G-Poles'!$B$5:$AI$24,22,FALSE)),0)+IFERROR(IF(VLOOKUP($B17,'JR G-Goats'!$B$5:$AI$24,22,FALSE)=" ",0,VLOOKUP($B17,'JR G-Goats'!$B$5:$AI$24,22,FALSE)),0)+IFERROR(IF(VLOOKUP($B17,'JR-Team Roping-Header'!$B$5:$N$24,7,FALSE)=" ",0,VLOOKUP($B17,'JR-Team Roping-Header'!$B$5:$N$24,7,FALSE)),0)+IFERROR(IF(VLOOKUP($B17,'JR-Team Roping-Heeler'!$B$5:$N$24,7,FALSE)=" ",0,VLOOKUP($B17,'JR-Team Roping-Heeler'!$B$5:$N$24,7,FALSE)),0)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IFERROR(IF(VLOOKUP($B17,'JR G-Breakaway'!$B$5:$AI$24,26,FALSE)=" ",0,VLOOKUP($B17,'JR G-Breakaway'!$B$5:$AI$24,26,FALSE)),0)+IFERROR(IF(VLOOKUP($B17,'JR G-Barrels'!$B$5:$AI$24,26,FALSE)=" ",0,VLOOKUP($B17,'JR G-Barrels'!$B$5:$AI$24,26,FALSE)),0)+IFERROR(IF(VLOOKUP($B17,'JR G-Poles'!$B$5:$AI$24,26,FALSE)=" ",0,VLOOKUP($B17,'JR G-Poles'!$B$5:$AI$24,26,FALSE)),0)+IFERROR(IF(VLOOKUP($B17,'JR G-Goats'!$B$5:$AI$24,26,FALSE)=" ",0,VLOOKUP($B17,'JR G-Goats'!$B$5:$AI$24,26,FALSE)),0)+IFERROR(IF(VLOOKUP($B17,'JR-Team Roping-Header'!$B$5:$N$24,8,FALSE)=" ",0,VLOOKUP($B17,'JR-Team Roping-Header'!$B$5:$N$24,8,FALSE)),0)+IFERROR(IF(VLOOKUP($B17,'JR-Team Roping-Heeler'!$B$5:$N$24,8,FALSE)=" ",0,VLOOKUP($B17,'JR-Team Roping-Heeler'!$B$5:$N$24,8,FALSE)),0)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IFERROR(IF(VLOOKUP($B17,'JR G-Breakaway'!$B$5:$AI$24,30,FALSE)=" ",0,VLOOKUP($B17,'JR G-Breakaway'!$B$5:$AI$24,30,FALSE)),0)+IFERROR(IF(VLOOKUP($B17,'JR G-Barrels'!$B$5:$AI$24,30,FALSE)=" ",0,VLOOKUP($B17,'JR G-Barrels'!$B$5:$AI$24,30,FALSE)),0)+IFERROR(IF(VLOOKUP($B17,'JR G-Poles'!$B$5:$AI$24,30,FALSE)=" ",0,VLOOKUP($B17,'JR G-Poles'!$B$5:$AI$24,30,FALSE)),0)+IFERROR(IF(VLOOKUP($B17,'JR G-Goats'!$B$5:$AI$24,30,FALSE)=" ",0,VLOOKUP($B17,'JR G-Goats'!$B$5:$AI$24,30,FALSE)),0)+IFERROR(IF(VLOOKUP($B17,'JR-Team Roping-Header'!$B$5:$N$24,9,FALSE)=" ",0,VLOOKUP($B17,'JR-Team Roping-Header'!$B$5:$N$24,9,FALSE)),0)+IFERROR(IF(VLOOKUP($B17,'JR-Team Roping-Heeler'!$B$5:$N$24,9,FALSE)=" ",0,VLOOKUP($B17,'JR-Team Roping-Heeler'!$B$5:$N$24,9,FALSE)),0)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IFERROR(IF(VLOOKUP($B17,'JR G-Breakaway'!$B$5:$AI$24,34,FALSE)=" ",0,VLOOKUP($B17,'JR G-Breakaway'!$B$5:$AI$24,34,FALSE)),0)+IFERROR(IF(VLOOKUP($B17,'JR G-Barrels'!$B$5:$AI$24,34,FALSE)=" ",0,VLOOKUP($B17,'JR G-Barrels'!$B$5:$AI$24,34,FALSE)),0)+IFERROR(IF(VLOOKUP($B17,'JR G-Poles'!$B$5:$AI$24,34,FALSE)=" ",0,VLOOKUP($B17,'JR G-Poles'!$B$5:$AI$24,34,FALSE)),0)+IFERROR(IF(VLOOKUP($B17,'JR G-Goats'!$B$5:$AI$24,34,FALSE)=" ",0,VLOOKUP($B17,'JR G-Goats'!$B$5:$AI$24,34,FALSE)),0)+IFERROR(IF(VLOOKUP($B17,'JR-Team Roping-Header'!$B$5:$N$24,10,FALSE)=" ",0,VLOOKUP($B17,'JR-Team Roping-Header'!$B$5:$N$24,10,FALSE)),0)+IFERROR(IF(VLOOKUP($B17,'JR-Team Roping-Heeler'!$B$5:$N$24,10,FALSE)=" ",0,VLOOKUP($B17,'JR-Team Roping-Heeler'!$B$5:$N$24,10,FALSE)),0)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9</v>
      </c>
      <c r="AB17" s="95">
        <f t="shared" si="16"/>
        <v>9</v>
      </c>
      <c r="AC17" s="91">
        <f t="shared" si="17"/>
        <v>13</v>
      </c>
    </row>
    <row r="18" spans="2:29" x14ac:dyDescent="0.25">
      <c r="B18" s="142" t="s">
        <v>204</v>
      </c>
      <c r="C18" s="120">
        <f>IFERROR(IF(VLOOKUP($B18,'JR G-Breakaway'!$B$5:$AI$24,6,FALSE)=" ",0,VLOOKUP($B18,'JR G-Breakaway'!$B$5:$AI$24,6,FALSE)),0)+IFERROR(IF(VLOOKUP($B18,'JR G-Barrels'!$B$5:$AI$24,6,FALSE)=" ",0,VLOOKUP($B18,'JR G-Barrels'!$B$5:$AI$24,6,FALSE)),0)+IFERROR(IF(VLOOKUP($B18,'JR G-Poles'!$B$5:$AI$24,6,FALSE)=" ",0,VLOOKUP($B18,'JR G-Poles'!$B$5:$AI$24,6,FALSE)),0)+IFERROR(IF(VLOOKUP($B18,'JR G-Goats'!$B$5:$AI$24,6,FALSE)=" ",0,VLOOKUP($B18,'JR G-Goats'!$B$5:$AI$24,6,FALSE)),0)+IFERROR(IF(VLOOKUP($B18,'JR-Team Roping-Header'!$B$5:$N$24,3,FALSE)=" ",0,VLOOKUP($B18,'JR-Team Roping-Header'!$B$5:$N$24,3,FALSE)),0)+IFERROR(IF(VLOOKUP($B18,'JR-Team Roping-Heeler'!$B$5:$N$24,3,FALSE)=" ",0,VLOOKUP($B18,'JR-Team Roping-Heeler'!$B$5:$N$24,3,FALSE)),0)</f>
        <v>0</v>
      </c>
      <c r="D18" s="95" t="str">
        <f t="shared" si="0"/>
        <v xml:space="preserve"> </v>
      </c>
      <c r="E18" s="122" t="str">
        <f t="shared" si="1"/>
        <v xml:space="preserve"> </v>
      </c>
      <c r="F18" s="121">
        <f>IFERROR(IF(VLOOKUP($B18,'JR G-Breakaway'!$B$5:$AI$24,10,FALSE)=" ",0,VLOOKUP($B18,'JR G-Breakaway'!$B$5:$AI$24,10,FALSE)),0)+IFERROR(IF(VLOOKUP($B18,'JR G-Barrels'!$B$5:$AI$24,10,FALSE)=" ",0,VLOOKUP($B18,'JR G-Barrels'!$B$5:$AI$24,10,FALSE)),0)+IFERROR(IF(VLOOKUP($B18,'JR G-Poles'!$B$5:$AI$24,10,FALSE)=" ",0,VLOOKUP($B18,'JR G-Poles'!$B$5:$AI$24,10,FALSE)),0)+IFERROR(IF(VLOOKUP($B18,'JR G-Goats'!$B$5:$AI$24,10,FALSE)=" ",0,VLOOKUP($B18,'JR G-Goats'!$B$5:$AI$24,10,FALSE)),0)+IFERROR(IF(VLOOKUP($B18,'JR-Team Roping-Header'!$B$5:$N$24,4,FALSE)=" ",0,VLOOKUP($B18,'JR-Team Roping-Header'!$B$5:$N$24,4,FALSE)),0)+IFERROR(IF(VLOOKUP($B18,'JR-Team Roping-Heeler'!$B$5:$N$24,4,FALSE)=" ",0,VLOOKUP($B18,'JR-Team Roping-Heeler'!$B$5:$N$24,4,FALSE)),0)</f>
        <v>0</v>
      </c>
      <c r="G18" s="95" t="str">
        <f t="shared" si="2"/>
        <v xml:space="preserve"> </v>
      </c>
      <c r="H18" s="122" t="str">
        <f t="shared" si="3"/>
        <v xml:space="preserve"> </v>
      </c>
      <c r="I18" s="121">
        <f>IFERROR(IF(VLOOKUP($B18,'JR G-Breakaway'!$B$5:$AI$24,14,FALSE)=" ",0,VLOOKUP($B18,'JR G-Breakaway'!$B$5:$AI$24,14,FALSE)),0)+IFERROR(IF(VLOOKUP($B18,'JR G-Barrels'!$B$5:$AI$24,14,FALSE)=" ",0,VLOOKUP($B18,'JR G-Barrels'!$B$5:$AI$24,14,FALSE)),0)+IFERROR(IF(VLOOKUP($B18,'JR G-Poles'!$B$5:$AI$24,14,FALSE)=" ",0,VLOOKUP($B18,'JR G-Poles'!$B$5:$AI$24,14,FALSE)),0)+IFERROR(IF(VLOOKUP($B18,'JR G-Goats'!$B$5:$AI$24,14,FALSE)=" ",0,VLOOKUP($B18,'JR G-Goats'!$B$5:$AI$24,14,FALSE)),0)+IFERROR(IF(VLOOKUP($B18,'JR-Team Roping-Header'!$B$5:$N$24,5,FALSE)=" ",0,VLOOKUP($B18,'JR-Team Roping-Header'!$B$5:$N$24,5,FALSE)),0)+IFERROR(IF(VLOOKUP($B18,'JR-Team Roping-Heeler'!$B$5:$N$24,5,FALSE)=" ",0,VLOOKUP($B18,'JR-Team Roping-Heeler'!$B$5:$N$24,5,FALSE)),0)</f>
        <v>0</v>
      </c>
      <c r="J18" s="95" t="str">
        <f t="shared" si="4"/>
        <v xml:space="preserve"> </v>
      </c>
      <c r="K18" s="122" t="str">
        <f t="shared" si="5"/>
        <v xml:space="preserve"> </v>
      </c>
      <c r="L18" s="121">
        <f>IFERROR(IF(VLOOKUP($B18,'JR G-Breakaway'!$B$5:$AI$24,18,FALSE)=" ",0,VLOOKUP($B18,'JR G-Breakaway'!$B$5:$AI$24,18,FALSE)),0)+IFERROR(IF(VLOOKUP($B18,'JR G-Barrels'!$B$5:$AI$24,18,FALSE)=" ",0,VLOOKUP($B18,'JR G-Barrels'!$B$5:$AI$24,18,FALSE)),0)+IFERROR(IF(VLOOKUP($B18,'JR G-Poles'!$B$5:$AI$24,18,FALSE)=" ",0,VLOOKUP($B18,'JR G-Poles'!$B$5:$AI$24,18,FALSE)),0)+IFERROR(IF(VLOOKUP($B18,'JR G-Goats'!$B$5:$AI$24,18,FALSE)=" ",0,VLOOKUP($B18,'JR G-Goats'!$B$5:$AI$24,18,FALSE)),0)+IFERROR(IF(VLOOKUP($B18,'JR-Team Roping-Header'!$B$5:$N$24,6,FALSE)=" ",0,VLOOKUP($B18,'JR-Team Roping-Header'!$B$5:$N$24,6,FALSE)),0)+IFERROR(IF(VLOOKUP($B18,'JR-Team Roping-Heeler'!$B$5:$N$24,6,FALSE)=" ",0,VLOOKUP($B18,'JR-Team Roping-Heeler'!$B$5:$N$24,6,FALSE)),0)</f>
        <v>0</v>
      </c>
      <c r="M18" s="95" t="str">
        <f t="shared" si="6"/>
        <v xml:space="preserve"> </v>
      </c>
      <c r="N18" s="122" t="str">
        <f t="shared" si="7"/>
        <v xml:space="preserve"> </v>
      </c>
      <c r="O18" s="121">
        <f>IFERROR(IF(VLOOKUP($B18,'JR G-Breakaway'!$B$5:$AI$24,22,FALSE)=" ",0,VLOOKUP($B18,'JR G-Breakaway'!$B$5:$AI$24,22,FALSE)),0)+IFERROR(IF(VLOOKUP($B18,'JR G-Barrels'!$B$5:$AI$24,22,FALSE)=" ",0,VLOOKUP($B18,'JR G-Barrels'!$B$5:$AI$24,22,FALSE)),0)+IFERROR(IF(VLOOKUP($B18,'JR G-Poles'!$B$5:$AI$24,22,FALSE)=" ",0,VLOOKUP($B18,'JR G-Poles'!$B$5:$AI$24,22,FALSE)),0)+IFERROR(IF(VLOOKUP($B18,'JR G-Goats'!$B$5:$AI$24,22,FALSE)=" ",0,VLOOKUP($B18,'JR G-Goats'!$B$5:$AI$24,22,FALSE)),0)+IFERROR(IF(VLOOKUP($B18,'JR-Team Roping-Header'!$B$5:$N$24,7,FALSE)=" ",0,VLOOKUP($B18,'JR-Team Roping-Header'!$B$5:$N$24,7,FALSE)),0)+IFERROR(IF(VLOOKUP($B18,'JR-Team Roping-Heeler'!$B$5:$N$24,7,FALSE)=" ",0,VLOOKUP($B18,'JR-Team Roping-Heeler'!$B$5:$N$24,7,FALSE)),0)</f>
        <v>3</v>
      </c>
      <c r="P18" s="95">
        <f t="shared" si="8"/>
        <v>3</v>
      </c>
      <c r="Q18" s="122">
        <f t="shared" si="9"/>
        <v>8</v>
      </c>
      <c r="R18" s="121">
        <f>IFERROR(IF(VLOOKUP($B18,'JR G-Breakaway'!$B$5:$AI$24,26,FALSE)=" ",0,VLOOKUP($B18,'JR G-Breakaway'!$B$5:$AI$24,26,FALSE)),0)+IFERROR(IF(VLOOKUP($B18,'JR G-Barrels'!$B$5:$AI$24,26,FALSE)=" ",0,VLOOKUP($B18,'JR G-Barrels'!$B$5:$AI$24,26,FALSE)),0)+IFERROR(IF(VLOOKUP($B18,'JR G-Poles'!$B$5:$AI$24,26,FALSE)=" ",0,VLOOKUP($B18,'JR G-Poles'!$B$5:$AI$24,26,FALSE)),0)+IFERROR(IF(VLOOKUP($B18,'JR G-Goats'!$B$5:$AI$24,26,FALSE)=" ",0,VLOOKUP($B18,'JR G-Goats'!$B$5:$AI$24,26,FALSE)),0)+IFERROR(IF(VLOOKUP($B18,'JR-Team Roping-Header'!$B$5:$N$24,8,FALSE)=" ",0,VLOOKUP($B18,'JR-Team Roping-Header'!$B$5:$N$24,8,FALSE)),0)+IFERROR(IF(VLOOKUP($B18,'JR-Team Roping-Heeler'!$B$5:$N$24,8,FALSE)=" ",0,VLOOKUP($B18,'JR-Team Roping-Heeler'!$B$5:$N$24,8,FALSE)),0)</f>
        <v>0</v>
      </c>
      <c r="S18" s="95" t="str">
        <f t="shared" si="10"/>
        <v xml:space="preserve"> </v>
      </c>
      <c r="T18" s="122" t="str">
        <f t="shared" si="11"/>
        <v xml:space="preserve"> </v>
      </c>
      <c r="U18" s="121">
        <f>IFERROR(IF(VLOOKUP($B18,'JR G-Breakaway'!$B$5:$AI$24,30,FALSE)=" ",0,VLOOKUP($B18,'JR G-Breakaway'!$B$5:$AI$24,30,FALSE)),0)+IFERROR(IF(VLOOKUP($B18,'JR G-Barrels'!$B$5:$AI$24,30,FALSE)=" ",0,VLOOKUP($B18,'JR G-Barrels'!$B$5:$AI$24,30,FALSE)),0)+IFERROR(IF(VLOOKUP($B18,'JR G-Poles'!$B$5:$AI$24,30,FALSE)=" ",0,VLOOKUP($B18,'JR G-Poles'!$B$5:$AI$24,30,FALSE)),0)+IFERROR(IF(VLOOKUP($B18,'JR G-Goats'!$B$5:$AI$24,30,FALSE)=" ",0,VLOOKUP($B18,'JR G-Goats'!$B$5:$AI$24,30,FALSE)),0)+IFERROR(IF(VLOOKUP($B18,'JR-Team Roping-Header'!$B$5:$N$24,9,FALSE)=" ",0,VLOOKUP($B18,'JR-Team Roping-Header'!$B$5:$N$24,9,FALSE)),0)+IFERROR(IF(VLOOKUP($B18,'JR-Team Roping-Heeler'!$B$5:$N$24,9,FALSE)=" ",0,VLOOKUP($B18,'JR-Team Roping-Heeler'!$B$5:$N$24,9,FALSE)),0)</f>
        <v>0</v>
      </c>
      <c r="V18" s="95" t="str">
        <f t="shared" si="12"/>
        <v xml:space="preserve"> </v>
      </c>
      <c r="W18" s="122" t="str">
        <f t="shared" si="13"/>
        <v xml:space="preserve"> </v>
      </c>
      <c r="X18" s="121">
        <f>IFERROR(IF(VLOOKUP($B18,'JR G-Breakaway'!$B$5:$AI$24,34,FALSE)=" ",0,VLOOKUP($B18,'JR G-Breakaway'!$B$5:$AI$24,34,FALSE)),0)+IFERROR(IF(VLOOKUP($B18,'JR G-Barrels'!$B$5:$AI$24,34,FALSE)=" ",0,VLOOKUP($B18,'JR G-Barrels'!$B$5:$AI$24,34,FALSE)),0)+IFERROR(IF(VLOOKUP($B18,'JR G-Poles'!$B$5:$AI$24,34,FALSE)=" ",0,VLOOKUP($B18,'JR G-Poles'!$B$5:$AI$24,34,FALSE)),0)+IFERROR(IF(VLOOKUP($B18,'JR G-Goats'!$B$5:$AI$24,34,FALSE)=" ",0,VLOOKUP($B18,'JR G-Goats'!$B$5:$AI$24,34,FALSE)),0)+IFERROR(IF(VLOOKUP($B18,'JR-Team Roping-Header'!$B$5:$N$24,10,FALSE)=" ",0,VLOOKUP($B18,'JR-Team Roping-Header'!$B$5:$N$24,10,FALSE)),0)+IFERROR(IF(VLOOKUP($B18,'JR-Team Roping-Heeler'!$B$5:$N$24,10,FALSE)=" ",0,VLOOKUP($B18,'JR-Team Roping-Heeler'!$B$5:$N$24,10,FALSE)),0)</f>
        <v>0</v>
      </c>
      <c r="Y18" s="95" t="str">
        <f t="shared" si="14"/>
        <v xml:space="preserve"> </v>
      </c>
      <c r="Z18" s="122" t="str">
        <f t="shared" si="15"/>
        <v xml:space="preserve"> </v>
      </c>
      <c r="AA18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3</v>
      </c>
      <c r="AB18" s="95">
        <f t="shared" si="16"/>
        <v>3</v>
      </c>
      <c r="AC18" s="122">
        <f t="shared" si="17"/>
        <v>14</v>
      </c>
    </row>
    <row r="19" spans="2:29" x14ac:dyDescent="0.25">
      <c r="B19" s="142" t="s">
        <v>206</v>
      </c>
      <c r="C19" s="120">
        <f>IFERROR(IF(VLOOKUP($B19,'JR G-Breakaway'!$B$5:$AI$24,6,FALSE)=" ",0,VLOOKUP($B19,'JR G-Breakaway'!$B$5:$AI$24,6,FALSE)),0)+IFERROR(IF(VLOOKUP($B19,'JR G-Barrels'!$B$5:$AI$24,6,FALSE)=" ",0,VLOOKUP($B19,'JR G-Barrels'!$B$5:$AI$24,6,FALSE)),0)+IFERROR(IF(VLOOKUP($B19,'JR G-Poles'!$B$5:$AI$24,6,FALSE)=" ",0,VLOOKUP($B19,'JR G-Poles'!$B$5:$AI$24,6,FALSE)),0)+IFERROR(IF(VLOOKUP($B19,'JR G-Goats'!$B$5:$AI$24,6,FALSE)=" ",0,VLOOKUP($B19,'JR G-Goats'!$B$5:$AI$24,6,FALSE)),0)+IFERROR(IF(VLOOKUP($B19,'JR-Team Roping-Header'!$B$5:$N$24,3,FALSE)=" ",0,VLOOKUP($B19,'JR-Team Roping-Header'!$B$5:$N$24,3,FALSE)),0)+IFERROR(IF(VLOOKUP($B19,'JR-Team Roping-Heeler'!$B$5:$N$24,3,FALSE)=" ",0,VLOOKUP($B19,'JR-Team Roping-Heeler'!$B$5:$N$24,3,FALSE)),0)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IFERROR(IF(VLOOKUP($B19,'JR G-Breakaway'!$B$5:$AI$24,10,FALSE)=" ",0,VLOOKUP($B19,'JR G-Breakaway'!$B$5:$AI$24,10,FALSE)),0)+IFERROR(IF(VLOOKUP($B19,'JR G-Barrels'!$B$5:$AI$24,10,FALSE)=" ",0,VLOOKUP($B19,'JR G-Barrels'!$B$5:$AI$24,10,FALSE)),0)+IFERROR(IF(VLOOKUP($B19,'JR G-Poles'!$B$5:$AI$24,10,FALSE)=" ",0,VLOOKUP($B19,'JR G-Poles'!$B$5:$AI$24,10,FALSE)),0)+IFERROR(IF(VLOOKUP($B19,'JR G-Goats'!$B$5:$AI$24,10,FALSE)=" ",0,VLOOKUP($B19,'JR G-Goats'!$B$5:$AI$24,10,FALSE)),0)+IFERROR(IF(VLOOKUP($B19,'JR-Team Roping-Header'!$B$5:$N$24,4,FALSE)=" ",0,VLOOKUP($B19,'JR-Team Roping-Header'!$B$5:$N$24,4,FALSE)),0)+IFERROR(IF(VLOOKUP($B19,'JR-Team Roping-Heeler'!$B$5:$N$24,4,FALSE)=" ",0,VLOOKUP($B19,'JR-Team Roping-Heeler'!$B$5:$N$24,4,FALSE)),0)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IFERROR(IF(VLOOKUP($B19,'JR G-Breakaway'!$B$5:$AI$24,14,FALSE)=" ",0,VLOOKUP($B19,'JR G-Breakaway'!$B$5:$AI$24,14,FALSE)),0)+IFERROR(IF(VLOOKUP($B19,'JR G-Barrels'!$B$5:$AI$24,14,FALSE)=" ",0,VLOOKUP($B19,'JR G-Barrels'!$B$5:$AI$24,14,FALSE)),0)+IFERROR(IF(VLOOKUP($B19,'JR G-Poles'!$B$5:$AI$24,14,FALSE)=" ",0,VLOOKUP($B19,'JR G-Poles'!$B$5:$AI$24,14,FALSE)),0)+IFERROR(IF(VLOOKUP($B19,'JR G-Goats'!$B$5:$AI$24,14,FALSE)=" ",0,VLOOKUP($B19,'JR G-Goats'!$B$5:$AI$24,14,FALSE)),0)+IFERROR(IF(VLOOKUP($B19,'JR-Team Roping-Header'!$B$5:$N$24,5,FALSE)=" ",0,VLOOKUP($B19,'JR-Team Roping-Header'!$B$5:$N$24,5,FALSE)),0)+IFERROR(IF(VLOOKUP($B19,'JR-Team Roping-Heeler'!$B$5:$N$24,5,FALSE)=" ",0,VLOOKUP($B19,'JR-Team Roping-Heeler'!$B$5:$N$24,5,FALSE)),0)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IFERROR(IF(VLOOKUP($B19,'JR G-Breakaway'!$B$5:$AI$24,18,FALSE)=" ",0,VLOOKUP($B19,'JR G-Breakaway'!$B$5:$AI$24,18,FALSE)),0)+IFERROR(IF(VLOOKUP($B19,'JR G-Barrels'!$B$5:$AI$24,18,FALSE)=" ",0,VLOOKUP($B19,'JR G-Barrels'!$B$5:$AI$24,18,FALSE)),0)+IFERROR(IF(VLOOKUP($B19,'JR G-Poles'!$B$5:$AI$24,18,FALSE)=" ",0,VLOOKUP($B19,'JR G-Poles'!$B$5:$AI$24,18,FALSE)),0)+IFERROR(IF(VLOOKUP($B19,'JR G-Goats'!$B$5:$AI$24,18,FALSE)=" ",0,VLOOKUP($B19,'JR G-Goats'!$B$5:$AI$24,18,FALSE)),0)+IFERROR(IF(VLOOKUP($B19,'JR-Team Roping-Header'!$B$5:$N$24,6,FALSE)=" ",0,VLOOKUP($B19,'JR-Team Roping-Header'!$B$5:$N$24,6,FALSE)),0)+IFERROR(IF(VLOOKUP($B19,'JR-Team Roping-Heeler'!$B$5:$N$24,6,FALSE)=" ",0,VLOOKUP($B19,'JR-Team Roping-Heeler'!$B$5:$N$24,6,FALSE)),0)</f>
        <v>1</v>
      </c>
      <c r="M19" s="95">
        <f t="shared" si="6"/>
        <v>1</v>
      </c>
      <c r="N19" s="91">
        <f t="shared" si="7"/>
        <v>11</v>
      </c>
      <c r="O19" s="121">
        <f>IFERROR(IF(VLOOKUP($B19,'JR G-Breakaway'!$B$5:$AI$24,22,FALSE)=" ",0,VLOOKUP($B19,'JR G-Breakaway'!$B$5:$AI$24,22,FALSE)),0)+IFERROR(IF(VLOOKUP($B19,'JR G-Barrels'!$B$5:$AI$24,22,FALSE)=" ",0,VLOOKUP($B19,'JR G-Barrels'!$B$5:$AI$24,22,FALSE)),0)+IFERROR(IF(VLOOKUP($B19,'JR G-Poles'!$B$5:$AI$24,22,FALSE)=" ",0,VLOOKUP($B19,'JR G-Poles'!$B$5:$AI$24,22,FALSE)),0)+IFERROR(IF(VLOOKUP($B19,'JR G-Goats'!$B$5:$AI$24,22,FALSE)=" ",0,VLOOKUP($B19,'JR G-Goats'!$B$5:$AI$24,22,FALSE)),0)+IFERROR(IF(VLOOKUP($B19,'JR-Team Roping-Header'!$B$5:$N$24,7,FALSE)=" ",0,VLOOKUP($B19,'JR-Team Roping-Header'!$B$5:$N$24,7,FALSE)),0)+IFERROR(IF(VLOOKUP($B19,'JR-Team Roping-Heeler'!$B$5:$N$24,7,FALSE)=" ",0,VLOOKUP($B19,'JR-Team Roping-Heeler'!$B$5:$N$24,7,FALSE)),0)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IFERROR(IF(VLOOKUP($B19,'JR G-Breakaway'!$B$5:$AI$24,26,FALSE)=" ",0,VLOOKUP($B19,'JR G-Breakaway'!$B$5:$AI$24,26,FALSE)),0)+IFERROR(IF(VLOOKUP($B19,'JR G-Barrels'!$B$5:$AI$24,26,FALSE)=" ",0,VLOOKUP($B19,'JR G-Barrels'!$B$5:$AI$24,26,FALSE)),0)+IFERROR(IF(VLOOKUP($B19,'JR G-Poles'!$B$5:$AI$24,26,FALSE)=" ",0,VLOOKUP($B19,'JR G-Poles'!$B$5:$AI$24,26,FALSE)),0)+IFERROR(IF(VLOOKUP($B19,'JR G-Goats'!$B$5:$AI$24,26,FALSE)=" ",0,VLOOKUP($B19,'JR G-Goats'!$B$5:$AI$24,26,FALSE)),0)+IFERROR(IF(VLOOKUP($B19,'JR-Team Roping-Header'!$B$5:$N$24,8,FALSE)=" ",0,VLOOKUP($B19,'JR-Team Roping-Header'!$B$5:$N$24,8,FALSE)),0)+IFERROR(IF(VLOOKUP($B19,'JR-Team Roping-Heeler'!$B$5:$N$24,8,FALSE)=" ",0,VLOOKUP($B19,'JR-Team Roping-Heeler'!$B$5:$N$24,8,FALSE)),0)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IFERROR(IF(VLOOKUP($B19,'JR G-Breakaway'!$B$5:$AI$24,30,FALSE)=" ",0,VLOOKUP($B19,'JR G-Breakaway'!$B$5:$AI$24,30,FALSE)),0)+IFERROR(IF(VLOOKUP($B19,'JR G-Barrels'!$B$5:$AI$24,30,FALSE)=" ",0,VLOOKUP($B19,'JR G-Barrels'!$B$5:$AI$24,30,FALSE)),0)+IFERROR(IF(VLOOKUP($B19,'JR G-Poles'!$B$5:$AI$24,30,FALSE)=" ",0,VLOOKUP($B19,'JR G-Poles'!$B$5:$AI$24,30,FALSE)),0)+IFERROR(IF(VLOOKUP($B19,'JR G-Goats'!$B$5:$AI$24,30,FALSE)=" ",0,VLOOKUP($B19,'JR G-Goats'!$B$5:$AI$24,30,FALSE)),0)+IFERROR(IF(VLOOKUP($B19,'JR-Team Roping-Header'!$B$5:$N$24,9,FALSE)=" ",0,VLOOKUP($B19,'JR-Team Roping-Header'!$B$5:$N$24,9,FALSE)),0)+IFERROR(IF(VLOOKUP($B19,'JR-Team Roping-Heeler'!$B$5:$N$24,9,FALSE)=" ",0,VLOOKUP($B19,'JR-Team Roping-Heeler'!$B$5:$N$24,9,FALSE)),0)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IFERROR(IF(VLOOKUP($B19,'JR G-Breakaway'!$B$5:$AI$24,34,FALSE)=" ",0,VLOOKUP($B19,'JR G-Breakaway'!$B$5:$AI$24,34,FALSE)),0)+IFERROR(IF(VLOOKUP($B19,'JR G-Barrels'!$B$5:$AI$24,34,FALSE)=" ",0,VLOOKUP($B19,'JR G-Barrels'!$B$5:$AI$24,34,FALSE)),0)+IFERROR(IF(VLOOKUP($B19,'JR G-Poles'!$B$5:$AI$24,34,FALSE)=" ",0,VLOOKUP($B19,'JR G-Poles'!$B$5:$AI$24,34,FALSE)),0)+IFERROR(IF(VLOOKUP($B19,'JR G-Goats'!$B$5:$AI$24,34,FALSE)=" ",0,VLOOKUP($B19,'JR G-Goats'!$B$5:$AI$24,34,FALSE)),0)+IFERROR(IF(VLOOKUP($B19,'JR-Team Roping-Header'!$B$5:$N$24,10,FALSE)=" ",0,VLOOKUP($B19,'JR-Team Roping-Header'!$B$5:$N$24,10,FALSE)),0)+IFERROR(IF(VLOOKUP($B19,'JR-Team Roping-Heeler'!$B$5:$N$24,10,FALSE)=" ",0,VLOOKUP($B19,'JR-Team Roping-Heeler'!$B$5:$N$24,10,FALSE)),0)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</v>
      </c>
      <c r="AB19" s="95">
        <f t="shared" si="16"/>
        <v>1</v>
      </c>
      <c r="AC19" s="91">
        <f t="shared" si="17"/>
        <v>15</v>
      </c>
    </row>
    <row r="20" spans="2:29" x14ac:dyDescent="0.25">
      <c r="B20" s="142" t="s">
        <v>273</v>
      </c>
      <c r="C20" s="120">
        <f>IFERROR(IF(VLOOKUP($B20,'JR G-Breakaway'!$B$5:$AI$24,6,FALSE)=" ",0,VLOOKUP($B20,'JR G-Breakaway'!$B$5:$AI$24,6,FALSE)),0)+IFERROR(IF(VLOOKUP($B20,'JR G-Barrels'!$B$5:$AI$24,6,FALSE)=" ",0,VLOOKUP($B20,'JR G-Barrels'!$B$5:$AI$24,6,FALSE)),0)+IFERROR(IF(VLOOKUP($B20,'JR G-Poles'!$B$5:$AI$24,6,FALSE)=" ",0,VLOOKUP($B20,'JR G-Poles'!$B$5:$AI$24,6,FALSE)),0)+IFERROR(IF(VLOOKUP($B20,'JR G-Goats'!$B$5:$AI$24,6,FALSE)=" ",0,VLOOKUP($B20,'JR G-Goats'!$B$5:$AI$24,6,FALSE)),0)+IFERROR(IF(VLOOKUP($B20,'JR-Team Roping-Header'!$B$5:$N$24,3,FALSE)=" ",0,VLOOKUP($B20,'JR-Team Roping-Header'!$B$5:$N$24,3,FALSE)),0)+IFERROR(IF(VLOOKUP($B20,'JR-Team Roping-Heeler'!$B$5:$N$24,3,FALSE)=" ",0,VLOOKUP($B20,'JR-Team Roping-Heeler'!$B$5:$N$24,3,FALSE)),0)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IFERROR(IF(VLOOKUP($B20,'JR G-Breakaway'!$B$5:$AI$24,10,FALSE)=" ",0,VLOOKUP($B20,'JR G-Breakaway'!$B$5:$AI$24,10,FALSE)),0)+IFERROR(IF(VLOOKUP($B20,'JR G-Barrels'!$B$5:$AI$24,10,FALSE)=" ",0,VLOOKUP($B20,'JR G-Barrels'!$B$5:$AI$24,10,FALSE)),0)+IFERROR(IF(VLOOKUP($B20,'JR G-Poles'!$B$5:$AI$24,10,FALSE)=" ",0,VLOOKUP($B20,'JR G-Poles'!$B$5:$AI$24,10,FALSE)),0)+IFERROR(IF(VLOOKUP($B20,'JR G-Goats'!$B$5:$AI$24,10,FALSE)=" ",0,VLOOKUP($B20,'JR G-Goats'!$B$5:$AI$24,10,FALSE)),0)+IFERROR(IF(VLOOKUP($B20,'JR-Team Roping-Header'!$B$5:$N$24,4,FALSE)=" ",0,VLOOKUP($B20,'JR-Team Roping-Header'!$B$5:$N$24,4,FALSE)),0)+IFERROR(IF(VLOOKUP($B20,'JR-Team Roping-Heeler'!$B$5:$N$24,4,FALSE)=" ",0,VLOOKUP($B20,'JR-Team Roping-Heeler'!$B$5:$N$24,4,FALSE)),0)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IFERROR(IF(VLOOKUP($B20,'JR G-Breakaway'!$B$5:$AI$24,14,FALSE)=" ",0,VLOOKUP($B20,'JR G-Breakaway'!$B$5:$AI$24,14,FALSE)),0)+IFERROR(IF(VLOOKUP($B20,'JR G-Barrels'!$B$5:$AI$24,14,FALSE)=" ",0,VLOOKUP($B20,'JR G-Barrels'!$B$5:$AI$24,14,FALSE)),0)+IFERROR(IF(VLOOKUP($B20,'JR G-Poles'!$B$5:$AI$24,14,FALSE)=" ",0,VLOOKUP($B20,'JR G-Poles'!$B$5:$AI$24,14,FALSE)),0)+IFERROR(IF(VLOOKUP($B20,'JR G-Goats'!$B$5:$AI$24,14,FALSE)=" ",0,VLOOKUP($B20,'JR G-Goats'!$B$5:$AI$24,14,FALSE)),0)+IFERROR(IF(VLOOKUP($B20,'JR-Team Roping-Header'!$B$5:$N$24,5,FALSE)=" ",0,VLOOKUP($B20,'JR-Team Roping-Header'!$B$5:$N$24,5,FALSE)),0)+IFERROR(IF(VLOOKUP($B20,'JR-Team Roping-Heeler'!$B$5:$N$24,5,FALSE)=" ",0,VLOOKUP($B20,'JR-Team Roping-Heeler'!$B$5:$N$24,5,FALSE)),0)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IFERROR(IF(VLOOKUP($B20,'JR G-Breakaway'!$B$5:$AI$24,18,FALSE)=" ",0,VLOOKUP($B20,'JR G-Breakaway'!$B$5:$AI$24,18,FALSE)),0)+IFERROR(IF(VLOOKUP($B20,'JR G-Barrels'!$B$5:$AI$24,18,FALSE)=" ",0,VLOOKUP($B20,'JR G-Barrels'!$B$5:$AI$24,18,FALSE)),0)+IFERROR(IF(VLOOKUP($B20,'JR G-Poles'!$B$5:$AI$24,18,FALSE)=" ",0,VLOOKUP($B20,'JR G-Poles'!$B$5:$AI$24,18,FALSE)),0)+IFERROR(IF(VLOOKUP($B20,'JR G-Goats'!$B$5:$AI$24,18,FALSE)=" ",0,VLOOKUP($B20,'JR G-Goats'!$B$5:$AI$24,18,FALSE)),0)+IFERROR(IF(VLOOKUP($B20,'JR-Team Roping-Header'!$B$5:$N$24,6,FALSE)=" ",0,VLOOKUP($B20,'JR-Team Roping-Header'!$B$5:$N$24,6,FALSE)),0)+IFERROR(IF(VLOOKUP($B20,'JR-Team Roping-Heeler'!$B$5:$N$24,6,FALSE)=" ",0,VLOOKUP($B20,'JR-Team Roping-Heeler'!$B$5:$N$24,6,FALSE)),0)</f>
        <v>1</v>
      </c>
      <c r="M20" s="95">
        <f t="shared" si="6"/>
        <v>1</v>
      </c>
      <c r="N20" s="91">
        <f t="shared" si="7"/>
        <v>11</v>
      </c>
      <c r="O20" s="121">
        <f>IFERROR(IF(VLOOKUP($B20,'JR G-Breakaway'!$B$5:$AI$24,22,FALSE)=" ",0,VLOOKUP($B20,'JR G-Breakaway'!$B$5:$AI$24,22,FALSE)),0)+IFERROR(IF(VLOOKUP($B20,'JR G-Barrels'!$B$5:$AI$24,22,FALSE)=" ",0,VLOOKUP($B20,'JR G-Barrels'!$B$5:$AI$24,22,FALSE)),0)+IFERROR(IF(VLOOKUP($B20,'JR G-Poles'!$B$5:$AI$24,22,FALSE)=" ",0,VLOOKUP($B20,'JR G-Poles'!$B$5:$AI$24,22,FALSE)),0)+IFERROR(IF(VLOOKUP($B20,'JR G-Goats'!$B$5:$AI$24,22,FALSE)=" ",0,VLOOKUP($B20,'JR G-Goats'!$B$5:$AI$24,22,FALSE)),0)+IFERROR(IF(VLOOKUP($B20,'JR-Team Roping-Header'!$B$5:$N$24,7,FALSE)=" ",0,VLOOKUP($B20,'JR-Team Roping-Header'!$B$5:$N$24,7,FALSE)),0)+IFERROR(IF(VLOOKUP($B20,'JR-Team Roping-Heeler'!$B$5:$N$24,7,FALSE)=" ",0,VLOOKUP($B20,'JR-Team Roping-Heeler'!$B$5:$N$24,7,FALSE)),0)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IFERROR(IF(VLOOKUP($B20,'JR G-Breakaway'!$B$5:$AI$24,26,FALSE)=" ",0,VLOOKUP($B20,'JR G-Breakaway'!$B$5:$AI$24,26,FALSE)),0)+IFERROR(IF(VLOOKUP($B20,'JR G-Barrels'!$B$5:$AI$24,26,FALSE)=" ",0,VLOOKUP($B20,'JR G-Barrels'!$B$5:$AI$24,26,FALSE)),0)+IFERROR(IF(VLOOKUP($B20,'JR G-Poles'!$B$5:$AI$24,26,FALSE)=" ",0,VLOOKUP($B20,'JR G-Poles'!$B$5:$AI$24,26,FALSE)),0)+IFERROR(IF(VLOOKUP($B20,'JR G-Goats'!$B$5:$AI$24,26,FALSE)=" ",0,VLOOKUP($B20,'JR G-Goats'!$B$5:$AI$24,26,FALSE)),0)+IFERROR(IF(VLOOKUP($B20,'JR-Team Roping-Header'!$B$5:$N$24,8,FALSE)=" ",0,VLOOKUP($B20,'JR-Team Roping-Header'!$B$5:$N$24,8,FALSE)),0)+IFERROR(IF(VLOOKUP($B20,'JR-Team Roping-Heeler'!$B$5:$N$24,8,FALSE)=" ",0,VLOOKUP($B20,'JR-Team Roping-Heeler'!$B$5:$N$24,8,FALSE)),0)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IFERROR(IF(VLOOKUP($B20,'JR G-Breakaway'!$B$5:$AI$24,30,FALSE)=" ",0,VLOOKUP($B20,'JR G-Breakaway'!$B$5:$AI$24,30,FALSE)),0)+IFERROR(IF(VLOOKUP($B20,'JR G-Barrels'!$B$5:$AI$24,30,FALSE)=" ",0,VLOOKUP($B20,'JR G-Barrels'!$B$5:$AI$24,30,FALSE)),0)+IFERROR(IF(VLOOKUP($B20,'JR G-Poles'!$B$5:$AI$24,30,FALSE)=" ",0,VLOOKUP($B20,'JR G-Poles'!$B$5:$AI$24,30,FALSE)),0)+IFERROR(IF(VLOOKUP($B20,'JR G-Goats'!$B$5:$AI$24,30,FALSE)=" ",0,VLOOKUP($B20,'JR G-Goats'!$B$5:$AI$24,30,FALSE)),0)+IFERROR(IF(VLOOKUP($B20,'JR-Team Roping-Header'!$B$5:$N$24,9,FALSE)=" ",0,VLOOKUP($B20,'JR-Team Roping-Header'!$B$5:$N$24,9,FALSE)),0)+IFERROR(IF(VLOOKUP($B20,'JR-Team Roping-Heeler'!$B$5:$N$24,9,FALSE)=" ",0,VLOOKUP($B20,'JR-Team Roping-Heeler'!$B$5:$N$24,9,FALSE)),0)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IFERROR(IF(VLOOKUP($B20,'JR G-Breakaway'!$B$5:$AI$24,34,FALSE)=" ",0,VLOOKUP($B20,'JR G-Breakaway'!$B$5:$AI$24,34,FALSE)),0)+IFERROR(IF(VLOOKUP($B20,'JR G-Barrels'!$B$5:$AI$24,34,FALSE)=" ",0,VLOOKUP($B20,'JR G-Barrels'!$B$5:$AI$24,34,FALSE)),0)+IFERROR(IF(VLOOKUP($B20,'JR G-Poles'!$B$5:$AI$24,34,FALSE)=" ",0,VLOOKUP($B20,'JR G-Poles'!$B$5:$AI$24,34,FALSE)),0)+IFERROR(IF(VLOOKUP($B20,'JR G-Goats'!$B$5:$AI$24,34,FALSE)=" ",0,VLOOKUP($B20,'JR G-Goats'!$B$5:$AI$24,34,FALSE)),0)+IFERROR(IF(VLOOKUP($B20,'JR-Team Roping-Header'!$B$5:$N$24,10,FALSE)=" ",0,VLOOKUP($B20,'JR-Team Roping-Header'!$B$5:$N$24,10,FALSE)),0)+IFERROR(IF(VLOOKUP($B20,'JR-Team Roping-Heeler'!$B$5:$N$24,10,FALSE)=" ",0,VLOOKUP($B20,'JR-Team Roping-Heeler'!$B$5:$N$24,10,FALSE)),0)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1</v>
      </c>
      <c r="AB20" s="95">
        <f t="shared" si="16"/>
        <v>1</v>
      </c>
      <c r="AC20" s="91">
        <f t="shared" si="17"/>
        <v>15</v>
      </c>
    </row>
    <row r="21" spans="2:29" x14ac:dyDescent="0.25">
      <c r="B21" s="142" t="s">
        <v>203</v>
      </c>
      <c r="C21" s="120">
        <f>IFERROR(IF(VLOOKUP($B21,'JR G-Breakaway'!$B$5:$AI$24,6,FALSE)=" ",0,VLOOKUP($B21,'JR G-Breakaway'!$B$5:$AI$24,6,FALSE)),0)+IFERROR(IF(VLOOKUP($B21,'JR G-Barrels'!$B$5:$AI$24,6,FALSE)=" ",0,VLOOKUP($B21,'JR G-Barrels'!$B$5:$AI$24,6,FALSE)),0)+IFERROR(IF(VLOOKUP($B21,'JR G-Poles'!$B$5:$AI$24,6,FALSE)=" ",0,VLOOKUP($B21,'JR G-Poles'!$B$5:$AI$24,6,FALSE)),0)+IFERROR(IF(VLOOKUP($B21,'JR G-Goats'!$B$5:$AI$24,6,FALSE)=" ",0,VLOOKUP($B21,'JR G-Goats'!$B$5:$AI$24,6,FALSE)),0)+IFERROR(IF(VLOOKUP($B21,'JR-Team Roping-Header'!$B$5:$N$24,3,FALSE)=" ",0,VLOOKUP($B21,'JR-Team Roping-Header'!$B$5:$N$24,3,FALSE)),0)+IFERROR(IF(VLOOKUP($B21,'JR-Team Roping-Heeler'!$B$5:$N$24,3,FALSE)=" ",0,VLOOKUP($B21,'JR-Team Roping-Heeler'!$B$5:$N$24,3,FALSE)),0)</f>
        <v>0</v>
      </c>
      <c r="D21" s="95" t="str">
        <f t="shared" si="0"/>
        <v xml:space="preserve"> </v>
      </c>
      <c r="E21" s="122" t="str">
        <f t="shared" si="1"/>
        <v xml:space="preserve"> </v>
      </c>
      <c r="F21" s="121">
        <f>IFERROR(IF(VLOOKUP($B21,'JR G-Breakaway'!$B$5:$AI$24,10,FALSE)=" ",0,VLOOKUP($B21,'JR G-Breakaway'!$B$5:$AI$24,10,FALSE)),0)+IFERROR(IF(VLOOKUP($B21,'JR G-Barrels'!$B$5:$AI$24,10,FALSE)=" ",0,VLOOKUP($B21,'JR G-Barrels'!$B$5:$AI$24,10,FALSE)),0)+IFERROR(IF(VLOOKUP($B21,'JR G-Poles'!$B$5:$AI$24,10,FALSE)=" ",0,VLOOKUP($B21,'JR G-Poles'!$B$5:$AI$24,10,FALSE)),0)+IFERROR(IF(VLOOKUP($B21,'JR G-Goats'!$B$5:$AI$24,10,FALSE)=" ",0,VLOOKUP($B21,'JR G-Goats'!$B$5:$AI$24,10,FALSE)),0)+IFERROR(IF(VLOOKUP($B21,'JR-Team Roping-Header'!$B$5:$N$24,4,FALSE)=" ",0,VLOOKUP($B21,'JR-Team Roping-Header'!$B$5:$N$24,4,FALSE)),0)+IFERROR(IF(VLOOKUP($B21,'JR-Team Roping-Heeler'!$B$5:$N$24,4,FALSE)=" ",0,VLOOKUP($B21,'JR-Team Roping-Heeler'!$B$5:$N$24,4,FALSE)),0)</f>
        <v>0</v>
      </c>
      <c r="G21" s="95" t="str">
        <f t="shared" si="2"/>
        <v xml:space="preserve"> </v>
      </c>
      <c r="H21" s="122" t="str">
        <f t="shared" si="3"/>
        <v xml:space="preserve"> </v>
      </c>
      <c r="I21" s="121">
        <f>IFERROR(IF(VLOOKUP($B21,'JR G-Breakaway'!$B$5:$AI$24,14,FALSE)=" ",0,VLOOKUP($B21,'JR G-Breakaway'!$B$5:$AI$24,14,FALSE)),0)+IFERROR(IF(VLOOKUP($B21,'JR G-Barrels'!$B$5:$AI$24,14,FALSE)=" ",0,VLOOKUP($B21,'JR G-Barrels'!$B$5:$AI$24,14,FALSE)),0)+IFERROR(IF(VLOOKUP($B21,'JR G-Poles'!$B$5:$AI$24,14,FALSE)=" ",0,VLOOKUP($B21,'JR G-Poles'!$B$5:$AI$24,14,FALSE)),0)+IFERROR(IF(VLOOKUP($B21,'JR G-Goats'!$B$5:$AI$24,14,FALSE)=" ",0,VLOOKUP($B21,'JR G-Goats'!$B$5:$AI$24,14,FALSE)),0)+IFERROR(IF(VLOOKUP($B21,'JR-Team Roping-Header'!$B$5:$N$24,5,FALSE)=" ",0,VLOOKUP($B21,'JR-Team Roping-Header'!$B$5:$N$24,5,FALSE)),0)+IFERROR(IF(VLOOKUP($B21,'JR-Team Roping-Heeler'!$B$5:$N$24,5,FALSE)=" ",0,VLOOKUP($B21,'JR-Team Roping-Heeler'!$B$5:$N$24,5,FALSE)),0)</f>
        <v>0</v>
      </c>
      <c r="J21" s="95" t="str">
        <f t="shared" si="4"/>
        <v xml:space="preserve"> </v>
      </c>
      <c r="K21" s="122" t="str">
        <f t="shared" si="5"/>
        <v xml:space="preserve"> </v>
      </c>
      <c r="L21" s="121">
        <f>IFERROR(IF(VLOOKUP($B21,'JR G-Breakaway'!$B$5:$AI$24,18,FALSE)=" ",0,VLOOKUP($B21,'JR G-Breakaway'!$B$5:$AI$24,18,FALSE)),0)+IFERROR(IF(VLOOKUP($B21,'JR G-Barrels'!$B$5:$AI$24,18,FALSE)=" ",0,VLOOKUP($B21,'JR G-Barrels'!$B$5:$AI$24,18,FALSE)),0)+IFERROR(IF(VLOOKUP($B21,'JR G-Poles'!$B$5:$AI$24,18,FALSE)=" ",0,VLOOKUP($B21,'JR G-Poles'!$B$5:$AI$24,18,FALSE)),0)+IFERROR(IF(VLOOKUP($B21,'JR G-Goats'!$B$5:$AI$24,18,FALSE)=" ",0,VLOOKUP($B21,'JR G-Goats'!$B$5:$AI$24,18,FALSE)),0)+IFERROR(IF(VLOOKUP($B21,'JR-Team Roping-Header'!$B$5:$N$24,6,FALSE)=" ",0,VLOOKUP($B21,'JR-Team Roping-Header'!$B$5:$N$24,6,FALSE)),0)+IFERROR(IF(VLOOKUP($B21,'JR-Team Roping-Heeler'!$B$5:$N$24,6,FALSE)=" ",0,VLOOKUP($B21,'JR-Team Roping-Heeler'!$B$5:$N$24,6,FALSE)),0)</f>
        <v>0</v>
      </c>
      <c r="M21" s="95" t="str">
        <f t="shared" si="6"/>
        <v xml:space="preserve"> </v>
      </c>
      <c r="N21" s="122" t="str">
        <f t="shared" si="7"/>
        <v xml:space="preserve"> </v>
      </c>
      <c r="O21" s="121">
        <f>IFERROR(IF(VLOOKUP($B21,'JR G-Breakaway'!$B$5:$AI$24,22,FALSE)=" ",0,VLOOKUP($B21,'JR G-Breakaway'!$B$5:$AI$24,22,FALSE)),0)+IFERROR(IF(VLOOKUP($B21,'JR G-Barrels'!$B$5:$AI$24,22,FALSE)=" ",0,VLOOKUP($B21,'JR G-Barrels'!$B$5:$AI$24,22,FALSE)),0)+IFERROR(IF(VLOOKUP($B21,'JR G-Poles'!$B$5:$AI$24,22,FALSE)=" ",0,VLOOKUP($B21,'JR G-Poles'!$B$5:$AI$24,22,FALSE)),0)+IFERROR(IF(VLOOKUP($B21,'JR G-Goats'!$B$5:$AI$24,22,FALSE)=" ",0,VLOOKUP($B21,'JR G-Goats'!$B$5:$AI$24,22,FALSE)),0)+IFERROR(IF(VLOOKUP($B21,'JR-Team Roping-Header'!$B$5:$N$24,7,FALSE)=" ",0,VLOOKUP($B21,'JR-Team Roping-Header'!$B$5:$N$24,7,FALSE)),0)+IFERROR(IF(VLOOKUP($B21,'JR-Team Roping-Heeler'!$B$5:$N$24,7,FALSE)=" ",0,VLOOKUP($B21,'JR-Team Roping-Heeler'!$B$5:$N$24,7,FALSE)),0)</f>
        <v>0</v>
      </c>
      <c r="P21" s="95" t="str">
        <f t="shared" si="8"/>
        <v xml:space="preserve"> </v>
      </c>
      <c r="Q21" s="122" t="str">
        <f t="shared" si="9"/>
        <v xml:space="preserve"> </v>
      </c>
      <c r="R21" s="121">
        <f>IFERROR(IF(VLOOKUP($B21,'JR G-Breakaway'!$B$5:$AI$24,26,FALSE)=" ",0,VLOOKUP($B21,'JR G-Breakaway'!$B$5:$AI$24,26,FALSE)),0)+IFERROR(IF(VLOOKUP($B21,'JR G-Barrels'!$B$5:$AI$24,26,FALSE)=" ",0,VLOOKUP($B21,'JR G-Barrels'!$B$5:$AI$24,26,FALSE)),0)+IFERROR(IF(VLOOKUP($B21,'JR G-Poles'!$B$5:$AI$24,26,FALSE)=" ",0,VLOOKUP($B21,'JR G-Poles'!$B$5:$AI$24,26,FALSE)),0)+IFERROR(IF(VLOOKUP($B21,'JR G-Goats'!$B$5:$AI$24,26,FALSE)=" ",0,VLOOKUP($B21,'JR G-Goats'!$B$5:$AI$24,26,FALSE)),0)+IFERROR(IF(VLOOKUP($B21,'JR-Team Roping-Header'!$B$5:$N$24,8,FALSE)=" ",0,VLOOKUP($B21,'JR-Team Roping-Header'!$B$5:$N$24,8,FALSE)),0)+IFERROR(IF(VLOOKUP($B21,'JR-Team Roping-Heeler'!$B$5:$N$24,8,FALSE)=" ",0,VLOOKUP($B21,'JR-Team Roping-Heeler'!$B$5:$N$24,8,FALSE)),0)</f>
        <v>0</v>
      </c>
      <c r="S21" s="95" t="str">
        <f t="shared" si="10"/>
        <v xml:space="preserve"> </v>
      </c>
      <c r="T21" s="122" t="str">
        <f t="shared" si="11"/>
        <v xml:space="preserve"> </v>
      </c>
      <c r="U21" s="121">
        <f>IFERROR(IF(VLOOKUP($B21,'JR G-Breakaway'!$B$5:$AI$24,30,FALSE)=" ",0,VLOOKUP($B21,'JR G-Breakaway'!$B$5:$AI$24,30,FALSE)),0)+IFERROR(IF(VLOOKUP($B21,'JR G-Barrels'!$B$5:$AI$24,30,FALSE)=" ",0,VLOOKUP($B21,'JR G-Barrels'!$B$5:$AI$24,30,FALSE)),0)+IFERROR(IF(VLOOKUP($B21,'JR G-Poles'!$B$5:$AI$24,30,FALSE)=" ",0,VLOOKUP($B21,'JR G-Poles'!$B$5:$AI$24,30,FALSE)),0)+IFERROR(IF(VLOOKUP($B21,'JR G-Goats'!$B$5:$AI$24,30,FALSE)=" ",0,VLOOKUP($B21,'JR G-Goats'!$B$5:$AI$24,30,FALSE)),0)+IFERROR(IF(VLOOKUP($B21,'JR-Team Roping-Header'!$B$5:$N$24,9,FALSE)=" ",0,VLOOKUP($B21,'JR-Team Roping-Header'!$B$5:$N$24,9,FALSE)),0)+IFERROR(IF(VLOOKUP($B21,'JR-Team Roping-Heeler'!$B$5:$N$24,9,FALSE)=" ",0,VLOOKUP($B21,'JR-Team Roping-Heeler'!$B$5:$N$24,9,FALSE)),0)</f>
        <v>0</v>
      </c>
      <c r="V21" s="95" t="str">
        <f t="shared" si="12"/>
        <v xml:space="preserve"> </v>
      </c>
      <c r="W21" s="122" t="str">
        <f t="shared" si="13"/>
        <v xml:space="preserve"> </v>
      </c>
      <c r="X21" s="121">
        <f>IFERROR(IF(VLOOKUP($B21,'JR G-Breakaway'!$B$5:$AI$24,34,FALSE)=" ",0,VLOOKUP($B21,'JR G-Breakaway'!$B$5:$AI$24,34,FALSE)),0)+IFERROR(IF(VLOOKUP($B21,'JR G-Barrels'!$B$5:$AI$24,34,FALSE)=" ",0,VLOOKUP($B21,'JR G-Barrels'!$B$5:$AI$24,34,FALSE)),0)+IFERROR(IF(VLOOKUP($B21,'JR G-Poles'!$B$5:$AI$24,34,FALSE)=" ",0,VLOOKUP($B21,'JR G-Poles'!$B$5:$AI$24,34,FALSE)),0)+IFERROR(IF(VLOOKUP($B21,'JR G-Goats'!$B$5:$AI$24,34,FALSE)=" ",0,VLOOKUP($B21,'JR G-Goats'!$B$5:$AI$24,34,FALSE)),0)+IFERROR(IF(VLOOKUP($B21,'JR-Team Roping-Header'!$B$5:$N$24,10,FALSE)=" ",0,VLOOKUP($B21,'JR-Team Roping-Header'!$B$5:$N$24,10,FALSE)),0)+IFERROR(IF(VLOOKUP($B21,'JR-Team Roping-Heeler'!$B$5:$N$24,10,FALSE)=" ",0,VLOOKUP($B21,'JR-Team Roping-Heeler'!$B$5:$N$24,10,FALSE)),0)</f>
        <v>0</v>
      </c>
      <c r="Y21" s="95" t="str">
        <f t="shared" si="14"/>
        <v xml:space="preserve"> </v>
      </c>
      <c r="Z21" s="122" t="str">
        <f t="shared" si="15"/>
        <v xml:space="preserve"> </v>
      </c>
      <c r="AA21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1" s="95" t="str">
        <f t="shared" si="16"/>
        <v xml:space="preserve"> </v>
      </c>
      <c r="AC21" s="122" t="str">
        <f t="shared" si="17"/>
        <v xml:space="preserve"> </v>
      </c>
    </row>
    <row r="22" spans="2:29" x14ac:dyDescent="0.25">
      <c r="B22" s="142" t="s">
        <v>200</v>
      </c>
      <c r="C22" s="120">
        <f>IFERROR(IF(VLOOKUP($B22,'JR G-Breakaway'!$B$5:$AI$24,6,FALSE)=" ",0,VLOOKUP($B22,'JR G-Breakaway'!$B$5:$AI$24,6,FALSE)),0)+IFERROR(IF(VLOOKUP($B22,'JR G-Barrels'!$B$5:$AI$24,6,FALSE)=" ",0,VLOOKUP($B22,'JR G-Barrels'!$B$5:$AI$24,6,FALSE)),0)+IFERROR(IF(VLOOKUP($B22,'JR G-Poles'!$B$5:$AI$24,6,FALSE)=" ",0,VLOOKUP($B22,'JR G-Poles'!$B$5:$AI$24,6,FALSE)),0)+IFERROR(IF(VLOOKUP($B22,'JR G-Goats'!$B$5:$AI$24,6,FALSE)=" ",0,VLOOKUP($B22,'JR G-Goats'!$B$5:$AI$24,6,FALSE)),0)+IFERROR(IF(VLOOKUP($B22,'JR-Team Roping-Header'!$B$5:$N$24,3,FALSE)=" ",0,VLOOKUP($B22,'JR-Team Roping-Header'!$B$5:$N$24,3,FALSE)),0)+IFERROR(IF(VLOOKUP($B22,'JR-Team Roping-Heeler'!$B$5:$N$24,3,FALSE)=" ",0,VLOOKUP($B22,'JR-Team Roping-Heeler'!$B$5:$N$24,3,FALSE)),0)</f>
        <v>0</v>
      </c>
      <c r="D22" s="95" t="str">
        <f t="shared" si="0"/>
        <v xml:space="preserve"> </v>
      </c>
      <c r="E22" s="122" t="str">
        <f t="shared" si="1"/>
        <v xml:space="preserve"> </v>
      </c>
      <c r="F22" s="121">
        <f>IFERROR(IF(VLOOKUP($B22,'JR G-Breakaway'!$B$5:$AI$24,10,FALSE)=" ",0,VLOOKUP($B22,'JR G-Breakaway'!$B$5:$AI$24,10,FALSE)),0)+IFERROR(IF(VLOOKUP($B22,'JR G-Barrels'!$B$5:$AI$24,10,FALSE)=" ",0,VLOOKUP($B22,'JR G-Barrels'!$B$5:$AI$24,10,FALSE)),0)+IFERROR(IF(VLOOKUP($B22,'JR G-Poles'!$B$5:$AI$24,10,FALSE)=" ",0,VLOOKUP($B22,'JR G-Poles'!$B$5:$AI$24,10,FALSE)),0)+IFERROR(IF(VLOOKUP($B22,'JR G-Goats'!$B$5:$AI$24,10,FALSE)=" ",0,VLOOKUP($B22,'JR G-Goats'!$B$5:$AI$24,10,FALSE)),0)+IFERROR(IF(VLOOKUP($B22,'JR-Team Roping-Header'!$B$5:$N$24,4,FALSE)=" ",0,VLOOKUP($B22,'JR-Team Roping-Header'!$B$5:$N$24,4,FALSE)),0)+IFERROR(IF(VLOOKUP($B22,'JR-Team Roping-Heeler'!$B$5:$N$24,4,FALSE)=" ",0,VLOOKUP($B22,'JR-Team Roping-Heeler'!$B$5:$N$24,4,FALSE)),0)</f>
        <v>0</v>
      </c>
      <c r="G22" s="95" t="str">
        <f t="shared" si="2"/>
        <v xml:space="preserve"> </v>
      </c>
      <c r="H22" s="122" t="str">
        <f t="shared" si="3"/>
        <v xml:space="preserve"> </v>
      </c>
      <c r="I22" s="121">
        <f>IFERROR(IF(VLOOKUP($B22,'JR G-Breakaway'!$B$5:$AI$24,14,FALSE)=" ",0,VLOOKUP($B22,'JR G-Breakaway'!$B$5:$AI$24,14,FALSE)),0)+IFERROR(IF(VLOOKUP($B22,'JR G-Barrels'!$B$5:$AI$24,14,FALSE)=" ",0,VLOOKUP($B22,'JR G-Barrels'!$B$5:$AI$24,14,FALSE)),0)+IFERROR(IF(VLOOKUP($B22,'JR G-Poles'!$B$5:$AI$24,14,FALSE)=" ",0,VLOOKUP($B22,'JR G-Poles'!$B$5:$AI$24,14,FALSE)),0)+IFERROR(IF(VLOOKUP($B22,'JR G-Goats'!$B$5:$AI$24,14,FALSE)=" ",0,VLOOKUP($B22,'JR G-Goats'!$B$5:$AI$24,14,FALSE)),0)+IFERROR(IF(VLOOKUP($B22,'JR-Team Roping-Header'!$B$5:$N$24,5,FALSE)=" ",0,VLOOKUP($B22,'JR-Team Roping-Header'!$B$5:$N$24,5,FALSE)),0)+IFERROR(IF(VLOOKUP($B22,'JR-Team Roping-Heeler'!$B$5:$N$24,5,FALSE)=" ",0,VLOOKUP($B22,'JR-Team Roping-Heeler'!$B$5:$N$24,5,FALSE)),0)</f>
        <v>0</v>
      </c>
      <c r="J22" s="95" t="str">
        <f t="shared" si="4"/>
        <v xml:space="preserve"> </v>
      </c>
      <c r="K22" s="122" t="str">
        <f t="shared" si="5"/>
        <v xml:space="preserve"> </v>
      </c>
      <c r="L22" s="121">
        <f>IFERROR(IF(VLOOKUP($B22,'JR G-Breakaway'!$B$5:$AI$24,18,FALSE)=" ",0,VLOOKUP($B22,'JR G-Breakaway'!$B$5:$AI$24,18,FALSE)),0)+IFERROR(IF(VLOOKUP($B22,'JR G-Barrels'!$B$5:$AI$24,18,FALSE)=" ",0,VLOOKUP($B22,'JR G-Barrels'!$B$5:$AI$24,18,FALSE)),0)+IFERROR(IF(VLOOKUP($B22,'JR G-Poles'!$B$5:$AI$24,18,FALSE)=" ",0,VLOOKUP($B22,'JR G-Poles'!$B$5:$AI$24,18,FALSE)),0)+IFERROR(IF(VLOOKUP($B22,'JR G-Goats'!$B$5:$AI$24,18,FALSE)=" ",0,VLOOKUP($B22,'JR G-Goats'!$B$5:$AI$24,18,FALSE)),0)+IFERROR(IF(VLOOKUP($B22,'JR-Team Roping-Header'!$B$5:$N$24,6,FALSE)=" ",0,VLOOKUP($B22,'JR-Team Roping-Header'!$B$5:$N$24,6,FALSE)),0)+IFERROR(IF(VLOOKUP($B22,'JR-Team Roping-Heeler'!$B$5:$N$24,6,FALSE)=" ",0,VLOOKUP($B22,'JR-Team Roping-Heeler'!$B$5:$N$24,6,FALSE)),0)</f>
        <v>0</v>
      </c>
      <c r="M22" s="95" t="str">
        <f t="shared" si="6"/>
        <v xml:space="preserve"> </v>
      </c>
      <c r="N22" s="122" t="str">
        <f t="shared" si="7"/>
        <v xml:space="preserve"> </v>
      </c>
      <c r="O22" s="121">
        <f>IFERROR(IF(VLOOKUP($B22,'JR G-Breakaway'!$B$5:$AI$24,22,FALSE)=" ",0,VLOOKUP($B22,'JR G-Breakaway'!$B$5:$AI$24,22,FALSE)),0)+IFERROR(IF(VLOOKUP($B22,'JR G-Barrels'!$B$5:$AI$24,22,FALSE)=" ",0,VLOOKUP($B22,'JR G-Barrels'!$B$5:$AI$24,22,FALSE)),0)+IFERROR(IF(VLOOKUP($B22,'JR G-Poles'!$B$5:$AI$24,22,FALSE)=" ",0,VLOOKUP($B22,'JR G-Poles'!$B$5:$AI$24,22,FALSE)),0)+IFERROR(IF(VLOOKUP($B22,'JR G-Goats'!$B$5:$AI$24,22,FALSE)=" ",0,VLOOKUP($B22,'JR G-Goats'!$B$5:$AI$24,22,FALSE)),0)+IFERROR(IF(VLOOKUP($B22,'JR-Team Roping-Header'!$B$5:$N$24,7,FALSE)=" ",0,VLOOKUP($B22,'JR-Team Roping-Header'!$B$5:$N$24,7,FALSE)),0)+IFERROR(IF(VLOOKUP($B22,'JR-Team Roping-Heeler'!$B$5:$N$24,7,FALSE)=" ",0,VLOOKUP($B22,'JR-Team Roping-Heeler'!$B$5:$N$24,7,FALSE)),0)</f>
        <v>0</v>
      </c>
      <c r="P22" s="95" t="str">
        <f t="shared" si="8"/>
        <v xml:space="preserve"> </v>
      </c>
      <c r="Q22" s="122" t="str">
        <f t="shared" si="9"/>
        <v xml:space="preserve"> </v>
      </c>
      <c r="R22" s="121">
        <f>IFERROR(IF(VLOOKUP($B22,'JR G-Breakaway'!$B$5:$AI$24,26,FALSE)=" ",0,VLOOKUP($B22,'JR G-Breakaway'!$B$5:$AI$24,26,FALSE)),0)+IFERROR(IF(VLOOKUP($B22,'JR G-Barrels'!$B$5:$AI$24,26,FALSE)=" ",0,VLOOKUP($B22,'JR G-Barrels'!$B$5:$AI$24,26,FALSE)),0)+IFERROR(IF(VLOOKUP($B22,'JR G-Poles'!$B$5:$AI$24,26,FALSE)=" ",0,VLOOKUP($B22,'JR G-Poles'!$B$5:$AI$24,26,FALSE)),0)+IFERROR(IF(VLOOKUP($B22,'JR G-Goats'!$B$5:$AI$24,26,FALSE)=" ",0,VLOOKUP($B22,'JR G-Goats'!$B$5:$AI$24,26,FALSE)),0)+IFERROR(IF(VLOOKUP($B22,'JR-Team Roping-Header'!$B$5:$N$24,8,FALSE)=" ",0,VLOOKUP($B22,'JR-Team Roping-Header'!$B$5:$N$24,8,FALSE)),0)+IFERROR(IF(VLOOKUP($B22,'JR-Team Roping-Heeler'!$B$5:$N$24,8,FALSE)=" ",0,VLOOKUP($B22,'JR-Team Roping-Heeler'!$B$5:$N$24,8,FALSE)),0)</f>
        <v>0</v>
      </c>
      <c r="S22" s="95" t="str">
        <f t="shared" si="10"/>
        <v xml:space="preserve"> </v>
      </c>
      <c r="T22" s="122" t="str">
        <f t="shared" si="11"/>
        <v xml:space="preserve"> </v>
      </c>
      <c r="U22" s="121">
        <f>IFERROR(IF(VLOOKUP($B22,'JR G-Breakaway'!$B$5:$AI$24,30,FALSE)=" ",0,VLOOKUP($B22,'JR G-Breakaway'!$B$5:$AI$24,30,FALSE)),0)+IFERROR(IF(VLOOKUP($B22,'JR G-Barrels'!$B$5:$AI$24,30,FALSE)=" ",0,VLOOKUP($B22,'JR G-Barrels'!$B$5:$AI$24,30,FALSE)),0)+IFERROR(IF(VLOOKUP($B22,'JR G-Poles'!$B$5:$AI$24,30,FALSE)=" ",0,VLOOKUP($B22,'JR G-Poles'!$B$5:$AI$24,30,FALSE)),0)+IFERROR(IF(VLOOKUP($B22,'JR G-Goats'!$B$5:$AI$24,30,FALSE)=" ",0,VLOOKUP($B22,'JR G-Goats'!$B$5:$AI$24,30,FALSE)),0)+IFERROR(IF(VLOOKUP($B22,'JR-Team Roping-Header'!$B$5:$N$24,9,FALSE)=" ",0,VLOOKUP($B22,'JR-Team Roping-Header'!$B$5:$N$24,9,FALSE)),0)+IFERROR(IF(VLOOKUP($B22,'JR-Team Roping-Heeler'!$B$5:$N$24,9,FALSE)=" ",0,VLOOKUP($B22,'JR-Team Roping-Heeler'!$B$5:$N$24,9,FALSE)),0)</f>
        <v>0</v>
      </c>
      <c r="V22" s="95" t="str">
        <f t="shared" si="12"/>
        <v xml:space="preserve"> </v>
      </c>
      <c r="W22" s="122" t="str">
        <f t="shared" si="13"/>
        <v xml:space="preserve"> </v>
      </c>
      <c r="X22" s="121">
        <f>IFERROR(IF(VLOOKUP($B22,'JR G-Breakaway'!$B$5:$AI$24,34,FALSE)=" ",0,VLOOKUP($B22,'JR G-Breakaway'!$B$5:$AI$24,34,FALSE)),0)+IFERROR(IF(VLOOKUP($B22,'JR G-Barrels'!$B$5:$AI$24,34,FALSE)=" ",0,VLOOKUP($B22,'JR G-Barrels'!$B$5:$AI$24,34,FALSE)),0)+IFERROR(IF(VLOOKUP($B22,'JR G-Poles'!$B$5:$AI$24,34,FALSE)=" ",0,VLOOKUP($B22,'JR G-Poles'!$B$5:$AI$24,34,FALSE)),0)+IFERROR(IF(VLOOKUP($B22,'JR G-Goats'!$B$5:$AI$24,34,FALSE)=" ",0,VLOOKUP($B22,'JR G-Goats'!$B$5:$AI$24,34,FALSE)),0)+IFERROR(IF(VLOOKUP($B22,'JR-Team Roping-Header'!$B$5:$N$24,10,FALSE)=" ",0,VLOOKUP($B22,'JR-Team Roping-Header'!$B$5:$N$24,10,FALSE)),0)+IFERROR(IF(VLOOKUP($B22,'JR-Team Roping-Heeler'!$B$5:$N$24,10,FALSE)=" ",0,VLOOKUP($B22,'JR-Team Roping-Heeler'!$B$5:$N$24,10,FALSE)),0)</f>
        <v>0</v>
      </c>
      <c r="Y22" s="95" t="str">
        <f t="shared" si="14"/>
        <v xml:space="preserve"> </v>
      </c>
      <c r="Z22" s="122" t="str">
        <f t="shared" si="15"/>
        <v xml:space="preserve"> </v>
      </c>
      <c r="AA22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2" s="95" t="str">
        <f t="shared" si="16"/>
        <v xml:space="preserve"> </v>
      </c>
      <c r="AC22" s="122" t="str">
        <f t="shared" si="17"/>
        <v xml:space="preserve"> </v>
      </c>
    </row>
    <row r="23" spans="2:29" x14ac:dyDescent="0.25">
      <c r="B23" s="142" t="s">
        <v>251</v>
      </c>
      <c r="C23" s="120">
        <f>IFERROR(IF(VLOOKUP($B23,'JR G-Breakaway'!$B$5:$AI$24,6,FALSE)=" ",0,VLOOKUP($B23,'JR G-Breakaway'!$B$5:$AI$24,6,FALSE)),0)+IFERROR(IF(VLOOKUP($B23,'JR G-Barrels'!$B$5:$AI$24,6,FALSE)=" ",0,VLOOKUP($B23,'JR G-Barrels'!$B$5:$AI$24,6,FALSE)),0)+IFERROR(IF(VLOOKUP($B23,'JR G-Poles'!$B$5:$AI$24,6,FALSE)=" ",0,VLOOKUP($B23,'JR G-Poles'!$B$5:$AI$24,6,FALSE)),0)+IFERROR(IF(VLOOKUP($B23,'JR G-Goats'!$B$5:$AI$24,6,FALSE)=" ",0,VLOOKUP($B23,'JR G-Goats'!$B$5:$AI$24,6,FALSE)),0)+IFERROR(IF(VLOOKUP($B23,'JR-Team Roping-Header'!$B$5:$N$24,3,FALSE)=" ",0,VLOOKUP($B23,'JR-Team Roping-Header'!$B$5:$N$24,3,FALSE)),0)+IFERROR(IF(VLOOKUP($B23,'JR-Team Roping-Heeler'!$B$5:$N$24,3,FALSE)=" ",0,VLOOKUP($B23,'JR-Team Roping-Heeler'!$B$5:$N$24,3,FALSE)),0)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IFERROR(IF(VLOOKUP($B23,'JR G-Breakaway'!$B$5:$AI$24,10,FALSE)=" ",0,VLOOKUP($B23,'JR G-Breakaway'!$B$5:$AI$24,10,FALSE)),0)+IFERROR(IF(VLOOKUP($B23,'JR G-Barrels'!$B$5:$AI$24,10,FALSE)=" ",0,VLOOKUP($B23,'JR G-Barrels'!$B$5:$AI$24,10,FALSE)),0)+IFERROR(IF(VLOOKUP($B23,'JR G-Poles'!$B$5:$AI$24,10,FALSE)=" ",0,VLOOKUP($B23,'JR G-Poles'!$B$5:$AI$24,10,FALSE)),0)+IFERROR(IF(VLOOKUP($B23,'JR G-Goats'!$B$5:$AI$24,10,FALSE)=" ",0,VLOOKUP($B23,'JR G-Goats'!$B$5:$AI$24,10,FALSE)),0)+IFERROR(IF(VLOOKUP($B23,'JR-Team Roping-Header'!$B$5:$N$24,4,FALSE)=" ",0,VLOOKUP($B23,'JR-Team Roping-Header'!$B$5:$N$24,4,FALSE)),0)+IFERROR(IF(VLOOKUP($B23,'JR-Team Roping-Heeler'!$B$5:$N$24,4,FALSE)=" ",0,VLOOKUP($B23,'JR-Team Roping-Heeler'!$B$5:$N$24,4,FALSE)),0)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IFERROR(IF(VLOOKUP($B23,'JR G-Breakaway'!$B$5:$AI$24,14,FALSE)=" ",0,VLOOKUP($B23,'JR G-Breakaway'!$B$5:$AI$24,14,FALSE)),0)+IFERROR(IF(VLOOKUP($B23,'JR G-Barrels'!$B$5:$AI$24,14,FALSE)=" ",0,VLOOKUP($B23,'JR G-Barrels'!$B$5:$AI$24,14,FALSE)),0)+IFERROR(IF(VLOOKUP($B23,'JR G-Poles'!$B$5:$AI$24,14,FALSE)=" ",0,VLOOKUP($B23,'JR G-Poles'!$B$5:$AI$24,14,FALSE)),0)+IFERROR(IF(VLOOKUP($B23,'JR G-Goats'!$B$5:$AI$24,14,FALSE)=" ",0,VLOOKUP($B23,'JR G-Goats'!$B$5:$AI$24,14,FALSE)),0)+IFERROR(IF(VLOOKUP($B23,'JR-Team Roping-Header'!$B$5:$N$24,5,FALSE)=" ",0,VLOOKUP($B23,'JR-Team Roping-Header'!$B$5:$N$24,5,FALSE)),0)+IFERROR(IF(VLOOKUP($B23,'JR-Team Roping-Heeler'!$B$5:$N$24,5,FALSE)=" ",0,VLOOKUP($B23,'JR-Team Roping-Heeler'!$B$5:$N$24,5,FALSE)),0)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IFERROR(IF(VLOOKUP($B23,'JR G-Breakaway'!$B$5:$AI$24,18,FALSE)=" ",0,VLOOKUP($B23,'JR G-Breakaway'!$B$5:$AI$24,18,FALSE)),0)+IFERROR(IF(VLOOKUP($B23,'JR G-Barrels'!$B$5:$AI$24,18,FALSE)=" ",0,VLOOKUP($B23,'JR G-Barrels'!$B$5:$AI$24,18,FALSE)),0)+IFERROR(IF(VLOOKUP($B23,'JR G-Poles'!$B$5:$AI$24,18,FALSE)=" ",0,VLOOKUP($B23,'JR G-Poles'!$B$5:$AI$24,18,FALSE)),0)+IFERROR(IF(VLOOKUP($B23,'JR G-Goats'!$B$5:$AI$24,18,FALSE)=" ",0,VLOOKUP($B23,'JR G-Goats'!$B$5:$AI$24,18,FALSE)),0)+IFERROR(IF(VLOOKUP($B23,'JR-Team Roping-Header'!$B$5:$N$24,6,FALSE)=" ",0,VLOOKUP($B23,'JR-Team Roping-Header'!$B$5:$N$24,6,FALSE)),0)+IFERROR(IF(VLOOKUP($B23,'JR-Team Roping-Heeler'!$B$5:$N$24,6,FALSE)=" ",0,VLOOKUP($B23,'JR-Team Roping-Heeler'!$B$5:$N$24,6,FALSE)),0)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IFERROR(IF(VLOOKUP($B23,'JR G-Breakaway'!$B$5:$AI$24,22,FALSE)=" ",0,VLOOKUP($B23,'JR G-Breakaway'!$B$5:$AI$24,22,FALSE)),0)+IFERROR(IF(VLOOKUP($B23,'JR G-Barrels'!$B$5:$AI$24,22,FALSE)=" ",0,VLOOKUP($B23,'JR G-Barrels'!$B$5:$AI$24,22,FALSE)),0)+IFERROR(IF(VLOOKUP($B23,'JR G-Poles'!$B$5:$AI$24,22,FALSE)=" ",0,VLOOKUP($B23,'JR G-Poles'!$B$5:$AI$24,22,FALSE)),0)+IFERROR(IF(VLOOKUP($B23,'JR G-Goats'!$B$5:$AI$24,22,FALSE)=" ",0,VLOOKUP($B23,'JR G-Goats'!$B$5:$AI$24,22,FALSE)),0)+IFERROR(IF(VLOOKUP($B23,'JR-Team Roping-Header'!$B$5:$N$24,7,FALSE)=" ",0,VLOOKUP($B23,'JR-Team Roping-Header'!$B$5:$N$24,7,FALSE)),0)+IFERROR(IF(VLOOKUP($B23,'JR-Team Roping-Heeler'!$B$5:$N$24,7,FALSE)=" ",0,VLOOKUP($B23,'JR-Team Roping-Heeler'!$B$5:$N$24,7,FALSE)),0)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IFERROR(IF(VLOOKUP($B23,'JR G-Breakaway'!$B$5:$AI$24,26,FALSE)=" ",0,VLOOKUP($B23,'JR G-Breakaway'!$B$5:$AI$24,26,FALSE)),0)+IFERROR(IF(VLOOKUP($B23,'JR G-Barrels'!$B$5:$AI$24,26,FALSE)=" ",0,VLOOKUP($B23,'JR G-Barrels'!$B$5:$AI$24,26,FALSE)),0)+IFERROR(IF(VLOOKUP($B23,'JR G-Poles'!$B$5:$AI$24,26,FALSE)=" ",0,VLOOKUP($B23,'JR G-Poles'!$B$5:$AI$24,26,FALSE)),0)+IFERROR(IF(VLOOKUP($B23,'JR G-Goats'!$B$5:$AI$24,26,FALSE)=" ",0,VLOOKUP($B23,'JR G-Goats'!$B$5:$AI$24,26,FALSE)),0)+IFERROR(IF(VLOOKUP($B23,'JR-Team Roping-Header'!$B$5:$N$24,8,FALSE)=" ",0,VLOOKUP($B23,'JR-Team Roping-Header'!$B$5:$N$24,8,FALSE)),0)+IFERROR(IF(VLOOKUP($B23,'JR-Team Roping-Heeler'!$B$5:$N$24,8,FALSE)=" ",0,VLOOKUP($B23,'JR-Team Roping-Heeler'!$B$5:$N$24,8,FALSE)),0)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IFERROR(IF(VLOOKUP($B23,'JR G-Breakaway'!$B$5:$AI$24,30,FALSE)=" ",0,VLOOKUP($B23,'JR G-Breakaway'!$B$5:$AI$24,30,FALSE)),0)+IFERROR(IF(VLOOKUP($B23,'JR G-Barrels'!$B$5:$AI$24,30,FALSE)=" ",0,VLOOKUP($B23,'JR G-Barrels'!$B$5:$AI$24,30,FALSE)),0)+IFERROR(IF(VLOOKUP($B23,'JR G-Poles'!$B$5:$AI$24,30,FALSE)=" ",0,VLOOKUP($B23,'JR G-Poles'!$B$5:$AI$24,30,FALSE)),0)+IFERROR(IF(VLOOKUP($B23,'JR G-Goats'!$B$5:$AI$24,30,FALSE)=" ",0,VLOOKUP($B23,'JR G-Goats'!$B$5:$AI$24,30,FALSE)),0)+IFERROR(IF(VLOOKUP($B23,'JR-Team Roping-Header'!$B$5:$N$24,9,FALSE)=" ",0,VLOOKUP($B23,'JR-Team Roping-Header'!$B$5:$N$24,9,FALSE)),0)+IFERROR(IF(VLOOKUP($B23,'JR-Team Roping-Heeler'!$B$5:$N$24,9,FALSE)=" ",0,VLOOKUP($B23,'JR-Team Roping-Heeler'!$B$5:$N$24,9,FALSE)),0)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IFERROR(IF(VLOOKUP($B23,'JR G-Breakaway'!$B$5:$AI$24,34,FALSE)=" ",0,VLOOKUP($B23,'JR G-Breakaway'!$B$5:$AI$24,34,FALSE)),0)+IFERROR(IF(VLOOKUP($B23,'JR G-Barrels'!$B$5:$AI$24,34,FALSE)=" ",0,VLOOKUP($B23,'JR G-Barrels'!$B$5:$AI$24,34,FALSE)),0)+IFERROR(IF(VLOOKUP($B23,'JR G-Poles'!$B$5:$AI$24,34,FALSE)=" ",0,VLOOKUP($B23,'JR G-Poles'!$B$5:$AI$24,34,FALSE)),0)+IFERROR(IF(VLOOKUP($B23,'JR G-Goats'!$B$5:$AI$24,34,FALSE)=" ",0,VLOOKUP($B23,'JR G-Goats'!$B$5:$AI$24,34,FALSE)),0)+IFERROR(IF(VLOOKUP($B23,'JR-Team Roping-Header'!$B$5:$N$24,10,FALSE)=" ",0,VLOOKUP($B23,'JR-Team Roping-Header'!$B$5:$N$24,10,FALSE)),0)+IFERROR(IF(VLOOKUP($B23,'JR-Team Roping-Heeler'!$B$5:$N$24,10,FALSE)=" ",0,VLOOKUP($B23,'JR-Team Roping-Heeler'!$B$5:$N$24,10,FALSE)),0)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4" thickBot="1" x14ac:dyDescent="0.3">
      <c r="B24" s="143"/>
      <c r="C24" s="123">
        <f>IFERROR(IF(VLOOKUP($B24,'JR G-Breakaway'!$B$5:$AI$24,6,FALSE)=" ",0,VLOOKUP($B24,'JR G-Breakaway'!$B$5:$AI$24,6,FALSE)),0)+IFERROR(IF(VLOOKUP($B24,'JR G-Barrels'!$B$5:$AI$24,6,FALSE)=" ",0,VLOOKUP($B24,'JR G-Barrels'!$B$5:$AI$24,6,FALSE)),0)+IFERROR(IF(VLOOKUP($B24,'JR G-Poles'!$B$5:$AI$24,6,FALSE)=" ",0,VLOOKUP($B24,'JR G-Poles'!$B$5:$AI$24,6,FALSE)),0)+IFERROR(IF(VLOOKUP($B24,'JR G-Goats'!$B$5:$AI$24,6,FALSE)=" ",0,VLOOKUP($B24,'JR G-Goats'!$B$5:$AI$24,6,FALSE)),0)+IFERROR(IF(VLOOKUP($B24,'JR-Team Roping-Header'!$B$5:$N$24,3,FALSE)=" ",0,VLOOKUP($B24,'JR-Team Roping-Header'!$B$5:$N$24,3,FALSE)),0)+IFERROR(IF(VLOOKUP($B24,'JR-Team Roping-Heeler'!$B$5:$N$24,3,FALSE)=" ",0,VLOOKUP($B24,'JR-Team Roping-Heeler'!$B$5:$N$24,3,FALSE)),0)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IFERROR(IF(VLOOKUP($B24,'JR G-Breakaway'!$B$5:$AI$24,10,FALSE)=" ",0,VLOOKUP($B24,'JR G-Breakaway'!$B$5:$AI$24,10,FALSE)),0)+IFERROR(IF(VLOOKUP($B24,'JR G-Barrels'!$B$5:$AI$24,10,FALSE)=" ",0,VLOOKUP($B24,'JR G-Barrels'!$B$5:$AI$24,10,FALSE)),0)+IFERROR(IF(VLOOKUP($B24,'JR G-Poles'!$B$5:$AI$24,10,FALSE)=" ",0,VLOOKUP($B24,'JR G-Poles'!$B$5:$AI$24,10,FALSE)),0)+IFERROR(IF(VLOOKUP($B24,'JR G-Goats'!$B$5:$AI$24,10,FALSE)=" ",0,VLOOKUP($B24,'JR G-Goats'!$B$5:$AI$24,10,FALSE)),0)+IFERROR(IF(VLOOKUP($B24,'JR-Team Roping-Header'!$B$5:$N$24,4,FALSE)=" ",0,VLOOKUP($B24,'JR-Team Roping-Header'!$B$5:$N$24,4,FALSE)),0)+IFERROR(IF(VLOOKUP($B24,'JR-Team Roping-Heeler'!$B$5:$N$24,4,FALSE)=" ",0,VLOOKUP($B24,'JR-Team Roping-Heeler'!$B$5:$N$24,4,FALSE)),0)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IFERROR(IF(VLOOKUP($B24,'JR G-Breakaway'!$B$5:$AI$24,14,FALSE)=" ",0,VLOOKUP($B24,'JR G-Breakaway'!$B$5:$AI$24,14,FALSE)),0)+IFERROR(IF(VLOOKUP($B24,'JR G-Barrels'!$B$5:$AI$24,14,FALSE)=" ",0,VLOOKUP($B24,'JR G-Barrels'!$B$5:$AI$24,14,FALSE)),0)+IFERROR(IF(VLOOKUP($B24,'JR G-Poles'!$B$5:$AI$24,14,FALSE)=" ",0,VLOOKUP($B24,'JR G-Poles'!$B$5:$AI$24,14,FALSE)),0)+IFERROR(IF(VLOOKUP($B24,'JR G-Goats'!$B$5:$AI$24,14,FALSE)=" ",0,VLOOKUP($B24,'JR G-Goats'!$B$5:$AI$24,14,FALSE)),0)+IFERROR(IF(VLOOKUP($B24,'JR-Team Roping-Header'!$B$5:$N$24,5,FALSE)=" ",0,VLOOKUP($B24,'JR-Team Roping-Header'!$B$5:$N$24,5,FALSE)),0)+IFERROR(IF(VLOOKUP($B24,'JR-Team Roping-Heeler'!$B$5:$N$24,5,FALSE)=" ",0,VLOOKUP($B24,'JR-Team Roping-Heeler'!$B$5:$N$24,5,FALSE)),0)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IFERROR(IF(VLOOKUP($B24,'JR G-Breakaway'!$B$5:$AI$24,18,FALSE)=" ",0,VLOOKUP($B24,'JR G-Breakaway'!$B$5:$AI$24,18,FALSE)),0)+IFERROR(IF(VLOOKUP($B24,'JR G-Barrels'!$B$5:$AI$24,18,FALSE)=" ",0,VLOOKUP($B24,'JR G-Barrels'!$B$5:$AI$24,18,FALSE)),0)+IFERROR(IF(VLOOKUP($B24,'JR G-Poles'!$B$5:$AI$24,18,FALSE)=" ",0,VLOOKUP($B24,'JR G-Poles'!$B$5:$AI$24,18,FALSE)),0)+IFERROR(IF(VLOOKUP($B24,'JR G-Goats'!$B$5:$AI$24,18,FALSE)=" ",0,VLOOKUP($B24,'JR G-Goats'!$B$5:$AI$24,18,FALSE)),0)+IFERROR(IF(VLOOKUP($B24,'JR-Team Roping-Header'!$B$5:$N$24,6,FALSE)=" ",0,VLOOKUP($B24,'JR-Team Roping-Header'!$B$5:$N$24,6,FALSE)),0)+IFERROR(IF(VLOOKUP($B24,'JR-Team Roping-Heeler'!$B$5:$N$24,6,FALSE)=" ",0,VLOOKUP($B24,'JR-Team Roping-Heeler'!$B$5:$N$24,6,FALSE)),0)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IFERROR(IF(VLOOKUP($B24,'JR G-Breakaway'!$B$5:$AI$24,22,FALSE)=" ",0,VLOOKUP($B24,'JR G-Breakaway'!$B$5:$AI$24,22,FALSE)),0)+IFERROR(IF(VLOOKUP($B24,'JR G-Barrels'!$B$5:$AI$24,22,FALSE)=" ",0,VLOOKUP($B24,'JR G-Barrels'!$B$5:$AI$24,22,FALSE)),0)+IFERROR(IF(VLOOKUP($B24,'JR G-Poles'!$B$5:$AI$24,22,FALSE)=" ",0,VLOOKUP($B24,'JR G-Poles'!$B$5:$AI$24,22,FALSE)),0)+IFERROR(IF(VLOOKUP($B24,'JR G-Goats'!$B$5:$AI$24,22,FALSE)=" ",0,VLOOKUP($B24,'JR G-Goats'!$B$5:$AI$24,22,FALSE)),0)+IFERROR(IF(VLOOKUP($B24,'JR-Team Roping-Header'!$B$5:$N$24,7,FALSE)=" ",0,VLOOKUP($B24,'JR-Team Roping-Header'!$B$5:$N$24,7,FALSE)),0)+IFERROR(IF(VLOOKUP($B24,'JR-Team Roping-Heeler'!$B$5:$N$24,7,FALSE)=" ",0,VLOOKUP($B24,'JR-Team Roping-Heeler'!$B$5:$N$24,7,FALSE)),0)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IFERROR(IF(VLOOKUP($B24,'JR G-Breakaway'!$B$5:$AI$24,26,FALSE)=" ",0,VLOOKUP($B24,'JR G-Breakaway'!$B$5:$AI$24,26,FALSE)),0)+IFERROR(IF(VLOOKUP($B24,'JR G-Barrels'!$B$5:$AI$24,26,FALSE)=" ",0,VLOOKUP($B24,'JR G-Barrels'!$B$5:$AI$24,26,FALSE)),0)+IFERROR(IF(VLOOKUP($B24,'JR G-Poles'!$B$5:$AI$24,26,FALSE)=" ",0,VLOOKUP($B24,'JR G-Poles'!$B$5:$AI$24,26,FALSE)),0)+IFERROR(IF(VLOOKUP($B24,'JR G-Goats'!$B$5:$AI$24,26,FALSE)=" ",0,VLOOKUP($B24,'JR G-Goats'!$B$5:$AI$24,26,FALSE)),0)+IFERROR(IF(VLOOKUP($B24,'JR-Team Roping-Header'!$B$5:$N$24,8,FALSE)=" ",0,VLOOKUP($B24,'JR-Team Roping-Header'!$B$5:$N$24,8,FALSE)),0)+IFERROR(IF(VLOOKUP($B24,'JR-Team Roping-Heeler'!$B$5:$N$24,8,FALSE)=" ",0,VLOOKUP($B24,'JR-Team Roping-Heeler'!$B$5:$N$24,8,FALSE)),0)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IFERROR(IF(VLOOKUP($B24,'JR G-Breakaway'!$B$5:$AI$24,30,FALSE)=" ",0,VLOOKUP($B24,'JR G-Breakaway'!$B$5:$AI$24,30,FALSE)),0)+IFERROR(IF(VLOOKUP($B24,'JR G-Barrels'!$B$5:$AI$24,30,FALSE)=" ",0,VLOOKUP($B24,'JR G-Barrels'!$B$5:$AI$24,30,FALSE)),0)+IFERROR(IF(VLOOKUP($B24,'JR G-Poles'!$B$5:$AI$24,30,FALSE)=" ",0,VLOOKUP($B24,'JR G-Poles'!$B$5:$AI$24,30,FALSE)),0)+IFERROR(IF(VLOOKUP($B24,'JR G-Goats'!$B$5:$AI$24,30,FALSE)=" ",0,VLOOKUP($B24,'JR G-Goats'!$B$5:$AI$24,30,FALSE)),0)+IFERROR(IF(VLOOKUP($B24,'JR-Team Roping-Header'!$B$5:$N$24,9,FALSE)=" ",0,VLOOKUP($B24,'JR-Team Roping-Header'!$B$5:$N$24,9,FALSE)),0)+IFERROR(IF(VLOOKUP($B24,'JR-Team Roping-Heeler'!$B$5:$N$24,9,FALSE)=" ",0,VLOOKUP($B24,'JR-Team Roping-Heeler'!$B$5:$N$24,9,FALSE)),0)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IFERROR(IF(VLOOKUP($B24,'JR G-Breakaway'!$B$5:$AI$24,34,FALSE)=" ",0,VLOOKUP($B24,'JR G-Breakaway'!$B$5:$AI$24,34,FALSE)),0)+IFERROR(IF(VLOOKUP($B24,'JR G-Barrels'!$B$5:$AI$24,34,FALSE)=" ",0,VLOOKUP($B24,'JR G-Barrels'!$B$5:$AI$24,34,FALSE)),0)+IFERROR(IF(VLOOKUP($B24,'JR G-Poles'!$B$5:$AI$24,34,FALSE)=" ",0,VLOOKUP($B24,'JR G-Poles'!$B$5:$AI$24,34,FALSE)),0)+IFERROR(IF(VLOOKUP($B24,'JR G-Goats'!$B$5:$AI$24,34,FALSE)=" ",0,VLOOKUP($B24,'JR G-Goats'!$B$5:$AI$24,34,FALSE)),0)+IFERROR(IF(VLOOKUP($B24,'JR-Team Roping-Header'!$B$5:$N$24,10,FALSE)=" ",0,VLOOKUP($B24,'JR-Team Roping-Header'!$B$5:$N$24,10,FALSE)),0)+IFERROR(IF(VLOOKUP($B24,'JR-Team Roping-Heeler'!$B$5:$N$24,10,FALSE)=" ",0,VLOOKUP($B24,'JR-Team Roping-Heeler'!$B$5:$N$24,10,FALSE)),0)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Table63456891011233444402545[[#This Row],[Points]]+Table63456891011233444402545[[#This Row],[Points4]]+Table63456891011233444402545[[#This Row],[Points43]]+Table63456891011233444402545[[#This Row],[Points44]]+Table63456891011233444402545[[#This Row],[Points45]]+Table63456891011233444402545[[#This Row],[Points46]]+Table63456891011233444402545[[#This Row],[Points47]]+Table63456891011233444402545[[#This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4" thickBot="1" x14ac:dyDescent="0.3">
      <c r="B25" s="125" t="s">
        <v>236</v>
      </c>
    </row>
    <row r="27" spans="2:29" x14ac:dyDescent="0.25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25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VpnPtOU21kTpHcfCfTaT6OXlh/lk8lGZohbraz8QewSEQfvOXWc9jwYLcIuYPlyxfgqutmrTk1tNuaPWLvoMug==" saltValue="vAxOhhDWVGkxa/40svxdvw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62EA0-ADFB-441A-AECD-CAE6D30D3CBD}">
  <sheetPr codeName="Sheet94">
    <tabColor theme="8" tint="0.59999389629810485"/>
  </sheetPr>
  <dimension ref="B1:AH33"/>
  <sheetViews>
    <sheetView showGridLines="0" zoomScaleNormal="100" workbookViewId="0">
      <pane xSplit="2" topLeftCell="C1" activePane="topRight" state="frozen"/>
      <selection activeCell="F36" sqref="F36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35.6640625" style="62" customWidth="1"/>
    <col min="3" max="3" width="11.6640625" style="56" customWidth="1"/>
    <col min="4" max="4" width="11.6640625" style="57" hidden="1" customWidth="1"/>
    <col min="5" max="5" width="11.6640625" style="57" customWidth="1"/>
    <col min="6" max="6" width="11.6640625" style="58" customWidth="1"/>
    <col min="7" max="7" width="11.6640625" style="59" customWidth="1"/>
    <col min="8" max="8" width="11.6640625" style="57" hidden="1" customWidth="1"/>
    <col min="9" max="9" width="11.6640625" style="57" customWidth="1"/>
    <col min="10" max="10" width="11.6640625" style="60" customWidth="1"/>
    <col min="11" max="11" width="12" style="59" customWidth="1"/>
    <col min="12" max="12" width="11.6640625" style="57" hidden="1" customWidth="1"/>
    <col min="13" max="13" width="12" style="57" customWidth="1"/>
    <col min="14" max="14" width="12" style="60" customWidth="1"/>
    <col min="15" max="15" width="12" style="59" customWidth="1"/>
    <col min="16" max="16" width="11.6640625" style="57" hidden="1" customWidth="1"/>
    <col min="17" max="17" width="12" style="57" customWidth="1"/>
    <col min="18" max="18" width="12" style="60" customWidth="1"/>
    <col min="19" max="19" width="12" style="59" customWidth="1"/>
    <col min="20" max="20" width="11.6640625" style="57" hidden="1" customWidth="1"/>
    <col min="21" max="21" width="12" style="57" customWidth="1"/>
    <col min="22" max="22" width="12" style="60" customWidth="1"/>
    <col min="23" max="23" width="12" style="59" customWidth="1"/>
    <col min="24" max="24" width="11.6640625" style="57" hidden="1" customWidth="1"/>
    <col min="25" max="25" width="12" style="57" customWidth="1"/>
    <col min="26" max="26" width="12" style="60" customWidth="1"/>
    <col min="27" max="27" width="12" style="59" customWidth="1"/>
    <col min="28" max="28" width="11.6640625" style="57" hidden="1" customWidth="1"/>
    <col min="29" max="29" width="12" style="57" customWidth="1"/>
    <col min="30" max="30" width="12" style="60" customWidth="1"/>
    <col min="31" max="31" width="12" style="59" customWidth="1"/>
    <col min="32" max="32" width="12" style="57" hidden="1" customWidth="1"/>
    <col min="33" max="33" width="12" style="57" customWidth="1"/>
    <col min="34" max="34" width="12" style="60" customWidth="1"/>
    <col min="35" max="16384" width="9.109375" style="62"/>
  </cols>
  <sheetData>
    <row r="1" spans="2:34" ht="18" thickBot="1" x14ac:dyDescent="0.35">
      <c r="B1" s="54"/>
    </row>
    <row r="2" spans="2:34" s="64" customFormat="1" ht="17.399999999999999" x14ac:dyDescent="0.3">
      <c r="B2" s="127" t="s">
        <v>172</v>
      </c>
      <c r="C2" s="166">
        <v>43590</v>
      </c>
      <c r="D2" s="166"/>
      <c r="E2" s="166"/>
      <c r="F2" s="167"/>
      <c r="G2" s="165">
        <v>43632</v>
      </c>
      <c r="H2" s="166"/>
      <c r="I2" s="166"/>
      <c r="J2" s="167"/>
      <c r="K2" s="165">
        <v>43659</v>
      </c>
      <c r="L2" s="166"/>
      <c r="M2" s="166"/>
      <c r="N2" s="167"/>
      <c r="O2" s="165">
        <v>43660</v>
      </c>
      <c r="P2" s="166"/>
      <c r="Q2" s="166"/>
      <c r="R2" s="167"/>
      <c r="S2" s="165">
        <v>43681</v>
      </c>
      <c r="T2" s="166"/>
      <c r="U2" s="166"/>
      <c r="V2" s="167"/>
      <c r="W2" s="165" t="s">
        <v>183</v>
      </c>
      <c r="X2" s="166"/>
      <c r="Y2" s="166"/>
      <c r="Z2" s="167"/>
      <c r="AA2" s="165" t="s">
        <v>184</v>
      </c>
      <c r="AB2" s="166"/>
      <c r="AC2" s="166"/>
      <c r="AD2" s="167"/>
      <c r="AE2" s="165" t="s">
        <v>3</v>
      </c>
      <c r="AF2" s="166"/>
      <c r="AG2" s="166"/>
      <c r="AH2" s="167"/>
    </row>
    <row r="3" spans="2:34" s="74" customFormat="1" ht="14.4" thickBot="1" x14ac:dyDescent="0.3">
      <c r="B3" s="65" t="s">
        <v>38</v>
      </c>
      <c r="C3" s="67" t="s">
        <v>0</v>
      </c>
      <c r="D3" s="68"/>
      <c r="E3" s="68" t="s">
        <v>1</v>
      </c>
      <c r="F3" s="69" t="s">
        <v>2</v>
      </c>
      <c r="G3" s="70" t="s">
        <v>0</v>
      </c>
      <c r="H3" s="68"/>
      <c r="I3" s="68" t="s">
        <v>1</v>
      </c>
      <c r="J3" s="71" t="s">
        <v>2</v>
      </c>
      <c r="K3" s="70" t="s">
        <v>0</v>
      </c>
      <c r="L3" s="68"/>
      <c r="M3" s="68" t="s">
        <v>1</v>
      </c>
      <c r="N3" s="71" t="s">
        <v>2</v>
      </c>
      <c r="O3" s="70" t="s">
        <v>0</v>
      </c>
      <c r="P3" s="68"/>
      <c r="Q3" s="68" t="s">
        <v>1</v>
      </c>
      <c r="R3" s="71" t="s">
        <v>2</v>
      </c>
      <c r="S3" s="70" t="s">
        <v>0</v>
      </c>
      <c r="T3" s="68"/>
      <c r="U3" s="68" t="s">
        <v>1</v>
      </c>
      <c r="V3" s="71" t="s">
        <v>2</v>
      </c>
      <c r="W3" s="70" t="s">
        <v>0</v>
      </c>
      <c r="X3" s="68"/>
      <c r="Y3" s="68" t="s">
        <v>1</v>
      </c>
      <c r="Z3" s="71" t="s">
        <v>2</v>
      </c>
      <c r="AA3" s="70" t="s">
        <v>0</v>
      </c>
      <c r="AB3" s="68"/>
      <c r="AC3" s="68" t="s">
        <v>1</v>
      </c>
      <c r="AD3" s="71" t="s">
        <v>2</v>
      </c>
      <c r="AE3" s="70" t="s">
        <v>0</v>
      </c>
      <c r="AF3" s="68"/>
      <c r="AG3" s="68" t="s">
        <v>1</v>
      </c>
      <c r="AH3" s="71" t="s">
        <v>2</v>
      </c>
    </row>
    <row r="4" spans="2:34" s="74" customFormat="1" ht="18" hidden="1" thickBot="1" x14ac:dyDescent="0.35">
      <c r="B4" s="75" t="s">
        <v>38</v>
      </c>
      <c r="C4" s="77" t="s">
        <v>0</v>
      </c>
      <c r="D4" s="78" t="s">
        <v>7</v>
      </c>
      <c r="E4" s="78" t="s">
        <v>1</v>
      </c>
      <c r="F4" s="79" t="s">
        <v>2</v>
      </c>
      <c r="G4" s="80" t="s">
        <v>17</v>
      </c>
      <c r="H4" s="78" t="s">
        <v>18</v>
      </c>
      <c r="I4" s="78" t="s">
        <v>8</v>
      </c>
      <c r="J4" s="81" t="s">
        <v>9</v>
      </c>
      <c r="K4" s="80" t="s">
        <v>10</v>
      </c>
      <c r="L4" s="78" t="s">
        <v>19</v>
      </c>
      <c r="M4" s="78" t="s">
        <v>20</v>
      </c>
      <c r="N4" s="81" t="s">
        <v>21</v>
      </c>
      <c r="O4" s="80" t="s">
        <v>22</v>
      </c>
      <c r="P4" s="78" t="s">
        <v>11</v>
      </c>
      <c r="Q4" s="78" t="s">
        <v>23</v>
      </c>
      <c r="R4" s="81" t="s">
        <v>24</v>
      </c>
      <c r="S4" s="80" t="s">
        <v>25</v>
      </c>
      <c r="T4" s="78" t="s">
        <v>26</v>
      </c>
      <c r="U4" s="78" t="s">
        <v>27</v>
      </c>
      <c r="V4" s="81" t="s">
        <v>28</v>
      </c>
      <c r="W4" s="80" t="s">
        <v>29</v>
      </c>
      <c r="X4" s="78" t="s">
        <v>30</v>
      </c>
      <c r="Y4" s="78" t="s">
        <v>12</v>
      </c>
      <c r="Z4" s="81" t="s">
        <v>13</v>
      </c>
      <c r="AA4" s="80" t="s">
        <v>14</v>
      </c>
      <c r="AB4" s="78" t="s">
        <v>31</v>
      </c>
      <c r="AC4" s="78" t="s">
        <v>32</v>
      </c>
      <c r="AD4" s="81" t="s">
        <v>33</v>
      </c>
      <c r="AE4" s="80" t="s">
        <v>34</v>
      </c>
      <c r="AF4" s="78" t="s">
        <v>15</v>
      </c>
      <c r="AG4" s="78" t="s">
        <v>35</v>
      </c>
      <c r="AH4" s="81" t="s">
        <v>36</v>
      </c>
    </row>
    <row r="5" spans="2:34" x14ac:dyDescent="0.25">
      <c r="B5" s="83" t="s">
        <v>178</v>
      </c>
      <c r="C5" s="85">
        <v>0</v>
      </c>
      <c r="D5" s="86" t="str">
        <f t="shared" ref="D5:D28" si="0">IF(C5=0," ",_xlfn.RANK.AVG(C5,C$5:C$28,1)-COUNTIF(C$5:C$28,0))</f>
        <v xml:space="preserve"> </v>
      </c>
      <c r="E5" s="86" t="str">
        <f t="shared" ref="E5:E28" si="1">IF(C5=0," ",IF((RANK(C5,C$5:C$28,1)-COUNTIF(C$5:C$28,0)&gt;6)," ",RANK(C5,C$5:C$28,1)-COUNTIF(C$5:C$28,0)))</f>
        <v xml:space="preserve"> </v>
      </c>
      <c r="F5" s="87" t="str">
        <f>IF(E5=" "," ",IFERROR(VLOOKUP(D5,Points!$A$2:$B$14,2,FALSE)," "))</f>
        <v xml:space="preserve"> </v>
      </c>
      <c r="G5" s="85">
        <v>8.56</v>
      </c>
      <c r="H5" s="86">
        <f t="shared" ref="H5:H28" si="2">IF(G5=0," ",_xlfn.RANK.AVG(G5,G$5:G$28,1)-COUNTIF(G$5:G$28,0))</f>
        <v>1</v>
      </c>
      <c r="I5" s="86">
        <f t="shared" ref="I5:I28" si="3">IF(G5=0," ",IF((RANK(G5,G$5:G$28,1)-COUNTIF(G$5:G$28,0)&gt;6)," ",RANK(G5,G$5:G$28,1)-COUNTIF(G$5:G$28,0)))</f>
        <v>1</v>
      </c>
      <c r="J5" s="87">
        <f>IF(I5=" "," ",IFERROR(VLOOKUP(H5,Points!$A$2:$B$14,2,FALSE)," "))</f>
        <v>18</v>
      </c>
      <c r="K5" s="85">
        <v>10.41</v>
      </c>
      <c r="L5" s="86">
        <f t="shared" ref="L5:L28" si="4">IF(K5=0," ",_xlfn.RANK.AVG(K5,K$5:K$28,1)-COUNTIF(K$5:K$28,0))</f>
        <v>1</v>
      </c>
      <c r="M5" s="86">
        <f t="shared" ref="M5:M28" si="5">IF(K5=0," ",IF((RANK(K5,K$5:K$28,1)-COUNTIF(K$5:K$28,0)&gt;6)," ",RANK(K5,K$5:K$28,1)-COUNTIF(K$5:K$28,0)))</f>
        <v>1</v>
      </c>
      <c r="N5" s="87">
        <f>IF(M5=" "," ",IFERROR(VLOOKUP(L5,Points!$A$2:$B$14,2,FALSE)," "))</f>
        <v>18</v>
      </c>
      <c r="O5" s="85">
        <v>0</v>
      </c>
      <c r="P5" s="86" t="str">
        <f t="shared" ref="P5:P28" si="6">IF(O5=0," ",_xlfn.RANK.AVG(O5,O$5:O$28,1)-COUNTIF(O$5:O$28,0))</f>
        <v xml:space="preserve"> </v>
      </c>
      <c r="Q5" s="86" t="str">
        <f t="shared" ref="Q5:Q28" si="7">IF(O5=0," ",IF((RANK(O5,O$5:O$28,1)-COUNTIF(O$5:O$28,0)&gt;6)," ",RANK(O5,O$5:O$28,1)-COUNTIF(O$5:O$28,0)))</f>
        <v xml:space="preserve"> </v>
      </c>
      <c r="R5" s="87" t="str">
        <f>IF(Q5=" "," ",IFERROR(VLOOKUP(P5,Points!$A$2:$B$14,2,FALSE)," "))</f>
        <v xml:space="preserve"> </v>
      </c>
      <c r="S5" s="85">
        <v>0</v>
      </c>
      <c r="T5" s="86" t="str">
        <f t="shared" ref="T5:T28" si="8">IF(S5=0," ",_xlfn.RANK.AVG(S5,S$5:S$28,1)-COUNTIF(S$5:S$28,0))</f>
        <v xml:space="preserve"> </v>
      </c>
      <c r="U5" s="86" t="str">
        <f t="shared" ref="U5:U28" si="9">IF(S5=0," ",IF((RANK(S5,S$5:S$28,1)-COUNTIF(S$5:S$28,0)&gt;6)," ",RANK(S5,S$5:S$28,1)-COUNTIF(S$5:S$28,0)))</f>
        <v xml:space="preserve"> </v>
      </c>
      <c r="V5" s="87" t="str">
        <f>IF(U5=" "," ",IFERROR(VLOOKUP(T5,Points!$A$2:$B$14,2,FALSE)," "))</f>
        <v xml:space="preserve"> </v>
      </c>
      <c r="W5" s="85">
        <v>0</v>
      </c>
      <c r="X5" s="86" t="str">
        <f t="shared" ref="X5:X28" si="10">IF(W5=0," ",_xlfn.RANK.AVG(W5,W$5:W$28,1)-COUNTIF(W$5:W$28,0))</f>
        <v xml:space="preserve"> </v>
      </c>
      <c r="Y5" s="86" t="str">
        <f t="shared" ref="Y5:Y28" si="11">IF(W5=0," ",IF((RANK(W5,W$5:W$28,1)-COUNTIF(W$5:W$28,0)&gt;6)," ",RANK(W5,W$5:W$28,1)-COUNTIF(W$5:W$28,0)))</f>
        <v xml:space="preserve"> </v>
      </c>
      <c r="Z5" s="87" t="str">
        <f>IF(Y5=" "," ",IFERROR(VLOOKUP(X5,Points!$A$2:$B$14,2,FALSE)," "))</f>
        <v xml:space="preserve"> </v>
      </c>
      <c r="AA5" s="85">
        <v>0</v>
      </c>
      <c r="AB5" s="86" t="str">
        <f t="shared" ref="AB5:AB28" si="12">IF(AA5=0," ",_xlfn.RANK.AVG(AA5,AA$5:AA$28,1)-COUNTIF(AA$5:AA$28,0))</f>
        <v xml:space="preserve"> </v>
      </c>
      <c r="AC5" s="86" t="str">
        <f t="shared" ref="AC5:AC28" si="13">IF(AA5=0," ",IF((RANK(AA5,AA$5:AA$28,1)-COUNTIF(AA$5:AA$28,0)&gt;6)," ",RANK(AA5,AA$5:AA$28,1)-COUNTIF(AA$5:AA$28,0)))</f>
        <v xml:space="preserve"> </v>
      </c>
      <c r="AD5" s="87" t="str">
        <f>IF(AC5=" "," ",IFERROR(VLOOKUP(AB5,Points!$A$2:$B$14,2,FALSE)," "))</f>
        <v xml:space="preserve"> </v>
      </c>
      <c r="AE5" s="85" t="str">
        <f t="shared" ref="AE5" si="14">IF(OR(W5=0,AA5=0)," ",W5+AA5)</f>
        <v xml:space="preserve"> </v>
      </c>
      <c r="AF5" s="86" t="str">
        <f t="shared" ref="AF5" si="15">IF(OR(AE5=0,AE5=" ")," ",_xlfn.RANK.AVG(AE5,AE$5:AE$28,1)-COUNTIF(AE$5:AE$28,0))</f>
        <v xml:space="preserve"> </v>
      </c>
      <c r="AG5" s="86" t="str">
        <f t="shared" ref="AG5" si="16">IF(OR(AE5=0,AE5=" ")," ",IF((RANK(AE5,AE$5:AE$28,1)-COUNTIF(AE$5:AE$28,0)&gt;6)," ",RANK(AE5,AE$5:AE$28,1)-COUNTIF(AE$5:AE$28,0)))</f>
        <v xml:space="preserve"> </v>
      </c>
      <c r="AH5" s="87" t="str">
        <f>IF(AG5=" "," ",IFERROR(VLOOKUP(AG5,Points!$A$2:$B$14,2,FALSE)," "))</f>
        <v xml:space="preserve"> </v>
      </c>
    </row>
    <row r="6" spans="2:34" x14ac:dyDescent="0.25">
      <c r="B6" s="90" t="s">
        <v>174</v>
      </c>
      <c r="C6" s="92">
        <v>10.5</v>
      </c>
      <c r="D6" s="93">
        <f t="shared" si="0"/>
        <v>2</v>
      </c>
      <c r="E6" s="93">
        <f t="shared" si="1"/>
        <v>2</v>
      </c>
      <c r="F6" s="94">
        <f>IF(E6=" "," ",IFERROR(VLOOKUP(D6,Points!$A$2:$B$14,2,FALSE)," "))</f>
        <v>15</v>
      </c>
      <c r="G6" s="92">
        <v>9.5</v>
      </c>
      <c r="H6" s="93">
        <f t="shared" si="2"/>
        <v>2</v>
      </c>
      <c r="I6" s="93">
        <f t="shared" si="3"/>
        <v>2</v>
      </c>
      <c r="J6" s="94">
        <f>IF(I6=" "," ",IFERROR(VLOOKUP(H6,Points!$A$2:$B$14,2,FALSE)," "))</f>
        <v>15</v>
      </c>
      <c r="K6" s="92">
        <v>11.31</v>
      </c>
      <c r="L6" s="93">
        <f t="shared" si="4"/>
        <v>2</v>
      </c>
      <c r="M6" s="93">
        <f t="shared" si="5"/>
        <v>2</v>
      </c>
      <c r="N6" s="94">
        <f>IF(M6=" "," ",IFERROR(VLOOKUP(L6,Points!$A$2:$B$14,2,FALSE)," "))</f>
        <v>15</v>
      </c>
      <c r="O6" s="92">
        <v>0</v>
      </c>
      <c r="P6" s="93" t="str">
        <f t="shared" si="6"/>
        <v xml:space="preserve"> </v>
      </c>
      <c r="Q6" s="93" t="str">
        <f t="shared" si="7"/>
        <v xml:space="preserve"> </v>
      </c>
      <c r="R6" s="94" t="str">
        <f>IF(Q6=" "," ",IFERROR(VLOOKUP(P6,Points!$A$2:$B$14,2,FALSE)," "))</f>
        <v xml:space="preserve"> </v>
      </c>
      <c r="S6" s="92">
        <v>0</v>
      </c>
      <c r="T6" s="93" t="str">
        <f t="shared" si="8"/>
        <v xml:space="preserve"> </v>
      </c>
      <c r="U6" s="93" t="str">
        <f t="shared" si="9"/>
        <v xml:space="preserve"> </v>
      </c>
      <c r="V6" s="94" t="str">
        <f>IF(U6=" "," ",IFERROR(VLOOKUP(T6,Points!$A$2:$B$14,2,FALSE)," "))</f>
        <v xml:space="preserve"> </v>
      </c>
      <c r="W6" s="92">
        <v>8.8000000000000007</v>
      </c>
      <c r="X6" s="93">
        <f t="shared" si="10"/>
        <v>2</v>
      </c>
      <c r="Y6" s="93">
        <f t="shared" si="11"/>
        <v>2</v>
      </c>
      <c r="Z6" s="94">
        <f>IF(Y6=" "," ",IFERROR(VLOOKUP(X6,Points!$A$2:$B$14,2,FALSE)," "))</f>
        <v>15</v>
      </c>
      <c r="AA6" s="92">
        <v>10.38</v>
      </c>
      <c r="AB6" s="93">
        <f t="shared" si="12"/>
        <v>2</v>
      </c>
      <c r="AC6" s="93">
        <f t="shared" si="13"/>
        <v>2</v>
      </c>
      <c r="AD6" s="94">
        <f>IF(AC6=" "," ",IFERROR(VLOOKUP(AB6,Points!$A$2:$B$14,2,FALSE)," "))</f>
        <v>15</v>
      </c>
      <c r="AE6" s="92">
        <f>IF(OR(W6=0,AA6=0)," ",W6+AA6)</f>
        <v>19.18</v>
      </c>
      <c r="AF6" s="93">
        <f>IF(OR(AE6=0,AE6=" ")," ",_xlfn.RANK.AVG(AE6,AE$5:AE$28,1)-COUNTIF(AE$5:AE$28,0))</f>
        <v>2</v>
      </c>
      <c r="AG6" s="93">
        <f>IF(OR(AE6=0,AE6=" ")," ",IF((RANK(AE6,AE$5:AE$28,1)-COUNTIF(AE$5:AE$28,0)&gt;6)," ",RANK(AE6,AE$5:AE$28,1)-COUNTIF(AE$5:AE$28,0)))</f>
        <v>2</v>
      </c>
      <c r="AH6" s="94">
        <f>IF(AG6=" "," ",IFERROR(VLOOKUP(AG6,Points!$A$2:$B$14,2,FALSE)," "))</f>
        <v>15</v>
      </c>
    </row>
    <row r="7" spans="2:34" x14ac:dyDescent="0.25">
      <c r="B7" s="90" t="s">
        <v>176</v>
      </c>
      <c r="C7" s="92">
        <v>12.54</v>
      </c>
      <c r="D7" s="93">
        <f t="shared" si="0"/>
        <v>4</v>
      </c>
      <c r="E7" s="93">
        <f t="shared" si="1"/>
        <v>4</v>
      </c>
      <c r="F7" s="94">
        <f>IF(E7=" "," ",IFERROR(VLOOKUP(D7,Points!$A$2:$B$14,2,FALSE)," "))</f>
        <v>9</v>
      </c>
      <c r="G7" s="92">
        <v>10.41</v>
      </c>
      <c r="H7" s="93">
        <f t="shared" si="2"/>
        <v>3</v>
      </c>
      <c r="I7" s="93">
        <f t="shared" si="3"/>
        <v>3</v>
      </c>
      <c r="J7" s="94">
        <f>IF(I7=" "," ",IFERROR(VLOOKUP(H7,Points!$A$2:$B$14,2,FALSE)," "))</f>
        <v>12</v>
      </c>
      <c r="K7" s="92"/>
      <c r="L7" s="93" t="str">
        <f t="shared" si="4"/>
        <v xml:space="preserve"> </v>
      </c>
      <c r="M7" s="93" t="str">
        <f t="shared" si="5"/>
        <v xml:space="preserve"> </v>
      </c>
      <c r="N7" s="94" t="str">
        <f>IF(M7=" "," ",IFERROR(VLOOKUP(L7,Points!$A$2:$B$14,2,FALSE)," "))</f>
        <v xml:space="preserve"> </v>
      </c>
      <c r="O7" s="92">
        <v>0</v>
      </c>
      <c r="P7" s="93" t="str">
        <f t="shared" si="6"/>
        <v xml:space="preserve"> </v>
      </c>
      <c r="Q7" s="93" t="str">
        <f t="shared" si="7"/>
        <v xml:space="preserve"> </v>
      </c>
      <c r="R7" s="94" t="str">
        <f>IF(Q7=" "," ",IFERROR(VLOOKUP(P7,Points!$A$2:$B$14,2,FALSE)," "))</f>
        <v xml:space="preserve"> </v>
      </c>
      <c r="S7" s="92">
        <v>0</v>
      </c>
      <c r="T7" s="93" t="str">
        <f t="shared" si="8"/>
        <v xml:space="preserve"> </v>
      </c>
      <c r="U7" s="93" t="str">
        <f t="shared" si="9"/>
        <v xml:space="preserve"> </v>
      </c>
      <c r="V7" s="94" t="str">
        <f>IF(U7=" "," ",IFERROR(VLOOKUP(T7,Points!$A$2:$B$14,2,FALSE)," "))</f>
        <v xml:space="preserve"> </v>
      </c>
      <c r="W7" s="92">
        <v>0</v>
      </c>
      <c r="X7" s="93" t="str">
        <f t="shared" si="10"/>
        <v xml:space="preserve"> </v>
      </c>
      <c r="Y7" s="93" t="str">
        <f t="shared" si="11"/>
        <v xml:space="preserve"> </v>
      </c>
      <c r="Z7" s="94" t="str">
        <f>IF(Y7=" "," ",IFERROR(VLOOKUP(X7,Points!$A$2:$B$14,2,FALSE)," "))</f>
        <v xml:space="preserve"> </v>
      </c>
      <c r="AA7" s="92">
        <v>0</v>
      </c>
      <c r="AB7" s="93" t="str">
        <f t="shared" si="12"/>
        <v xml:space="preserve"> </v>
      </c>
      <c r="AC7" s="93" t="str">
        <f t="shared" si="13"/>
        <v xml:space="preserve"> </v>
      </c>
      <c r="AD7" s="94" t="str">
        <f>IF(AC7=" "," ",IFERROR(VLOOKUP(AB7,Points!$A$2:$B$14,2,FALSE)," "))</f>
        <v xml:space="preserve"> </v>
      </c>
      <c r="AE7" s="92" t="str">
        <f t="shared" ref="AE7:AE28" si="17">IF(OR(W7=0,AA7=0)," ",W7+AA7)</f>
        <v xml:space="preserve"> </v>
      </c>
      <c r="AF7" s="93" t="str">
        <f t="shared" ref="AF7:AF28" si="18">IF(OR(AE7=0,AE7=" ")," ",_xlfn.RANK.AVG(AE7,AE$5:AE$28,1)-COUNTIF(AE$5:AE$28,0))</f>
        <v xml:space="preserve"> </v>
      </c>
      <c r="AG7" s="93" t="str">
        <f t="shared" ref="AG7:AG28" si="19">IF(OR(AE7=0,AE7=" ")," ",IF((RANK(AE7,AE$5:AE$28,1)-COUNTIF(AE$5:AE$28,0)&gt;6)," ",RANK(AE7,AE$5:AE$28,1)-COUNTIF(AE$5:AE$28,0)))</f>
        <v xml:space="preserve"> </v>
      </c>
      <c r="AH7" s="94" t="str">
        <f>IF(AG7=" "," ",IFERROR(VLOOKUP(AG7,Points!$A$2:$B$14,2,FALSE)," "))</f>
        <v xml:space="preserve"> </v>
      </c>
    </row>
    <row r="8" spans="2:34" x14ac:dyDescent="0.25">
      <c r="B8" s="90" t="s">
        <v>177</v>
      </c>
      <c r="C8" s="92">
        <v>0</v>
      </c>
      <c r="D8" s="93" t="str">
        <f t="shared" si="0"/>
        <v xml:space="preserve"> </v>
      </c>
      <c r="E8" s="93" t="str">
        <f t="shared" si="1"/>
        <v xml:space="preserve"> </v>
      </c>
      <c r="F8" s="94" t="str">
        <f>IF(E8=" "," ",IFERROR(VLOOKUP(D8,Points!$A$2:$B$14,2,FALSE)," "))</f>
        <v xml:space="preserve"> </v>
      </c>
      <c r="G8" s="92">
        <v>12.72</v>
      </c>
      <c r="H8" s="93">
        <f t="shared" si="2"/>
        <v>4</v>
      </c>
      <c r="I8" s="93">
        <f t="shared" si="3"/>
        <v>4</v>
      </c>
      <c r="J8" s="94">
        <f>IF(I8=" "," ",IFERROR(VLOOKUP(H8,Points!$A$2:$B$14,2,FALSE)," "))</f>
        <v>9</v>
      </c>
      <c r="K8" s="92">
        <v>14.33</v>
      </c>
      <c r="L8" s="93">
        <f t="shared" si="4"/>
        <v>3</v>
      </c>
      <c r="M8" s="93">
        <f t="shared" si="5"/>
        <v>3</v>
      </c>
      <c r="N8" s="94">
        <f>IF(M8=" "," ",IFERROR(VLOOKUP(L8,Points!$A$2:$B$14,2,FALSE)," "))</f>
        <v>12</v>
      </c>
      <c r="O8" s="92">
        <v>13.71</v>
      </c>
      <c r="P8" s="93">
        <f t="shared" si="6"/>
        <v>2</v>
      </c>
      <c r="Q8" s="93">
        <f t="shared" si="7"/>
        <v>2</v>
      </c>
      <c r="R8" s="94">
        <f>IF(Q8=" "," ",IFERROR(VLOOKUP(P8,Points!$A$2:$B$14,2,FALSE)," "))</f>
        <v>15</v>
      </c>
      <c r="S8" s="92">
        <v>0</v>
      </c>
      <c r="T8" s="93" t="str">
        <f t="shared" si="8"/>
        <v xml:space="preserve"> </v>
      </c>
      <c r="U8" s="93" t="str">
        <f t="shared" si="9"/>
        <v xml:space="preserve"> </v>
      </c>
      <c r="V8" s="94" t="str">
        <f>IF(U8=" "," ",IFERROR(VLOOKUP(T8,Points!$A$2:$B$14,2,FALSE)," "))</f>
        <v xml:space="preserve"> </v>
      </c>
      <c r="W8" s="92">
        <v>0</v>
      </c>
      <c r="X8" s="93" t="str">
        <f t="shared" si="10"/>
        <v xml:space="preserve"> </v>
      </c>
      <c r="Y8" s="93" t="str">
        <f t="shared" si="11"/>
        <v xml:space="preserve"> </v>
      </c>
      <c r="Z8" s="94" t="str">
        <f>IF(Y8=" "," ",IFERROR(VLOOKUP(X8,Points!$A$2:$B$14,2,FALSE)," "))</f>
        <v xml:space="preserve"> </v>
      </c>
      <c r="AA8" s="92">
        <v>0</v>
      </c>
      <c r="AB8" s="93" t="str">
        <f t="shared" si="12"/>
        <v xml:space="preserve"> </v>
      </c>
      <c r="AC8" s="93" t="str">
        <f t="shared" si="13"/>
        <v xml:space="preserve"> </v>
      </c>
      <c r="AD8" s="94" t="str">
        <f>IF(AC8=" "," ",IFERROR(VLOOKUP(AB8,Points!$A$2:$B$14,2,FALSE)," "))</f>
        <v xml:space="preserve"> </v>
      </c>
      <c r="AE8" s="92" t="str">
        <f t="shared" si="17"/>
        <v xml:space="preserve"> </v>
      </c>
      <c r="AF8" s="93" t="str">
        <f t="shared" si="18"/>
        <v xml:space="preserve"> </v>
      </c>
      <c r="AG8" s="93" t="str">
        <f t="shared" si="19"/>
        <v xml:space="preserve"> </v>
      </c>
      <c r="AH8" s="94" t="str">
        <f>IF(AG8=" "," ",IFERROR(VLOOKUP(AG8,Points!$A$2:$B$14,2,FALSE)," "))</f>
        <v xml:space="preserve"> </v>
      </c>
    </row>
    <row r="9" spans="2:34" x14ac:dyDescent="0.25">
      <c r="B9" s="90" t="s">
        <v>175</v>
      </c>
      <c r="C9" s="92">
        <v>0</v>
      </c>
      <c r="D9" s="93" t="str">
        <f t="shared" si="0"/>
        <v xml:space="preserve"> </v>
      </c>
      <c r="E9" s="93" t="str">
        <f t="shared" si="1"/>
        <v xml:space="preserve"> </v>
      </c>
      <c r="F9" s="94" t="str">
        <f>IF(E9=" "," ",IFERROR(VLOOKUP(D9,Points!$A$2:$B$14,2,FALSE)," "))</f>
        <v xml:space="preserve"> </v>
      </c>
      <c r="G9" s="92">
        <v>13.28</v>
      </c>
      <c r="H9" s="93">
        <f t="shared" si="2"/>
        <v>5</v>
      </c>
      <c r="I9" s="93">
        <f t="shared" si="3"/>
        <v>5</v>
      </c>
      <c r="J9" s="94">
        <f>IF(I9=" "," ",IFERROR(VLOOKUP(H9,Points!$A$2:$B$14,2,FALSE)," "))</f>
        <v>6</v>
      </c>
      <c r="K9" s="92">
        <v>0</v>
      </c>
      <c r="L9" s="93" t="str">
        <f t="shared" si="4"/>
        <v xml:space="preserve"> </v>
      </c>
      <c r="M9" s="93" t="str">
        <f t="shared" si="5"/>
        <v xml:space="preserve"> </v>
      </c>
      <c r="N9" s="94" t="str">
        <f>IF(M9=" "," ",IFERROR(VLOOKUP(L9,Points!$A$2:$B$14,2,FALSE)," "))</f>
        <v xml:space="preserve"> </v>
      </c>
      <c r="O9" s="92">
        <v>13.23</v>
      </c>
      <c r="P9" s="93">
        <f t="shared" si="6"/>
        <v>1</v>
      </c>
      <c r="Q9" s="93">
        <f t="shared" si="7"/>
        <v>1</v>
      </c>
      <c r="R9" s="94">
        <f>IF(Q9=" "," ",IFERROR(VLOOKUP(P9,Points!$A$2:$B$14,2,FALSE)," "))</f>
        <v>18</v>
      </c>
      <c r="S9" s="92">
        <v>0</v>
      </c>
      <c r="T9" s="93" t="str">
        <f t="shared" si="8"/>
        <v xml:space="preserve"> </v>
      </c>
      <c r="U9" s="93" t="str">
        <f t="shared" si="9"/>
        <v xml:space="preserve"> </v>
      </c>
      <c r="V9" s="94" t="str">
        <f>IF(U9=" "," ",IFERROR(VLOOKUP(T9,Points!$A$2:$B$14,2,FALSE)," "))</f>
        <v xml:space="preserve"> </v>
      </c>
      <c r="W9" s="92">
        <v>7.51</v>
      </c>
      <c r="X9" s="93">
        <f t="shared" si="10"/>
        <v>1</v>
      </c>
      <c r="Y9" s="93">
        <f t="shared" si="11"/>
        <v>1</v>
      </c>
      <c r="Z9" s="94">
        <f>IF(Y9=" "," ",IFERROR(VLOOKUP(X9,Points!$A$2:$B$14,2,FALSE)," "))</f>
        <v>18</v>
      </c>
      <c r="AA9" s="92">
        <v>6.79</v>
      </c>
      <c r="AB9" s="93">
        <f t="shared" si="12"/>
        <v>1</v>
      </c>
      <c r="AC9" s="93">
        <f t="shared" si="13"/>
        <v>1</v>
      </c>
      <c r="AD9" s="94">
        <f>IF(AC9=" "," ",IFERROR(VLOOKUP(AB9,Points!$A$2:$B$14,2,FALSE)," "))</f>
        <v>18</v>
      </c>
      <c r="AE9" s="92">
        <f t="shared" si="17"/>
        <v>14.3</v>
      </c>
      <c r="AF9" s="93">
        <f t="shared" si="18"/>
        <v>1</v>
      </c>
      <c r="AG9" s="93">
        <f t="shared" si="19"/>
        <v>1</v>
      </c>
      <c r="AH9" s="94">
        <f>IF(AG9=" "," ",IFERROR(VLOOKUP(AG9,Points!$A$2:$B$14,2,FALSE)," "))</f>
        <v>18</v>
      </c>
    </row>
    <row r="10" spans="2:34" x14ac:dyDescent="0.25">
      <c r="B10" s="90" t="s">
        <v>207</v>
      </c>
      <c r="C10" s="92">
        <v>0</v>
      </c>
      <c r="D10" s="93" t="str">
        <f t="shared" si="0"/>
        <v xml:space="preserve"> </v>
      </c>
      <c r="E10" s="93" t="str">
        <f t="shared" si="1"/>
        <v xml:space="preserve"> </v>
      </c>
      <c r="F10" s="94" t="str">
        <f>IF(E10=" "," ",IFERROR(VLOOKUP(D10,Points!$A$2:$B$14,2,FALSE)," "))</f>
        <v xml:space="preserve"> </v>
      </c>
      <c r="G10" s="92">
        <v>14.97</v>
      </c>
      <c r="H10" s="93">
        <f t="shared" si="2"/>
        <v>6</v>
      </c>
      <c r="I10" s="93">
        <f t="shared" si="3"/>
        <v>6</v>
      </c>
      <c r="J10" s="94">
        <f>IF(I10=" "," ",IFERROR(VLOOKUP(H10,Points!$A$2:$B$14,2,FALSE)," "))</f>
        <v>3</v>
      </c>
      <c r="K10" s="92">
        <v>18.2</v>
      </c>
      <c r="L10" s="93">
        <f t="shared" si="4"/>
        <v>4</v>
      </c>
      <c r="M10" s="93">
        <f t="shared" si="5"/>
        <v>4</v>
      </c>
      <c r="N10" s="94">
        <f>IF(M10=" "," ",IFERROR(VLOOKUP(L10,Points!$A$2:$B$14,2,FALSE)," "))</f>
        <v>9</v>
      </c>
      <c r="O10" s="92">
        <v>0</v>
      </c>
      <c r="P10" s="93" t="str">
        <f t="shared" si="6"/>
        <v xml:space="preserve"> </v>
      </c>
      <c r="Q10" s="93" t="str">
        <f t="shared" si="7"/>
        <v xml:space="preserve"> </v>
      </c>
      <c r="R10" s="94" t="str">
        <f>IF(Q10=" "," ",IFERROR(VLOOKUP(P10,Points!$A$2:$B$14,2,FALSE)," "))</f>
        <v xml:space="preserve"> </v>
      </c>
      <c r="S10" s="92">
        <v>0</v>
      </c>
      <c r="T10" s="93" t="str">
        <f t="shared" si="8"/>
        <v xml:space="preserve"> </v>
      </c>
      <c r="U10" s="93" t="str">
        <f t="shared" si="9"/>
        <v xml:space="preserve"> </v>
      </c>
      <c r="V10" s="94" t="str">
        <f>IF(U10=" "," ",IFERROR(VLOOKUP(T10,Points!$A$2:$B$14,2,FALSE)," "))</f>
        <v xml:space="preserve"> </v>
      </c>
      <c r="W10" s="92">
        <v>0</v>
      </c>
      <c r="X10" s="93" t="str">
        <f t="shared" si="10"/>
        <v xml:space="preserve"> </v>
      </c>
      <c r="Y10" s="93" t="str">
        <f t="shared" si="11"/>
        <v xml:space="preserve"> </v>
      </c>
      <c r="Z10" s="94" t="str">
        <f>IF(Y10=" "," ",IFERROR(VLOOKUP(X10,Points!$A$2:$B$14,2,FALSE)," "))</f>
        <v xml:space="preserve"> </v>
      </c>
      <c r="AA10" s="92">
        <v>13.05</v>
      </c>
      <c r="AB10" s="93">
        <f t="shared" si="12"/>
        <v>3</v>
      </c>
      <c r="AC10" s="93">
        <f t="shared" si="13"/>
        <v>3</v>
      </c>
      <c r="AD10" s="94">
        <f>IF(AC10=" "," ",IFERROR(VLOOKUP(AB10,Points!$A$2:$B$14,2,FALSE)," "))</f>
        <v>12</v>
      </c>
      <c r="AE10" s="163" t="s">
        <v>309</v>
      </c>
      <c r="AF10" s="93">
        <v>3</v>
      </c>
      <c r="AG10" s="93">
        <v>3</v>
      </c>
      <c r="AH10" s="94">
        <f>IF(AG10=" "," ",IFERROR(VLOOKUP(AG10,Points!$A$2:$B$14,2,FALSE)," "))</f>
        <v>12</v>
      </c>
    </row>
    <row r="11" spans="2:34" x14ac:dyDescent="0.25">
      <c r="B11" s="90" t="s">
        <v>179</v>
      </c>
      <c r="C11" s="92">
        <v>18.62</v>
      </c>
      <c r="D11" s="93">
        <f t="shared" si="0"/>
        <v>5</v>
      </c>
      <c r="E11" s="93">
        <f t="shared" si="1"/>
        <v>5</v>
      </c>
      <c r="F11" s="94">
        <f>IF(E11=" "," ",IFERROR(VLOOKUP(D11,Points!$A$2:$B$14,2,FALSE)," "))</f>
        <v>6</v>
      </c>
      <c r="G11" s="92">
        <v>0</v>
      </c>
      <c r="H11" s="93" t="str">
        <f t="shared" si="2"/>
        <v xml:space="preserve"> </v>
      </c>
      <c r="I11" s="93" t="str">
        <f t="shared" si="3"/>
        <v xml:space="preserve"> </v>
      </c>
      <c r="J11" s="94" t="str">
        <f>IF(I11=" "," ",IFERROR(VLOOKUP(H11,Points!$A$2:$B$14,2,FALSE)," "))</f>
        <v xml:space="preserve"> </v>
      </c>
      <c r="K11" s="92">
        <v>0</v>
      </c>
      <c r="L11" s="93" t="str">
        <f t="shared" si="4"/>
        <v xml:space="preserve"> </v>
      </c>
      <c r="M11" s="93" t="str">
        <f t="shared" si="5"/>
        <v xml:space="preserve"> </v>
      </c>
      <c r="N11" s="94" t="str">
        <f>IF(M11=" "," ",IFERROR(VLOOKUP(L11,Points!$A$2:$B$14,2,FALSE)," "))</f>
        <v xml:space="preserve"> </v>
      </c>
      <c r="O11" s="92">
        <v>0</v>
      </c>
      <c r="P11" s="93" t="str">
        <f t="shared" si="6"/>
        <v xml:space="preserve"> </v>
      </c>
      <c r="Q11" s="93" t="str">
        <f t="shared" si="7"/>
        <v xml:space="preserve"> </v>
      </c>
      <c r="R11" s="94" t="str">
        <f>IF(Q11=" "," ",IFERROR(VLOOKUP(P11,Points!$A$2:$B$14,2,FALSE)," "))</f>
        <v xml:space="preserve"> </v>
      </c>
      <c r="S11" s="92">
        <v>0</v>
      </c>
      <c r="T11" s="93" t="str">
        <f t="shared" si="8"/>
        <v xml:space="preserve"> </v>
      </c>
      <c r="U11" s="93" t="str">
        <f t="shared" si="9"/>
        <v xml:space="preserve"> </v>
      </c>
      <c r="V11" s="94" t="str">
        <f>IF(U11=" "," ",IFERROR(VLOOKUP(T11,Points!$A$2:$B$14,2,FALSE)," "))</f>
        <v xml:space="preserve"> </v>
      </c>
      <c r="W11" s="92">
        <v>0</v>
      </c>
      <c r="X11" s="93" t="str">
        <f t="shared" si="10"/>
        <v xml:space="preserve"> </v>
      </c>
      <c r="Y11" s="93" t="str">
        <f t="shared" si="11"/>
        <v xml:space="preserve"> </v>
      </c>
      <c r="Z11" s="94" t="str">
        <f>IF(Y11=" "," ",IFERROR(VLOOKUP(X11,Points!$A$2:$B$14,2,FALSE)," "))</f>
        <v xml:space="preserve"> </v>
      </c>
      <c r="AA11" s="92">
        <v>0</v>
      </c>
      <c r="AB11" s="93" t="str">
        <f t="shared" si="12"/>
        <v xml:space="preserve"> </v>
      </c>
      <c r="AC11" s="93" t="str">
        <f t="shared" si="13"/>
        <v xml:space="preserve"> </v>
      </c>
      <c r="AD11" s="94" t="str">
        <f>IF(AC11=" "," ",IFERROR(VLOOKUP(AB11,Points!$A$2:$B$14,2,FALSE)," "))</f>
        <v xml:space="preserve"> </v>
      </c>
      <c r="AE11" s="92" t="str">
        <f t="shared" si="17"/>
        <v xml:space="preserve"> </v>
      </c>
      <c r="AF11" s="93" t="str">
        <f t="shared" si="18"/>
        <v xml:space="preserve"> </v>
      </c>
      <c r="AG11" s="93" t="str">
        <f t="shared" si="19"/>
        <v xml:space="preserve"> </v>
      </c>
      <c r="AH11" s="94" t="str">
        <f>IF(AG11=" "," ",IFERROR(VLOOKUP(AG11,Points!$A$2:$B$14,2,FALSE)," "))</f>
        <v xml:space="preserve"> </v>
      </c>
    </row>
    <row r="12" spans="2:34" x14ac:dyDescent="0.25">
      <c r="B12" s="90" t="s">
        <v>208</v>
      </c>
      <c r="C12" s="92">
        <v>10.119999999999999</v>
      </c>
      <c r="D12" s="93">
        <f t="shared" si="0"/>
        <v>1</v>
      </c>
      <c r="E12" s="93">
        <f t="shared" si="1"/>
        <v>1</v>
      </c>
      <c r="F12" s="94">
        <f>IF(E12=" "," ",IFERROR(VLOOKUP(D12,Points!$A$2:$B$14,2,FALSE)," "))</f>
        <v>18</v>
      </c>
      <c r="G12" s="92">
        <v>0</v>
      </c>
      <c r="H12" s="93" t="str">
        <f t="shared" si="2"/>
        <v xml:space="preserve"> </v>
      </c>
      <c r="I12" s="93" t="str">
        <f t="shared" si="3"/>
        <v xml:space="preserve"> </v>
      </c>
      <c r="J12" s="94" t="str">
        <f>IF(I12=" "," ",IFERROR(VLOOKUP(H12,Points!$A$2:$B$14,2,FALSE)," "))</f>
        <v xml:space="preserve"> </v>
      </c>
      <c r="K12" s="92">
        <v>0</v>
      </c>
      <c r="L12" s="93" t="str">
        <f t="shared" si="4"/>
        <v xml:space="preserve"> </v>
      </c>
      <c r="M12" s="93" t="str">
        <f t="shared" si="5"/>
        <v xml:space="preserve"> </v>
      </c>
      <c r="N12" s="94" t="str">
        <f>IF(M12=" "," ",IFERROR(VLOOKUP(L12,Points!$A$2:$B$14,2,FALSE)," "))</f>
        <v xml:space="preserve"> </v>
      </c>
      <c r="O12" s="92">
        <v>0</v>
      </c>
      <c r="P12" s="93" t="str">
        <f t="shared" si="6"/>
        <v xml:space="preserve"> </v>
      </c>
      <c r="Q12" s="93" t="str">
        <f t="shared" si="7"/>
        <v xml:space="preserve"> </v>
      </c>
      <c r="R12" s="94" t="str">
        <f>IF(Q12=" "," ",IFERROR(VLOOKUP(P12,Points!$A$2:$B$14,2,FALSE)," "))</f>
        <v xml:space="preserve"> </v>
      </c>
      <c r="S12" s="92"/>
      <c r="T12" s="93" t="str">
        <f t="shared" si="8"/>
        <v xml:space="preserve"> </v>
      </c>
      <c r="U12" s="93" t="str">
        <f t="shared" si="9"/>
        <v xml:space="preserve"> </v>
      </c>
      <c r="V12" s="94" t="str">
        <f>IF(U12=" "," ",IFERROR(VLOOKUP(T12,Points!$A$2:$B$14,2,FALSE)," "))</f>
        <v xml:space="preserve"> </v>
      </c>
      <c r="W12" s="92"/>
      <c r="X12" s="93" t="str">
        <f t="shared" si="10"/>
        <v xml:space="preserve"> </v>
      </c>
      <c r="Y12" s="93" t="str">
        <f t="shared" si="11"/>
        <v xml:space="preserve"> </v>
      </c>
      <c r="Z12" s="94" t="str">
        <f>IF(Y12=" "," ",IFERROR(VLOOKUP(X12,Points!$A$2:$B$14,2,FALSE)," "))</f>
        <v xml:space="preserve"> </v>
      </c>
      <c r="AA12" s="92"/>
      <c r="AB12" s="93" t="str">
        <f t="shared" si="12"/>
        <v xml:space="preserve"> </v>
      </c>
      <c r="AC12" s="93" t="str">
        <f t="shared" si="13"/>
        <v xml:space="preserve"> </v>
      </c>
      <c r="AD12" s="94" t="str">
        <f>IF(AC12=" "," ",IFERROR(VLOOKUP(AB12,Points!$A$2:$B$14,2,FALSE)," "))</f>
        <v xml:space="preserve"> </v>
      </c>
      <c r="AE12" s="92" t="str">
        <f t="shared" si="17"/>
        <v xml:space="preserve"> </v>
      </c>
      <c r="AF12" s="93" t="str">
        <f t="shared" si="18"/>
        <v xml:space="preserve"> </v>
      </c>
      <c r="AG12" s="93" t="str">
        <f t="shared" si="19"/>
        <v xml:space="preserve"> </v>
      </c>
      <c r="AH12" s="94" t="str">
        <f>IF(AG12=" "," ",IFERROR(VLOOKUP(AG12,Points!$A$2:$B$14,2,FALSE)," "))</f>
        <v xml:space="preserve"> </v>
      </c>
    </row>
    <row r="13" spans="2:34" x14ac:dyDescent="0.25">
      <c r="B13" s="90" t="s">
        <v>253</v>
      </c>
      <c r="C13" s="92"/>
      <c r="D13" s="93" t="str">
        <f t="shared" si="0"/>
        <v xml:space="preserve"> </v>
      </c>
      <c r="E13" s="93" t="str">
        <f t="shared" si="1"/>
        <v xml:space="preserve"> </v>
      </c>
      <c r="F13" s="94" t="str">
        <f>IF(E13=" "," ",IFERROR(VLOOKUP(D13,Points!$A$2:$B$14,2,FALSE)," "))</f>
        <v xml:space="preserve"> </v>
      </c>
      <c r="G13" s="138">
        <v>0</v>
      </c>
      <c r="H13" s="93" t="str">
        <f t="shared" si="2"/>
        <v xml:space="preserve"> </v>
      </c>
      <c r="I13" s="93" t="str">
        <f t="shared" si="3"/>
        <v xml:space="preserve"> </v>
      </c>
      <c r="J13" s="94" t="str">
        <f>IF(I13=" "," ",IFERROR(VLOOKUP(H13,Points!$A$2:$B$14,2,FALSE)," "))</f>
        <v xml:space="preserve"> </v>
      </c>
      <c r="K13" s="92">
        <v>0</v>
      </c>
      <c r="L13" s="93" t="str">
        <f t="shared" si="4"/>
        <v xml:space="preserve"> </v>
      </c>
      <c r="M13" s="93" t="str">
        <f t="shared" si="5"/>
        <v xml:space="preserve"> </v>
      </c>
      <c r="N13" s="94" t="str">
        <f>IF(M13=" "," ",IFERROR(VLOOKUP(L13,Points!$A$2:$B$14,2,FALSE)," "))</f>
        <v xml:space="preserve"> </v>
      </c>
      <c r="O13" s="92"/>
      <c r="P13" s="93" t="str">
        <f t="shared" si="6"/>
        <v xml:space="preserve"> </v>
      </c>
      <c r="Q13" s="93" t="str">
        <f t="shared" si="7"/>
        <v xml:space="preserve"> </v>
      </c>
      <c r="R13" s="94" t="str">
        <f>IF(Q13=" "," ",IFERROR(VLOOKUP(P13,Points!$A$2:$B$14,2,FALSE)," "))</f>
        <v xml:space="preserve"> </v>
      </c>
      <c r="S13" s="92"/>
      <c r="T13" s="93" t="str">
        <f t="shared" si="8"/>
        <v xml:space="preserve"> </v>
      </c>
      <c r="U13" s="93" t="str">
        <f t="shared" si="9"/>
        <v xml:space="preserve"> </v>
      </c>
      <c r="V13" s="94" t="str">
        <f>IF(U13=" "," ",IFERROR(VLOOKUP(T13,Points!$A$2:$B$14,2,FALSE)," "))</f>
        <v xml:space="preserve"> </v>
      </c>
      <c r="W13" s="92"/>
      <c r="X13" s="93" t="str">
        <f t="shared" si="10"/>
        <v xml:space="preserve"> </v>
      </c>
      <c r="Y13" s="93" t="str">
        <f t="shared" si="11"/>
        <v xml:space="preserve"> </v>
      </c>
      <c r="Z13" s="94" t="str">
        <f>IF(Y13=" "," ",IFERROR(VLOOKUP(X13,Points!$A$2:$B$14,2,FALSE)," "))</f>
        <v xml:space="preserve"> </v>
      </c>
      <c r="AA13" s="92"/>
      <c r="AB13" s="93" t="str">
        <f t="shared" si="12"/>
        <v xml:space="preserve"> </v>
      </c>
      <c r="AC13" s="93" t="str">
        <f t="shared" si="13"/>
        <v xml:space="preserve"> </v>
      </c>
      <c r="AD13" s="94" t="str">
        <f>IF(AC13=" "," ",IFERROR(VLOOKUP(AB13,Points!$A$2:$B$14,2,FALSE)," "))</f>
        <v xml:space="preserve"> </v>
      </c>
      <c r="AE13" s="92" t="str">
        <f t="shared" si="17"/>
        <v xml:space="preserve"> </v>
      </c>
      <c r="AF13" s="93" t="str">
        <f t="shared" si="18"/>
        <v xml:space="preserve"> </v>
      </c>
      <c r="AG13" s="93" t="str">
        <f t="shared" si="19"/>
        <v xml:space="preserve"> </v>
      </c>
      <c r="AH13" s="94" t="str">
        <f>IF(AG13=" "," ",IFERROR(VLOOKUP(AG13,Points!$A$2:$B$14,2,FALSE)," "))</f>
        <v xml:space="preserve"> </v>
      </c>
    </row>
    <row r="14" spans="2:34" x14ac:dyDescent="0.25">
      <c r="B14" s="90" t="s">
        <v>180</v>
      </c>
      <c r="C14" s="92">
        <v>0</v>
      </c>
      <c r="D14" s="93" t="str">
        <f t="shared" si="0"/>
        <v xml:space="preserve"> </v>
      </c>
      <c r="E14" s="93" t="str">
        <f t="shared" si="1"/>
        <v xml:space="preserve"> </v>
      </c>
      <c r="F14" s="94" t="str">
        <f>IF(E14=" "," ",IFERROR(VLOOKUP(D14,Points!$A$2:$B$14,2,FALSE)," "))</f>
        <v xml:space="preserve"> </v>
      </c>
      <c r="G14" s="92">
        <v>0</v>
      </c>
      <c r="H14" s="93" t="str">
        <f t="shared" si="2"/>
        <v xml:space="preserve"> </v>
      </c>
      <c r="I14" s="93" t="str">
        <f t="shared" si="3"/>
        <v xml:space="preserve"> </v>
      </c>
      <c r="J14" s="94" t="str">
        <f>IF(I14=" "," ",IFERROR(VLOOKUP(H14,Points!$A$2:$B$14,2,FALSE)," "))</f>
        <v xml:space="preserve"> </v>
      </c>
      <c r="K14" s="92">
        <v>0</v>
      </c>
      <c r="L14" s="93" t="str">
        <f t="shared" si="4"/>
        <v xml:space="preserve"> </v>
      </c>
      <c r="M14" s="93" t="str">
        <f t="shared" si="5"/>
        <v xml:space="preserve"> </v>
      </c>
      <c r="N14" s="94" t="str">
        <f>IF(M14=" "," ",IFERROR(VLOOKUP(L14,Points!$A$2:$B$14,2,FALSE)," "))</f>
        <v xml:space="preserve"> </v>
      </c>
      <c r="O14" s="92">
        <v>0</v>
      </c>
      <c r="P14" s="93" t="str">
        <f t="shared" si="6"/>
        <v xml:space="preserve"> </v>
      </c>
      <c r="Q14" s="93" t="str">
        <f t="shared" si="7"/>
        <v xml:space="preserve"> </v>
      </c>
      <c r="R14" s="94" t="str">
        <f>IF(Q14=" "," ",IFERROR(VLOOKUP(P14,Points!$A$2:$B$14,2,FALSE)," "))</f>
        <v xml:space="preserve"> </v>
      </c>
      <c r="S14" s="92">
        <v>0</v>
      </c>
      <c r="T14" s="93" t="str">
        <f t="shared" si="8"/>
        <v xml:space="preserve"> </v>
      </c>
      <c r="U14" s="93" t="str">
        <f t="shared" si="9"/>
        <v xml:space="preserve"> </v>
      </c>
      <c r="V14" s="94" t="str">
        <f>IF(U14=" "," ",IFERROR(VLOOKUP(T14,Points!$A$2:$B$14,2,FALSE)," "))</f>
        <v xml:space="preserve"> </v>
      </c>
      <c r="W14" s="92">
        <v>0</v>
      </c>
      <c r="X14" s="93" t="str">
        <f t="shared" si="10"/>
        <v xml:space="preserve"> </v>
      </c>
      <c r="Y14" s="93" t="str">
        <f t="shared" si="11"/>
        <v xml:space="preserve"> </v>
      </c>
      <c r="Z14" s="94" t="str">
        <f>IF(Y14=" "," ",IFERROR(VLOOKUP(X14,Points!$A$2:$B$14,2,FALSE)," "))</f>
        <v xml:space="preserve"> </v>
      </c>
      <c r="AA14" s="92">
        <v>0</v>
      </c>
      <c r="AB14" s="93" t="str">
        <f t="shared" si="12"/>
        <v xml:space="preserve"> </v>
      </c>
      <c r="AC14" s="93" t="str">
        <f t="shared" si="13"/>
        <v xml:space="preserve"> </v>
      </c>
      <c r="AD14" s="94" t="str">
        <f>IF(AC14=" "," ",IFERROR(VLOOKUP(AB14,Points!$A$2:$B$14,2,FALSE)," "))</f>
        <v xml:space="preserve"> </v>
      </c>
      <c r="AE14" s="92" t="str">
        <f t="shared" si="17"/>
        <v xml:space="preserve"> </v>
      </c>
      <c r="AF14" s="93" t="str">
        <f t="shared" si="18"/>
        <v xml:space="preserve"> </v>
      </c>
      <c r="AG14" s="93" t="str">
        <f t="shared" si="19"/>
        <v xml:space="preserve"> </v>
      </c>
      <c r="AH14" s="94" t="str">
        <f>IF(AG14=" "," ",IFERROR(VLOOKUP(AG14,Points!$A$2:$B$14,2,FALSE)," "))</f>
        <v xml:space="preserve"> </v>
      </c>
    </row>
    <row r="15" spans="2:34" x14ac:dyDescent="0.25">
      <c r="B15" s="90" t="s">
        <v>173</v>
      </c>
      <c r="C15" s="92">
        <v>0</v>
      </c>
      <c r="D15" s="97" t="str">
        <f t="shared" si="0"/>
        <v xml:space="preserve"> </v>
      </c>
      <c r="E15" s="97" t="str">
        <f t="shared" si="1"/>
        <v xml:space="preserve"> </v>
      </c>
      <c r="F15" s="94" t="str">
        <f>IF(E15=" "," ",IFERROR(VLOOKUP(D15,Points!$A$2:$B$14,2,FALSE)," "))</f>
        <v xml:space="preserve"> </v>
      </c>
      <c r="G15" s="92">
        <v>0</v>
      </c>
      <c r="H15" s="97" t="str">
        <f t="shared" si="2"/>
        <v xml:space="preserve"> </v>
      </c>
      <c r="I15" s="97" t="str">
        <f t="shared" si="3"/>
        <v xml:space="preserve"> </v>
      </c>
      <c r="J15" s="94" t="str">
        <f>IF(I15=" "," ",IFERROR(VLOOKUP(H15,Points!$A$2:$B$14,2,FALSE)," "))</f>
        <v xml:space="preserve"> </v>
      </c>
      <c r="K15" s="92">
        <v>0</v>
      </c>
      <c r="L15" s="97" t="str">
        <f t="shared" si="4"/>
        <v xml:space="preserve"> </v>
      </c>
      <c r="M15" s="97" t="str">
        <f t="shared" si="5"/>
        <v xml:space="preserve"> </v>
      </c>
      <c r="N15" s="94" t="str">
        <f>IF(M15=" "," ",IFERROR(VLOOKUP(L15,Points!$A$2:$B$14,2,FALSE)," "))</f>
        <v xml:space="preserve"> </v>
      </c>
      <c r="O15" s="92">
        <v>15.35</v>
      </c>
      <c r="P15" s="97">
        <f t="shared" si="6"/>
        <v>3</v>
      </c>
      <c r="Q15" s="97">
        <f t="shared" si="7"/>
        <v>3</v>
      </c>
      <c r="R15" s="94">
        <f>IF(Q15=" "," ",IFERROR(VLOOKUP(P15,Points!$A$2:$B$14,2,FALSE)," "))</f>
        <v>12</v>
      </c>
      <c r="S15" s="92">
        <v>0</v>
      </c>
      <c r="T15" s="97" t="str">
        <f t="shared" si="8"/>
        <v xml:space="preserve"> </v>
      </c>
      <c r="U15" s="97" t="str">
        <f t="shared" si="9"/>
        <v xml:space="preserve"> </v>
      </c>
      <c r="V15" s="94" t="str">
        <f>IF(U15=" "," ",IFERROR(VLOOKUP(T15,Points!$A$2:$B$14,2,FALSE)," "))</f>
        <v xml:space="preserve"> </v>
      </c>
      <c r="W15" s="92">
        <v>0</v>
      </c>
      <c r="X15" s="97" t="str">
        <f t="shared" si="10"/>
        <v xml:space="preserve"> </v>
      </c>
      <c r="Y15" s="97" t="str">
        <f t="shared" si="11"/>
        <v xml:space="preserve"> </v>
      </c>
      <c r="Z15" s="94" t="str">
        <f>IF(Y15=" "," ",IFERROR(VLOOKUP(X15,Points!$A$2:$B$14,2,FALSE)," "))</f>
        <v xml:space="preserve"> </v>
      </c>
      <c r="AA15" s="92">
        <v>0</v>
      </c>
      <c r="AB15" s="97" t="str">
        <f t="shared" si="12"/>
        <v xml:space="preserve"> </v>
      </c>
      <c r="AC15" s="97" t="str">
        <f t="shared" si="13"/>
        <v xml:space="preserve"> </v>
      </c>
      <c r="AD15" s="94" t="str">
        <f>IF(AC15=" "," ",IFERROR(VLOOKUP(AB15,Points!$A$2:$B$14,2,FALSE)," "))</f>
        <v xml:space="preserve"> </v>
      </c>
      <c r="AE15" s="92" t="str">
        <f t="shared" si="17"/>
        <v xml:space="preserve"> </v>
      </c>
      <c r="AF15" s="97" t="str">
        <f t="shared" si="18"/>
        <v xml:space="preserve"> </v>
      </c>
      <c r="AG15" s="97" t="str">
        <f t="shared" si="19"/>
        <v xml:space="preserve"> </v>
      </c>
      <c r="AH15" s="94" t="str">
        <f>IF(AG15=" "," ",IFERROR(VLOOKUP(AG15,Points!$A$2:$B$14,2,FALSE)," "))</f>
        <v xml:space="preserve"> </v>
      </c>
    </row>
    <row r="16" spans="2:34" x14ac:dyDescent="0.25">
      <c r="B16" s="90" t="s">
        <v>252</v>
      </c>
      <c r="C16" s="92"/>
      <c r="D16" s="97" t="str">
        <f t="shared" si="0"/>
        <v xml:space="preserve"> </v>
      </c>
      <c r="E16" s="97" t="str">
        <f t="shared" si="1"/>
        <v xml:space="preserve"> </v>
      </c>
      <c r="F16" s="94" t="str">
        <f>IF(E16=" "," ",IFERROR(VLOOKUP(D16,Points!$A$2:$B$14,2,FALSE)," "))</f>
        <v xml:space="preserve"> </v>
      </c>
      <c r="G16" s="92">
        <v>0</v>
      </c>
      <c r="H16" s="97" t="str">
        <f t="shared" si="2"/>
        <v xml:space="preserve"> </v>
      </c>
      <c r="I16" s="97" t="str">
        <f t="shared" si="3"/>
        <v xml:space="preserve"> </v>
      </c>
      <c r="J16" s="94" t="str">
        <f>IF(I16=" "," ",IFERROR(VLOOKUP(H16,Points!$A$2:$B$14,2,FALSE)," "))</f>
        <v xml:space="preserve"> </v>
      </c>
      <c r="K16" s="92"/>
      <c r="L16" s="97" t="str">
        <f t="shared" si="4"/>
        <v xml:space="preserve"> </v>
      </c>
      <c r="M16" s="97" t="str">
        <f t="shared" si="5"/>
        <v xml:space="preserve"> </v>
      </c>
      <c r="N16" s="94" t="str">
        <f>IF(M16=" "," ",IFERROR(VLOOKUP(L16,Points!$A$2:$B$14,2,FALSE)," "))</f>
        <v xml:space="preserve"> </v>
      </c>
      <c r="O16" s="92"/>
      <c r="P16" s="97" t="str">
        <f t="shared" si="6"/>
        <v xml:space="preserve"> </v>
      </c>
      <c r="Q16" s="97" t="str">
        <f t="shared" si="7"/>
        <v xml:space="preserve"> </v>
      </c>
      <c r="R16" s="94" t="str">
        <f>IF(Q16=" "," ",IFERROR(VLOOKUP(P16,Points!$A$2:$B$14,2,FALSE)," "))</f>
        <v xml:space="preserve"> </v>
      </c>
      <c r="S16" s="92"/>
      <c r="T16" s="97" t="str">
        <f t="shared" si="8"/>
        <v xml:space="preserve"> </v>
      </c>
      <c r="U16" s="97" t="str">
        <f t="shared" si="9"/>
        <v xml:space="preserve"> </v>
      </c>
      <c r="V16" s="94" t="str">
        <f>IF(U16=" "," ",IFERROR(VLOOKUP(T16,Points!$A$2:$B$14,2,FALSE)," "))</f>
        <v xml:space="preserve"> </v>
      </c>
      <c r="W16" s="92"/>
      <c r="X16" s="97" t="str">
        <f t="shared" si="10"/>
        <v xml:space="preserve"> </v>
      </c>
      <c r="Y16" s="97" t="str">
        <f t="shared" si="11"/>
        <v xml:space="preserve"> </v>
      </c>
      <c r="Z16" s="94" t="str">
        <f>IF(Y16=" "," ",IFERROR(VLOOKUP(X16,Points!$A$2:$B$14,2,FALSE)," "))</f>
        <v xml:space="preserve"> </v>
      </c>
      <c r="AA16" s="92"/>
      <c r="AB16" s="97" t="str">
        <f t="shared" si="12"/>
        <v xml:space="preserve"> </v>
      </c>
      <c r="AC16" s="97" t="str">
        <f t="shared" si="13"/>
        <v xml:space="preserve"> </v>
      </c>
      <c r="AD16" s="94" t="str">
        <f>IF(AC16=" "," ",IFERROR(VLOOKUP(AB16,Points!$A$2:$B$14,2,FALSE)," "))</f>
        <v xml:space="preserve"> </v>
      </c>
      <c r="AE16" s="92" t="str">
        <f t="shared" si="17"/>
        <v xml:space="preserve"> </v>
      </c>
      <c r="AF16" s="97" t="str">
        <f t="shared" si="18"/>
        <v xml:space="preserve"> </v>
      </c>
      <c r="AG16" s="97" t="str">
        <f t="shared" si="19"/>
        <v xml:space="preserve"> </v>
      </c>
      <c r="AH16" s="94" t="str">
        <f>IF(AG16=" "," ",IFERROR(VLOOKUP(AG16,Points!$A$2:$B$14,2,FALSE)," "))</f>
        <v xml:space="preserve"> </v>
      </c>
    </row>
    <row r="17" spans="2:34" x14ac:dyDescent="0.25">
      <c r="B17" s="90" t="s">
        <v>211</v>
      </c>
      <c r="C17" s="92">
        <v>0</v>
      </c>
      <c r="D17" s="97" t="str">
        <f t="shared" si="0"/>
        <v xml:space="preserve"> </v>
      </c>
      <c r="E17" s="97" t="str">
        <f t="shared" si="1"/>
        <v xml:space="preserve"> </v>
      </c>
      <c r="F17" s="94" t="str">
        <f>IF(E17=" "," ",IFERROR(VLOOKUP(D17,Points!$A$2:$B$14,2,FALSE)," "))</f>
        <v xml:space="preserve"> </v>
      </c>
      <c r="G17" s="92"/>
      <c r="H17" s="97" t="str">
        <f t="shared" si="2"/>
        <v xml:space="preserve"> </v>
      </c>
      <c r="I17" s="97" t="str">
        <f t="shared" si="3"/>
        <v xml:space="preserve"> </v>
      </c>
      <c r="J17" s="94" t="str">
        <f>IF(I17=" "," ",IFERROR(VLOOKUP(H17,Points!$A$2:$B$14,2,FALSE)," "))</f>
        <v xml:space="preserve"> </v>
      </c>
      <c r="K17" s="92"/>
      <c r="L17" s="97" t="str">
        <f t="shared" si="4"/>
        <v xml:space="preserve"> </v>
      </c>
      <c r="M17" s="97" t="str">
        <f t="shared" si="5"/>
        <v xml:space="preserve"> </v>
      </c>
      <c r="N17" s="94" t="str">
        <f>IF(M17=" "," ",IFERROR(VLOOKUP(L17,Points!$A$2:$B$14,2,FALSE)," "))</f>
        <v xml:space="preserve"> </v>
      </c>
      <c r="O17" s="92"/>
      <c r="P17" s="97" t="str">
        <f t="shared" si="6"/>
        <v xml:space="preserve"> </v>
      </c>
      <c r="Q17" s="97" t="str">
        <f t="shared" si="7"/>
        <v xml:space="preserve"> </v>
      </c>
      <c r="R17" s="94" t="str">
        <f>IF(Q17=" "," ",IFERROR(VLOOKUP(P17,Points!$A$2:$B$14,2,FALSE)," "))</f>
        <v xml:space="preserve"> </v>
      </c>
      <c r="S17" s="92"/>
      <c r="T17" s="97" t="str">
        <f t="shared" si="8"/>
        <v xml:space="preserve"> </v>
      </c>
      <c r="U17" s="97" t="str">
        <f t="shared" si="9"/>
        <v xml:space="preserve"> </v>
      </c>
      <c r="V17" s="94" t="str">
        <f>IF(U17=" "," ",IFERROR(VLOOKUP(T17,Points!$A$2:$B$14,2,FALSE)," "))</f>
        <v xml:space="preserve"> </v>
      </c>
      <c r="W17" s="92"/>
      <c r="X17" s="97" t="str">
        <f t="shared" si="10"/>
        <v xml:space="preserve"> </v>
      </c>
      <c r="Y17" s="97" t="str">
        <f t="shared" si="11"/>
        <v xml:space="preserve"> </v>
      </c>
      <c r="Z17" s="94" t="str">
        <f>IF(Y17=" "," ",IFERROR(VLOOKUP(X17,Points!$A$2:$B$14,2,FALSE)," "))</f>
        <v xml:space="preserve"> </v>
      </c>
      <c r="AA17" s="92"/>
      <c r="AB17" s="97" t="str">
        <f t="shared" si="12"/>
        <v xml:space="preserve"> </v>
      </c>
      <c r="AC17" s="97" t="str">
        <f t="shared" si="13"/>
        <v xml:space="preserve"> </v>
      </c>
      <c r="AD17" s="94" t="str">
        <f>IF(AC17=" "," ",IFERROR(VLOOKUP(AB17,Points!$A$2:$B$14,2,FALSE)," "))</f>
        <v xml:space="preserve"> </v>
      </c>
      <c r="AE17" s="92" t="str">
        <f t="shared" si="17"/>
        <v xml:space="preserve"> </v>
      </c>
      <c r="AF17" s="97" t="str">
        <f t="shared" si="18"/>
        <v xml:space="preserve"> </v>
      </c>
      <c r="AG17" s="97" t="str">
        <f t="shared" si="19"/>
        <v xml:space="preserve"> </v>
      </c>
      <c r="AH17" s="94" t="str">
        <f>IF(AG17=" "," ",IFERROR(VLOOKUP(AG17,Points!$A$2:$B$14,2,FALSE)," "))</f>
        <v xml:space="preserve"> </v>
      </c>
    </row>
    <row r="18" spans="2:34" x14ac:dyDescent="0.25">
      <c r="B18" s="90" t="s">
        <v>210</v>
      </c>
      <c r="C18" s="92">
        <v>10.79</v>
      </c>
      <c r="D18" s="93">
        <f t="shared" si="0"/>
        <v>3</v>
      </c>
      <c r="E18" s="93">
        <f t="shared" si="1"/>
        <v>3</v>
      </c>
      <c r="F18" s="94">
        <f>IF(E18=" "," ",IFERROR(VLOOKUP(D18,Points!$A$2:$B$14,2,FALSE)," "))</f>
        <v>12</v>
      </c>
      <c r="G18" s="92">
        <v>0</v>
      </c>
      <c r="H18" s="93" t="str">
        <f t="shared" si="2"/>
        <v xml:space="preserve"> </v>
      </c>
      <c r="I18" s="93" t="str">
        <f t="shared" si="3"/>
        <v xml:space="preserve"> </v>
      </c>
      <c r="J18" s="94" t="str">
        <f>IF(I18=" "," ",IFERROR(VLOOKUP(H18,Points!$A$2:$B$14,2,FALSE)," "))</f>
        <v xml:space="preserve"> </v>
      </c>
      <c r="K18" s="92"/>
      <c r="L18" s="93" t="str">
        <f t="shared" si="4"/>
        <v xml:space="preserve"> </v>
      </c>
      <c r="M18" s="93" t="str">
        <f t="shared" si="5"/>
        <v xml:space="preserve"> </v>
      </c>
      <c r="N18" s="94" t="str">
        <f>IF(M18=" "," ",IFERROR(VLOOKUP(L18,Points!$A$2:$B$14,2,FALSE)," "))</f>
        <v xml:space="preserve"> </v>
      </c>
      <c r="O18" s="92"/>
      <c r="P18" s="93" t="str">
        <f t="shared" si="6"/>
        <v xml:space="preserve"> </v>
      </c>
      <c r="Q18" s="93" t="str">
        <f t="shared" si="7"/>
        <v xml:space="preserve"> </v>
      </c>
      <c r="R18" s="94" t="str">
        <f>IF(Q18=" "," ",IFERROR(VLOOKUP(P18,Points!$A$2:$B$14,2,FALSE)," "))</f>
        <v xml:space="preserve"> </v>
      </c>
      <c r="S18" s="92"/>
      <c r="T18" s="93" t="str">
        <f t="shared" si="8"/>
        <v xml:space="preserve"> </v>
      </c>
      <c r="U18" s="93" t="str">
        <f t="shared" si="9"/>
        <v xml:space="preserve"> </v>
      </c>
      <c r="V18" s="94" t="str">
        <f>IF(U18=" "," ",IFERROR(VLOOKUP(T18,Points!$A$2:$B$14,2,FALSE)," "))</f>
        <v xml:space="preserve"> </v>
      </c>
      <c r="W18" s="92"/>
      <c r="X18" s="93" t="str">
        <f t="shared" si="10"/>
        <v xml:space="preserve"> </v>
      </c>
      <c r="Y18" s="93" t="str">
        <f t="shared" si="11"/>
        <v xml:space="preserve"> </v>
      </c>
      <c r="Z18" s="94" t="str">
        <f>IF(Y18=" "," ",IFERROR(VLOOKUP(X18,Points!$A$2:$B$14,2,FALSE)," "))</f>
        <v xml:space="preserve"> </v>
      </c>
      <c r="AA18" s="92"/>
      <c r="AB18" s="93" t="str">
        <f t="shared" si="12"/>
        <v xml:space="preserve"> </v>
      </c>
      <c r="AC18" s="93" t="str">
        <f t="shared" si="13"/>
        <v xml:space="preserve"> </v>
      </c>
      <c r="AD18" s="94" t="str">
        <f>IF(AC18=" "," ",IFERROR(VLOOKUP(AB18,Points!$A$2:$B$14,2,FALSE)," "))</f>
        <v xml:space="preserve"> </v>
      </c>
      <c r="AE18" s="92" t="str">
        <f t="shared" si="17"/>
        <v xml:space="preserve"> </v>
      </c>
      <c r="AF18" s="93" t="str">
        <f t="shared" si="18"/>
        <v xml:space="preserve"> </v>
      </c>
      <c r="AG18" s="93" t="str">
        <f t="shared" si="19"/>
        <v xml:space="preserve"> </v>
      </c>
      <c r="AH18" s="94" t="str">
        <f>IF(AG18=" "," ",IFERROR(VLOOKUP(AG18,Points!$A$2:$B$14,2,FALSE)," "))</f>
        <v xml:space="preserve"> </v>
      </c>
    </row>
    <row r="19" spans="2:34" x14ac:dyDescent="0.25">
      <c r="B19" s="90" t="s">
        <v>254</v>
      </c>
      <c r="C19" s="92"/>
      <c r="D19" s="93" t="str">
        <f t="shared" si="0"/>
        <v xml:space="preserve"> </v>
      </c>
      <c r="E19" s="93" t="str">
        <f t="shared" si="1"/>
        <v xml:space="preserve"> </v>
      </c>
      <c r="F19" s="94" t="str">
        <f>IF(E19=" "," ",IFERROR(VLOOKUP(D19,Points!$A$2:$B$14,2,FALSE)," "))</f>
        <v xml:space="preserve"> </v>
      </c>
      <c r="G19" s="92">
        <v>17.940000000000001</v>
      </c>
      <c r="H19" s="93">
        <f t="shared" si="2"/>
        <v>7</v>
      </c>
      <c r="I19" s="93" t="str">
        <f t="shared" si="3"/>
        <v xml:space="preserve"> </v>
      </c>
      <c r="J19" s="94" t="str">
        <f>IF(I19=" "," ",IFERROR(VLOOKUP(H19,Points!$A$2:$B$14,2,FALSE)," "))</f>
        <v xml:space="preserve"> </v>
      </c>
      <c r="K19" s="92"/>
      <c r="L19" s="93" t="str">
        <f t="shared" si="4"/>
        <v xml:space="preserve"> </v>
      </c>
      <c r="M19" s="93" t="str">
        <f t="shared" si="5"/>
        <v xml:space="preserve"> </v>
      </c>
      <c r="N19" s="94" t="str">
        <f>IF(M19=" "," ",IFERROR(VLOOKUP(L19,Points!$A$2:$B$14,2,FALSE)," "))</f>
        <v xml:space="preserve"> </v>
      </c>
      <c r="O19" s="92">
        <v>0</v>
      </c>
      <c r="P19" s="93" t="str">
        <f t="shared" si="6"/>
        <v xml:space="preserve"> </v>
      </c>
      <c r="Q19" s="93" t="str">
        <f t="shared" si="7"/>
        <v xml:space="preserve"> </v>
      </c>
      <c r="R19" s="94" t="str">
        <f>IF(Q19=" "," ",IFERROR(VLOOKUP(P19,Points!$A$2:$B$14,2,FALSE)," "))</f>
        <v xml:space="preserve"> </v>
      </c>
      <c r="S19" s="92">
        <v>0</v>
      </c>
      <c r="T19" s="93" t="str">
        <f t="shared" si="8"/>
        <v xml:space="preserve"> </v>
      </c>
      <c r="U19" s="93" t="str">
        <f t="shared" si="9"/>
        <v xml:space="preserve"> </v>
      </c>
      <c r="V19" s="94" t="str">
        <f>IF(U19=" "," ",IFERROR(VLOOKUP(T19,Points!$A$2:$B$14,2,FALSE)," "))</f>
        <v xml:space="preserve"> </v>
      </c>
      <c r="W19" s="92">
        <v>0</v>
      </c>
      <c r="X19" s="93" t="str">
        <f t="shared" si="10"/>
        <v xml:space="preserve"> </v>
      </c>
      <c r="Y19" s="93" t="str">
        <f t="shared" si="11"/>
        <v xml:space="preserve"> </v>
      </c>
      <c r="Z19" s="94" t="str">
        <f>IF(Y19=" "," ",IFERROR(VLOOKUP(X19,Points!$A$2:$B$14,2,FALSE)," "))</f>
        <v xml:space="preserve"> </v>
      </c>
      <c r="AA19" s="92">
        <v>0</v>
      </c>
      <c r="AB19" s="93" t="str">
        <f t="shared" si="12"/>
        <v xml:space="preserve"> </v>
      </c>
      <c r="AC19" s="93" t="str">
        <f t="shared" si="13"/>
        <v xml:space="preserve"> </v>
      </c>
      <c r="AD19" s="94" t="str">
        <f>IF(AC19=" "," ",IFERROR(VLOOKUP(AB19,Points!$A$2:$B$14,2,FALSE)," "))</f>
        <v xml:space="preserve"> </v>
      </c>
      <c r="AE19" s="92" t="str">
        <f t="shared" si="17"/>
        <v xml:space="preserve"> </v>
      </c>
      <c r="AF19" s="93" t="str">
        <f t="shared" si="18"/>
        <v xml:space="preserve"> </v>
      </c>
      <c r="AG19" s="93" t="str">
        <f t="shared" si="19"/>
        <v xml:space="preserve"> </v>
      </c>
      <c r="AH19" s="94" t="str">
        <f>IF(AG19=" "," ",IFERROR(VLOOKUP(AG19,Points!$A$2:$B$14,2,FALSE)," "))</f>
        <v xml:space="preserve"> </v>
      </c>
    </row>
    <row r="20" spans="2:34" x14ac:dyDescent="0.25">
      <c r="B20" s="90" t="s">
        <v>209</v>
      </c>
      <c r="C20" s="92">
        <v>0</v>
      </c>
      <c r="D20" s="93" t="str">
        <f t="shared" si="0"/>
        <v xml:space="preserve"> </v>
      </c>
      <c r="E20" s="93" t="str">
        <f t="shared" si="1"/>
        <v xml:space="preserve"> </v>
      </c>
      <c r="F20" s="94" t="str">
        <f>IF(E20=" "," ",IFERROR(VLOOKUP(D20,Points!$A$2:$B$14,2,FALSE)," "))</f>
        <v xml:space="preserve"> </v>
      </c>
      <c r="G20" s="92">
        <v>26.78</v>
      </c>
      <c r="H20" s="93">
        <f t="shared" si="2"/>
        <v>8</v>
      </c>
      <c r="I20" s="93" t="str">
        <f t="shared" si="3"/>
        <v xml:space="preserve"> </v>
      </c>
      <c r="J20" s="94" t="str">
        <f>IF(I20=" "," ",IFERROR(VLOOKUP(H20,Points!$A$2:$B$14,2,FALSE)," "))</f>
        <v xml:space="preserve"> </v>
      </c>
      <c r="K20" s="92"/>
      <c r="L20" s="93" t="str">
        <f t="shared" si="4"/>
        <v xml:space="preserve"> </v>
      </c>
      <c r="M20" s="93" t="str">
        <f t="shared" si="5"/>
        <v xml:space="preserve"> </v>
      </c>
      <c r="N20" s="94" t="str">
        <f>IF(M20=" "," ",IFERROR(VLOOKUP(L20,Points!$A$2:$B$14,2,FALSE)," "))</f>
        <v xml:space="preserve"> </v>
      </c>
      <c r="O20" s="92">
        <v>0</v>
      </c>
      <c r="P20" s="93" t="str">
        <f t="shared" si="6"/>
        <v xml:space="preserve"> </v>
      </c>
      <c r="Q20" s="93" t="str">
        <f t="shared" si="7"/>
        <v xml:space="preserve"> </v>
      </c>
      <c r="R20" s="94" t="str">
        <f>IF(Q20=" "," ",IFERROR(VLOOKUP(P20,Points!$A$2:$B$14,2,FALSE)," "))</f>
        <v xml:space="preserve"> </v>
      </c>
      <c r="S20" s="92">
        <v>0</v>
      </c>
      <c r="T20" s="93" t="str">
        <f t="shared" si="8"/>
        <v xml:space="preserve"> </v>
      </c>
      <c r="U20" s="93" t="str">
        <f t="shared" si="9"/>
        <v xml:space="preserve"> </v>
      </c>
      <c r="V20" s="94" t="str">
        <f>IF(U20=" "," ",IFERROR(VLOOKUP(T20,Points!$A$2:$B$14,2,FALSE)," "))</f>
        <v xml:space="preserve"> </v>
      </c>
      <c r="W20" s="92">
        <v>22.55</v>
      </c>
      <c r="X20" s="93">
        <f t="shared" si="10"/>
        <v>3</v>
      </c>
      <c r="Y20" s="93">
        <f t="shared" si="11"/>
        <v>3</v>
      </c>
      <c r="Z20" s="94">
        <f>IF(Y20=" "," ",IFERROR(VLOOKUP(X20,Points!$A$2:$B$14,2,FALSE)," "))</f>
        <v>12</v>
      </c>
      <c r="AA20" s="92">
        <v>0</v>
      </c>
      <c r="AB20" s="93" t="str">
        <f t="shared" si="12"/>
        <v xml:space="preserve"> </v>
      </c>
      <c r="AC20" s="93" t="str">
        <f t="shared" si="13"/>
        <v xml:space="preserve"> </v>
      </c>
      <c r="AD20" s="94" t="str">
        <f>IF(AC20=" "," ",IFERROR(VLOOKUP(AB20,Points!$A$2:$B$14,2,FALSE)," "))</f>
        <v xml:space="preserve"> </v>
      </c>
      <c r="AE20" s="163" t="s">
        <v>310</v>
      </c>
      <c r="AF20" s="93">
        <v>4</v>
      </c>
      <c r="AG20" s="93">
        <v>4</v>
      </c>
      <c r="AH20" s="94">
        <f>IF(AG20=" "," ",IFERROR(VLOOKUP(AG20,Points!$A$2:$B$14,2,FALSE)," "))</f>
        <v>9</v>
      </c>
    </row>
    <row r="21" spans="2:34" x14ac:dyDescent="0.25">
      <c r="B21" s="90" t="s">
        <v>274</v>
      </c>
      <c r="C21" s="92"/>
      <c r="D21" s="93" t="str">
        <f t="shared" si="0"/>
        <v xml:space="preserve"> </v>
      </c>
      <c r="E21" s="93" t="str">
        <f t="shared" si="1"/>
        <v xml:space="preserve"> </v>
      </c>
      <c r="F21" s="94" t="str">
        <f>IF(E21=" "," ",IFERROR(VLOOKUP(D21,Points!$A$2:$B$14,2,FALSE)," "))</f>
        <v xml:space="preserve"> </v>
      </c>
      <c r="G21" s="92"/>
      <c r="H21" s="93" t="str">
        <f t="shared" si="2"/>
        <v xml:space="preserve"> </v>
      </c>
      <c r="I21" s="93" t="str">
        <f t="shared" si="3"/>
        <v xml:space="preserve"> </v>
      </c>
      <c r="J21" s="94" t="str">
        <f>IF(I21=" "," ",IFERROR(VLOOKUP(H21,Points!$A$2:$B$14,2,FALSE)," "))</f>
        <v xml:space="preserve"> </v>
      </c>
      <c r="K21" s="92">
        <v>36.299999999999997</v>
      </c>
      <c r="L21" s="93">
        <f t="shared" si="4"/>
        <v>5</v>
      </c>
      <c r="M21" s="93">
        <f t="shared" si="5"/>
        <v>5</v>
      </c>
      <c r="N21" s="94">
        <f>IF(M21=" "," ",IFERROR(VLOOKUP(L21,Points!$A$2:$B$14,2,FALSE)," "))</f>
        <v>6</v>
      </c>
      <c r="O21" s="92"/>
      <c r="P21" s="93" t="str">
        <f t="shared" si="6"/>
        <v xml:space="preserve"> </v>
      </c>
      <c r="Q21" s="93" t="str">
        <f t="shared" si="7"/>
        <v xml:space="preserve"> </v>
      </c>
      <c r="R21" s="94" t="str">
        <f>IF(Q21=" "," ",IFERROR(VLOOKUP(P21,Points!$A$2:$B$14,2,FALSE)," "))</f>
        <v xml:space="preserve"> </v>
      </c>
      <c r="S21" s="92"/>
      <c r="T21" s="93" t="str">
        <f t="shared" si="8"/>
        <v xml:space="preserve"> </v>
      </c>
      <c r="U21" s="93" t="str">
        <f t="shared" si="9"/>
        <v xml:space="preserve"> </v>
      </c>
      <c r="V21" s="94" t="str">
        <f>IF(U21=" "," ",IFERROR(VLOOKUP(T21,Points!$A$2:$B$14,2,FALSE)," "))</f>
        <v xml:space="preserve"> </v>
      </c>
      <c r="W21" s="92"/>
      <c r="X21" s="93" t="str">
        <f t="shared" si="10"/>
        <v xml:space="preserve"> </v>
      </c>
      <c r="Y21" s="93" t="str">
        <f t="shared" si="11"/>
        <v xml:space="preserve"> </v>
      </c>
      <c r="Z21" s="94" t="str">
        <f>IF(Y21=" "," ",IFERROR(VLOOKUP(X21,Points!$A$2:$B$14,2,FALSE)," "))</f>
        <v xml:space="preserve"> </v>
      </c>
      <c r="AA21" s="92"/>
      <c r="AB21" s="93" t="str">
        <f t="shared" si="12"/>
        <v xml:space="preserve"> </v>
      </c>
      <c r="AC21" s="93" t="str">
        <f t="shared" si="13"/>
        <v xml:space="preserve"> </v>
      </c>
      <c r="AD21" s="94" t="str">
        <f>IF(AC21=" "," ",IFERROR(VLOOKUP(AB21,Points!$A$2:$B$14,2,FALSE)," "))</f>
        <v xml:space="preserve"> </v>
      </c>
      <c r="AE21" s="92" t="str">
        <f t="shared" si="17"/>
        <v xml:space="preserve"> </v>
      </c>
      <c r="AF21" s="93" t="str">
        <f t="shared" si="18"/>
        <v xml:space="preserve"> </v>
      </c>
      <c r="AG21" s="93" t="str">
        <f t="shared" si="19"/>
        <v xml:space="preserve"> </v>
      </c>
      <c r="AH21" s="94" t="str">
        <f>IF(AG21=" "," ",IFERROR(VLOOKUP(AG21,Points!$A$2:$B$14,2,FALSE)," "))</f>
        <v xml:space="preserve"> </v>
      </c>
    </row>
    <row r="22" spans="2:34" x14ac:dyDescent="0.25">
      <c r="B22" s="90" t="s">
        <v>275</v>
      </c>
      <c r="C22" s="92"/>
      <c r="D22" s="93" t="str">
        <f t="shared" si="0"/>
        <v xml:space="preserve"> </v>
      </c>
      <c r="E22" s="93" t="str">
        <f t="shared" si="1"/>
        <v xml:space="preserve"> </v>
      </c>
      <c r="F22" s="94" t="str">
        <f>IF(E22=" "," ",IFERROR(VLOOKUP(D22,Points!$A$2:$B$14,2,FALSE)," "))</f>
        <v xml:space="preserve"> </v>
      </c>
      <c r="G22" s="92"/>
      <c r="H22" s="93" t="str">
        <f t="shared" si="2"/>
        <v xml:space="preserve"> </v>
      </c>
      <c r="I22" s="93" t="str">
        <f t="shared" si="3"/>
        <v xml:space="preserve"> </v>
      </c>
      <c r="J22" s="94" t="str">
        <f>IF(I22=" "," ",IFERROR(VLOOKUP(H22,Points!$A$2:$B$14,2,FALSE)," "))</f>
        <v xml:space="preserve"> </v>
      </c>
      <c r="K22" s="92">
        <v>0</v>
      </c>
      <c r="L22" s="93" t="str">
        <f t="shared" si="4"/>
        <v xml:space="preserve"> </v>
      </c>
      <c r="M22" s="93" t="str">
        <f t="shared" si="5"/>
        <v xml:space="preserve"> </v>
      </c>
      <c r="N22" s="94" t="str">
        <f>IF(M22=" "," ",IFERROR(VLOOKUP(L22,Points!$A$2:$B$14,2,FALSE)," "))</f>
        <v xml:space="preserve"> </v>
      </c>
      <c r="O22" s="92"/>
      <c r="P22" s="93" t="str">
        <f t="shared" si="6"/>
        <v xml:space="preserve"> </v>
      </c>
      <c r="Q22" s="93" t="str">
        <f t="shared" si="7"/>
        <v xml:space="preserve"> </v>
      </c>
      <c r="R22" s="94" t="str">
        <f>IF(Q22=" "," ",IFERROR(VLOOKUP(P22,Points!$A$2:$B$14,2,FALSE)," "))</f>
        <v xml:space="preserve"> </v>
      </c>
      <c r="S22" s="92"/>
      <c r="T22" s="93" t="str">
        <f t="shared" si="8"/>
        <v xml:space="preserve"> </v>
      </c>
      <c r="U22" s="93" t="str">
        <f t="shared" si="9"/>
        <v xml:space="preserve"> </v>
      </c>
      <c r="V22" s="94" t="str">
        <f>IF(U22=" "," ",IFERROR(VLOOKUP(T22,Points!$A$2:$B$14,2,FALSE)," "))</f>
        <v xml:space="preserve"> </v>
      </c>
      <c r="W22" s="92"/>
      <c r="X22" s="93" t="str">
        <f t="shared" si="10"/>
        <v xml:space="preserve"> </v>
      </c>
      <c r="Y22" s="93" t="str">
        <f t="shared" si="11"/>
        <v xml:space="preserve"> </v>
      </c>
      <c r="Z22" s="94" t="str">
        <f>IF(Y22=" "," ",IFERROR(VLOOKUP(X22,Points!$A$2:$B$14,2,FALSE)," "))</f>
        <v xml:space="preserve"> </v>
      </c>
      <c r="AA22" s="92"/>
      <c r="AB22" s="93" t="str">
        <f t="shared" si="12"/>
        <v xml:space="preserve"> </v>
      </c>
      <c r="AC22" s="93" t="str">
        <f t="shared" si="13"/>
        <v xml:space="preserve"> </v>
      </c>
      <c r="AD22" s="94" t="str">
        <f>IF(AC22=" "," ",IFERROR(VLOOKUP(AB22,Points!$A$2:$B$14,2,FALSE)," "))</f>
        <v xml:space="preserve"> </v>
      </c>
      <c r="AE22" s="92" t="str">
        <f t="shared" si="17"/>
        <v xml:space="preserve"> </v>
      </c>
      <c r="AF22" s="93" t="str">
        <f t="shared" si="18"/>
        <v xml:space="preserve"> </v>
      </c>
      <c r="AG22" s="93" t="str">
        <f t="shared" si="19"/>
        <v xml:space="preserve"> </v>
      </c>
      <c r="AH22" s="94" t="str">
        <f>IF(AG22=" "," ",IFERROR(VLOOKUP(AG22,Points!$A$2:$B$14,2,FALSE)," "))</f>
        <v xml:space="preserve"> </v>
      </c>
    </row>
    <row r="23" spans="2:34" x14ac:dyDescent="0.25">
      <c r="B23" s="90" t="s">
        <v>276</v>
      </c>
      <c r="C23" s="92"/>
      <c r="D23" s="93" t="str">
        <f t="shared" si="0"/>
        <v xml:space="preserve"> </v>
      </c>
      <c r="E23" s="93" t="str">
        <f t="shared" si="1"/>
        <v xml:space="preserve"> </v>
      </c>
      <c r="F23" s="94" t="str">
        <f>IF(E23=" "," ",IFERROR(VLOOKUP(D23,Points!$A$2:$B$14,2,FALSE)," "))</f>
        <v xml:space="preserve"> </v>
      </c>
      <c r="G23" s="92"/>
      <c r="H23" s="93" t="str">
        <f t="shared" si="2"/>
        <v xml:space="preserve"> </v>
      </c>
      <c r="I23" s="93" t="str">
        <f t="shared" si="3"/>
        <v xml:space="preserve"> </v>
      </c>
      <c r="J23" s="94" t="str">
        <f>IF(I23=" "," ",IFERROR(VLOOKUP(H23,Points!$A$2:$B$14,2,FALSE)," "))</f>
        <v xml:space="preserve"> </v>
      </c>
      <c r="K23" s="92">
        <v>0</v>
      </c>
      <c r="L23" s="93" t="str">
        <f t="shared" si="4"/>
        <v xml:space="preserve"> </v>
      </c>
      <c r="M23" s="93" t="str">
        <f t="shared" si="5"/>
        <v xml:space="preserve"> </v>
      </c>
      <c r="N23" s="94" t="str">
        <f>IF(M23=" "," ",IFERROR(VLOOKUP(L23,Points!$A$2:$B$14,2,FALSE)," "))</f>
        <v xml:space="preserve"> </v>
      </c>
      <c r="O23" s="92"/>
      <c r="P23" s="93" t="str">
        <f t="shared" si="6"/>
        <v xml:space="preserve"> </v>
      </c>
      <c r="Q23" s="93" t="str">
        <f t="shared" si="7"/>
        <v xml:space="preserve"> </v>
      </c>
      <c r="R23" s="94" t="str">
        <f>IF(Q23=" "," ",IFERROR(VLOOKUP(P23,Points!$A$2:$B$14,2,FALSE)," "))</f>
        <v xml:space="preserve"> </v>
      </c>
      <c r="S23" s="92"/>
      <c r="T23" s="93" t="str">
        <f t="shared" si="8"/>
        <v xml:space="preserve"> </v>
      </c>
      <c r="U23" s="93" t="str">
        <f t="shared" si="9"/>
        <v xml:space="preserve"> </v>
      </c>
      <c r="V23" s="94" t="str">
        <f>IF(U23=" "," ",IFERROR(VLOOKUP(T23,Points!$A$2:$B$14,2,FALSE)," "))</f>
        <v xml:space="preserve"> </v>
      </c>
      <c r="W23" s="92"/>
      <c r="X23" s="93" t="str">
        <f t="shared" si="10"/>
        <v xml:space="preserve"> </v>
      </c>
      <c r="Y23" s="93" t="str">
        <f t="shared" si="11"/>
        <v xml:space="preserve"> </v>
      </c>
      <c r="Z23" s="94" t="str">
        <f>IF(Y23=" "," ",IFERROR(VLOOKUP(X23,Points!$A$2:$B$14,2,FALSE)," "))</f>
        <v xml:space="preserve"> </v>
      </c>
      <c r="AA23" s="92"/>
      <c r="AB23" s="93" t="str">
        <f t="shared" si="12"/>
        <v xml:space="preserve"> </v>
      </c>
      <c r="AC23" s="93" t="str">
        <f t="shared" si="13"/>
        <v xml:space="preserve"> </v>
      </c>
      <c r="AD23" s="94" t="str">
        <f>IF(AC23=" "," ",IFERROR(VLOOKUP(AB23,Points!$A$2:$B$14,2,FALSE)," "))</f>
        <v xml:space="preserve"> </v>
      </c>
      <c r="AE23" s="92" t="str">
        <f t="shared" si="17"/>
        <v xml:space="preserve"> </v>
      </c>
      <c r="AF23" s="93" t="str">
        <f t="shared" si="18"/>
        <v xml:space="preserve"> </v>
      </c>
      <c r="AG23" s="93" t="str">
        <f t="shared" si="19"/>
        <v xml:space="preserve"> </v>
      </c>
      <c r="AH23" s="94" t="str">
        <f>IF(AG23=" "," ",IFERROR(VLOOKUP(AG23,Points!$A$2:$B$14,2,FALSE)," "))</f>
        <v xml:space="preserve"> </v>
      </c>
    </row>
    <row r="24" spans="2:34" x14ac:dyDescent="0.25">
      <c r="B24" s="90" t="s">
        <v>278</v>
      </c>
      <c r="C24" s="92"/>
      <c r="D24" s="97" t="str">
        <f t="shared" si="0"/>
        <v xml:space="preserve"> </v>
      </c>
      <c r="E24" s="97" t="str">
        <f t="shared" si="1"/>
        <v xml:space="preserve"> </v>
      </c>
      <c r="F24" s="94" t="str">
        <f>IF(E24=" "," ",IFERROR(VLOOKUP(D24,Points!$A$2:$B$14,2,FALSE)," "))</f>
        <v xml:space="preserve"> </v>
      </c>
      <c r="G24" s="92"/>
      <c r="H24" s="97" t="str">
        <f t="shared" si="2"/>
        <v xml:space="preserve"> </v>
      </c>
      <c r="I24" s="97" t="str">
        <f t="shared" si="3"/>
        <v xml:space="preserve"> </v>
      </c>
      <c r="J24" s="94" t="str">
        <f>IF(I24=" "," ",IFERROR(VLOOKUP(H24,Points!$A$2:$B$14,2,FALSE)," "))</f>
        <v xml:space="preserve"> </v>
      </c>
      <c r="K24" s="92"/>
      <c r="L24" s="97" t="str">
        <f t="shared" si="4"/>
        <v xml:space="preserve"> </v>
      </c>
      <c r="M24" s="97" t="str">
        <f t="shared" si="5"/>
        <v xml:space="preserve"> </v>
      </c>
      <c r="N24" s="94" t="str">
        <f>IF(M24=" "," ",IFERROR(VLOOKUP(L24,Points!$A$2:$B$14,2,FALSE)," "))</f>
        <v xml:space="preserve"> </v>
      </c>
      <c r="O24" s="92">
        <v>0</v>
      </c>
      <c r="P24" s="97" t="str">
        <f t="shared" si="6"/>
        <v xml:space="preserve"> </v>
      </c>
      <c r="Q24" s="97" t="str">
        <f t="shared" si="7"/>
        <v xml:space="preserve"> </v>
      </c>
      <c r="R24" s="94" t="str">
        <f>IF(Q24=" "," ",IFERROR(VLOOKUP(P24,Points!$A$2:$B$14,2,FALSE)," "))</f>
        <v xml:space="preserve"> </v>
      </c>
      <c r="S24" s="92"/>
      <c r="T24" s="97" t="str">
        <f t="shared" si="8"/>
        <v xml:space="preserve"> </v>
      </c>
      <c r="U24" s="97" t="str">
        <f t="shared" si="9"/>
        <v xml:space="preserve"> </v>
      </c>
      <c r="V24" s="94" t="str">
        <f>IF(U24=" "," ",IFERROR(VLOOKUP(T24,Points!$A$2:$B$14,2,FALSE)," "))</f>
        <v xml:space="preserve"> </v>
      </c>
      <c r="W24" s="92"/>
      <c r="X24" s="97" t="str">
        <f t="shared" si="10"/>
        <v xml:space="preserve"> </v>
      </c>
      <c r="Y24" s="97" t="str">
        <f t="shared" si="11"/>
        <v xml:space="preserve"> </v>
      </c>
      <c r="Z24" s="94" t="str">
        <f>IF(Y24=" "," ",IFERROR(VLOOKUP(X24,Points!$A$2:$B$14,2,FALSE)," "))</f>
        <v xml:space="preserve"> </v>
      </c>
      <c r="AA24" s="92"/>
      <c r="AB24" s="97" t="str">
        <f t="shared" si="12"/>
        <v xml:space="preserve"> </v>
      </c>
      <c r="AC24" s="97" t="str">
        <f t="shared" si="13"/>
        <v xml:space="preserve"> </v>
      </c>
      <c r="AD24" s="94" t="str">
        <f>IF(AC24=" "," ",IFERROR(VLOOKUP(AB24,Points!$A$2:$B$14,2,FALSE)," "))</f>
        <v xml:space="preserve"> </v>
      </c>
      <c r="AE24" s="92" t="str">
        <f t="shared" si="17"/>
        <v xml:space="preserve"> </v>
      </c>
      <c r="AF24" s="98" t="str">
        <f t="shared" si="18"/>
        <v xml:space="preserve"> </v>
      </c>
      <c r="AG24" s="97" t="str">
        <f t="shared" si="19"/>
        <v xml:space="preserve"> </v>
      </c>
      <c r="AH24" s="94" t="str">
        <f>IF(AG24=" "," ",IFERROR(VLOOKUP(AG24,Points!$A$2:$B$14,2,FALSE)," "))</f>
        <v xml:space="preserve"> </v>
      </c>
    </row>
    <row r="25" spans="2:34" x14ac:dyDescent="0.25">
      <c r="B25" s="90" t="s">
        <v>285</v>
      </c>
      <c r="C25" s="92"/>
      <c r="D25" s="97" t="str">
        <f t="shared" si="0"/>
        <v xml:space="preserve"> </v>
      </c>
      <c r="E25" s="97" t="str">
        <f t="shared" si="1"/>
        <v xml:space="preserve"> </v>
      </c>
      <c r="F25" s="94" t="str">
        <f>IF(E25=" "," ",IFERROR(VLOOKUP(D25,Points!$A$2:$B$14,2,FALSE)," "))</f>
        <v xml:space="preserve"> </v>
      </c>
      <c r="G25" s="92"/>
      <c r="H25" s="97" t="str">
        <f t="shared" si="2"/>
        <v xml:space="preserve"> </v>
      </c>
      <c r="I25" s="97" t="str">
        <f t="shared" si="3"/>
        <v xml:space="preserve"> </v>
      </c>
      <c r="J25" s="94" t="str">
        <f>IF(I25=" "," ",IFERROR(VLOOKUP(H25,Points!$A$2:$B$14,2,FALSE)," "))</f>
        <v xml:space="preserve"> </v>
      </c>
      <c r="K25" s="92"/>
      <c r="L25" s="97" t="str">
        <f t="shared" si="4"/>
        <v xml:space="preserve"> </v>
      </c>
      <c r="M25" s="97" t="str">
        <f t="shared" si="5"/>
        <v xml:space="preserve"> </v>
      </c>
      <c r="N25" s="94" t="str">
        <f>IF(M25=" "," ",IFERROR(VLOOKUP(L25,Points!$A$2:$B$14,2,FALSE)," "))</f>
        <v xml:space="preserve"> </v>
      </c>
      <c r="O25" s="92"/>
      <c r="P25" s="97" t="str">
        <f t="shared" si="6"/>
        <v xml:space="preserve"> </v>
      </c>
      <c r="Q25" s="97" t="str">
        <f t="shared" si="7"/>
        <v xml:space="preserve"> </v>
      </c>
      <c r="R25" s="94" t="str">
        <f>IF(Q25=" "," ",IFERROR(VLOOKUP(P25,Points!$A$2:$B$14,2,FALSE)," "))</f>
        <v xml:space="preserve"> </v>
      </c>
      <c r="S25" s="92">
        <v>0</v>
      </c>
      <c r="T25" s="97" t="str">
        <f t="shared" si="8"/>
        <v xml:space="preserve"> </v>
      </c>
      <c r="U25" s="97" t="str">
        <f t="shared" si="9"/>
        <v xml:space="preserve"> </v>
      </c>
      <c r="V25" s="94" t="str">
        <f>IF(U25=" "," ",IFERROR(VLOOKUP(T25,Points!$A$2:$B$14,2,FALSE)," "))</f>
        <v xml:space="preserve"> </v>
      </c>
      <c r="W25" s="92"/>
      <c r="X25" s="97" t="str">
        <f t="shared" si="10"/>
        <v xml:space="preserve"> </v>
      </c>
      <c r="Y25" s="97" t="str">
        <f t="shared" si="11"/>
        <v xml:space="preserve"> </v>
      </c>
      <c r="Z25" s="94" t="str">
        <f>IF(Y25=" "," ",IFERROR(VLOOKUP(X25,Points!$A$2:$B$14,2,FALSE)," "))</f>
        <v xml:space="preserve"> </v>
      </c>
      <c r="AA25" s="92"/>
      <c r="AB25" s="97" t="str">
        <f t="shared" si="12"/>
        <v xml:space="preserve"> </v>
      </c>
      <c r="AC25" s="97" t="str">
        <f t="shared" si="13"/>
        <v xml:space="preserve"> </v>
      </c>
      <c r="AD25" s="94" t="str">
        <f>IF(AC25=" "," ",IFERROR(VLOOKUP(AB25,Points!$A$2:$B$14,2,FALSE)," "))</f>
        <v xml:space="preserve"> </v>
      </c>
      <c r="AE25" s="92" t="str">
        <f t="shared" si="17"/>
        <v xml:space="preserve"> </v>
      </c>
      <c r="AF25" s="98" t="str">
        <f t="shared" si="18"/>
        <v xml:space="preserve"> </v>
      </c>
      <c r="AG25" s="97" t="str">
        <f t="shared" si="19"/>
        <v xml:space="preserve"> </v>
      </c>
      <c r="AH25" s="94" t="str">
        <f>IF(AG25=" "," ",IFERROR(VLOOKUP(AG25,Points!$A$2:$B$14,2,FALSE)," "))</f>
        <v xml:space="preserve"> </v>
      </c>
    </row>
    <row r="26" spans="2:34" x14ac:dyDescent="0.25">
      <c r="B26" s="90" t="s">
        <v>279</v>
      </c>
      <c r="C26" s="92"/>
      <c r="D26" s="97" t="str">
        <f t="shared" si="0"/>
        <v xml:space="preserve"> </v>
      </c>
      <c r="E26" s="97" t="str">
        <f t="shared" si="1"/>
        <v xml:space="preserve"> </v>
      </c>
      <c r="F26" s="94" t="str">
        <f>IF(E26=" "," ",IFERROR(VLOOKUP(D26,Points!$A$2:$B$14,2,FALSE)," "))</f>
        <v xml:space="preserve"> </v>
      </c>
      <c r="G26" s="92"/>
      <c r="H26" s="97" t="str">
        <f t="shared" si="2"/>
        <v xml:space="preserve"> </v>
      </c>
      <c r="I26" s="97" t="str">
        <f t="shared" si="3"/>
        <v xml:space="preserve"> </v>
      </c>
      <c r="J26" s="94" t="str">
        <f>IF(I26=" "," ",IFERROR(VLOOKUP(H26,Points!$A$2:$B$14,2,FALSE)," "))</f>
        <v xml:space="preserve"> </v>
      </c>
      <c r="K26" s="92"/>
      <c r="L26" s="97" t="str">
        <f t="shared" si="4"/>
        <v xml:space="preserve"> </v>
      </c>
      <c r="M26" s="97" t="str">
        <f t="shared" si="5"/>
        <v xml:space="preserve"> </v>
      </c>
      <c r="N26" s="94" t="str">
        <f>IF(M26=" "," ",IFERROR(VLOOKUP(L26,Points!$A$2:$B$14,2,FALSE)," "))</f>
        <v xml:space="preserve"> </v>
      </c>
      <c r="O26" s="92">
        <v>19.829999999999998</v>
      </c>
      <c r="P26" s="97">
        <f t="shared" si="6"/>
        <v>4</v>
      </c>
      <c r="Q26" s="97">
        <f t="shared" si="7"/>
        <v>4</v>
      </c>
      <c r="R26" s="94">
        <f>IF(Q26=" "," ",IFERROR(VLOOKUP(P26,Points!$A$2:$B$14,2,FALSE)," "))</f>
        <v>9</v>
      </c>
      <c r="S26" s="92">
        <v>0</v>
      </c>
      <c r="T26" s="97" t="str">
        <f t="shared" si="8"/>
        <v xml:space="preserve"> </v>
      </c>
      <c r="U26" s="97" t="str">
        <f t="shared" si="9"/>
        <v xml:space="preserve"> </v>
      </c>
      <c r="V26" s="94" t="str">
        <f>IF(U26=" "," ",IFERROR(VLOOKUP(T26,Points!$A$2:$B$14,2,FALSE)," "))</f>
        <v xml:space="preserve"> </v>
      </c>
      <c r="W26" s="92">
        <v>0</v>
      </c>
      <c r="X26" s="97" t="str">
        <f t="shared" si="10"/>
        <v xml:space="preserve"> </v>
      </c>
      <c r="Y26" s="97" t="str">
        <f t="shared" si="11"/>
        <v xml:space="preserve"> </v>
      </c>
      <c r="Z26" s="94" t="str">
        <f>IF(Y26=" "," ",IFERROR(VLOOKUP(X26,Points!$A$2:$B$14,2,FALSE)," "))</f>
        <v xml:space="preserve"> </v>
      </c>
      <c r="AA26" s="92">
        <v>0</v>
      </c>
      <c r="AB26" s="97" t="str">
        <f t="shared" si="12"/>
        <v xml:space="preserve"> </v>
      </c>
      <c r="AC26" s="97" t="str">
        <f t="shared" si="13"/>
        <v xml:space="preserve"> </v>
      </c>
      <c r="AD26" s="94" t="str">
        <f>IF(AC26=" "," ",IFERROR(VLOOKUP(AB26,Points!$A$2:$B$14,2,FALSE)," "))</f>
        <v xml:space="preserve"> </v>
      </c>
      <c r="AE26" s="92" t="str">
        <f t="shared" si="17"/>
        <v xml:space="preserve"> </v>
      </c>
      <c r="AF26" s="98" t="str">
        <f t="shared" si="18"/>
        <v xml:space="preserve"> </v>
      </c>
      <c r="AG26" s="97" t="str">
        <f t="shared" si="19"/>
        <v xml:space="preserve"> </v>
      </c>
      <c r="AH26" s="94" t="str">
        <f>IF(AG26=" "," ",IFERROR(VLOOKUP(AG26,Points!$A$2:$B$14,2,FALSE)," "))</f>
        <v xml:space="preserve"> </v>
      </c>
    </row>
    <row r="27" spans="2:34" x14ac:dyDescent="0.25">
      <c r="B27" s="90" t="s">
        <v>280</v>
      </c>
      <c r="C27" s="92"/>
      <c r="D27" s="97" t="str">
        <f t="shared" si="0"/>
        <v xml:space="preserve"> </v>
      </c>
      <c r="E27" s="97" t="str">
        <f t="shared" si="1"/>
        <v xml:space="preserve"> </v>
      </c>
      <c r="F27" s="94" t="str">
        <f>IF(E27=" "," ",IFERROR(VLOOKUP(D27,Points!$A$2:$B$14,2,FALSE)," "))</f>
        <v xml:space="preserve"> </v>
      </c>
      <c r="G27" s="92"/>
      <c r="H27" s="97" t="str">
        <f t="shared" si="2"/>
        <v xml:space="preserve"> </v>
      </c>
      <c r="I27" s="97" t="str">
        <f t="shared" si="3"/>
        <v xml:space="preserve"> </v>
      </c>
      <c r="J27" s="94" t="str">
        <f>IF(I27=" "," ",IFERROR(VLOOKUP(H27,Points!$A$2:$B$14,2,FALSE)," "))</f>
        <v xml:space="preserve"> </v>
      </c>
      <c r="K27" s="92"/>
      <c r="L27" s="97" t="str">
        <f t="shared" si="4"/>
        <v xml:space="preserve"> </v>
      </c>
      <c r="M27" s="97" t="str">
        <f t="shared" si="5"/>
        <v xml:space="preserve"> </v>
      </c>
      <c r="N27" s="94" t="str">
        <f>IF(M27=" "," ",IFERROR(VLOOKUP(L27,Points!$A$2:$B$14,2,FALSE)," "))</f>
        <v xml:space="preserve"> </v>
      </c>
      <c r="O27" s="92">
        <v>0</v>
      </c>
      <c r="P27" s="97" t="str">
        <f t="shared" si="6"/>
        <v xml:space="preserve"> </v>
      </c>
      <c r="Q27" s="97" t="str">
        <f t="shared" si="7"/>
        <v xml:space="preserve"> </v>
      </c>
      <c r="R27" s="94" t="str">
        <f>IF(Q27=" "," ",IFERROR(VLOOKUP(P27,Points!$A$2:$B$14,2,FALSE)," "))</f>
        <v xml:space="preserve"> </v>
      </c>
      <c r="S27" s="92">
        <v>0</v>
      </c>
      <c r="T27" s="97" t="str">
        <f t="shared" si="8"/>
        <v xml:space="preserve"> </v>
      </c>
      <c r="U27" s="97" t="str">
        <f t="shared" si="9"/>
        <v xml:space="preserve"> </v>
      </c>
      <c r="V27" s="94" t="str">
        <f>IF(U27=" "," ",IFERROR(VLOOKUP(T27,Points!$A$2:$B$14,2,FALSE)," "))</f>
        <v xml:space="preserve"> </v>
      </c>
      <c r="W27" s="92"/>
      <c r="X27" s="97" t="str">
        <f t="shared" si="10"/>
        <v xml:space="preserve"> </v>
      </c>
      <c r="Y27" s="97" t="str">
        <f t="shared" si="11"/>
        <v xml:space="preserve"> </v>
      </c>
      <c r="Z27" s="94" t="str">
        <f>IF(Y27=" "," ",IFERROR(VLOOKUP(X27,Points!$A$2:$B$14,2,FALSE)," "))</f>
        <v xml:space="preserve"> </v>
      </c>
      <c r="AA27" s="92"/>
      <c r="AB27" s="97" t="str">
        <f t="shared" si="12"/>
        <v xml:space="preserve"> </v>
      </c>
      <c r="AC27" s="97" t="str">
        <f t="shared" si="13"/>
        <v xml:space="preserve"> </v>
      </c>
      <c r="AD27" s="94" t="str">
        <f>IF(AC27=" "," ",IFERROR(VLOOKUP(AB27,Points!$A$2:$B$14,2,FALSE)," "))</f>
        <v xml:space="preserve"> </v>
      </c>
      <c r="AE27" s="92" t="str">
        <f t="shared" si="17"/>
        <v xml:space="preserve"> </v>
      </c>
      <c r="AF27" s="98" t="str">
        <f t="shared" si="18"/>
        <v xml:space="preserve"> </v>
      </c>
      <c r="AG27" s="97" t="str">
        <f t="shared" si="19"/>
        <v xml:space="preserve"> </v>
      </c>
      <c r="AH27" s="94" t="str">
        <f>IF(AG27=" "," ",IFERROR(VLOOKUP(AG27,Points!$A$2:$B$14,2,FALSE)," "))</f>
        <v xml:space="preserve"> </v>
      </c>
    </row>
    <row r="28" spans="2:34" ht="14.4" thickBot="1" x14ac:dyDescent="0.3">
      <c r="B28" s="100" t="s">
        <v>277</v>
      </c>
      <c r="C28" s="102"/>
      <c r="D28" s="103" t="str">
        <f t="shared" si="0"/>
        <v xml:space="preserve"> </v>
      </c>
      <c r="E28" s="103" t="str">
        <f t="shared" si="1"/>
        <v xml:space="preserve"> </v>
      </c>
      <c r="F28" s="104" t="str">
        <f>IF(E28=" "," ",IFERROR(VLOOKUP(D28,Points!$A$2:$B$14,2,FALSE)," "))</f>
        <v xml:space="preserve"> </v>
      </c>
      <c r="G28" s="102"/>
      <c r="H28" s="103" t="str">
        <f t="shared" si="2"/>
        <v xml:space="preserve"> </v>
      </c>
      <c r="I28" s="103" t="str">
        <f t="shared" si="3"/>
        <v xml:space="preserve"> </v>
      </c>
      <c r="J28" s="104" t="str">
        <f>IF(I28=" "," ",IFERROR(VLOOKUP(H28,Points!$A$2:$B$14,2,FALSE)," "))</f>
        <v xml:space="preserve"> </v>
      </c>
      <c r="K28" s="102"/>
      <c r="L28" s="103" t="str">
        <f t="shared" si="4"/>
        <v xml:space="preserve"> </v>
      </c>
      <c r="M28" s="103" t="str">
        <f t="shared" si="5"/>
        <v xml:space="preserve"> </v>
      </c>
      <c r="N28" s="104" t="str">
        <f>IF(M28=" "," ",IFERROR(VLOOKUP(L28,Points!$A$2:$B$14,2,FALSE)," "))</f>
        <v xml:space="preserve"> </v>
      </c>
      <c r="O28" s="102">
        <v>0</v>
      </c>
      <c r="P28" s="103" t="str">
        <f t="shared" si="6"/>
        <v xml:space="preserve"> </v>
      </c>
      <c r="Q28" s="103" t="str">
        <f t="shared" si="7"/>
        <v xml:space="preserve"> </v>
      </c>
      <c r="R28" s="104" t="str">
        <f>IF(Q28=" "," ",IFERROR(VLOOKUP(P28,Points!$A$2:$B$14,2,FALSE)," "))</f>
        <v xml:space="preserve"> </v>
      </c>
      <c r="S28" s="102">
        <v>0</v>
      </c>
      <c r="T28" s="103" t="str">
        <f t="shared" si="8"/>
        <v xml:space="preserve"> </v>
      </c>
      <c r="U28" s="103" t="str">
        <f t="shared" si="9"/>
        <v xml:space="preserve"> </v>
      </c>
      <c r="V28" s="104" t="str">
        <f>IF(U28=" "," ",IFERROR(VLOOKUP(T28,Points!$A$2:$B$14,2,FALSE)," "))</f>
        <v xml:space="preserve"> </v>
      </c>
      <c r="W28" s="102"/>
      <c r="X28" s="103" t="str">
        <f t="shared" si="10"/>
        <v xml:space="preserve"> </v>
      </c>
      <c r="Y28" s="103" t="str">
        <f t="shared" si="11"/>
        <v xml:space="preserve"> </v>
      </c>
      <c r="Z28" s="104" t="str">
        <f>IF(Y28=" "," ",IFERROR(VLOOKUP(X28,Points!$A$2:$B$14,2,FALSE)," "))</f>
        <v xml:space="preserve"> </v>
      </c>
      <c r="AA28" s="102"/>
      <c r="AB28" s="103" t="str">
        <f t="shared" si="12"/>
        <v xml:space="preserve"> </v>
      </c>
      <c r="AC28" s="103" t="str">
        <f t="shared" si="13"/>
        <v xml:space="preserve"> </v>
      </c>
      <c r="AD28" s="104" t="str">
        <f>IF(AC28=" "," ",IFERROR(VLOOKUP(AB28,Points!$A$2:$B$14,2,FALSE)," "))</f>
        <v xml:space="preserve"> </v>
      </c>
      <c r="AE28" s="102" t="str">
        <f t="shared" si="17"/>
        <v xml:space="preserve"> </v>
      </c>
      <c r="AF28" s="103" t="str">
        <f t="shared" si="18"/>
        <v xml:space="preserve"> </v>
      </c>
      <c r="AG28" s="103" t="str">
        <f t="shared" si="19"/>
        <v xml:space="preserve"> </v>
      </c>
      <c r="AH28" s="104" t="str">
        <f>IF(AG28=" "," ",IFERROR(VLOOKUP(AG28,Points!$A$2:$B$14,2,FALSE)," "))</f>
        <v xml:space="preserve"> </v>
      </c>
    </row>
    <row r="29" spans="2:34" ht="14.4" thickBot="1" x14ac:dyDescent="0.3">
      <c r="B29" s="106" t="s">
        <v>235</v>
      </c>
      <c r="AF29" s="107"/>
    </row>
    <row r="31" spans="2:34" x14ac:dyDescent="0.25">
      <c r="E31" s="107"/>
    </row>
    <row r="32" spans="2:34" x14ac:dyDescent="0.25">
      <c r="E32" s="107"/>
    </row>
    <row r="33" spans="7:7" x14ac:dyDescent="0.25">
      <c r="G33" s="108"/>
    </row>
  </sheetData>
  <sheetProtection algorithmName="SHA-512" hashValue="vrW1A4DgpLcUZhLAJ1ZbsH3MxZOXPy5wRBuasU4kz8VvVJeqh1RC2p8cCn+mvraeBS7Y2vjtJEEjGLyVy541yw==" saltValue="biJ58ZDK8Vq68WS9p9eFQg==" spinCount="100000" sheet="1" objects="1" scenarios="1"/>
  <mergeCells count="8">
    <mergeCell ref="W2:Z2"/>
    <mergeCell ref="AA2:AD2"/>
    <mergeCell ref="AE2:AH2"/>
    <mergeCell ref="C2:F2"/>
    <mergeCell ref="G2:J2"/>
    <mergeCell ref="K2:N2"/>
    <mergeCell ref="O2:R2"/>
    <mergeCell ref="S2:V2"/>
  </mergeCells>
  <pageMargins left="0.7" right="0.7" top="0.75" bottom="0.75" header="0.3" footer="0.3"/>
  <pageSetup orientation="portrait" r:id="rId1"/>
  <ignoredErrors>
    <ignoredError sqref="AE10:AG20" calculatedColumn="1"/>
  </ignoredErrors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F4184-F9EC-4CC6-84E0-A3E9F94DEAC7}">
  <sheetPr codeName="Sheet92">
    <tabColor theme="8" tint="0.59999389629810485"/>
  </sheetPr>
  <dimension ref="B1:N24"/>
  <sheetViews>
    <sheetView showGridLines="0" zoomScaleNormal="100" workbookViewId="0">
      <pane xSplit="2" topLeftCell="C1" activePane="topRight" state="frozen"/>
      <selection activeCell="F36" sqref="F36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24.6640625" style="58" customWidth="1"/>
    <col min="5" max="11" width="24.6640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09375" style="62"/>
  </cols>
  <sheetData>
    <row r="1" spans="2:14" ht="18" thickBot="1" x14ac:dyDescent="0.35">
      <c r="B1" s="54"/>
      <c r="C1" s="55"/>
    </row>
    <row r="2" spans="2:14" s="64" customFormat="1" ht="17.399999999999999" x14ac:dyDescent="0.3">
      <c r="B2" s="168" t="s">
        <v>118</v>
      </c>
      <c r="C2" s="169"/>
      <c r="D2" s="130">
        <v>43590</v>
      </c>
      <c r="E2" s="130">
        <v>43632</v>
      </c>
      <c r="F2" s="130">
        <v>43659</v>
      </c>
      <c r="G2" s="130">
        <v>43660</v>
      </c>
      <c r="H2" s="130">
        <v>43681</v>
      </c>
      <c r="I2" s="130" t="s">
        <v>183</v>
      </c>
      <c r="J2" s="130" t="s">
        <v>184</v>
      </c>
      <c r="K2" s="131" t="s">
        <v>3</v>
      </c>
      <c r="L2" s="63"/>
      <c r="M2" s="166" t="s">
        <v>4</v>
      </c>
      <c r="N2" s="167"/>
    </row>
    <row r="3" spans="2:14" s="74" customFormat="1" ht="14.4" thickBot="1" x14ac:dyDescent="0.3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2" t="s">
        <v>2</v>
      </c>
      <c r="L3" s="68"/>
      <c r="M3" s="72" t="s">
        <v>2</v>
      </c>
      <c r="N3" s="73" t="s">
        <v>1</v>
      </c>
    </row>
    <row r="4" spans="2:14" s="74" customFormat="1" ht="18" hidden="1" thickBot="1" x14ac:dyDescent="0.3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3" t="s">
        <v>36</v>
      </c>
      <c r="L4" s="78" t="s">
        <v>40</v>
      </c>
      <c r="M4" s="82" t="s">
        <v>16</v>
      </c>
      <c r="N4" s="78" t="s">
        <v>37</v>
      </c>
    </row>
    <row r="5" spans="2:14" x14ac:dyDescent="0.25">
      <c r="B5" s="83" t="s">
        <v>137</v>
      </c>
      <c r="C5" s="84"/>
      <c r="D5" s="134">
        <v>15</v>
      </c>
      <c r="E5" s="134">
        <v>18</v>
      </c>
      <c r="F5" s="134">
        <v>24</v>
      </c>
      <c r="G5" s="134"/>
      <c r="H5" s="134"/>
      <c r="I5" s="134">
        <v>15</v>
      </c>
      <c r="J5" s="134">
        <v>27</v>
      </c>
      <c r="K5" s="134">
        <v>27</v>
      </c>
      <c r="L5" s="86">
        <f>IF(Table622027323334171819305148[[#This Row],[Non-Member]]="X"," ",((IF(D5=" ",0,D5))+(IF(E5=" ",0,E5))+(IF(F5=" ",0,F5))+(IF(G5=" ",0,G5))+(IF(H5=" ",0,H5))+(IF(I5=" ",0,I5))+(IF(J5=" ",0,J5))+(IF(K5=" ",0,K5))))</f>
        <v>126</v>
      </c>
      <c r="M5" s="88">
        <f t="shared" ref="M5:M24" si="0">IF(L5=0," ",L5)</f>
        <v>126</v>
      </c>
      <c r="N5" s="89">
        <f t="shared" ref="N5:N24" si="1">IF(M5=" "," ",RANK(M5,$M$5:$M$24))</f>
        <v>1</v>
      </c>
    </row>
    <row r="6" spans="2:14" x14ac:dyDescent="0.25">
      <c r="B6" s="90" t="s">
        <v>150</v>
      </c>
      <c r="C6" s="91"/>
      <c r="D6" s="135"/>
      <c r="E6" s="135">
        <v>6</v>
      </c>
      <c r="F6" s="135"/>
      <c r="G6" s="135">
        <v>18</v>
      </c>
      <c r="H6" s="135"/>
      <c r="I6" s="135">
        <v>18</v>
      </c>
      <c r="J6" s="135">
        <v>18</v>
      </c>
      <c r="K6" s="135">
        <v>18</v>
      </c>
      <c r="L6" s="93">
        <f>IF(Table622027323334171819305148[[#This Row],[Non-Member]]="X"," ",((IF(D6=" ",0,D6))+(IF(E6=" ",0,E6))+(IF(F6=" ",0,F6))+(IF(G6=" ",0,G6))+(IF(H6=" ",0,H6))+(IF(I6=" ",0,I6))+(IF(J6=" ",0,J6))+(IF(K6=" ",0,K6))))</f>
        <v>78</v>
      </c>
      <c r="M6" s="95">
        <f t="shared" si="0"/>
        <v>78</v>
      </c>
      <c r="N6" s="96">
        <f t="shared" si="1"/>
        <v>2</v>
      </c>
    </row>
    <row r="7" spans="2:14" x14ac:dyDescent="0.25">
      <c r="B7" s="90" t="s">
        <v>160</v>
      </c>
      <c r="C7" s="91"/>
      <c r="D7" s="135"/>
      <c r="E7" s="135">
        <v>27</v>
      </c>
      <c r="F7" s="135">
        <v>30</v>
      </c>
      <c r="G7" s="135">
        <v>15</v>
      </c>
      <c r="H7" s="135"/>
      <c r="I7" s="135"/>
      <c r="J7" s="135"/>
      <c r="K7" s="135"/>
      <c r="L7" s="93">
        <f>IF(Table622027323334171819305148[[#This Row],[Non-Member]]="X"," ",((IF(D7=" ",0,D7))+(IF(E7=" ",0,E7))+(IF(F7=" ",0,F7))+(IF(G7=" ",0,G7))+(IF(H7=" ",0,H7))+(IF(I7=" ",0,I7))+(IF(J7=" ",0,J7))+(IF(K7=" ",0,K7))))</f>
        <v>72</v>
      </c>
      <c r="M7" s="95">
        <f t="shared" si="0"/>
        <v>72</v>
      </c>
      <c r="N7" s="96">
        <f t="shared" si="1"/>
        <v>3</v>
      </c>
    </row>
    <row r="8" spans="2:14" x14ac:dyDescent="0.25">
      <c r="B8" s="90" t="s">
        <v>158</v>
      </c>
      <c r="C8" s="91"/>
      <c r="D8" s="135">
        <v>21</v>
      </c>
      <c r="E8" s="135">
        <v>12</v>
      </c>
      <c r="F8" s="135"/>
      <c r="G8" s="135">
        <v>9</v>
      </c>
      <c r="H8" s="135"/>
      <c r="I8" s="135"/>
      <c r="J8" s="135"/>
      <c r="K8" s="135"/>
      <c r="L8" s="93">
        <f>IF(Table622027323334171819305148[[#This Row],[Non-Member]]="X"," ",((IF(D8=" ",0,D8))+(IF(E8=" ",0,E8))+(IF(F8=" ",0,F8))+(IF(G8=" ",0,G8))+(IF(H8=" ",0,H8))+(IF(I8=" ",0,I8))+(IF(J8=" ",0,J8))+(IF(K8=" ",0,K8))))</f>
        <v>42</v>
      </c>
      <c r="M8" s="95">
        <f t="shared" si="0"/>
        <v>42</v>
      </c>
      <c r="N8" s="96">
        <f t="shared" si="1"/>
        <v>4</v>
      </c>
    </row>
    <row r="9" spans="2:14" x14ac:dyDescent="0.25">
      <c r="B9" s="90" t="s">
        <v>134</v>
      </c>
      <c r="C9" s="91"/>
      <c r="D9" s="135">
        <v>24</v>
      </c>
      <c r="E9" s="135"/>
      <c r="F9" s="135"/>
      <c r="G9" s="135"/>
      <c r="H9" s="135"/>
      <c r="I9" s="135"/>
      <c r="J9" s="135"/>
      <c r="K9" s="135"/>
      <c r="L9" s="93">
        <f>IF(Table622027323334171819305148[[#This Row],[Non-Member]]="X"," ",((IF(D9=" ",0,D9))+(IF(E9=" ",0,E9))+(IF(F9=" ",0,F9))+(IF(G9=" ",0,G9))+(IF(H9=" ",0,H9))+(IF(I9=" ",0,I9))+(IF(J9=" ",0,J9))+(IF(K9=" ",0,K9))))</f>
        <v>24</v>
      </c>
      <c r="M9" s="95">
        <f t="shared" si="0"/>
        <v>24</v>
      </c>
      <c r="N9" s="96">
        <f t="shared" si="1"/>
        <v>5</v>
      </c>
    </row>
    <row r="10" spans="2:14" x14ac:dyDescent="0.25">
      <c r="B10" s="90" t="s">
        <v>162</v>
      </c>
      <c r="C10" s="91"/>
      <c r="D10" s="135"/>
      <c r="E10" s="135"/>
      <c r="F10" s="135"/>
      <c r="G10" s="135"/>
      <c r="H10" s="135"/>
      <c r="I10" s="135">
        <v>12</v>
      </c>
      <c r="J10" s="135"/>
      <c r="K10" s="135">
        <v>9</v>
      </c>
      <c r="L10" s="93">
        <f>IF(Table622027323334171819305148[[#This Row],[Non-Member]]="X"," ",((IF(D10=" ",0,D10))+(IF(E10=" ",0,E10))+(IF(F10=" ",0,F10))+(IF(G10=" ",0,G10))+(IF(H10=" ",0,H10))+(IF(I10=" ",0,I10))+(IF(J10=" ",0,J10))+(IF(K10=" ",0,K10))))</f>
        <v>21</v>
      </c>
      <c r="M10" s="95">
        <f t="shared" si="0"/>
        <v>21</v>
      </c>
      <c r="N10" s="96">
        <f t="shared" si="1"/>
        <v>6</v>
      </c>
    </row>
    <row r="11" spans="2:14" x14ac:dyDescent="0.25">
      <c r="B11" s="90" t="s">
        <v>136</v>
      </c>
      <c r="C11" s="91"/>
      <c r="D11" s="135"/>
      <c r="E11" s="135"/>
      <c r="F11" s="135"/>
      <c r="G11" s="135">
        <v>12</v>
      </c>
      <c r="H11" s="135"/>
      <c r="I11" s="135"/>
      <c r="J11" s="135"/>
      <c r="K11" s="135"/>
      <c r="L11" s="93">
        <f>IF(Table622027323334171819305148[[#This Row],[Non-Member]]="X"," ",((IF(D11=" ",0,D11))+(IF(E11=" ",0,E11))+(IF(F11=" ",0,F11))+(IF(G11=" ",0,G11))+(IF(H11=" ",0,H11))+(IF(I11=" ",0,I11))+(IF(J11=" ",0,J11))+(IF(K11=" ",0,K11))))</f>
        <v>12</v>
      </c>
      <c r="M11" s="95">
        <f t="shared" si="0"/>
        <v>12</v>
      </c>
      <c r="N11" s="96">
        <f t="shared" si="1"/>
        <v>7</v>
      </c>
    </row>
    <row r="12" spans="2:14" x14ac:dyDescent="0.25">
      <c r="B12" s="90" t="s">
        <v>151</v>
      </c>
      <c r="C12" s="91"/>
      <c r="D12" s="135"/>
      <c r="E12" s="135"/>
      <c r="F12" s="135">
        <v>6</v>
      </c>
      <c r="G12" s="135"/>
      <c r="H12" s="135"/>
      <c r="I12" s="135"/>
      <c r="J12" s="135"/>
      <c r="K12" s="135"/>
      <c r="L12" s="93">
        <f>IF(Table622027323334171819305148[[#This Row],[Non-Member]]="X"," ",((IF(D12=" ",0,D12))+(IF(E12=" ",0,E12))+(IF(F12=" ",0,F12))+(IF(G12=" ",0,G12))+(IF(H12=" ",0,H12))+(IF(I12=" ",0,I12))+(IF(J12=" ",0,J12))+(IF(K12=" ",0,K12))))</f>
        <v>6</v>
      </c>
      <c r="M12" s="95">
        <f t="shared" si="0"/>
        <v>6</v>
      </c>
      <c r="N12" s="96">
        <f t="shared" si="1"/>
        <v>8</v>
      </c>
    </row>
    <row r="13" spans="2:14" x14ac:dyDescent="0.25">
      <c r="B13" s="90" t="s">
        <v>68</v>
      </c>
      <c r="C13" s="91"/>
      <c r="D13" s="135"/>
      <c r="E13" s="135"/>
      <c r="F13" s="135"/>
      <c r="G13" s="135"/>
      <c r="H13" s="135"/>
      <c r="I13" s="135"/>
      <c r="J13" s="135"/>
      <c r="K13" s="135"/>
      <c r="L13" s="93">
        <f>IF(Table622027323334171819305148[[#This Row],[Non-Member]]="X"," ",((IF(D13=" ",0,D13))+(IF(E13=" ",0,E13))+(IF(F13=" ",0,F13))+(IF(G13=" ",0,G13))+(IF(H13=" ",0,H13))+(IF(I13=" ",0,I13))+(IF(J13=" ",0,J13))+(IF(K13=" ",0,K13))))</f>
        <v>0</v>
      </c>
      <c r="M13" s="95" t="str">
        <f t="shared" si="0"/>
        <v xml:space="preserve"> </v>
      </c>
      <c r="N13" s="96" t="str">
        <f t="shared" si="1"/>
        <v xml:space="preserve"> </v>
      </c>
    </row>
    <row r="14" spans="2:14" x14ac:dyDescent="0.25">
      <c r="B14" s="90" t="s">
        <v>271</v>
      </c>
      <c r="C14" s="91"/>
      <c r="D14" s="135"/>
      <c r="E14" s="135"/>
      <c r="F14" s="135"/>
      <c r="G14" s="135"/>
      <c r="H14" s="135"/>
      <c r="I14" s="135"/>
      <c r="J14" s="135"/>
      <c r="K14" s="135"/>
      <c r="L14" s="93">
        <f>IF(Table622027323334171819305148[[#This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25">
      <c r="B15" s="90" t="s">
        <v>163</v>
      </c>
      <c r="C15" s="91"/>
      <c r="D15" s="135"/>
      <c r="E15" s="135"/>
      <c r="F15" s="135"/>
      <c r="G15" s="135"/>
      <c r="H15" s="135"/>
      <c r="I15" s="135"/>
      <c r="J15" s="135"/>
      <c r="K15" s="135"/>
      <c r="L15" s="93">
        <f>IF(Table622027323334171819305148[[#This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6" t="str">
        <f t="shared" si="1"/>
        <v xml:space="preserve"> </v>
      </c>
    </row>
    <row r="16" spans="2:14" x14ac:dyDescent="0.25">
      <c r="B16" s="90"/>
      <c r="C16" s="91"/>
      <c r="D16" s="135"/>
      <c r="E16" s="135"/>
      <c r="F16" s="135"/>
      <c r="G16" s="135"/>
      <c r="H16" s="135"/>
      <c r="I16" s="135"/>
      <c r="J16" s="135"/>
      <c r="K16" s="135"/>
      <c r="L16" s="97">
        <f>IF(Table622027323334171819305148[[#This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8" t="str">
        <f t="shared" si="1"/>
        <v xml:space="preserve"> </v>
      </c>
    </row>
    <row r="17" spans="2:14" x14ac:dyDescent="0.25">
      <c r="B17" s="90"/>
      <c r="C17" s="91"/>
      <c r="D17" s="135"/>
      <c r="E17" s="135"/>
      <c r="F17" s="135"/>
      <c r="G17" s="135"/>
      <c r="H17" s="135"/>
      <c r="I17" s="135"/>
      <c r="J17" s="135"/>
      <c r="K17" s="135"/>
      <c r="L17" s="97">
        <f>IF(Table622027323334171819305148[[#This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8" t="str">
        <f t="shared" si="1"/>
        <v xml:space="preserve"> </v>
      </c>
    </row>
    <row r="18" spans="2:14" x14ac:dyDescent="0.25">
      <c r="B18" s="90"/>
      <c r="C18" s="91"/>
      <c r="D18" s="135"/>
      <c r="E18" s="135"/>
      <c r="F18" s="135"/>
      <c r="G18" s="135"/>
      <c r="H18" s="135"/>
      <c r="I18" s="135"/>
      <c r="J18" s="135"/>
      <c r="K18" s="135"/>
      <c r="L18" s="97">
        <f>IF(Table622027323334171819305148[[#This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8" t="str">
        <f t="shared" si="1"/>
        <v xml:space="preserve"> </v>
      </c>
    </row>
    <row r="19" spans="2:14" x14ac:dyDescent="0.25">
      <c r="B19" s="90"/>
      <c r="C19" s="91"/>
      <c r="D19" s="135"/>
      <c r="E19" s="135"/>
      <c r="F19" s="135"/>
      <c r="G19" s="135"/>
      <c r="H19" s="135"/>
      <c r="I19" s="135"/>
      <c r="J19" s="135"/>
      <c r="K19" s="135"/>
      <c r="L19" s="93">
        <f>IF(Table622027323334171819305148[[#This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25">
      <c r="B20" s="90"/>
      <c r="C20" s="91"/>
      <c r="D20" s="135"/>
      <c r="E20" s="135"/>
      <c r="F20" s="135"/>
      <c r="G20" s="135"/>
      <c r="H20" s="135"/>
      <c r="I20" s="135"/>
      <c r="J20" s="135"/>
      <c r="K20" s="135"/>
      <c r="L20" s="93">
        <f>IF(Table622027323334171819305148[[#This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25">
      <c r="B21" s="90"/>
      <c r="C21" s="91"/>
      <c r="D21" s="135"/>
      <c r="E21" s="135"/>
      <c r="F21" s="135"/>
      <c r="G21" s="135"/>
      <c r="H21" s="135"/>
      <c r="I21" s="135"/>
      <c r="J21" s="135"/>
      <c r="K21" s="135"/>
      <c r="L21" s="93">
        <f>IF(Table622027323334171819305148[[#This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6" t="str">
        <f t="shared" si="1"/>
        <v xml:space="preserve"> </v>
      </c>
    </row>
    <row r="22" spans="2:14" x14ac:dyDescent="0.25">
      <c r="B22" s="90"/>
      <c r="C22" s="91"/>
      <c r="D22" s="135"/>
      <c r="E22" s="135"/>
      <c r="F22" s="135"/>
      <c r="G22" s="135"/>
      <c r="H22" s="135"/>
      <c r="I22" s="135"/>
      <c r="J22" s="135"/>
      <c r="K22" s="135"/>
      <c r="L22" s="93">
        <f>IF(Table622027323334171819305148[[#This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25">
      <c r="B23" s="90"/>
      <c r="C23" s="91"/>
      <c r="D23" s="135"/>
      <c r="E23" s="135"/>
      <c r="F23" s="135"/>
      <c r="G23" s="135"/>
      <c r="H23" s="135"/>
      <c r="I23" s="135"/>
      <c r="J23" s="135"/>
      <c r="K23" s="135"/>
      <c r="L23" s="93">
        <f>IF(Table622027323334171819305148[[#This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4" thickBot="1" x14ac:dyDescent="0.3">
      <c r="B24" s="100"/>
      <c r="C24" s="101"/>
      <c r="D24" s="135"/>
      <c r="E24" s="135"/>
      <c r="F24" s="135"/>
      <c r="G24" s="135"/>
      <c r="H24" s="135"/>
      <c r="I24" s="135"/>
      <c r="J24" s="135"/>
      <c r="K24" s="135"/>
      <c r="L24" s="93">
        <f>IF(Table622027323334171819305148[[#This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bbZvzbGolybSEcaTj5IQKGucWRVSOuiFkdlybL+KLv91hvGt7QdN3aUGjk/kJVc/z765Z+hNIxTfAKwGjdkRlQ==" saltValue="JCSHqndJBcAyXC/cIDam2Q==" spinCount="100000" sheet="1" objects="1" scenarios="1"/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B8ACC-E299-41BA-B7E5-DB24625829E4}">
  <sheetPr codeName="Sheet71"/>
  <dimension ref="B1:AL29"/>
  <sheetViews>
    <sheetView showGridLines="0" zoomScaleNormal="100" workbookViewId="0">
      <pane xSplit="2" topLeftCell="C1" activePane="topRight" state="frozen"/>
      <selection activeCell="K32" sqref="K32"/>
      <selection pane="topRight" activeCell="K32" sqref="K32"/>
    </sheetView>
  </sheetViews>
  <sheetFormatPr defaultColWidth="9.109375" defaultRowHeight="13.8" x14ac:dyDescent="0.25"/>
  <cols>
    <col min="1" max="1" width="9.109375" style="3"/>
    <col min="2" max="2" width="23.88671875" style="3" customWidth="1"/>
    <col min="3" max="3" width="21.44140625" style="2" customWidth="1"/>
    <col min="4" max="4" width="11.6640625" style="39" customWidth="1"/>
    <col min="5" max="5" width="11.6640625" style="2" hidden="1" customWidth="1"/>
    <col min="6" max="6" width="11.6640625" style="2" customWidth="1"/>
    <col min="7" max="7" width="11.6640625" style="45" customWidth="1"/>
    <col min="8" max="8" width="11.6640625" style="35" customWidth="1"/>
    <col min="9" max="9" width="11.6640625" style="2" hidden="1" customWidth="1"/>
    <col min="10" max="10" width="11.6640625" style="2" customWidth="1"/>
    <col min="11" max="11" width="11.6640625" style="32" customWidth="1"/>
    <col min="12" max="12" width="12" style="35" customWidth="1"/>
    <col min="13" max="13" width="11.6640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6640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6640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6640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6640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09375" style="3"/>
  </cols>
  <sheetData>
    <row r="1" spans="2:38" ht="18" thickBot="1" x14ac:dyDescent="0.35">
      <c r="B1" s="1"/>
      <c r="C1" s="13"/>
    </row>
    <row r="2" spans="2:38" s="4" customFormat="1" ht="17.399999999999999" x14ac:dyDescent="0.3">
      <c r="B2" s="173" t="s">
        <v>118</v>
      </c>
      <c r="C2" s="174"/>
      <c r="D2" s="171">
        <v>43226</v>
      </c>
      <c r="E2" s="171"/>
      <c r="F2" s="171"/>
      <c r="G2" s="172"/>
      <c r="H2" s="170">
        <v>43260</v>
      </c>
      <c r="I2" s="171"/>
      <c r="J2" s="171"/>
      <c r="K2" s="172"/>
      <c r="L2" s="170">
        <v>43288</v>
      </c>
      <c r="M2" s="171"/>
      <c r="N2" s="171"/>
      <c r="O2" s="172"/>
      <c r="P2" s="170">
        <v>43289</v>
      </c>
      <c r="Q2" s="171"/>
      <c r="R2" s="171"/>
      <c r="S2" s="172"/>
      <c r="T2" s="170">
        <v>43316</v>
      </c>
      <c r="U2" s="171"/>
      <c r="V2" s="171"/>
      <c r="W2" s="172"/>
      <c r="X2" s="170" t="s">
        <v>5</v>
      </c>
      <c r="Y2" s="171"/>
      <c r="Z2" s="171"/>
      <c r="AA2" s="172"/>
      <c r="AB2" s="170" t="s">
        <v>6</v>
      </c>
      <c r="AC2" s="171"/>
      <c r="AD2" s="171"/>
      <c r="AE2" s="172"/>
      <c r="AF2" s="170" t="s">
        <v>3</v>
      </c>
      <c r="AG2" s="171"/>
      <c r="AH2" s="171"/>
      <c r="AI2" s="172"/>
      <c r="AJ2" s="28"/>
      <c r="AK2" s="171" t="s">
        <v>4</v>
      </c>
      <c r="AL2" s="172"/>
    </row>
    <row r="3" spans="2:38" s="6" customFormat="1" ht="14.4" thickBot="1" x14ac:dyDescent="0.3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" hidden="1" thickBot="1" x14ac:dyDescent="0.3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25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IF(Table62202732333417181930[[#This Row],[Non-Member]]="X"," ",IF(AH5=" "," ",IFERROR(VLOOKUP(AG5,Points!$A$2:$B$14,2,FALSE)," ")))</f>
        <v xml:space="preserve"> </v>
      </c>
      <c r="AJ5" s="7">
        <f>IF(Table62202732333417181930[[#This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25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IF(Table62202732333417181930[[#This Row],[Non-Member]]="X"," ",IF(AH6=" "," ",IFERROR(VLOOKUP(AG6,Points!$A$2:$B$14,2,FALSE)," ")))</f>
        <v xml:space="preserve"> </v>
      </c>
      <c r="AJ6" s="9">
        <f>IF(Table62202732333417181930[[#This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25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IF(Table62202732333417181930[[#This Row],[Non-Member]]="X"," ",IF(AH7=" "," ",IFERROR(VLOOKUP(AG7,Points!$A$2:$B$14,2,FALSE)," ")))</f>
        <v xml:space="preserve"> </v>
      </c>
      <c r="AJ7" s="9">
        <f>IF(Table62202732333417181930[[#This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25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IF(Table62202732333417181930[[#This Row],[Non-Member]]="X"," ",IF(AH8=" "," ",IFERROR(VLOOKUP(AG8,Points!$A$2:$B$14,2,FALSE)," ")))</f>
        <v xml:space="preserve"> </v>
      </c>
      <c r="AJ8" s="9">
        <f>IF(Table62202732333417181930[[#This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25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IF(Table62202732333417181930[[#This Row],[Non-Member]]="X"," ",IF(AH9=" "," ",IFERROR(VLOOKUP(AG9,Points!$A$2:$B$14,2,FALSE)," ")))</f>
        <v xml:space="preserve"> </v>
      </c>
      <c r="AJ9" s="9">
        <f>IF(Table62202732333417181930[[#This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25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IF(Table62202732333417181930[[#This Row],[Non-Member]]="X"," ",IF(AH10=" "," ",IFERROR(VLOOKUP(AG10,Points!$A$2:$B$14,2,FALSE)," ")))</f>
        <v xml:space="preserve"> </v>
      </c>
      <c r="AJ10" s="9">
        <f>IF(Table62202732333417181930[[#This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25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IF(Table62202732333417181930[[#This Row],[Non-Member]]="X"," ",IF(AH11=" "," ",IFERROR(VLOOKUP(AG11,Points!$A$2:$B$14,2,FALSE)," ")))</f>
        <v xml:space="preserve"> </v>
      </c>
      <c r="AJ11" s="9">
        <f>IF(Table62202732333417181930[[#This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25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IF(Table62202732333417181930[[#This Row],[Non-Member]]="X"," ",IF(AH12=" "," ",IFERROR(VLOOKUP(AG12,Points!$A$2:$B$14,2,FALSE)," ")))</f>
        <v xml:space="preserve"> </v>
      </c>
      <c r="AJ12" s="9">
        <f>IF(Table62202732333417181930[[#This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25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IF(Table62202732333417181930[[#This Row],[Non-Member]]="X"," ",IF(AH13=" "," ",IFERROR(VLOOKUP(AG13,Points!$A$2:$B$14,2,FALSE)," ")))</f>
        <v xml:space="preserve"> </v>
      </c>
      <c r="AJ13" s="9">
        <f>IF(Table62202732333417181930[[#This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25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IF(Table62202732333417181930[[#This Row],[Non-Member]]="X"," ",IF(AH14=" "," ",IFERROR(VLOOKUP(AG14,Points!$A$2:$B$14,2,FALSE)," ")))</f>
        <v xml:space="preserve"> </v>
      </c>
      <c r="AJ14" s="9">
        <f>IF(Table62202732333417181930[[#This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25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IF(Table62202732333417181930[[#This Row],[Non-Member]]="X"," ",IF(AH15=" "," ",IFERROR(VLOOKUP(AG15,Points!$A$2:$B$14,2,FALSE)," ")))</f>
        <v xml:space="preserve"> </v>
      </c>
      <c r="AJ15" s="9">
        <f>IF(Table62202732333417181930[[#This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25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IF(Table62202732333417181930[[#This Row],[Non-Member]]="X"," ",IF(AH16=" "," ",IFERROR(VLOOKUP(AG16,Points!$A$2:$B$14,2,FALSE)," ")))</f>
        <v xml:space="preserve"> </v>
      </c>
      <c r="AJ16" s="23">
        <f>IF(Table62202732333417181930[[#This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25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IF(Table62202732333417181930[[#This Row],[Non-Member]]="X"," ",IF(AH17=" "," ",IFERROR(VLOOKUP(AG17,Points!$A$2:$B$14,2,FALSE)," ")))</f>
        <v xml:space="preserve"> </v>
      </c>
      <c r="AJ17" s="23">
        <f>IF(Table62202732333417181930[[#This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25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IF(Table62202732333417181930[[#This Row],[Non-Member]]="X"," ",IF(AH18=" "," ",IFERROR(VLOOKUP(AG18,Points!$A$2:$B$14,2,FALSE)," ")))</f>
        <v xml:space="preserve"> </v>
      </c>
      <c r="AJ18" s="23">
        <f>IF(Table62202732333417181930[[#This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25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IF(Table62202732333417181930[[#This Row],[Non-Member]]="X"," ",IF(AH19=" "," ",IFERROR(VLOOKUP(AG19,Points!$A$2:$B$14,2,FALSE)," ")))</f>
        <v xml:space="preserve"> </v>
      </c>
      <c r="AJ19" s="9">
        <f>IF(Table62202732333417181930[[#This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25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IF(Table62202732333417181930[[#This Row],[Non-Member]]="X"," ",IF(AH20=" "," ",IFERROR(VLOOKUP(AG20,Points!$A$2:$B$14,2,FALSE)," ")))</f>
        <v xml:space="preserve"> </v>
      </c>
      <c r="AJ20" s="9">
        <f>IF(Table62202732333417181930[[#This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25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IF(Table62202732333417181930[[#This Row],[Non-Member]]="X"," ",IF(AH21=" "," ",IFERROR(VLOOKUP(AG21,Points!$A$2:$B$14,2,FALSE)," ")))</f>
        <v xml:space="preserve"> </v>
      </c>
      <c r="AJ21" s="9">
        <f>IF(Table62202732333417181930[[#This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25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IF(Table62202732333417181930[[#This Row],[Non-Member]]="X"," ",IF(AH22=" "," ",IFERROR(VLOOKUP(AG22,Points!$A$2:$B$14,2,FALSE)," ")))</f>
        <v xml:space="preserve"> </v>
      </c>
      <c r="AJ22" s="9">
        <f>IF(Table62202732333417181930[[#This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25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IF(Table62202732333417181930[[#This Row],[Non-Member]]="X"," ",IF(AH23=" "," ",IFERROR(VLOOKUP(AG23,Points!$A$2:$B$14,2,FALSE)," ")))</f>
        <v xml:space="preserve"> </v>
      </c>
      <c r="AJ23" s="9">
        <f>IF(Table62202732333417181930[[#This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4" thickBot="1" x14ac:dyDescent="0.3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IF(Table62202732333417181930[[#This Row],[Non-Member]]="X"," ",IF(AH24=" "," ",IFERROR(VLOOKUP(AG24,Points!$A$2:$B$14,2,FALSE)," ")))</f>
        <v xml:space="preserve"> </v>
      </c>
      <c r="AJ24" s="9">
        <f>IF(Table62202732333417181930[[#This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25">
      <c r="AG25" s="20"/>
    </row>
    <row r="27" spans="2:38" x14ac:dyDescent="0.25">
      <c r="F27" s="20"/>
    </row>
    <row r="28" spans="2:38" x14ac:dyDescent="0.25">
      <c r="F28" s="20"/>
    </row>
    <row r="29" spans="2:38" x14ac:dyDescent="0.25">
      <c r="H29" s="3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A431-DD90-4105-B750-A7C32D2A60AD}">
  <sheetPr codeName="Sheet93">
    <tabColor theme="8" tint="0.59999389629810485"/>
  </sheetPr>
  <dimension ref="B1:N24"/>
  <sheetViews>
    <sheetView showGridLines="0" zoomScaleNormal="100" workbookViewId="0">
      <pane xSplit="2" topLeftCell="C1" activePane="topRight" state="frozen"/>
      <selection activeCell="S28" sqref="S28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24.6640625" style="58" customWidth="1"/>
    <col min="5" max="11" width="24.6640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09375" style="62"/>
  </cols>
  <sheetData>
    <row r="1" spans="2:14" ht="18" thickBot="1" x14ac:dyDescent="0.35">
      <c r="B1" s="54"/>
      <c r="C1" s="55"/>
    </row>
    <row r="2" spans="2:14" s="64" customFormat="1" ht="17.399999999999999" x14ac:dyDescent="0.3">
      <c r="B2" s="168" t="s">
        <v>119</v>
      </c>
      <c r="C2" s="169"/>
      <c r="D2" s="130">
        <v>43590</v>
      </c>
      <c r="E2" s="130">
        <v>43632</v>
      </c>
      <c r="F2" s="130">
        <v>43659</v>
      </c>
      <c r="G2" s="130">
        <v>43660</v>
      </c>
      <c r="H2" s="130">
        <v>43681</v>
      </c>
      <c r="I2" s="130" t="s">
        <v>183</v>
      </c>
      <c r="J2" s="130" t="s">
        <v>184</v>
      </c>
      <c r="K2" s="131" t="s">
        <v>3</v>
      </c>
      <c r="L2" s="63"/>
      <c r="M2" s="166" t="s">
        <v>4</v>
      </c>
      <c r="N2" s="167"/>
    </row>
    <row r="3" spans="2:14" s="74" customFormat="1" ht="14.4" thickBot="1" x14ac:dyDescent="0.3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2" t="s">
        <v>2</v>
      </c>
      <c r="L3" s="68"/>
      <c r="M3" s="72" t="s">
        <v>2</v>
      </c>
      <c r="N3" s="73" t="s">
        <v>1</v>
      </c>
    </row>
    <row r="4" spans="2:14" s="74" customFormat="1" ht="18" hidden="1" thickBot="1" x14ac:dyDescent="0.3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3" t="s">
        <v>36</v>
      </c>
      <c r="L4" s="78" t="s">
        <v>40</v>
      </c>
      <c r="M4" s="82" t="s">
        <v>16</v>
      </c>
      <c r="N4" s="78" t="s">
        <v>37</v>
      </c>
    </row>
    <row r="5" spans="2:14" x14ac:dyDescent="0.25">
      <c r="B5" s="83" t="s">
        <v>135</v>
      </c>
      <c r="C5" s="84"/>
      <c r="D5" s="134">
        <v>15</v>
      </c>
      <c r="E5" s="134">
        <v>33</v>
      </c>
      <c r="F5" s="134">
        <v>33</v>
      </c>
      <c r="G5" s="134"/>
      <c r="H5" s="134"/>
      <c r="I5" s="134">
        <v>15</v>
      </c>
      <c r="J5" s="134">
        <v>15</v>
      </c>
      <c r="K5" s="134">
        <v>15</v>
      </c>
      <c r="L5" s="86">
        <f>IF(Table6220273233341718193051479[[#This Row],[Non-Member]]="X"," ",((IF(D5=" ",0,D5))+(IF(E5=" ",0,E5))+(IF(F5=" ",0,F5))+(IF(G5=" ",0,G5))+(IF(H5=" ",0,H5))+(IF(I5=" ",0,I5))+(IF(J5=" ",0,J5))+(IF(K5=" ",0,K5))))</f>
        <v>126</v>
      </c>
      <c r="M5" s="88">
        <f t="shared" ref="M5:M24" si="0">IF(L5=0," ",L5)</f>
        <v>126</v>
      </c>
      <c r="N5" s="89">
        <f t="shared" ref="N5:N24" si="1">IF(M5=" "," ",RANK(M5,$M$5:$M$24))</f>
        <v>1</v>
      </c>
    </row>
    <row r="6" spans="2:14" x14ac:dyDescent="0.25">
      <c r="B6" s="90" t="s">
        <v>149</v>
      </c>
      <c r="C6" s="91"/>
      <c r="D6" s="135"/>
      <c r="E6" s="135">
        <v>6</v>
      </c>
      <c r="F6" s="135"/>
      <c r="G6" s="135">
        <v>18</v>
      </c>
      <c r="H6" s="135"/>
      <c r="I6" s="135">
        <v>18</v>
      </c>
      <c r="J6" s="135">
        <v>18</v>
      </c>
      <c r="K6" s="135">
        <v>18</v>
      </c>
      <c r="L6" s="93">
        <f>IF(Table6220273233341718193051479[[#This Row],[Non-Member]]="X"," ",((IF(D6=" ",0,D6))+(IF(E6=" ",0,E6))+(IF(F6=" ",0,F6))+(IF(G6=" ",0,G6))+(IF(H6=" ",0,H6))+(IF(I6=" ",0,I6))+(IF(J6=" ",0,J6))+(IF(K6=" ",0,K6))))</f>
        <v>78</v>
      </c>
      <c r="M6" s="95">
        <f t="shared" si="0"/>
        <v>78</v>
      </c>
      <c r="N6" s="96">
        <f t="shared" si="1"/>
        <v>2</v>
      </c>
    </row>
    <row r="7" spans="2:14" x14ac:dyDescent="0.25">
      <c r="B7" s="90" t="s">
        <v>155</v>
      </c>
      <c r="C7" s="91"/>
      <c r="D7" s="135">
        <v>6</v>
      </c>
      <c r="E7" s="135">
        <v>3</v>
      </c>
      <c r="F7" s="135">
        <v>9</v>
      </c>
      <c r="G7" s="135"/>
      <c r="H7" s="135"/>
      <c r="I7" s="135"/>
      <c r="J7" s="135">
        <v>12</v>
      </c>
      <c r="K7" s="135">
        <v>12</v>
      </c>
      <c r="L7" s="93">
        <f>IF(Table6220273233341718193051479[[#This Row],[Non-Member]]="X"," ",((IF(D7=" ",0,D7))+(IF(E7=" ",0,E7))+(IF(F7=" ",0,F7))+(IF(G7=" ",0,G7))+(IF(H7=" ",0,H7))+(IF(I7=" ",0,I7))+(IF(J7=" ",0,J7))+(IF(K7=" ",0,K7))))</f>
        <v>42</v>
      </c>
      <c r="M7" s="95">
        <f t="shared" si="0"/>
        <v>42</v>
      </c>
      <c r="N7" s="96">
        <f t="shared" si="1"/>
        <v>3</v>
      </c>
    </row>
    <row r="8" spans="2:14" x14ac:dyDescent="0.25">
      <c r="B8" s="90" t="s">
        <v>150</v>
      </c>
      <c r="C8" s="91"/>
      <c r="D8" s="135"/>
      <c r="E8" s="135">
        <v>9</v>
      </c>
      <c r="F8" s="135">
        <v>12</v>
      </c>
      <c r="G8" s="135">
        <v>15</v>
      </c>
      <c r="H8" s="135"/>
      <c r="I8" s="135"/>
      <c r="J8" s="135"/>
      <c r="K8" s="135"/>
      <c r="L8" s="93">
        <f>IF(Table6220273233341718193051479[[#This Row],[Non-Member]]="X"," ",((IF(D8=" ",0,D8))+(IF(E8=" ",0,E8))+(IF(F8=" ",0,F8))+(IF(G8=" ",0,G8))+(IF(H8=" ",0,H8))+(IF(I8=" ",0,I8))+(IF(J8=" ",0,J8))+(IF(K8=" ",0,K8))))</f>
        <v>36</v>
      </c>
      <c r="M8" s="95">
        <f t="shared" si="0"/>
        <v>36</v>
      </c>
      <c r="N8" s="96">
        <f t="shared" si="1"/>
        <v>4</v>
      </c>
    </row>
    <row r="9" spans="2:14" x14ac:dyDescent="0.25">
      <c r="B9" s="90" t="s">
        <v>153</v>
      </c>
      <c r="C9" s="91"/>
      <c r="D9" s="135">
        <v>30</v>
      </c>
      <c r="E9" s="135"/>
      <c r="F9" s="135">
        <v>6</v>
      </c>
      <c r="G9" s="135"/>
      <c r="H9" s="135"/>
      <c r="I9" s="135"/>
      <c r="J9" s="135"/>
      <c r="K9" s="135"/>
      <c r="L9" s="93">
        <f>IF(Table6220273233341718193051479[[#This Row],[Non-Member]]="X"," ",((IF(D9=" ",0,D9))+(IF(E9=" ",0,E9))+(IF(F9=" ",0,F9))+(IF(G9=" ",0,G9))+(IF(H9=" ",0,H9))+(IF(I9=" ",0,I9))+(IF(J9=" ",0,J9))+(IF(K9=" ",0,K9))))</f>
        <v>36</v>
      </c>
      <c r="M9" s="95">
        <f t="shared" si="0"/>
        <v>36</v>
      </c>
      <c r="N9" s="96">
        <f t="shared" si="1"/>
        <v>4</v>
      </c>
    </row>
    <row r="10" spans="2:14" x14ac:dyDescent="0.25">
      <c r="B10" s="90" t="s">
        <v>131</v>
      </c>
      <c r="C10" s="91"/>
      <c r="D10" s="135">
        <v>9</v>
      </c>
      <c r="E10" s="135">
        <v>12</v>
      </c>
      <c r="F10" s="135"/>
      <c r="G10" s="135">
        <v>12</v>
      </c>
      <c r="H10" s="135"/>
      <c r="I10" s="135"/>
      <c r="J10" s="135"/>
      <c r="K10" s="135"/>
      <c r="L10" s="93">
        <f>IF(Table6220273233341718193051479[[#This Row],[Non-Member]]="X"," ",((IF(D10=" ",0,D10))+(IF(E10=" ",0,E10))+(IF(F10=" ",0,F10))+(IF(G10=" ",0,G10))+(IF(H10=" ",0,H10))+(IF(I10=" ",0,I10))+(IF(J10=" ",0,J10))+(IF(K10=" ",0,K10))))</f>
        <v>33</v>
      </c>
      <c r="M10" s="95">
        <f t="shared" si="0"/>
        <v>33</v>
      </c>
      <c r="N10" s="96">
        <f t="shared" si="1"/>
        <v>6</v>
      </c>
    </row>
    <row r="11" spans="2:14" x14ac:dyDescent="0.25">
      <c r="B11" s="90" t="s">
        <v>163</v>
      </c>
      <c r="C11" s="91"/>
      <c r="D11" s="135"/>
      <c r="E11" s="135"/>
      <c r="F11" s="135"/>
      <c r="G11" s="135"/>
      <c r="H11" s="135"/>
      <c r="I11" s="135">
        <v>12</v>
      </c>
      <c r="J11" s="135"/>
      <c r="K11" s="135">
        <v>9</v>
      </c>
      <c r="L11" s="93">
        <f>IF(Table6220273233341718193051479[[#This Row],[Non-Member]]="X"," ",((IF(D11=" ",0,D11))+(IF(E11=" ",0,E11))+(IF(F11=" ",0,F11))+(IF(G11=" ",0,G11))+(IF(H11=" ",0,H11))+(IF(I11=" ",0,I11))+(IF(J11=" ",0,J11))+(IF(K11=" ",0,K11))))</f>
        <v>21</v>
      </c>
      <c r="M11" s="95">
        <f t="shared" si="0"/>
        <v>21</v>
      </c>
      <c r="N11" s="96">
        <f t="shared" si="1"/>
        <v>7</v>
      </c>
    </row>
    <row r="12" spans="2:14" x14ac:dyDescent="0.25">
      <c r="B12" s="90" t="s">
        <v>68</v>
      </c>
      <c r="C12" s="91"/>
      <c r="D12" s="135"/>
      <c r="E12" s="135"/>
      <c r="F12" s="135"/>
      <c r="G12" s="135">
        <v>9</v>
      </c>
      <c r="H12" s="135"/>
      <c r="I12" s="135"/>
      <c r="J12" s="135"/>
      <c r="K12" s="135"/>
      <c r="L12" s="93">
        <f>IF(Table6220273233341718193051479[[#This Row],[Non-Member]]="X"," ",((IF(D12=" ",0,D12))+(IF(E12=" ",0,E12))+(IF(F12=" ",0,F12))+(IF(G12=" ",0,G12))+(IF(H12=" ",0,H12))+(IF(I12=" ",0,I12))+(IF(J12=" ",0,J12))+(IF(K12=" ",0,K12))))</f>
        <v>9</v>
      </c>
      <c r="M12" s="95">
        <f t="shared" si="0"/>
        <v>9</v>
      </c>
      <c r="N12" s="96">
        <f t="shared" si="1"/>
        <v>8</v>
      </c>
    </row>
    <row r="13" spans="2:14" x14ac:dyDescent="0.25">
      <c r="B13" s="90" t="s">
        <v>154</v>
      </c>
      <c r="C13" s="91"/>
      <c r="D13" s="135"/>
      <c r="E13" s="135"/>
      <c r="F13" s="135"/>
      <c r="G13" s="135"/>
      <c r="H13" s="135"/>
      <c r="I13" s="135"/>
      <c r="J13" s="135"/>
      <c r="K13" s="135"/>
      <c r="L13" s="93">
        <f>IF(Table6220273233341718193051479[[#This Row],[Non-Member]]="X"," ",((IF(D13=" ",0,D13))+(IF(E13=" ",0,E13))+(IF(F13=" ",0,F13))+(IF(G13=" ",0,G13))+(IF(H13=" ",0,H13))+(IF(I13=" ",0,I13))+(IF(J13=" ",0,J13))+(IF(K13=" ",0,K13))))</f>
        <v>0</v>
      </c>
      <c r="M13" s="95" t="str">
        <f t="shared" si="0"/>
        <v xml:space="preserve"> </v>
      </c>
      <c r="N13" s="96" t="str">
        <f t="shared" si="1"/>
        <v xml:space="preserve"> </v>
      </c>
    </row>
    <row r="14" spans="2:14" x14ac:dyDescent="0.25">
      <c r="B14" s="90" t="s">
        <v>271</v>
      </c>
      <c r="C14" s="91"/>
      <c r="D14" s="135"/>
      <c r="E14" s="135"/>
      <c r="F14" s="135"/>
      <c r="G14" s="135"/>
      <c r="H14" s="135"/>
      <c r="I14" s="135"/>
      <c r="J14" s="135"/>
      <c r="K14" s="135"/>
      <c r="L14" s="93">
        <f>IF(Table6220273233341718193051479[[#This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25">
      <c r="B15" s="90"/>
      <c r="C15" s="91"/>
      <c r="D15" s="135"/>
      <c r="E15" s="135"/>
      <c r="F15" s="135"/>
      <c r="G15" s="135"/>
      <c r="H15" s="135"/>
      <c r="I15" s="135"/>
      <c r="J15" s="135"/>
      <c r="K15" s="135"/>
      <c r="L15" s="93">
        <f>IF(Table6220273233341718193051479[[#This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6" t="str">
        <f t="shared" si="1"/>
        <v xml:space="preserve"> </v>
      </c>
    </row>
    <row r="16" spans="2:14" x14ac:dyDescent="0.25">
      <c r="B16" s="90"/>
      <c r="C16" s="91"/>
      <c r="D16" s="135"/>
      <c r="E16" s="135"/>
      <c r="F16" s="135"/>
      <c r="G16" s="135"/>
      <c r="H16" s="135"/>
      <c r="I16" s="135"/>
      <c r="J16" s="135"/>
      <c r="K16" s="135"/>
      <c r="L16" s="97">
        <f>IF(Table6220273233341718193051479[[#This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8" t="str">
        <f t="shared" si="1"/>
        <v xml:space="preserve"> </v>
      </c>
    </row>
    <row r="17" spans="2:14" x14ac:dyDescent="0.25">
      <c r="B17" s="90"/>
      <c r="C17" s="91"/>
      <c r="D17" s="135"/>
      <c r="E17" s="135"/>
      <c r="F17" s="135"/>
      <c r="G17" s="135"/>
      <c r="H17" s="135"/>
      <c r="I17" s="135"/>
      <c r="J17" s="135"/>
      <c r="K17" s="135"/>
      <c r="L17" s="97">
        <f>IF(Table6220273233341718193051479[[#This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8" t="str">
        <f t="shared" si="1"/>
        <v xml:space="preserve"> </v>
      </c>
    </row>
    <row r="18" spans="2:14" x14ac:dyDescent="0.25">
      <c r="B18" s="90"/>
      <c r="C18" s="91"/>
      <c r="D18" s="135"/>
      <c r="E18" s="135"/>
      <c r="F18" s="135"/>
      <c r="G18" s="135"/>
      <c r="H18" s="135"/>
      <c r="I18" s="135"/>
      <c r="J18" s="135"/>
      <c r="K18" s="135"/>
      <c r="L18" s="97">
        <f>IF(Table6220273233341718193051479[[#This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8" t="str">
        <f t="shared" si="1"/>
        <v xml:space="preserve"> </v>
      </c>
    </row>
    <row r="19" spans="2:14" x14ac:dyDescent="0.25">
      <c r="B19" s="90"/>
      <c r="C19" s="91"/>
      <c r="D19" s="135"/>
      <c r="E19" s="135"/>
      <c r="F19" s="135"/>
      <c r="G19" s="135"/>
      <c r="H19" s="135"/>
      <c r="I19" s="135"/>
      <c r="J19" s="135"/>
      <c r="K19" s="135"/>
      <c r="L19" s="93">
        <f>IF(Table6220273233341718193051479[[#This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25">
      <c r="B20" s="90"/>
      <c r="C20" s="91"/>
      <c r="D20" s="135"/>
      <c r="E20" s="135"/>
      <c r="F20" s="135"/>
      <c r="G20" s="135"/>
      <c r="H20" s="135"/>
      <c r="I20" s="135"/>
      <c r="J20" s="135"/>
      <c r="K20" s="135"/>
      <c r="L20" s="93">
        <f>IF(Table6220273233341718193051479[[#This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25">
      <c r="B21" s="90"/>
      <c r="C21" s="91"/>
      <c r="D21" s="135"/>
      <c r="E21" s="135"/>
      <c r="F21" s="135"/>
      <c r="G21" s="135"/>
      <c r="H21" s="135"/>
      <c r="I21" s="135"/>
      <c r="J21" s="135"/>
      <c r="K21" s="135"/>
      <c r="L21" s="93">
        <f>IF(Table6220273233341718193051479[[#This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6" t="str">
        <f t="shared" si="1"/>
        <v xml:space="preserve"> </v>
      </c>
    </row>
    <row r="22" spans="2:14" x14ac:dyDescent="0.25">
      <c r="B22" s="90"/>
      <c r="C22" s="91"/>
      <c r="D22" s="135"/>
      <c r="E22" s="135"/>
      <c r="F22" s="135"/>
      <c r="G22" s="135"/>
      <c r="H22" s="135"/>
      <c r="I22" s="135"/>
      <c r="J22" s="135"/>
      <c r="K22" s="135"/>
      <c r="L22" s="93">
        <f>IF(Table6220273233341718193051479[[#This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25">
      <c r="B23" s="90"/>
      <c r="C23" s="91"/>
      <c r="D23" s="135"/>
      <c r="E23" s="135"/>
      <c r="F23" s="135"/>
      <c r="G23" s="135"/>
      <c r="H23" s="135"/>
      <c r="I23" s="135"/>
      <c r="J23" s="135"/>
      <c r="K23" s="135"/>
      <c r="L23" s="93">
        <f>IF(Table6220273233341718193051479[[#This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4" thickBot="1" x14ac:dyDescent="0.3">
      <c r="B24" s="100"/>
      <c r="C24" s="101"/>
      <c r="D24" s="135"/>
      <c r="E24" s="135"/>
      <c r="F24" s="135"/>
      <c r="G24" s="135"/>
      <c r="H24" s="135"/>
      <c r="I24" s="135"/>
      <c r="J24" s="135"/>
      <c r="K24" s="135"/>
      <c r="L24" s="93">
        <f>IF(Table6220273233341718193051479[[#This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gVqE3QDGCA/pkMRMTsubnbU/R32oRtrecKfp6OYQNwQ9z72TjgOW4p0OuXcVBaZw8Y0TBWC1wc2FEL1Gifn3dg==" saltValue="CQP3Ygz8JNuHUdOAQ9NrLw==" spinCount="100000" sheet="1" objects="1" scenarios="1"/>
  <mergeCells count="2">
    <mergeCell ref="B2:C2"/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E422A-3BF0-4EFF-8F61-69E24025A16A}">
  <sheetPr codeName="Sheet78"/>
  <dimension ref="B1:AL29"/>
  <sheetViews>
    <sheetView showGridLines="0" zoomScaleNormal="100" workbookViewId="0">
      <pane xSplit="2" topLeftCell="C1" activePane="topRight" state="frozen"/>
      <selection activeCell="K32" sqref="K32"/>
      <selection pane="topRight" activeCell="K32" sqref="K32"/>
    </sheetView>
  </sheetViews>
  <sheetFormatPr defaultColWidth="9.109375" defaultRowHeight="13.8" x14ac:dyDescent="0.25"/>
  <cols>
    <col min="1" max="1" width="9.109375" style="3"/>
    <col min="2" max="2" width="23.88671875" style="3" customWidth="1"/>
    <col min="3" max="3" width="21.44140625" style="2" customWidth="1"/>
    <col min="4" max="4" width="11.6640625" style="39" customWidth="1"/>
    <col min="5" max="5" width="11.6640625" style="2" hidden="1" customWidth="1"/>
    <col min="6" max="6" width="11.6640625" style="2" customWidth="1"/>
    <col min="7" max="7" width="11.6640625" style="45" customWidth="1"/>
    <col min="8" max="8" width="11.6640625" style="35" customWidth="1"/>
    <col min="9" max="9" width="11.6640625" style="2" hidden="1" customWidth="1"/>
    <col min="10" max="10" width="11.6640625" style="2" customWidth="1"/>
    <col min="11" max="11" width="11.6640625" style="32" customWidth="1"/>
    <col min="12" max="12" width="12" style="35" customWidth="1"/>
    <col min="13" max="13" width="11.6640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6640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6640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6640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6640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09375" style="3"/>
  </cols>
  <sheetData>
    <row r="1" spans="2:38" ht="18" thickBot="1" x14ac:dyDescent="0.35">
      <c r="B1" s="1"/>
      <c r="C1" s="13"/>
    </row>
    <row r="2" spans="2:38" s="4" customFormat="1" ht="17.399999999999999" x14ac:dyDescent="0.3">
      <c r="B2" s="173" t="s">
        <v>119</v>
      </c>
      <c r="C2" s="174"/>
      <c r="D2" s="171">
        <v>43226</v>
      </c>
      <c r="E2" s="171"/>
      <c r="F2" s="171"/>
      <c r="G2" s="172"/>
      <c r="H2" s="170">
        <v>43260</v>
      </c>
      <c r="I2" s="171"/>
      <c r="J2" s="171"/>
      <c r="K2" s="172"/>
      <c r="L2" s="170">
        <v>43288</v>
      </c>
      <c r="M2" s="171"/>
      <c r="N2" s="171"/>
      <c r="O2" s="172"/>
      <c r="P2" s="170">
        <v>43289</v>
      </c>
      <c r="Q2" s="171"/>
      <c r="R2" s="171"/>
      <c r="S2" s="172"/>
      <c r="T2" s="170">
        <v>43316</v>
      </c>
      <c r="U2" s="171"/>
      <c r="V2" s="171"/>
      <c r="W2" s="172"/>
      <c r="X2" s="170" t="s">
        <v>5</v>
      </c>
      <c r="Y2" s="171"/>
      <c r="Z2" s="171"/>
      <c r="AA2" s="172"/>
      <c r="AB2" s="170" t="s">
        <v>6</v>
      </c>
      <c r="AC2" s="171"/>
      <c r="AD2" s="171"/>
      <c r="AE2" s="172"/>
      <c r="AF2" s="170" t="s">
        <v>3</v>
      </c>
      <c r="AG2" s="171"/>
      <c r="AH2" s="171"/>
      <c r="AI2" s="172"/>
      <c r="AJ2" s="28"/>
      <c r="AK2" s="171" t="s">
        <v>4</v>
      </c>
      <c r="AL2" s="172"/>
    </row>
    <row r="3" spans="2:38" s="6" customFormat="1" ht="14.4" thickBot="1" x14ac:dyDescent="0.3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" hidden="1" thickBot="1" x14ac:dyDescent="0.3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25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IF(Table6220273233341718193046[[#This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IF(Table6220273233341718193046[[#This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IF(Table6220273233341718193046[[#This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IF(Table6220273233341718193046[[#This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IF(Table6220273233341718193046[[#This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IF(Table6220273233341718193046[[#This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IF(Table6220273233341718193046[[#This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IF(Table6220273233341718193046[[#This Row],[Non-Member]]="X"," ",IF(AH5=" "," ",IFERROR(VLOOKUP(AG5,Points!$A$2:$B$14,2,FALSE)," ")))</f>
        <v xml:space="preserve"> </v>
      </c>
      <c r="AJ5" s="7">
        <f>IF(Table6220273233341718193046[[#This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25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IF(Table6220273233341718193046[[#This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IF(Table6220273233341718193046[[#This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IF(Table6220273233341718193046[[#This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IF(Table6220273233341718193046[[#This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IF(Table6220273233341718193046[[#This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IF(Table6220273233341718193046[[#This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IF(Table6220273233341718193046[[#This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IF(Table6220273233341718193046[[#This Row],[Non-Member]]="X"," ",IF(AH6=" "," ",IFERROR(VLOOKUP(AG6,Points!$A$2:$B$14,2,FALSE)," ")))</f>
        <v xml:space="preserve"> </v>
      </c>
      <c r="AJ6" s="9">
        <f>IF(Table6220273233341718193046[[#This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25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IF(Table6220273233341718193046[[#This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IF(Table6220273233341718193046[[#This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IF(Table6220273233341718193046[[#This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IF(Table6220273233341718193046[[#This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IF(Table6220273233341718193046[[#This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IF(Table6220273233341718193046[[#This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IF(Table6220273233341718193046[[#This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IF(Table6220273233341718193046[[#This Row],[Non-Member]]="X"," ",IF(AH7=" "," ",IFERROR(VLOOKUP(AG7,Points!$A$2:$B$14,2,FALSE)," ")))</f>
        <v xml:space="preserve"> </v>
      </c>
      <c r="AJ7" s="9">
        <f>IF(Table6220273233341718193046[[#This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25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IF(Table6220273233341718193046[[#This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IF(Table6220273233341718193046[[#This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IF(Table6220273233341718193046[[#This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IF(Table6220273233341718193046[[#This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IF(Table6220273233341718193046[[#This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IF(Table6220273233341718193046[[#This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IF(Table6220273233341718193046[[#This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IF(Table6220273233341718193046[[#This Row],[Non-Member]]="X"," ",IF(AH8=" "," ",IFERROR(VLOOKUP(AG8,Points!$A$2:$B$14,2,FALSE)," ")))</f>
        <v xml:space="preserve"> </v>
      </c>
      <c r="AJ8" s="9">
        <f>IF(Table6220273233341718193046[[#This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25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IF(Table6220273233341718193046[[#This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IF(Table6220273233341718193046[[#This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IF(Table6220273233341718193046[[#This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IF(Table6220273233341718193046[[#This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IF(Table6220273233341718193046[[#This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IF(Table6220273233341718193046[[#This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IF(Table6220273233341718193046[[#This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IF(Table6220273233341718193046[[#This Row],[Non-Member]]="X"," ",IF(AH9=" "," ",IFERROR(VLOOKUP(AG9,Points!$A$2:$B$14,2,FALSE)," ")))</f>
        <v xml:space="preserve"> </v>
      </c>
      <c r="AJ9" s="9">
        <f>IF(Table6220273233341718193046[[#This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25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IF(Table6220273233341718193046[[#This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IF(Table6220273233341718193046[[#This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IF(Table6220273233341718193046[[#This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IF(Table6220273233341718193046[[#This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IF(Table6220273233341718193046[[#This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IF(Table6220273233341718193046[[#This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IF(Table6220273233341718193046[[#This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IF(Table6220273233341718193046[[#This Row],[Non-Member]]="X"," ",IF(AH10=" "," ",IFERROR(VLOOKUP(AG10,Points!$A$2:$B$14,2,FALSE)," ")))</f>
        <v xml:space="preserve"> </v>
      </c>
      <c r="AJ10" s="9">
        <f>IF(Table6220273233341718193046[[#This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25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IF(Table6220273233341718193046[[#This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IF(Table6220273233341718193046[[#This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IF(Table6220273233341718193046[[#This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IF(Table6220273233341718193046[[#This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IF(Table6220273233341718193046[[#This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IF(Table6220273233341718193046[[#This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IF(Table6220273233341718193046[[#This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IF(Table6220273233341718193046[[#This Row],[Non-Member]]="X"," ",IF(AH11=" "," ",IFERROR(VLOOKUP(AG11,Points!$A$2:$B$14,2,FALSE)," ")))</f>
        <v xml:space="preserve"> </v>
      </c>
      <c r="AJ11" s="9">
        <f>IF(Table6220273233341718193046[[#This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25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IF(Table6220273233341718193046[[#This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IF(Table6220273233341718193046[[#This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IF(Table6220273233341718193046[[#This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IF(Table6220273233341718193046[[#This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IF(Table6220273233341718193046[[#This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IF(Table6220273233341718193046[[#This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IF(Table6220273233341718193046[[#This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IF(Table6220273233341718193046[[#This Row],[Non-Member]]="X"," ",IF(AH12=" "," ",IFERROR(VLOOKUP(AG12,Points!$A$2:$B$14,2,FALSE)," ")))</f>
        <v xml:space="preserve"> </v>
      </c>
      <c r="AJ12" s="9">
        <f>IF(Table6220273233341718193046[[#This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25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IF(Table6220273233341718193046[[#This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IF(Table6220273233341718193046[[#This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IF(Table6220273233341718193046[[#This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IF(Table6220273233341718193046[[#This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IF(Table6220273233341718193046[[#This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IF(Table6220273233341718193046[[#This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IF(Table6220273233341718193046[[#This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IF(Table6220273233341718193046[[#This Row],[Non-Member]]="X"," ",IF(AH13=" "," ",IFERROR(VLOOKUP(AG13,Points!$A$2:$B$14,2,FALSE)," ")))</f>
        <v xml:space="preserve"> </v>
      </c>
      <c r="AJ13" s="9">
        <f>IF(Table6220273233341718193046[[#This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25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IF(Table6220273233341718193046[[#This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IF(Table6220273233341718193046[[#This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IF(Table6220273233341718193046[[#This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IF(Table6220273233341718193046[[#This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IF(Table6220273233341718193046[[#This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IF(Table6220273233341718193046[[#This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IF(Table6220273233341718193046[[#This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IF(Table6220273233341718193046[[#This Row],[Non-Member]]="X"," ",IF(AH14=" "," ",IFERROR(VLOOKUP(AG14,Points!$A$2:$B$14,2,FALSE)," ")))</f>
        <v xml:space="preserve"> </v>
      </c>
      <c r="AJ14" s="9">
        <f>IF(Table6220273233341718193046[[#This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25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IF(Table6220273233341718193046[[#This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IF(Table6220273233341718193046[[#This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IF(Table6220273233341718193046[[#This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IF(Table6220273233341718193046[[#This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IF(Table6220273233341718193046[[#This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IF(Table6220273233341718193046[[#This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IF(Table6220273233341718193046[[#This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IF(Table6220273233341718193046[[#This Row],[Non-Member]]="X"," ",IF(AH15=" "," ",IFERROR(VLOOKUP(AG15,Points!$A$2:$B$14,2,FALSE)," ")))</f>
        <v xml:space="preserve"> </v>
      </c>
      <c r="AJ15" s="9">
        <f>IF(Table6220273233341718193046[[#This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25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IF(Table6220273233341718193046[[#This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IF(Table6220273233341718193046[[#This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IF(Table6220273233341718193046[[#This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IF(Table6220273233341718193046[[#This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IF(Table6220273233341718193046[[#This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IF(Table6220273233341718193046[[#This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IF(Table6220273233341718193046[[#This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IF(Table6220273233341718193046[[#This Row],[Non-Member]]="X"," ",IF(AH16=" "," ",IFERROR(VLOOKUP(AG16,Points!$A$2:$B$14,2,FALSE)," ")))</f>
        <v xml:space="preserve"> </v>
      </c>
      <c r="AJ16" s="23">
        <f>IF(Table6220273233341718193046[[#This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25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IF(Table6220273233341718193046[[#This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IF(Table6220273233341718193046[[#This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IF(Table6220273233341718193046[[#This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IF(Table6220273233341718193046[[#This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IF(Table6220273233341718193046[[#This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IF(Table6220273233341718193046[[#This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IF(Table6220273233341718193046[[#This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IF(Table6220273233341718193046[[#This Row],[Non-Member]]="X"," ",IF(AH17=" "," ",IFERROR(VLOOKUP(AG17,Points!$A$2:$B$14,2,FALSE)," ")))</f>
        <v xml:space="preserve"> </v>
      </c>
      <c r="AJ17" s="23">
        <f>IF(Table6220273233341718193046[[#This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25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IF(Table6220273233341718193046[[#This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IF(Table6220273233341718193046[[#This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IF(Table6220273233341718193046[[#This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IF(Table6220273233341718193046[[#This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IF(Table6220273233341718193046[[#This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IF(Table6220273233341718193046[[#This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IF(Table6220273233341718193046[[#This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IF(Table6220273233341718193046[[#This Row],[Non-Member]]="X"," ",IF(AH18=" "," ",IFERROR(VLOOKUP(AG18,Points!$A$2:$B$14,2,FALSE)," ")))</f>
        <v xml:space="preserve"> </v>
      </c>
      <c r="AJ18" s="23">
        <f>IF(Table6220273233341718193046[[#This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25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IF(Table6220273233341718193046[[#This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IF(Table6220273233341718193046[[#This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IF(Table6220273233341718193046[[#This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IF(Table6220273233341718193046[[#This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IF(Table6220273233341718193046[[#This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IF(Table6220273233341718193046[[#This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IF(Table6220273233341718193046[[#This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IF(Table6220273233341718193046[[#This Row],[Non-Member]]="X"," ",IF(AH19=" "," ",IFERROR(VLOOKUP(AG19,Points!$A$2:$B$14,2,FALSE)," ")))</f>
        <v xml:space="preserve"> </v>
      </c>
      <c r="AJ19" s="9">
        <f>IF(Table6220273233341718193046[[#This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25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IF(Table6220273233341718193046[[#This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IF(Table6220273233341718193046[[#This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IF(Table6220273233341718193046[[#This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IF(Table6220273233341718193046[[#This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IF(Table6220273233341718193046[[#This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IF(Table6220273233341718193046[[#This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IF(Table6220273233341718193046[[#This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IF(Table6220273233341718193046[[#This Row],[Non-Member]]="X"," ",IF(AH20=" "," ",IFERROR(VLOOKUP(AG20,Points!$A$2:$B$14,2,FALSE)," ")))</f>
        <v xml:space="preserve"> </v>
      </c>
      <c r="AJ20" s="9">
        <f>IF(Table6220273233341718193046[[#This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25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IF(Table6220273233341718193046[[#This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IF(Table6220273233341718193046[[#This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IF(Table6220273233341718193046[[#This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IF(Table6220273233341718193046[[#This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IF(Table6220273233341718193046[[#This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IF(Table6220273233341718193046[[#This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IF(Table6220273233341718193046[[#This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IF(Table6220273233341718193046[[#This Row],[Non-Member]]="X"," ",IF(AH21=" "," ",IFERROR(VLOOKUP(AG21,Points!$A$2:$B$14,2,FALSE)," ")))</f>
        <v xml:space="preserve"> </v>
      </c>
      <c r="AJ21" s="9">
        <f>IF(Table6220273233341718193046[[#This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25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IF(Table6220273233341718193046[[#This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IF(Table6220273233341718193046[[#This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IF(Table6220273233341718193046[[#This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IF(Table6220273233341718193046[[#This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IF(Table6220273233341718193046[[#This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IF(Table6220273233341718193046[[#This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IF(Table6220273233341718193046[[#This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IF(Table6220273233341718193046[[#This Row],[Non-Member]]="X"," ",IF(AH22=" "," ",IFERROR(VLOOKUP(AG22,Points!$A$2:$B$14,2,FALSE)," ")))</f>
        <v xml:space="preserve"> </v>
      </c>
      <c r="AJ22" s="9">
        <f>IF(Table6220273233341718193046[[#This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25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IF(Table6220273233341718193046[[#This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IF(Table6220273233341718193046[[#This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IF(Table6220273233341718193046[[#This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IF(Table6220273233341718193046[[#This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IF(Table6220273233341718193046[[#This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IF(Table6220273233341718193046[[#This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IF(Table6220273233341718193046[[#This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IF(Table6220273233341718193046[[#This Row],[Non-Member]]="X"," ",IF(AH23=" "," ",IFERROR(VLOOKUP(AG23,Points!$A$2:$B$14,2,FALSE)," ")))</f>
        <v xml:space="preserve"> </v>
      </c>
      <c r="AJ23" s="9">
        <f>IF(Table6220273233341718193046[[#This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4" thickBot="1" x14ac:dyDescent="0.3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IF(Table6220273233341718193046[[#This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IF(Table6220273233341718193046[[#This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IF(Table6220273233341718193046[[#This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IF(Table6220273233341718193046[[#This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IF(Table6220273233341718193046[[#This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IF(Table6220273233341718193046[[#This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IF(Table6220273233341718193046[[#This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IF(Table6220273233341718193046[[#This Row],[Non-Member]]="X"," ",IF(AH24=" "," ",IFERROR(VLOOKUP(AG24,Points!$A$2:$B$14,2,FALSE)," ")))</f>
        <v xml:space="preserve"> </v>
      </c>
      <c r="AJ24" s="9">
        <f>IF(Table6220273233341718193046[[#This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25">
      <c r="AG25" s="20"/>
    </row>
    <row r="27" spans="2:38" x14ac:dyDescent="0.25">
      <c r="F27" s="20"/>
    </row>
    <row r="28" spans="2:38" x14ac:dyDescent="0.25">
      <c r="F28" s="20"/>
    </row>
    <row r="29" spans="2:38" x14ac:dyDescent="0.25">
      <c r="H29" s="3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1117-216E-4C5D-B1BE-0AC8F382ED7A}">
  <sheetPr codeName="Sheet67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7" customWidth="1"/>
    <col min="5" max="5" width="11.6640625" style="57" hidden="1" customWidth="1"/>
    <col min="6" max="6" width="11.6640625" style="57" customWidth="1"/>
    <col min="7" max="7" width="11.6640625" style="60" customWidth="1"/>
    <col min="8" max="8" width="11.6640625" style="57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7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109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4" t="s">
        <v>0</v>
      </c>
      <c r="I3" s="68"/>
      <c r="J3" s="68" t="s">
        <v>1</v>
      </c>
      <c r="K3" s="71" t="s">
        <v>2</v>
      </c>
      <c r="L3" s="144" t="s">
        <v>0</v>
      </c>
      <c r="M3" s="68"/>
      <c r="N3" s="68" t="s">
        <v>1</v>
      </c>
      <c r="O3" s="71" t="s">
        <v>2</v>
      </c>
      <c r="P3" s="144" t="s">
        <v>0</v>
      </c>
      <c r="Q3" s="68"/>
      <c r="R3" s="68" t="s">
        <v>1</v>
      </c>
      <c r="S3" s="71" t="s">
        <v>2</v>
      </c>
      <c r="T3" s="144" t="s">
        <v>0</v>
      </c>
      <c r="U3" s="68"/>
      <c r="V3" s="68" t="s">
        <v>1</v>
      </c>
      <c r="W3" s="71" t="s">
        <v>2</v>
      </c>
      <c r="X3" s="144" t="s">
        <v>0</v>
      </c>
      <c r="Y3" s="68"/>
      <c r="Z3" s="68" t="s">
        <v>1</v>
      </c>
      <c r="AA3" s="71" t="s">
        <v>2</v>
      </c>
      <c r="AB3" s="144" t="s">
        <v>0</v>
      </c>
      <c r="AC3" s="68"/>
      <c r="AD3" s="68" t="s">
        <v>1</v>
      </c>
      <c r="AE3" s="71" t="s">
        <v>2</v>
      </c>
      <c r="AF3" s="144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145" t="s">
        <v>0</v>
      </c>
      <c r="E4" s="78" t="s">
        <v>7</v>
      </c>
      <c r="F4" s="78" t="s">
        <v>1</v>
      </c>
      <c r="G4" s="81" t="s">
        <v>2</v>
      </c>
      <c r="H4" s="145" t="s">
        <v>17</v>
      </c>
      <c r="I4" s="78" t="s">
        <v>18</v>
      </c>
      <c r="J4" s="78" t="s">
        <v>8</v>
      </c>
      <c r="K4" s="81" t="s">
        <v>9</v>
      </c>
      <c r="L4" s="145" t="s">
        <v>10</v>
      </c>
      <c r="M4" s="78" t="s">
        <v>19</v>
      </c>
      <c r="N4" s="78" t="s">
        <v>20</v>
      </c>
      <c r="O4" s="81" t="s">
        <v>21</v>
      </c>
      <c r="P4" s="145" t="s">
        <v>22</v>
      </c>
      <c r="Q4" s="78" t="s">
        <v>11</v>
      </c>
      <c r="R4" s="78" t="s">
        <v>23</v>
      </c>
      <c r="S4" s="81" t="s">
        <v>24</v>
      </c>
      <c r="T4" s="145" t="s">
        <v>25</v>
      </c>
      <c r="U4" s="78" t="s">
        <v>26</v>
      </c>
      <c r="V4" s="78" t="s">
        <v>27</v>
      </c>
      <c r="W4" s="81" t="s">
        <v>28</v>
      </c>
      <c r="X4" s="145" t="s">
        <v>29</v>
      </c>
      <c r="Y4" s="78" t="s">
        <v>30</v>
      </c>
      <c r="Z4" s="78" t="s">
        <v>12</v>
      </c>
      <c r="AA4" s="81" t="s">
        <v>13</v>
      </c>
      <c r="AB4" s="145" t="s">
        <v>14</v>
      </c>
      <c r="AC4" s="78" t="s">
        <v>31</v>
      </c>
      <c r="AD4" s="78" t="s">
        <v>32</v>
      </c>
      <c r="AE4" s="81" t="s">
        <v>33</v>
      </c>
      <c r="AF4" s="145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137</v>
      </c>
      <c r="C5" s="84"/>
      <c r="D5" s="146">
        <v>69</v>
      </c>
      <c r="E5" s="86">
        <f t="shared" ref="E5:E24" si="0">IF(D5=0," ",_xlfn.RANK.AVG(D5,D$5:D$24,0))</f>
        <v>3</v>
      </c>
      <c r="F5" s="86">
        <f t="shared" ref="F5:F24" si="1">IF(D5=0," ",IF((RANK(D5,D$5:D$24,0)&gt;6)," ",RANK(D5,D$5:D$24,0)))</f>
        <v>3</v>
      </c>
      <c r="G5" s="87">
        <f>IF(Table622027321526[[#This Row],[Non-Member]]="X"," ",IF(F5=" "," ",IFERROR(VLOOKUP(E5,Points!$A$2:$B$14,2,FALSE)," ")))</f>
        <v>12</v>
      </c>
      <c r="H5" s="146">
        <v>72</v>
      </c>
      <c r="I5" s="86">
        <f t="shared" ref="I5:I24" si="2">IF(H5=0," ",_xlfn.RANK.AVG(H5,H$5:H$24,0))</f>
        <v>1</v>
      </c>
      <c r="J5" s="86">
        <f t="shared" ref="J5:J24" si="3">IF(H5=0," ",IF((RANK(H5,H$5:H$24,0)&gt;6)," ",RANK(H5,H$5:H$24,0)))</f>
        <v>1</v>
      </c>
      <c r="K5" s="87">
        <f>IF(Table622027321526[[#This Row],[Non-Member]]="X"," ",IF(J5=" "," ",IFERROR(VLOOKUP(I5,Points!$A$2:$B$14,2,FALSE)," ")))</f>
        <v>18</v>
      </c>
      <c r="L5" s="146">
        <v>64</v>
      </c>
      <c r="M5" s="86">
        <f t="shared" ref="M5:M24" si="4">IF(L5=0," ",_xlfn.RANK.AVG(L5,L$5:L$24,0))</f>
        <v>1</v>
      </c>
      <c r="N5" s="86">
        <f t="shared" ref="N5:N24" si="5">IF(L5=0," ",IF((RANK(L5,L$5:L$24,0)&gt;6)," ",RANK(L5,L$5:L$24,0)))</f>
        <v>1</v>
      </c>
      <c r="O5" s="87">
        <f>IF(Table622027321526[[#This Row],[Non-Member]]="X"," ",IF(N5=" "," ",IFERROR(VLOOKUP(M5,Points!$A$2:$B$14,2,FALSE)," ")))</f>
        <v>18</v>
      </c>
      <c r="P5" s="146">
        <v>56</v>
      </c>
      <c r="Q5" s="86">
        <f t="shared" ref="Q5:Q24" si="6">IF(P5=0," ",_xlfn.RANK.AVG(P5,P$5:P$24,0))</f>
        <v>4</v>
      </c>
      <c r="R5" s="86">
        <f t="shared" ref="R5:R24" si="7">IF(P5=0," ",IF((RANK(P5,P$5:P$24,0)&gt;6)," ",RANK(P5,P$5:P$24,0)))</f>
        <v>4</v>
      </c>
      <c r="S5" s="87">
        <f>IF(Table622027321526[[#This Row],[Non-Member]]="X"," ",IF(R5=" "," ",IFERROR(VLOOKUP(Q5,Points!$A$2:$B$14,2,FALSE)," ")))</f>
        <v>9</v>
      </c>
      <c r="T5" s="146">
        <v>70</v>
      </c>
      <c r="U5" s="86">
        <f t="shared" ref="U5:U24" si="8">IF(T5=0," ",_xlfn.RANK.AVG(T5,T$5:T$24,0))</f>
        <v>3</v>
      </c>
      <c r="V5" s="86">
        <f t="shared" ref="V5:V24" si="9">IF(T5=0," ",IF((RANK(T5,T$5:T$24,0)&gt;6)," ",RANK(T5,T$5:T$24,0)))</f>
        <v>3</v>
      </c>
      <c r="W5" s="87">
        <f>IF(Table622027321526[[#This Row],[Non-Member]]="X"," ",IF(V5=" "," ",IFERROR(VLOOKUP(U5,Points!$A$2:$B$14,2,FALSE)," ")))</f>
        <v>12</v>
      </c>
      <c r="X5" s="146">
        <v>61</v>
      </c>
      <c r="Y5" s="86">
        <f t="shared" ref="Y5:Y24" si="10">IF(X5=0," ",_xlfn.RANK.AVG(X5,X$5:X$24,0))</f>
        <v>3</v>
      </c>
      <c r="Z5" s="86">
        <f t="shared" ref="Z5:Z24" si="11">IF(X5=0," ",IF((RANK(X5,X$5:X$24,0)&gt;6)," ",RANK(X5,X$5:X$24,0)))</f>
        <v>3</v>
      </c>
      <c r="AA5" s="87">
        <f>IF(Table622027321526[[#This Row],[Non-Member]]="X"," ",IF(Z5=" "," ",IFERROR(VLOOKUP(Y5,Points!$A$2:$B$14,2,FALSE)," ")))</f>
        <v>12</v>
      </c>
      <c r="AB5" s="146">
        <v>66</v>
      </c>
      <c r="AC5" s="86">
        <f t="shared" ref="AC5:AC24" si="12">IF(AB5=0," ",_xlfn.RANK.AVG(AB5,AB$5:AB$24,0))</f>
        <v>1.5</v>
      </c>
      <c r="AD5" s="86">
        <f t="shared" ref="AD5:AD24" si="13">IF(AB5=0," ",IF((RANK(AB5,AB$5:AB$24,0)&gt;6)," ",RANK(AB5,AB$5:AB$24,0)))</f>
        <v>1</v>
      </c>
      <c r="AE5" s="87">
        <f>IF(Table622027321526[[#This Row],[Non-Member]]="X"," ",IF(AD5=" "," ",IFERROR(VLOOKUP(AC5,Points!$A$2:$B$14,2,FALSE)," ")))</f>
        <v>16.5</v>
      </c>
      <c r="AF5" s="146">
        <f t="shared" ref="AF5:AF24" si="14">IF(X5+AB5=0," ",X5+AB5)</f>
        <v>127</v>
      </c>
      <c r="AG5" s="89">
        <f t="shared" ref="AG5:AG24" si="15">IF(AF5=0," ",_xlfn.RANK.AVG(AF5,IF(AF$5:AF$24&gt;0,AF$5:AF$24,0),0))</f>
        <v>2</v>
      </c>
      <c r="AH5" s="86">
        <f t="shared" ref="AH5:AH24" si="16">IFERROR(IF(RANK(AF5,AF$5:AF$24,0)&gt;6," ",(IF(AF5,RANK(AF5,AF$5:AF$24,0)," ")))," ")</f>
        <v>2</v>
      </c>
      <c r="AI5" s="87">
        <f>IF(Table622027321526[[#This Row],[Non-Member]]="X"," ",IF(AH5=" "," ",IFERROR(VLOOKUP(AG5,Points!$A$2:$B$14,2,FALSE)," ")))</f>
        <v>15</v>
      </c>
      <c r="AJ5" s="86">
        <f>IF(Table622027321526[[#This Row],[Non-Member]]="X"," ",((IF(G5=" ",0,G5))+(IF(K5=" ",0,K5))+(IF(O5=" ",0,O5))+(IF(S5=" ",0,S5))+(IF(W5=" ",0,W5))+(IF(AA5=" ",0,AA5))+(IF(AE5=" ",0,AE5))+(IF(AI5=" ",0,AI5))))</f>
        <v>112.5</v>
      </c>
      <c r="AK5" s="88">
        <f t="shared" ref="AK5:AK24" si="17">IF(AJ5=0," ",AJ5)</f>
        <v>112.5</v>
      </c>
      <c r="AL5" s="89">
        <f t="shared" ref="AL5:AL24" si="18">IF(AK5=" "," ",RANK(AK5,$AK$5:$AK$24))</f>
        <v>1</v>
      </c>
    </row>
    <row r="6" spans="2:38" x14ac:dyDescent="0.25">
      <c r="B6" s="90" t="s">
        <v>135</v>
      </c>
      <c r="C6" s="91"/>
      <c r="D6" s="147">
        <v>86</v>
      </c>
      <c r="E6" s="93">
        <f t="shared" si="0"/>
        <v>1</v>
      </c>
      <c r="F6" s="93">
        <f t="shared" si="1"/>
        <v>1</v>
      </c>
      <c r="G6" s="94">
        <f>IF(Table622027321526[[#This Row],[Non-Member]]="X"," ",IF(F6=" "," ",IFERROR(VLOOKUP(E6,Points!$A$2:$B$14,2,FALSE)," ")))</f>
        <v>18</v>
      </c>
      <c r="H6" s="147">
        <v>70</v>
      </c>
      <c r="I6" s="93">
        <f t="shared" si="2"/>
        <v>2</v>
      </c>
      <c r="J6" s="93">
        <f t="shared" si="3"/>
        <v>2</v>
      </c>
      <c r="K6" s="94">
        <f>IF(Table622027321526[[#This Row],[Non-Member]]="X"," ",IF(J6=" "," ",IFERROR(VLOOKUP(I6,Points!$A$2:$B$14,2,FALSE)," ")))</f>
        <v>15</v>
      </c>
      <c r="L6" s="147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IF(Table622027321526[[#This Row],[Non-Member]]="X"," ",IF(N6=" "," ",IFERROR(VLOOKUP(M6,Points!$A$2:$B$14,2,FALSE)," ")))</f>
        <v xml:space="preserve"> </v>
      </c>
      <c r="P6" s="147">
        <v>67</v>
      </c>
      <c r="Q6" s="93">
        <f t="shared" si="6"/>
        <v>1</v>
      </c>
      <c r="R6" s="93">
        <f t="shared" si="7"/>
        <v>1</v>
      </c>
      <c r="S6" s="94">
        <f>IF(Table622027321526[[#This Row],[Non-Member]]="X"," ",IF(R6=" "," ",IFERROR(VLOOKUP(Q6,Points!$A$2:$B$14,2,FALSE)," ")))</f>
        <v>18</v>
      </c>
      <c r="T6" s="147">
        <v>74</v>
      </c>
      <c r="U6" s="93">
        <f t="shared" si="8"/>
        <v>2</v>
      </c>
      <c r="V6" s="93">
        <f t="shared" si="9"/>
        <v>2</v>
      </c>
      <c r="W6" s="94">
        <f>IF(Table622027321526[[#This Row],[Non-Member]]="X"," ",IF(V6=" "," ",IFERROR(VLOOKUP(U6,Points!$A$2:$B$14,2,FALSE)," ")))</f>
        <v>15</v>
      </c>
      <c r="X6" s="147">
        <v>58</v>
      </c>
      <c r="Y6" s="93">
        <f t="shared" si="10"/>
        <v>4</v>
      </c>
      <c r="Z6" s="93">
        <f t="shared" si="11"/>
        <v>4</v>
      </c>
      <c r="AA6" s="94">
        <f>IF(Table622027321526[[#This Row],[Non-Member]]="X"," ",IF(Z6=" "," ",IFERROR(VLOOKUP(Y6,Points!$A$2:$B$14,2,FALSE)," ")))</f>
        <v>9</v>
      </c>
      <c r="AB6" s="147">
        <v>65</v>
      </c>
      <c r="AC6" s="93">
        <f t="shared" si="12"/>
        <v>3</v>
      </c>
      <c r="AD6" s="93">
        <f t="shared" si="13"/>
        <v>3</v>
      </c>
      <c r="AE6" s="94">
        <f>IF(Table622027321526[[#This Row],[Non-Member]]="X"," ",IF(AD6=" "," ",IFERROR(VLOOKUP(AC6,Points!$A$2:$B$14,2,FALSE)," ")))</f>
        <v>12</v>
      </c>
      <c r="AF6" s="147">
        <f t="shared" si="14"/>
        <v>123</v>
      </c>
      <c r="AG6" s="96">
        <f t="shared" si="15"/>
        <v>3</v>
      </c>
      <c r="AH6" s="93">
        <f t="shared" si="16"/>
        <v>3</v>
      </c>
      <c r="AI6" s="94">
        <f>IF(Table622027321526[[#This Row],[Non-Member]]="X"," ",IF(AH6=" "," ",IFERROR(VLOOKUP(AG6,Points!$A$2:$B$14,2,FALSE)," ")))</f>
        <v>12</v>
      </c>
      <c r="AJ6" s="93">
        <f>IF(Table622027321526[[#This Row],[Non-Member]]="X"," ",((IF(G6=" ",0,G6))+(IF(K6=" ",0,K6))+(IF(O6=" ",0,O6))+(IF(S6=" ",0,S6))+(IF(W6=" ",0,W6))+(IF(AA6=" ",0,AA6))+(IF(AE6=" ",0,AE6))+(IF(AI6=" ",0,AI6))))</f>
        <v>99</v>
      </c>
      <c r="AK6" s="95">
        <f t="shared" si="17"/>
        <v>99</v>
      </c>
      <c r="AL6" s="96">
        <f t="shared" si="18"/>
        <v>2</v>
      </c>
    </row>
    <row r="7" spans="2:38" x14ac:dyDescent="0.25">
      <c r="B7" s="90" t="s">
        <v>149</v>
      </c>
      <c r="C7" s="91"/>
      <c r="D7" s="147">
        <v>72</v>
      </c>
      <c r="E7" s="93">
        <f t="shared" si="0"/>
        <v>2</v>
      </c>
      <c r="F7" s="93">
        <f t="shared" si="1"/>
        <v>2</v>
      </c>
      <c r="G7" s="94">
        <f>IF(Table622027321526[[#This Row],[Non-Member]]="X"," ",IF(F7=" "," ",IFERROR(VLOOKUP(E7,Points!$A$2:$B$14,2,FALSE)," ")))</f>
        <v>15</v>
      </c>
      <c r="H7" s="147">
        <v>58</v>
      </c>
      <c r="I7" s="93">
        <f t="shared" si="2"/>
        <v>6</v>
      </c>
      <c r="J7" s="93">
        <f t="shared" si="3"/>
        <v>6</v>
      </c>
      <c r="K7" s="94">
        <f>IF(Table622027321526[[#This Row],[Non-Member]]="X"," ",IF(J7=" "," ",IFERROR(VLOOKUP(I7,Points!$A$2:$B$14,2,FALSE)," ")))</f>
        <v>3</v>
      </c>
      <c r="L7" s="147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IF(Table622027321526[[#This Row],[Non-Member]]="X"," ",IF(N7=" "," ",IFERROR(VLOOKUP(M7,Points!$A$2:$B$14,2,FALSE)," ")))</f>
        <v xml:space="preserve"> </v>
      </c>
      <c r="P7" s="147">
        <v>58</v>
      </c>
      <c r="Q7" s="93">
        <f t="shared" si="6"/>
        <v>3</v>
      </c>
      <c r="R7" s="93">
        <f t="shared" si="7"/>
        <v>3</v>
      </c>
      <c r="S7" s="94">
        <f>IF(Table622027321526[[#This Row],[Non-Member]]="X"," ",IF(R7=" "," ",IFERROR(VLOOKUP(Q7,Points!$A$2:$B$14,2,FALSE)," ")))</f>
        <v>12</v>
      </c>
      <c r="T7" s="147">
        <v>64</v>
      </c>
      <c r="U7" s="93">
        <f t="shared" si="8"/>
        <v>6</v>
      </c>
      <c r="V7" s="93">
        <f t="shared" si="9"/>
        <v>6</v>
      </c>
      <c r="W7" s="94">
        <f>IF(Table622027321526[[#This Row],[Non-Member]]="X"," ",IF(V7=" "," ",IFERROR(VLOOKUP(U7,Points!$A$2:$B$14,2,FALSE)," ")))</f>
        <v>3</v>
      </c>
      <c r="X7" s="147">
        <v>67</v>
      </c>
      <c r="Y7" s="93">
        <f t="shared" si="10"/>
        <v>1</v>
      </c>
      <c r="Z7" s="93">
        <f t="shared" si="11"/>
        <v>1</v>
      </c>
      <c r="AA7" s="94">
        <f>IF(Table622027321526[[#This Row],[Non-Member]]="X"," ",IF(Z7=" "," ",IFERROR(VLOOKUP(Y7,Points!$A$2:$B$14,2,FALSE)," ")))</f>
        <v>18</v>
      </c>
      <c r="AB7" s="147">
        <v>66</v>
      </c>
      <c r="AC7" s="93">
        <f t="shared" si="12"/>
        <v>1.5</v>
      </c>
      <c r="AD7" s="93">
        <f t="shared" si="13"/>
        <v>1</v>
      </c>
      <c r="AE7" s="94">
        <f>IF(Table622027321526[[#This Row],[Non-Member]]="X"," ",IF(AD7=" "," ",IFERROR(VLOOKUP(AC7,Points!$A$2:$B$14,2,FALSE)," ")))</f>
        <v>16.5</v>
      </c>
      <c r="AF7" s="147">
        <f t="shared" si="14"/>
        <v>133</v>
      </c>
      <c r="AG7" s="96">
        <f t="shared" si="15"/>
        <v>1</v>
      </c>
      <c r="AH7" s="93">
        <f t="shared" si="16"/>
        <v>1</v>
      </c>
      <c r="AI7" s="94">
        <f>IF(Table622027321526[[#This Row],[Non-Member]]="X"," ",IF(AH7=" "," ",IFERROR(VLOOKUP(AG7,Points!$A$2:$B$14,2,FALSE)," ")))</f>
        <v>18</v>
      </c>
      <c r="AJ7" s="93">
        <f>IF(Table622027321526[[#This Row],[Non-Member]]="X"," ",((IF(G7=" ",0,G7))+(IF(K7=" ",0,K7))+(IF(O7=" ",0,O7))+(IF(S7=" ",0,S7))+(IF(W7=" ",0,W7))+(IF(AA7=" ",0,AA7))+(IF(AE7=" ",0,AE7))+(IF(AI7=" ",0,AI7))))</f>
        <v>85.5</v>
      </c>
      <c r="AK7" s="95">
        <f t="shared" si="17"/>
        <v>85.5</v>
      </c>
      <c r="AL7" s="96">
        <f t="shared" si="18"/>
        <v>3</v>
      </c>
    </row>
    <row r="8" spans="2:38" x14ac:dyDescent="0.25">
      <c r="B8" s="90" t="s">
        <v>256</v>
      </c>
      <c r="C8" s="91"/>
      <c r="D8" s="147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IF(Table622027321526[[#This Row],[Non-Member]]="X"," ",IF(F8=" "," ",IFERROR(VLOOKUP(E8,Points!$A$2:$B$14,2,FALSE)," ")))</f>
        <v xml:space="preserve"> </v>
      </c>
      <c r="H8" s="147">
        <v>68</v>
      </c>
      <c r="I8" s="93">
        <f t="shared" si="2"/>
        <v>4</v>
      </c>
      <c r="J8" s="93">
        <f t="shared" si="3"/>
        <v>4</v>
      </c>
      <c r="K8" s="94">
        <f>IF(Table622027321526[[#This Row],[Non-Member]]="X"," ",IF(J8=" "," ",IFERROR(VLOOKUP(I8,Points!$A$2:$B$14,2,FALSE)," ")))</f>
        <v>9</v>
      </c>
      <c r="L8" s="147">
        <v>59</v>
      </c>
      <c r="M8" s="93">
        <f t="shared" si="4"/>
        <v>2</v>
      </c>
      <c r="N8" s="93">
        <f t="shared" si="5"/>
        <v>2</v>
      </c>
      <c r="O8" s="94">
        <f>IF(Table622027321526[[#This Row],[Non-Member]]="X"," ",IF(N8=" "," ",IFERROR(VLOOKUP(M8,Points!$A$2:$B$14,2,FALSE)," ")))</f>
        <v>15</v>
      </c>
      <c r="P8" s="147">
        <v>64</v>
      </c>
      <c r="Q8" s="93">
        <f t="shared" si="6"/>
        <v>2</v>
      </c>
      <c r="R8" s="93">
        <f t="shared" si="7"/>
        <v>2</v>
      </c>
      <c r="S8" s="94">
        <f>IF(Table622027321526[[#This Row],[Non-Member]]="X"," ",IF(R8=" "," ",IFERROR(VLOOKUP(Q8,Points!$A$2:$B$14,2,FALSE)," ")))</f>
        <v>15</v>
      </c>
      <c r="T8" s="147">
        <v>75</v>
      </c>
      <c r="U8" s="93">
        <f t="shared" si="8"/>
        <v>1</v>
      </c>
      <c r="V8" s="93">
        <f t="shared" si="9"/>
        <v>1</v>
      </c>
      <c r="W8" s="94">
        <f>IF(Table622027321526[[#This Row],[Non-Member]]="X"," ",IF(V8=" "," ",IFERROR(VLOOKUP(U8,Points!$A$2:$B$14,2,FALSE)," ")))</f>
        <v>18</v>
      </c>
      <c r="X8" s="147">
        <v>57</v>
      </c>
      <c r="Y8" s="93">
        <f t="shared" si="10"/>
        <v>5</v>
      </c>
      <c r="Z8" s="93">
        <f t="shared" si="11"/>
        <v>5</v>
      </c>
      <c r="AA8" s="94">
        <f>IF(Table622027321526[[#This Row],[Non-Member]]="X"," ",IF(Z8=" "," ",IFERROR(VLOOKUP(Y8,Points!$A$2:$B$14,2,FALSE)," ")))</f>
        <v>6</v>
      </c>
      <c r="AB8" s="147">
        <v>60</v>
      </c>
      <c r="AC8" s="93">
        <f t="shared" si="12"/>
        <v>4</v>
      </c>
      <c r="AD8" s="93">
        <f t="shared" si="13"/>
        <v>4</v>
      </c>
      <c r="AE8" s="94">
        <f>IF(Table622027321526[[#This Row],[Non-Member]]="X"," ",IF(AD8=" "," ",IFERROR(VLOOKUP(AC8,Points!$A$2:$B$14,2,FALSE)," ")))</f>
        <v>9</v>
      </c>
      <c r="AF8" s="147">
        <f t="shared" si="14"/>
        <v>117</v>
      </c>
      <c r="AG8" s="96">
        <f t="shared" si="15"/>
        <v>4</v>
      </c>
      <c r="AH8" s="93">
        <f t="shared" si="16"/>
        <v>4</v>
      </c>
      <c r="AI8" s="94">
        <f>IF(Table622027321526[[#This Row],[Non-Member]]="X"," ",IF(AH8=" "," ",IFERROR(VLOOKUP(AG8,Points!$A$2:$B$14,2,FALSE)," ")))</f>
        <v>9</v>
      </c>
      <c r="AJ8" s="93">
        <f>IF(Table622027321526[[#This Row],[Non-Member]]="X"," ",((IF(G8=" ",0,G8))+(IF(K8=" ",0,K8))+(IF(O8=" ",0,O8))+(IF(S8=" ",0,S8))+(IF(W8=" ",0,W8))+(IF(AA8=" ",0,AA8))+(IF(AE8=" ",0,AE8))+(IF(AI8=" ",0,AI8))))</f>
        <v>81</v>
      </c>
      <c r="AK8" s="95">
        <f t="shared" si="17"/>
        <v>81</v>
      </c>
      <c r="AL8" s="96">
        <f t="shared" si="18"/>
        <v>4</v>
      </c>
    </row>
    <row r="9" spans="2:38" x14ac:dyDescent="0.25">
      <c r="B9" s="90" t="s">
        <v>133</v>
      </c>
      <c r="C9" s="91"/>
      <c r="D9" s="147">
        <v>62</v>
      </c>
      <c r="E9" s="93">
        <f t="shared" si="0"/>
        <v>4</v>
      </c>
      <c r="F9" s="93">
        <f t="shared" si="1"/>
        <v>4</v>
      </c>
      <c r="G9" s="94">
        <f>IF(Table622027321526[[#This Row],[Non-Member]]="X"," ",IF(F9=" "," ",IFERROR(VLOOKUP(E9,Points!$A$2:$B$14,2,FALSE)," ")))</f>
        <v>9</v>
      </c>
      <c r="H9" s="147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IF(Table622027321526[[#This Row],[Non-Member]]="X"," ",IF(J9=" "," ",IFERROR(VLOOKUP(I9,Points!$A$2:$B$14,2,FALSE)," ")))</f>
        <v xml:space="preserve"> </v>
      </c>
      <c r="L9" s="147">
        <v>50</v>
      </c>
      <c r="M9" s="93">
        <f t="shared" si="4"/>
        <v>3</v>
      </c>
      <c r="N9" s="93">
        <f t="shared" si="5"/>
        <v>3</v>
      </c>
      <c r="O9" s="94">
        <f>IF(Table622027321526[[#This Row],[Non-Member]]="X"," ",IF(N9=" "," ",IFERROR(VLOOKUP(M9,Points!$A$2:$B$14,2,FALSE)," ")))</f>
        <v>12</v>
      </c>
      <c r="P9" s="147">
        <v>46</v>
      </c>
      <c r="Q9" s="93">
        <f t="shared" si="6"/>
        <v>5</v>
      </c>
      <c r="R9" s="93">
        <f t="shared" si="7"/>
        <v>5</v>
      </c>
      <c r="S9" s="94">
        <f>IF(Table622027321526[[#This Row],[Non-Member]]="X"," ",IF(R9=" "," ",IFERROR(VLOOKUP(Q9,Points!$A$2:$B$14,2,FALSE)," ")))</f>
        <v>6</v>
      </c>
      <c r="T9" s="147"/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IF(Table622027321526[[#This Row],[Non-Member]]="X"," ",IF(V9=" "," ",IFERROR(VLOOKUP(U9,Points!$A$2:$B$14,2,FALSE)," ")))</f>
        <v xml:space="preserve"> </v>
      </c>
      <c r="X9" s="147">
        <v>64</v>
      </c>
      <c r="Y9" s="93">
        <f t="shared" si="10"/>
        <v>2</v>
      </c>
      <c r="Z9" s="93">
        <f t="shared" si="11"/>
        <v>2</v>
      </c>
      <c r="AA9" s="94">
        <f>IF(Table622027321526[[#This Row],[Non-Member]]="X"," ",IF(Z9=" "," ",IFERROR(VLOOKUP(Y9,Points!$A$2:$B$14,2,FALSE)," ")))</f>
        <v>15</v>
      </c>
      <c r="AB9" s="147">
        <v>0</v>
      </c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IF(Table622027321526[[#This Row],[Non-Member]]="X"," ",IF(AD9=" "," ",IFERROR(VLOOKUP(AC9,Points!$A$2:$B$14,2,FALSE)," ")))</f>
        <v xml:space="preserve"> </v>
      </c>
      <c r="AF9" s="147">
        <f t="shared" si="14"/>
        <v>64</v>
      </c>
      <c r="AG9" s="96">
        <f t="shared" si="15"/>
        <v>5</v>
      </c>
      <c r="AH9" s="93">
        <f t="shared" si="16"/>
        <v>5</v>
      </c>
      <c r="AI9" s="94">
        <f>IF(Table622027321526[[#This Row],[Non-Member]]="X"," ",IF(AH9=" "," ",IFERROR(VLOOKUP(AG9,Points!$A$2:$B$14,2,FALSE)," ")))</f>
        <v>6</v>
      </c>
      <c r="AJ9" s="93">
        <f>IF(Table622027321526[[#This Row],[Non-Member]]="X"," ",((IF(G9=" ",0,G9))+(IF(K9=" ",0,K9))+(IF(O9=" ",0,O9))+(IF(S9=" ",0,S9))+(IF(W9=" ",0,W9))+(IF(AA9=" ",0,AA9))+(IF(AE9=" ",0,AE9))+(IF(AI9=" ",0,AI9))))</f>
        <v>48</v>
      </c>
      <c r="AK9" s="95">
        <f t="shared" si="17"/>
        <v>48</v>
      </c>
      <c r="AL9" s="96">
        <f t="shared" si="18"/>
        <v>5</v>
      </c>
    </row>
    <row r="10" spans="2:38" x14ac:dyDescent="0.25">
      <c r="B10" s="90" t="s">
        <v>139</v>
      </c>
      <c r="C10" s="91"/>
      <c r="D10" s="147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IF(Table622027321526[[#This Row],[Non-Member]]="X"," ",IF(F10=" "," ",IFERROR(VLOOKUP(E10,Points!$A$2:$B$14,2,FALSE)," ")))</f>
        <v xml:space="preserve"> </v>
      </c>
      <c r="H10" s="147">
        <v>65</v>
      </c>
      <c r="I10" s="93">
        <f t="shared" si="2"/>
        <v>5</v>
      </c>
      <c r="J10" s="93">
        <f t="shared" si="3"/>
        <v>5</v>
      </c>
      <c r="K10" s="94">
        <f>IF(Table622027321526[[#This Row],[Non-Member]]="X"," ",IF(J10=" "," ",IFERROR(VLOOKUP(I10,Points!$A$2:$B$14,2,FALSE)," ")))</f>
        <v>6</v>
      </c>
      <c r="L10" s="147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IF(Table622027321526[[#This Row],[Non-Member]]="X"," ",IF(N10=" "," ",IFERROR(VLOOKUP(M10,Points!$A$2:$B$14,2,FALSE)," ")))</f>
        <v xml:space="preserve"> </v>
      </c>
      <c r="P10" s="147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IF(Table622027321526[[#This Row],[Non-Member]]="X"," ",IF(R10=" "," ",IFERROR(VLOOKUP(Q10,Points!$A$2:$B$14,2,FALSE)," ")))</f>
        <v xml:space="preserve"> </v>
      </c>
      <c r="T10" s="147">
        <v>68</v>
      </c>
      <c r="U10" s="93">
        <f t="shared" si="8"/>
        <v>4</v>
      </c>
      <c r="V10" s="93">
        <f t="shared" si="9"/>
        <v>4</v>
      </c>
      <c r="W10" s="94">
        <f>IF(Table622027321526[[#This Row],[Non-Member]]="X"," ",IF(V10=" "," ",IFERROR(VLOOKUP(U10,Points!$A$2:$B$14,2,FALSE)," ")))</f>
        <v>9</v>
      </c>
      <c r="X10" s="147">
        <v>0</v>
      </c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IF(Table622027321526[[#This Row],[Non-Member]]="X"," ",IF(Z10=" "," ",IFERROR(VLOOKUP(Y10,Points!$A$2:$B$14,2,FALSE)," ")))</f>
        <v xml:space="preserve"> </v>
      </c>
      <c r="AB10" s="147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IF(Table622027321526[[#This Row],[Non-Member]]="X"," ",IF(AD10=" "," ",IFERROR(VLOOKUP(AC10,Points!$A$2:$B$14,2,FALSE)," ")))</f>
        <v xml:space="preserve"> </v>
      </c>
      <c r="AF10" s="147" t="str">
        <f t="shared" si="14"/>
        <v xml:space="preserve"> </v>
      </c>
      <c r="AG10" s="96" t="e">
        <f t="shared" si="15"/>
        <v>#VALUE!</v>
      </c>
      <c r="AH10" s="93" t="str">
        <f t="shared" si="16"/>
        <v xml:space="preserve"> </v>
      </c>
      <c r="AI10" s="94" t="str">
        <f>IF(Table622027321526[[#This Row],[Non-Member]]="X"," ",IF(AH10=" "," ",IFERROR(VLOOKUP(AG10,Points!$A$2:$B$14,2,FALSE)," ")))</f>
        <v xml:space="preserve"> </v>
      </c>
      <c r="AJ10" s="93">
        <f>IF(Table622027321526[[#This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7"/>
        <v>15</v>
      </c>
      <c r="AL10" s="96">
        <f t="shared" si="18"/>
        <v>6</v>
      </c>
    </row>
    <row r="11" spans="2:38" x14ac:dyDescent="0.25">
      <c r="B11" s="90" t="s">
        <v>150</v>
      </c>
      <c r="C11" s="91"/>
      <c r="D11" s="147">
        <v>0</v>
      </c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IF(Table622027321526[[#This Row],[Non-Member]]="X"," ",IF(F11=" "," ",IFERROR(VLOOKUP(E11,Points!$A$2:$B$14,2,FALSE)," ")))</f>
        <v xml:space="preserve"> </v>
      </c>
      <c r="H11" s="147">
        <v>69</v>
      </c>
      <c r="I11" s="93">
        <f t="shared" si="2"/>
        <v>3</v>
      </c>
      <c r="J11" s="93">
        <f t="shared" si="3"/>
        <v>3</v>
      </c>
      <c r="K11" s="94">
        <f>IF(Table622027321526[[#This Row],[Non-Member]]="X"," ",IF(J11=" "," ",IFERROR(VLOOKUP(I11,Points!$A$2:$B$14,2,FALSE)," ")))</f>
        <v>12</v>
      </c>
      <c r="L11" s="147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IF(Table622027321526[[#This Row],[Non-Member]]="X"," ",IF(N11=" "," ",IFERROR(VLOOKUP(M11,Points!$A$2:$B$14,2,FALSE)," ")))</f>
        <v xml:space="preserve"> </v>
      </c>
      <c r="P11" s="147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IF(Table622027321526[[#This Row],[Non-Member]]="X"," ",IF(R11=" "," ",IFERROR(VLOOKUP(Q11,Points!$A$2:$B$14,2,FALSE)," ")))</f>
        <v xml:space="preserve"> </v>
      </c>
      <c r="T11" s="147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IF(Table622027321526[[#This Row],[Non-Member]]="X"," ",IF(V11=" "," ",IFERROR(VLOOKUP(U11,Points!$A$2:$B$14,2,FALSE)," ")))</f>
        <v xml:space="preserve"> </v>
      </c>
      <c r="X11" s="147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IF(Table622027321526[[#This Row],[Non-Member]]="X"," ",IF(Z11=" "," ",IFERROR(VLOOKUP(Y11,Points!$A$2:$B$14,2,FALSE)," ")))</f>
        <v xml:space="preserve"> </v>
      </c>
      <c r="AB11" s="147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IF(Table622027321526[[#This Row],[Non-Member]]="X"," ",IF(AD11=" "," ",IFERROR(VLOOKUP(AC11,Points!$A$2:$B$14,2,FALSE)," ")))</f>
        <v xml:space="preserve"> </v>
      </c>
      <c r="AF11" s="147" t="str">
        <f t="shared" si="14"/>
        <v xml:space="preserve"> </v>
      </c>
      <c r="AG11" s="96" t="e">
        <f t="shared" si="15"/>
        <v>#VALUE!</v>
      </c>
      <c r="AH11" s="93" t="str">
        <f t="shared" si="16"/>
        <v xml:space="preserve"> </v>
      </c>
      <c r="AI11" s="94" t="str">
        <f>IF(Table622027321526[[#This Row],[Non-Member]]="X"," ",IF(AH11=" "," ",IFERROR(VLOOKUP(AG11,Points!$A$2:$B$14,2,FALSE)," ")))</f>
        <v xml:space="preserve"> </v>
      </c>
      <c r="AJ11" s="93">
        <f>IF(Table622027321526[[#This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7</v>
      </c>
    </row>
    <row r="12" spans="2:38" x14ac:dyDescent="0.25">
      <c r="B12" s="90" t="s">
        <v>219</v>
      </c>
      <c r="C12" s="91"/>
      <c r="D12" s="147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IF(Table622027321526[[#This Row],[Non-Member]]="X"," ",IF(F12=" "," ",IFERROR(VLOOKUP(E12,Points!$A$2:$B$14,2,FALSE)," ")))</f>
        <v xml:space="preserve"> </v>
      </c>
      <c r="H12" s="147">
        <v>0</v>
      </c>
      <c r="I12" s="97" t="str">
        <f t="shared" si="2"/>
        <v xml:space="preserve"> </v>
      </c>
      <c r="J12" s="93" t="str">
        <f t="shared" si="3"/>
        <v xml:space="preserve"> </v>
      </c>
      <c r="K12" s="94" t="str">
        <f>IF(Table622027321526[[#This Row],[Non-Member]]="X"," ",IF(J12=" "," ",IFERROR(VLOOKUP(I12,Points!$A$2:$B$14,2,FALSE)," ")))</f>
        <v xml:space="preserve"> </v>
      </c>
      <c r="L12" s="147"/>
      <c r="M12" s="97" t="str">
        <f t="shared" si="4"/>
        <v xml:space="preserve"> </v>
      </c>
      <c r="N12" s="93" t="str">
        <f t="shared" si="5"/>
        <v xml:space="preserve"> </v>
      </c>
      <c r="O12" s="94" t="str">
        <f>IF(Table622027321526[[#This Row],[Non-Member]]="X"," ",IF(N12=" "," ",IFERROR(VLOOKUP(M12,Points!$A$2:$B$14,2,FALSE)," ")))</f>
        <v xml:space="preserve"> </v>
      </c>
      <c r="P12" s="147">
        <v>0</v>
      </c>
      <c r="Q12" s="97" t="str">
        <f t="shared" si="6"/>
        <v xml:space="preserve"> </v>
      </c>
      <c r="R12" s="93" t="str">
        <f t="shared" si="7"/>
        <v xml:space="preserve"> </v>
      </c>
      <c r="S12" s="94" t="str">
        <f>IF(Table622027321526[[#This Row],[Non-Member]]="X"," ",IF(R12=" "," ",IFERROR(VLOOKUP(Q12,Points!$A$2:$B$14,2,FALSE)," ")))</f>
        <v xml:space="preserve"> </v>
      </c>
      <c r="T12" s="147">
        <v>67</v>
      </c>
      <c r="U12" s="97">
        <f t="shared" si="8"/>
        <v>5</v>
      </c>
      <c r="V12" s="93">
        <f t="shared" si="9"/>
        <v>5</v>
      </c>
      <c r="W12" s="94">
        <f>IF(Table622027321526[[#This Row],[Non-Member]]="X"," ",IF(V12=" "," ",IFERROR(VLOOKUP(U12,Points!$A$2:$B$14,2,FALSE)," ")))</f>
        <v>6</v>
      </c>
      <c r="X12" s="147"/>
      <c r="Y12" s="97" t="str">
        <f t="shared" si="10"/>
        <v xml:space="preserve"> </v>
      </c>
      <c r="Z12" s="93" t="str">
        <f t="shared" si="11"/>
        <v xml:space="preserve"> </v>
      </c>
      <c r="AA12" s="94" t="str">
        <f>IF(Table622027321526[[#This Row],[Non-Member]]="X"," ",IF(Z12=" "," ",IFERROR(VLOOKUP(Y12,Points!$A$2:$B$14,2,FALSE)," ")))</f>
        <v xml:space="preserve"> </v>
      </c>
      <c r="AB12" s="147"/>
      <c r="AC12" s="97" t="str">
        <f t="shared" si="12"/>
        <v xml:space="preserve"> </v>
      </c>
      <c r="AD12" s="93" t="str">
        <f t="shared" si="13"/>
        <v xml:space="preserve"> </v>
      </c>
      <c r="AE12" s="94" t="str">
        <f>IF(Table622027321526[[#This Row],[Non-Member]]="X"," ",IF(AD12=" "," ",IFERROR(VLOOKUP(AC12,Points!$A$2:$B$14,2,FALSE)," ")))</f>
        <v xml:space="preserve"> </v>
      </c>
      <c r="AF12" s="147" t="str">
        <f t="shared" si="14"/>
        <v xml:space="preserve"> </v>
      </c>
      <c r="AG12" s="98" t="e">
        <f t="shared" si="15"/>
        <v>#VALUE!</v>
      </c>
      <c r="AH12" s="93" t="str">
        <f t="shared" si="16"/>
        <v xml:space="preserve"> </v>
      </c>
      <c r="AI12" s="94" t="str">
        <f>IF(Table622027321526[[#This Row],[Non-Member]]="X"," ",IF(AH12=" "," ",IFERROR(VLOOKUP(AG12,Points!$A$2:$B$14,2,FALSE)," ")))</f>
        <v xml:space="preserve"> </v>
      </c>
      <c r="AJ12" s="97">
        <f>IF(Table622027321526[[#This Row],[Non-Member]]="X"," ",((IF(G12=" ",0,G12))+(IF(K12=" ",0,K12))+(IF(O12=" ",0,O12))+(IF(S12=" ",0,S12))+(IF(W12=" ",0,W12))+(IF(AA12=" ",0,AA12))+(IF(AE12=" ",0,AE12))+(IF(AI12=" ",0,AI12))))</f>
        <v>6</v>
      </c>
      <c r="AK12" s="95">
        <f t="shared" si="17"/>
        <v>6</v>
      </c>
      <c r="AL12" s="98">
        <f t="shared" si="18"/>
        <v>8</v>
      </c>
    </row>
    <row r="13" spans="2:38" x14ac:dyDescent="0.25">
      <c r="B13" s="90" t="s">
        <v>255</v>
      </c>
      <c r="C13" s="91"/>
      <c r="D13" s="147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IF(Table622027321526[[#This Row],[Non-Member]]="X"," ",IF(F13=" "," ",IFERROR(VLOOKUP(E13,Points!$A$2:$B$14,2,FALSE)," ")))</f>
        <v xml:space="preserve"> </v>
      </c>
      <c r="H13" s="147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IF(Table622027321526[[#This Row],[Non-Member]]="X"," ",IF(J13=" "," ",IFERROR(VLOOKUP(I13,Points!$A$2:$B$14,2,FALSE)," ")))</f>
        <v xml:space="preserve"> </v>
      </c>
      <c r="L13" s="147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IF(Table622027321526[[#This Row],[Non-Member]]="X"," ",IF(N13=" "," ",IFERROR(VLOOKUP(M13,Points!$A$2:$B$14,2,FALSE)," ")))</f>
        <v xml:space="preserve"> </v>
      </c>
      <c r="P13" s="147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IF(Table622027321526[[#This Row],[Non-Member]]="X"," ",IF(R13=" "," ",IFERROR(VLOOKUP(Q13,Points!$A$2:$B$14,2,FALSE)," ")))</f>
        <v xml:space="preserve"> </v>
      </c>
      <c r="T13" s="147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IF(Table622027321526[[#This Row],[Non-Member]]="X"," ",IF(V13=" "," ",IFERROR(VLOOKUP(U13,Points!$A$2:$B$14,2,FALSE)," ")))</f>
        <v xml:space="preserve"> </v>
      </c>
      <c r="X13" s="147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IF(Table622027321526[[#This Row],[Non-Member]]="X"," ",IF(Z13=" "," ",IFERROR(VLOOKUP(Y13,Points!$A$2:$B$14,2,FALSE)," ")))</f>
        <v xml:space="preserve"> </v>
      </c>
      <c r="AB13" s="147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IF(Table622027321526[[#This Row],[Non-Member]]="X"," ",IF(AD13=" "," ",IFERROR(VLOOKUP(AC13,Points!$A$2:$B$14,2,FALSE)," ")))</f>
        <v xml:space="preserve"> </v>
      </c>
      <c r="AF13" s="147" t="str">
        <f t="shared" si="14"/>
        <v xml:space="preserve"> </v>
      </c>
      <c r="AG13" s="96" t="e">
        <f t="shared" si="15"/>
        <v>#VALUE!</v>
      </c>
      <c r="AH13" s="93" t="str">
        <f t="shared" si="16"/>
        <v xml:space="preserve"> </v>
      </c>
      <c r="AI13" s="94" t="str">
        <f>IF(Table622027321526[[#This Row],[Non-Member]]="X"," ",IF(AH13=" "," ",IFERROR(VLOOKUP(AG13,Points!$A$2:$B$14,2,FALSE)," ")))</f>
        <v xml:space="preserve"> </v>
      </c>
      <c r="AJ13" s="93">
        <f>IF(Table622027321526[[#This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25">
      <c r="B14" s="90" t="s">
        <v>136</v>
      </c>
      <c r="C14" s="91"/>
      <c r="D14" s="147">
        <v>0</v>
      </c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IF(Table622027321526[[#This Row],[Non-Member]]="X"," ",IF(F14=" "," ",IFERROR(VLOOKUP(E14,Points!$A$2:$B$14,2,FALSE)," ")))</f>
        <v xml:space="preserve"> </v>
      </c>
      <c r="H14" s="147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IF(Table622027321526[[#This Row],[Non-Member]]="X"," ",IF(J14=" "," ",IFERROR(VLOOKUP(I14,Points!$A$2:$B$14,2,FALSE)," ")))</f>
        <v xml:space="preserve"> </v>
      </c>
      <c r="L14" s="147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IF(Table622027321526[[#This Row],[Non-Member]]="X"," ",IF(N14=" "," ",IFERROR(VLOOKUP(M14,Points!$A$2:$B$14,2,FALSE)," ")))</f>
        <v xml:space="preserve"> </v>
      </c>
      <c r="P14" s="147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IF(Table622027321526[[#This Row],[Non-Member]]="X"," ",IF(R14=" "," ",IFERROR(VLOOKUP(Q14,Points!$A$2:$B$14,2,FALSE)," ")))</f>
        <v xml:space="preserve"> </v>
      </c>
      <c r="T14" s="147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IF(Table622027321526[[#This Row],[Non-Member]]="X"," ",IF(V14=" "," ",IFERROR(VLOOKUP(U14,Points!$A$2:$B$14,2,FALSE)," ")))</f>
        <v xml:space="preserve"> </v>
      </c>
      <c r="X14" s="147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IF(Table622027321526[[#This Row],[Non-Member]]="X"," ",IF(Z14=" "," ",IFERROR(VLOOKUP(Y14,Points!$A$2:$B$14,2,FALSE)," ")))</f>
        <v xml:space="preserve"> </v>
      </c>
      <c r="AB14" s="147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IF(Table622027321526[[#This Row],[Non-Member]]="X"," ",IF(AD14=" "," ",IFERROR(VLOOKUP(AC14,Points!$A$2:$B$14,2,FALSE)," ")))</f>
        <v xml:space="preserve"> </v>
      </c>
      <c r="AF14" s="147" t="str">
        <f t="shared" si="14"/>
        <v xml:space="preserve"> </v>
      </c>
      <c r="AG14" s="96" t="e">
        <f t="shared" si="15"/>
        <v>#VALUE!</v>
      </c>
      <c r="AH14" s="93" t="str">
        <f t="shared" si="16"/>
        <v xml:space="preserve"> </v>
      </c>
      <c r="AI14" s="94" t="str">
        <f>IF(Table622027321526[[#This Row],[Non-Member]]="X"," ",IF(AH14=" "," ",IFERROR(VLOOKUP(AG14,Points!$A$2:$B$14,2,FALSE)," ")))</f>
        <v xml:space="preserve"> </v>
      </c>
      <c r="AJ14" s="93">
        <f>IF(Table622027321526[[#This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25">
      <c r="B15" s="90" t="s">
        <v>151</v>
      </c>
      <c r="C15" s="91"/>
      <c r="D15" s="147">
        <v>0</v>
      </c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IF(Table622027321526[[#This Row],[Non-Member]]="X"," ",IF(F15=" "," ",IFERROR(VLOOKUP(E15,Points!$A$2:$B$14,2,FALSE)," ")))</f>
        <v xml:space="preserve"> </v>
      </c>
      <c r="H15" s="147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IF(Table622027321526[[#This Row],[Non-Member]]="X"," ",IF(J15=" "," ",IFERROR(VLOOKUP(I15,Points!$A$2:$B$14,2,FALSE)," ")))</f>
        <v xml:space="preserve"> </v>
      </c>
      <c r="L15" s="147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IF(Table622027321526[[#This Row],[Non-Member]]="X"," ",IF(N15=" "," ",IFERROR(VLOOKUP(M15,Points!$A$2:$B$14,2,FALSE)," ")))</f>
        <v xml:space="preserve"> </v>
      </c>
      <c r="P15" s="147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IF(Table622027321526[[#This Row],[Non-Member]]="X"," ",IF(R15=" "," ",IFERROR(VLOOKUP(Q15,Points!$A$2:$B$14,2,FALSE)," ")))</f>
        <v xml:space="preserve"> </v>
      </c>
      <c r="T15" s="147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IF(Table622027321526[[#This Row],[Non-Member]]="X"," ",IF(V15=" "," ",IFERROR(VLOOKUP(U15,Points!$A$2:$B$14,2,FALSE)," ")))</f>
        <v xml:space="preserve"> </v>
      </c>
      <c r="X15" s="147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IF(Table622027321526[[#This Row],[Non-Member]]="X"," ",IF(Z15=" "," ",IFERROR(VLOOKUP(Y15,Points!$A$2:$B$14,2,FALSE)," ")))</f>
        <v xml:space="preserve"> </v>
      </c>
      <c r="AB15" s="147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IF(Table622027321526[[#This Row],[Non-Member]]="X"," ",IF(AD15=" "," ",IFERROR(VLOOKUP(AC15,Points!$A$2:$B$14,2,FALSE)," ")))</f>
        <v xml:space="preserve"> </v>
      </c>
      <c r="AF15" s="147" t="str">
        <f t="shared" si="14"/>
        <v xml:space="preserve"> </v>
      </c>
      <c r="AG15" s="96" t="e">
        <f t="shared" si="15"/>
        <v>#VALUE!</v>
      </c>
      <c r="AH15" s="93" t="str">
        <f t="shared" si="16"/>
        <v xml:space="preserve"> </v>
      </c>
      <c r="AI15" s="94" t="str">
        <f>IF(Table622027321526[[#This Row],[Non-Member]]="X"," ",IF(AH15=" "," ",IFERROR(VLOOKUP(AG15,Points!$A$2:$B$14,2,FALSE)," ")))</f>
        <v xml:space="preserve"> </v>
      </c>
      <c r="AJ15" s="93">
        <f>IF(Table622027321526[[#This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 t="s">
        <v>138</v>
      </c>
      <c r="C16" s="91"/>
      <c r="D16" s="147">
        <v>0</v>
      </c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IF(Table622027321526[[#This Row],[Non-Member]]="X"," ",IF(F16=" "," ",IFERROR(VLOOKUP(E16,Points!$A$2:$B$14,2,FALSE)," ")))</f>
        <v xml:space="preserve"> </v>
      </c>
      <c r="H16" s="147">
        <v>0</v>
      </c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IF(Table622027321526[[#This Row],[Non-Member]]="X"," ",IF(J16=" "," ",IFERROR(VLOOKUP(I16,Points!$A$2:$B$14,2,FALSE)," ")))</f>
        <v xml:space="preserve"> </v>
      </c>
      <c r="L16" s="147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IF(Table622027321526[[#This Row],[Non-Member]]="X"," ",IF(N16=" "," ",IFERROR(VLOOKUP(M16,Points!$A$2:$B$14,2,FALSE)," ")))</f>
        <v xml:space="preserve"> </v>
      </c>
      <c r="P16" s="147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IF(Table622027321526[[#This Row],[Non-Member]]="X"," ",IF(R16=" "," ",IFERROR(VLOOKUP(Q16,Points!$A$2:$B$14,2,FALSE)," ")))</f>
        <v xml:space="preserve"> </v>
      </c>
      <c r="T16" s="147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IF(Table622027321526[[#This Row],[Non-Member]]="X"," ",IF(V16=" "," ",IFERROR(VLOOKUP(U16,Points!$A$2:$B$14,2,FALSE)," ")))</f>
        <v xml:space="preserve"> </v>
      </c>
      <c r="X16" s="147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IF(Table622027321526[[#This Row],[Non-Member]]="X"," ",IF(Z16=" "," ",IFERROR(VLOOKUP(Y16,Points!$A$2:$B$14,2,FALSE)," ")))</f>
        <v xml:space="preserve"> </v>
      </c>
      <c r="AB16" s="147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IF(Table622027321526[[#This Row],[Non-Member]]="X"," ",IF(AD16=" "," ",IFERROR(VLOOKUP(AC16,Points!$A$2:$B$14,2,FALSE)," ")))</f>
        <v xml:space="preserve"> </v>
      </c>
      <c r="AF16" s="147" t="str">
        <f t="shared" si="14"/>
        <v xml:space="preserve"> </v>
      </c>
      <c r="AG16" s="96" t="e">
        <f t="shared" si="15"/>
        <v>#VALUE!</v>
      </c>
      <c r="AH16" s="93" t="str">
        <f t="shared" si="16"/>
        <v xml:space="preserve"> </v>
      </c>
      <c r="AI16" s="94" t="str">
        <f>IF(Table622027321526[[#This Row],[Non-Member]]="X"," ",IF(AH16=" "," ",IFERROR(VLOOKUP(AG16,Points!$A$2:$B$14,2,FALSE)," ")))</f>
        <v xml:space="preserve"> </v>
      </c>
      <c r="AJ16" s="93">
        <f>IF(Table622027321526[[#This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25">
      <c r="B17" s="90"/>
      <c r="C17" s="91"/>
      <c r="D17" s="147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IF(Table622027321526[[#This Row],[Non-Member]]="X"," ",IF(F17=" "," ",IFERROR(VLOOKUP(E17,Points!$A$2:$B$14,2,FALSE)," ")))</f>
        <v xml:space="preserve"> </v>
      </c>
      <c r="H17" s="147"/>
      <c r="I17" s="97" t="str">
        <f t="shared" si="2"/>
        <v xml:space="preserve"> </v>
      </c>
      <c r="J17" s="93" t="str">
        <f t="shared" si="3"/>
        <v xml:space="preserve"> </v>
      </c>
      <c r="K17" s="94" t="str">
        <f>IF(Table622027321526[[#This Row],[Non-Member]]="X"," ",IF(J17=" "," ",IFERROR(VLOOKUP(I17,Points!$A$2:$B$14,2,FALSE)," ")))</f>
        <v xml:space="preserve"> </v>
      </c>
      <c r="L17" s="147"/>
      <c r="M17" s="97" t="str">
        <f t="shared" si="4"/>
        <v xml:space="preserve"> </v>
      </c>
      <c r="N17" s="93" t="str">
        <f t="shared" si="5"/>
        <v xml:space="preserve"> </v>
      </c>
      <c r="O17" s="94" t="str">
        <f>IF(Table622027321526[[#This Row],[Non-Member]]="X"," ",IF(N17=" "," ",IFERROR(VLOOKUP(M17,Points!$A$2:$B$14,2,FALSE)," ")))</f>
        <v xml:space="preserve"> </v>
      </c>
      <c r="P17" s="147"/>
      <c r="Q17" s="97" t="str">
        <f t="shared" si="6"/>
        <v xml:space="preserve"> </v>
      </c>
      <c r="R17" s="93" t="str">
        <f t="shared" si="7"/>
        <v xml:space="preserve"> </v>
      </c>
      <c r="S17" s="94" t="str">
        <f>IF(Table622027321526[[#This Row],[Non-Member]]="X"," ",IF(R17=" "," ",IFERROR(VLOOKUP(Q17,Points!$A$2:$B$14,2,FALSE)," ")))</f>
        <v xml:space="preserve"> </v>
      </c>
      <c r="T17" s="147"/>
      <c r="U17" s="97" t="str">
        <f t="shared" si="8"/>
        <v xml:space="preserve"> </v>
      </c>
      <c r="V17" s="93" t="str">
        <f t="shared" si="9"/>
        <v xml:space="preserve"> </v>
      </c>
      <c r="W17" s="94" t="str">
        <f>IF(Table622027321526[[#This Row],[Non-Member]]="X"," ",IF(V17=" "," ",IFERROR(VLOOKUP(U17,Points!$A$2:$B$14,2,FALSE)," ")))</f>
        <v xml:space="preserve"> </v>
      </c>
      <c r="X17" s="147"/>
      <c r="Y17" s="97" t="str">
        <f t="shared" si="10"/>
        <v xml:space="preserve"> </v>
      </c>
      <c r="Z17" s="93" t="str">
        <f t="shared" si="11"/>
        <v xml:space="preserve"> </v>
      </c>
      <c r="AA17" s="94" t="str">
        <f>IF(Table622027321526[[#This Row],[Non-Member]]="X"," ",IF(Z17=" "," ",IFERROR(VLOOKUP(Y17,Points!$A$2:$B$14,2,FALSE)," ")))</f>
        <v xml:space="preserve"> </v>
      </c>
      <c r="AB17" s="147"/>
      <c r="AC17" s="97" t="str">
        <f t="shared" si="12"/>
        <v xml:space="preserve"> </v>
      </c>
      <c r="AD17" s="93" t="str">
        <f t="shared" si="13"/>
        <v xml:space="preserve"> </v>
      </c>
      <c r="AE17" s="94" t="str">
        <f>IF(Table622027321526[[#This Row],[Non-Member]]="X"," ",IF(AD17=" "," ",IFERROR(VLOOKUP(AC17,Points!$A$2:$B$14,2,FALSE)," ")))</f>
        <v xml:space="preserve"> </v>
      </c>
      <c r="AF17" s="147" t="str">
        <f t="shared" si="14"/>
        <v xml:space="preserve"> </v>
      </c>
      <c r="AG17" s="98" t="e">
        <f t="shared" si="15"/>
        <v>#VALUE!</v>
      </c>
      <c r="AH17" s="93" t="str">
        <f t="shared" si="16"/>
        <v xml:space="preserve"> </v>
      </c>
      <c r="AI17" s="94" t="str">
        <f>IF(Table622027321526[[#This Row],[Non-Member]]="X"," ",IF(AH17=" "," ",IFERROR(VLOOKUP(AG17,Points!$A$2:$B$14,2,FALSE)," ")))</f>
        <v xml:space="preserve"> </v>
      </c>
      <c r="AJ17" s="97">
        <f>IF(Table622027321526[[#This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25">
      <c r="B18" s="90"/>
      <c r="C18" s="91"/>
      <c r="D18" s="147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IF(Table622027321526[[#This Row],[Non-Member]]="X"," ",IF(F18=" "," ",IFERROR(VLOOKUP(E18,Points!$A$2:$B$14,2,FALSE)," ")))</f>
        <v xml:space="preserve"> </v>
      </c>
      <c r="H18" s="147"/>
      <c r="I18" s="97" t="str">
        <f t="shared" si="2"/>
        <v xml:space="preserve"> </v>
      </c>
      <c r="J18" s="93" t="str">
        <f t="shared" si="3"/>
        <v xml:space="preserve"> </v>
      </c>
      <c r="K18" s="94" t="str">
        <f>IF(Table622027321526[[#This Row],[Non-Member]]="X"," ",IF(J18=" "," ",IFERROR(VLOOKUP(I18,Points!$A$2:$B$14,2,FALSE)," ")))</f>
        <v xml:space="preserve"> </v>
      </c>
      <c r="L18" s="147"/>
      <c r="M18" s="97" t="str">
        <f t="shared" si="4"/>
        <v xml:space="preserve"> </v>
      </c>
      <c r="N18" s="93" t="str">
        <f t="shared" si="5"/>
        <v xml:space="preserve"> </v>
      </c>
      <c r="O18" s="94" t="str">
        <f>IF(Table622027321526[[#This Row],[Non-Member]]="X"," ",IF(N18=" "," ",IFERROR(VLOOKUP(M18,Points!$A$2:$B$14,2,FALSE)," ")))</f>
        <v xml:space="preserve"> </v>
      </c>
      <c r="P18" s="147"/>
      <c r="Q18" s="97" t="str">
        <f t="shared" si="6"/>
        <v xml:space="preserve"> </v>
      </c>
      <c r="R18" s="93" t="str">
        <f t="shared" si="7"/>
        <v xml:space="preserve"> </v>
      </c>
      <c r="S18" s="94" t="str">
        <f>IF(Table622027321526[[#This Row],[Non-Member]]="X"," ",IF(R18=" "," ",IFERROR(VLOOKUP(Q18,Points!$A$2:$B$14,2,FALSE)," ")))</f>
        <v xml:space="preserve"> </v>
      </c>
      <c r="T18" s="147"/>
      <c r="U18" s="97" t="str">
        <f t="shared" si="8"/>
        <v xml:space="preserve"> </v>
      </c>
      <c r="V18" s="93" t="str">
        <f t="shared" si="9"/>
        <v xml:space="preserve"> </v>
      </c>
      <c r="W18" s="94" t="str">
        <f>IF(Table622027321526[[#This Row],[Non-Member]]="X"," ",IF(V18=" "," ",IFERROR(VLOOKUP(U18,Points!$A$2:$B$14,2,FALSE)," ")))</f>
        <v xml:space="preserve"> </v>
      </c>
      <c r="X18" s="147"/>
      <c r="Y18" s="97" t="str">
        <f t="shared" si="10"/>
        <v xml:space="preserve"> </v>
      </c>
      <c r="Z18" s="93" t="str">
        <f t="shared" si="11"/>
        <v xml:space="preserve"> </v>
      </c>
      <c r="AA18" s="94" t="str">
        <f>IF(Table622027321526[[#This Row],[Non-Member]]="X"," ",IF(Z18=" "," ",IFERROR(VLOOKUP(Y18,Points!$A$2:$B$14,2,FALSE)," ")))</f>
        <v xml:space="preserve"> </v>
      </c>
      <c r="AB18" s="147"/>
      <c r="AC18" s="97" t="str">
        <f t="shared" si="12"/>
        <v xml:space="preserve"> </v>
      </c>
      <c r="AD18" s="93" t="str">
        <f t="shared" si="13"/>
        <v xml:space="preserve"> </v>
      </c>
      <c r="AE18" s="94" t="str">
        <f>IF(Table622027321526[[#This Row],[Non-Member]]="X"," ",IF(AD18=" "," ",IFERROR(VLOOKUP(AC18,Points!$A$2:$B$14,2,FALSE)," ")))</f>
        <v xml:space="preserve"> </v>
      </c>
      <c r="AF18" s="147" t="str">
        <f t="shared" si="14"/>
        <v xml:space="preserve"> </v>
      </c>
      <c r="AG18" s="98" t="e">
        <f t="shared" si="15"/>
        <v>#VALUE!</v>
      </c>
      <c r="AH18" s="93" t="str">
        <f t="shared" si="16"/>
        <v xml:space="preserve"> </v>
      </c>
      <c r="AI18" s="94" t="str">
        <f>IF(Table622027321526[[#This Row],[Non-Member]]="X"," ",IF(AH18=" "," ",IFERROR(VLOOKUP(AG18,Points!$A$2:$B$14,2,FALSE)," ")))</f>
        <v xml:space="preserve"> </v>
      </c>
      <c r="AJ18" s="97">
        <f>IF(Table622027321526[[#This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/>
      <c r="C19" s="91"/>
      <c r="D19" s="147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IF(Table622027321526[[#This Row],[Non-Member]]="X"," ",IF(F19=" "," ",IFERROR(VLOOKUP(E19,Points!$A$2:$B$14,2,FALSE)," ")))</f>
        <v xml:space="preserve"> </v>
      </c>
      <c r="H19" s="147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IF(Table622027321526[[#This Row],[Non-Member]]="X"," ",IF(J19=" "," ",IFERROR(VLOOKUP(I19,Points!$A$2:$B$14,2,FALSE)," ")))</f>
        <v xml:space="preserve"> </v>
      </c>
      <c r="L19" s="147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IF(Table622027321526[[#This Row],[Non-Member]]="X"," ",IF(N19=" "," ",IFERROR(VLOOKUP(M19,Points!$A$2:$B$14,2,FALSE)," ")))</f>
        <v xml:space="preserve"> </v>
      </c>
      <c r="P19" s="147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IF(Table622027321526[[#This Row],[Non-Member]]="X"," ",IF(R19=" "," ",IFERROR(VLOOKUP(Q19,Points!$A$2:$B$14,2,FALSE)," ")))</f>
        <v xml:space="preserve"> </v>
      </c>
      <c r="T19" s="147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IF(Table622027321526[[#This Row],[Non-Member]]="X"," ",IF(V19=" "," ",IFERROR(VLOOKUP(U19,Points!$A$2:$B$14,2,FALSE)," ")))</f>
        <v xml:space="preserve"> </v>
      </c>
      <c r="X19" s="147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IF(Table622027321526[[#This Row],[Non-Member]]="X"," ",IF(Z19=" "," ",IFERROR(VLOOKUP(Y19,Points!$A$2:$B$14,2,FALSE)," ")))</f>
        <v xml:space="preserve"> </v>
      </c>
      <c r="AB19" s="147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IF(Table622027321526[[#This Row],[Non-Member]]="X"," ",IF(AD19=" "," ",IFERROR(VLOOKUP(AC19,Points!$A$2:$B$14,2,FALSE)," ")))</f>
        <v xml:space="preserve"> </v>
      </c>
      <c r="AF19" s="147" t="str">
        <f t="shared" si="14"/>
        <v xml:space="preserve"> </v>
      </c>
      <c r="AG19" s="96" t="e">
        <f t="shared" si="15"/>
        <v>#VALUE!</v>
      </c>
      <c r="AH19" s="93" t="str">
        <f t="shared" si="16"/>
        <v xml:space="preserve"> </v>
      </c>
      <c r="AI19" s="94" t="str">
        <f>IF(Table622027321526[[#This Row],[Non-Member]]="X"," ",IF(AH19=" "," ",IFERROR(VLOOKUP(AG19,Points!$A$2:$B$14,2,FALSE)," ")))</f>
        <v xml:space="preserve"> </v>
      </c>
      <c r="AJ19" s="93">
        <f>IF(Table622027321526[[#This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/>
      <c r="C20" s="91"/>
      <c r="D20" s="147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IF(Table622027321526[[#This Row],[Non-Member]]="X"," ",IF(F20=" "," ",IFERROR(VLOOKUP(E20,Points!$A$2:$B$14,2,FALSE)," ")))</f>
        <v xml:space="preserve"> </v>
      </c>
      <c r="H20" s="147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IF(Table622027321526[[#This Row],[Non-Member]]="X"," ",IF(J20=" "," ",IFERROR(VLOOKUP(I20,Points!$A$2:$B$14,2,FALSE)," ")))</f>
        <v xml:space="preserve"> </v>
      </c>
      <c r="L20" s="147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IF(Table622027321526[[#This Row],[Non-Member]]="X"," ",IF(N20=" "," ",IFERROR(VLOOKUP(M20,Points!$A$2:$B$14,2,FALSE)," ")))</f>
        <v xml:space="preserve"> </v>
      </c>
      <c r="P20" s="147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IF(Table622027321526[[#This Row],[Non-Member]]="X"," ",IF(R20=" "," ",IFERROR(VLOOKUP(Q20,Points!$A$2:$B$14,2,FALSE)," ")))</f>
        <v xml:space="preserve"> </v>
      </c>
      <c r="T20" s="147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IF(Table622027321526[[#This Row],[Non-Member]]="X"," ",IF(V20=" "," ",IFERROR(VLOOKUP(U20,Points!$A$2:$B$14,2,FALSE)," ")))</f>
        <v xml:space="preserve"> </v>
      </c>
      <c r="X20" s="147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IF(Table622027321526[[#This Row],[Non-Member]]="X"," ",IF(Z20=" "," ",IFERROR(VLOOKUP(Y20,Points!$A$2:$B$14,2,FALSE)," ")))</f>
        <v xml:space="preserve"> </v>
      </c>
      <c r="AB20" s="147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IF(Table622027321526[[#This Row],[Non-Member]]="X"," ",IF(AD20=" "," ",IFERROR(VLOOKUP(AC20,Points!$A$2:$B$14,2,FALSE)," ")))</f>
        <v xml:space="preserve"> </v>
      </c>
      <c r="AF20" s="147" t="str">
        <f t="shared" si="14"/>
        <v xml:space="preserve"> </v>
      </c>
      <c r="AG20" s="96" t="e">
        <f t="shared" si="15"/>
        <v>#VALUE!</v>
      </c>
      <c r="AH20" s="93" t="str">
        <f t="shared" si="16"/>
        <v xml:space="preserve"> </v>
      </c>
      <c r="AI20" s="94" t="str">
        <f>IF(Table622027321526[[#This Row],[Non-Member]]="X"," ",IF(AH20=" "," ",IFERROR(VLOOKUP(AG20,Points!$A$2:$B$14,2,FALSE)," ")))</f>
        <v xml:space="preserve"> </v>
      </c>
      <c r="AJ20" s="93">
        <f>IF(Table622027321526[[#This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147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IF(Table622027321526[[#This Row],[Non-Member]]="X"," ",IF(F21=" "," ",IFERROR(VLOOKUP(E21,Points!$A$2:$B$14,2,FALSE)," ")))</f>
        <v xml:space="preserve"> </v>
      </c>
      <c r="H21" s="147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IF(Table622027321526[[#This Row],[Non-Member]]="X"," ",IF(J21=" "," ",IFERROR(VLOOKUP(I21,Points!$A$2:$B$14,2,FALSE)," ")))</f>
        <v xml:space="preserve"> </v>
      </c>
      <c r="L21" s="147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IF(Table622027321526[[#This Row],[Non-Member]]="X"," ",IF(N21=" "," ",IFERROR(VLOOKUP(M21,Points!$A$2:$B$14,2,FALSE)," ")))</f>
        <v xml:space="preserve"> </v>
      </c>
      <c r="P21" s="147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IF(Table622027321526[[#This Row],[Non-Member]]="X"," ",IF(R21=" "," ",IFERROR(VLOOKUP(Q21,Points!$A$2:$B$14,2,FALSE)," ")))</f>
        <v xml:space="preserve"> </v>
      </c>
      <c r="T21" s="147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IF(Table622027321526[[#This Row],[Non-Member]]="X"," ",IF(V21=" "," ",IFERROR(VLOOKUP(U21,Points!$A$2:$B$14,2,FALSE)," ")))</f>
        <v xml:space="preserve"> </v>
      </c>
      <c r="X21" s="147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IF(Table622027321526[[#This Row],[Non-Member]]="X"," ",IF(Z21=" "," ",IFERROR(VLOOKUP(Y21,Points!$A$2:$B$14,2,FALSE)," ")))</f>
        <v xml:space="preserve"> </v>
      </c>
      <c r="AB21" s="147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IF(Table622027321526[[#This Row],[Non-Member]]="X"," ",IF(AD21=" "," ",IFERROR(VLOOKUP(AC21,Points!$A$2:$B$14,2,FALSE)," ")))</f>
        <v xml:space="preserve"> </v>
      </c>
      <c r="AF21" s="147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IF(Table622027321526[[#This Row],[Non-Member]]="X"," ",IF(AH21=" "," ",IFERROR(VLOOKUP(AG21,Points!$A$2:$B$14,2,FALSE)," ")))</f>
        <v xml:space="preserve"> </v>
      </c>
      <c r="AJ21" s="93">
        <f>IF(Table622027321526[[#This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147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IF(Table622027321526[[#This Row],[Non-Member]]="X"," ",IF(F22=" "," ",IFERROR(VLOOKUP(E22,Points!$A$2:$B$14,2,FALSE)," ")))</f>
        <v xml:space="preserve"> </v>
      </c>
      <c r="H22" s="147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IF(Table622027321526[[#This Row],[Non-Member]]="X"," ",IF(J22=" "," ",IFERROR(VLOOKUP(I22,Points!$A$2:$B$14,2,FALSE)," ")))</f>
        <v xml:space="preserve"> </v>
      </c>
      <c r="L22" s="147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IF(Table622027321526[[#This Row],[Non-Member]]="X"," ",IF(N22=" "," ",IFERROR(VLOOKUP(M22,Points!$A$2:$B$14,2,FALSE)," ")))</f>
        <v xml:space="preserve"> </v>
      </c>
      <c r="P22" s="147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IF(Table622027321526[[#This Row],[Non-Member]]="X"," ",IF(R22=" "," ",IFERROR(VLOOKUP(Q22,Points!$A$2:$B$14,2,FALSE)," ")))</f>
        <v xml:space="preserve"> </v>
      </c>
      <c r="T22" s="147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IF(Table622027321526[[#This Row],[Non-Member]]="X"," ",IF(V22=" "," ",IFERROR(VLOOKUP(U22,Points!$A$2:$B$14,2,FALSE)," ")))</f>
        <v xml:space="preserve"> </v>
      </c>
      <c r="X22" s="147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IF(Table622027321526[[#This Row],[Non-Member]]="X"," ",IF(Z22=" "," ",IFERROR(VLOOKUP(Y22,Points!$A$2:$B$14,2,FALSE)," ")))</f>
        <v xml:space="preserve"> </v>
      </c>
      <c r="AB22" s="147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IF(Table622027321526[[#This Row],[Non-Member]]="X"," ",IF(AD22=" "," ",IFERROR(VLOOKUP(AC22,Points!$A$2:$B$14,2,FALSE)," ")))</f>
        <v xml:space="preserve"> </v>
      </c>
      <c r="AF22" s="147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IF(Table622027321526[[#This Row],[Non-Member]]="X"," ",IF(AH22=" "," ",IFERROR(VLOOKUP(AG22,Points!$A$2:$B$14,2,FALSE)," ")))</f>
        <v xml:space="preserve"> </v>
      </c>
      <c r="AJ22" s="93">
        <f>IF(Table622027321526[[#This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147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IF(Table622027321526[[#This Row],[Non-Member]]="X"," ",IF(F23=" "," ",IFERROR(VLOOKUP(E23,Points!$A$2:$B$14,2,FALSE)," ")))</f>
        <v xml:space="preserve"> </v>
      </c>
      <c r="H23" s="147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IF(Table622027321526[[#This Row],[Non-Member]]="X"," ",IF(J23=" "," ",IFERROR(VLOOKUP(I23,Points!$A$2:$B$14,2,FALSE)," ")))</f>
        <v xml:space="preserve"> </v>
      </c>
      <c r="L23" s="147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IF(Table622027321526[[#This Row],[Non-Member]]="X"," ",IF(N23=" "," ",IFERROR(VLOOKUP(M23,Points!$A$2:$B$14,2,FALSE)," ")))</f>
        <v xml:space="preserve"> </v>
      </c>
      <c r="P23" s="147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IF(Table622027321526[[#This Row],[Non-Member]]="X"," ",IF(R23=" "," ",IFERROR(VLOOKUP(Q23,Points!$A$2:$B$14,2,FALSE)," ")))</f>
        <v xml:space="preserve"> </v>
      </c>
      <c r="T23" s="147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IF(Table622027321526[[#This Row],[Non-Member]]="X"," ",IF(V23=" "," ",IFERROR(VLOOKUP(U23,Points!$A$2:$B$14,2,FALSE)," ")))</f>
        <v xml:space="preserve"> </v>
      </c>
      <c r="X23" s="147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IF(Table622027321526[[#This Row],[Non-Member]]="X"," ",IF(Z23=" "," ",IFERROR(VLOOKUP(Y23,Points!$A$2:$B$14,2,FALSE)," ")))</f>
        <v xml:space="preserve"> </v>
      </c>
      <c r="AB23" s="147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IF(Table622027321526[[#This Row],[Non-Member]]="X"," ",IF(AD23=" "," ",IFERROR(VLOOKUP(AC23,Points!$A$2:$B$14,2,FALSE)," ")))</f>
        <v xml:space="preserve"> </v>
      </c>
      <c r="AF23" s="147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IF(Table622027321526[[#This Row],[Non-Member]]="X"," ",IF(AH23=" "," ",IFERROR(VLOOKUP(AG23,Points!$A$2:$B$14,2,FALSE)," ")))</f>
        <v xml:space="preserve"> </v>
      </c>
      <c r="AJ23" s="93">
        <f>IF(Table622027321526[[#This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48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IF(Table622027321526[[#This Row],[Non-Member]]="X"," ",IF(F24=" "," ",IFERROR(VLOOKUP(E24,Points!$A$2:$B$14,2,FALSE)," ")))</f>
        <v xml:space="preserve"> </v>
      </c>
      <c r="H24" s="147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IF(Table622027321526[[#This Row],[Non-Member]]="X"," ",IF(J24=" "," ",IFERROR(VLOOKUP(I24,Points!$A$2:$B$14,2,FALSE)," ")))</f>
        <v xml:space="preserve"> </v>
      </c>
      <c r="L24" s="147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IF(Table622027321526[[#This Row],[Non-Member]]="X"," ",IF(N24=" "," ",IFERROR(VLOOKUP(M24,Points!$A$2:$B$14,2,FALSE)," ")))</f>
        <v xml:space="preserve"> </v>
      </c>
      <c r="P24" s="147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IF(Table622027321526[[#This Row],[Non-Member]]="X"," ",IF(R24=" "," ",IFERROR(VLOOKUP(Q24,Points!$A$2:$B$14,2,FALSE)," ")))</f>
        <v xml:space="preserve"> </v>
      </c>
      <c r="T24" s="147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IF(Table622027321526[[#This Row],[Non-Member]]="X"," ",IF(V24=" "," ",IFERROR(VLOOKUP(U24,Points!$A$2:$B$14,2,FALSE)," ")))</f>
        <v xml:space="preserve"> </v>
      </c>
      <c r="X24" s="147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IF(Table622027321526[[#This Row],[Non-Member]]="X"," ",IF(Z24=" "," ",IFERROR(VLOOKUP(Y24,Points!$A$2:$B$14,2,FALSE)," ")))</f>
        <v xml:space="preserve"> </v>
      </c>
      <c r="AB24" s="147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IF(Table622027321526[[#This Row],[Non-Member]]="X"," ",IF(AD24=" "," ",IFERROR(VLOOKUP(AC24,Points!$A$2:$B$14,2,FALSE)," ")))</f>
        <v xml:space="preserve"> </v>
      </c>
      <c r="AF24" s="147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IF(Table622027321526[[#This Row],[Non-Member]]="X"," ",IF(AH24=" "," ",IFERROR(VLOOKUP(AG24,Points!$A$2:$B$14,2,FALSE)," ")))</f>
        <v xml:space="preserve"> </v>
      </c>
      <c r="AJ24" s="93">
        <f>IF(Table622027321526[[#This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7"/>
    </row>
  </sheetData>
  <sheetProtection algorithmName="SHA-512" hashValue="ucNQeA1sfoL+7TLEMJ4dBRxK5uGrQUOKi9EfaCIJ1fB1dOSdbiJXtIB9cCfYwFYJtrk00NG15llBT7TLHU7now==" saltValue="58P0e6JjsptDQ31Oa2MUB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4F34-19C5-4F24-8BB1-790525E3CAA1}">
  <sheetPr codeName="Sheet68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110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149</v>
      </c>
      <c r="C5" s="84"/>
      <c r="D5" s="85">
        <v>10.35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IF(Table62202732331627[[#This Row],[Non-Member]]="X"," ",IF(F5=" "," ",IFERROR(VLOOKUP(E5,Points!$A$2:$B$14,2,FALSE)," ")))</f>
        <v>18</v>
      </c>
      <c r="H5" s="85">
        <v>11.34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IF(Table62202732331627[[#This Row],[Non-Member]]="X"," ",IF(J5=" "," ",IFERROR(VLOOKUP(I5,Points!$A$2:$B$14,2,FALSE)," ")))</f>
        <v>15</v>
      </c>
      <c r="L5" s="85">
        <v>10.31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IF(Table62202732331627[[#This Row],[Non-Member]]="X"," ",IF(N5=" "," ",IFERROR(VLOOKUP(M5,Points!$A$2:$B$14,2,FALSE)," ")))</f>
        <v>15</v>
      </c>
      <c r="P5" s="85">
        <v>10.53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IF(Table62202732331627[[#This Row],[Non-Member]]="X"," ",IF(R5=" "," ",IFERROR(VLOOKUP(Q5,Points!$A$2:$B$14,2,FALSE)," ")))</f>
        <v>12</v>
      </c>
      <c r="T5" s="85">
        <v>9.94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IF(Table62202732331627[[#This Row],[Non-Member]]="X"," ",IF(V5=" "," ",IFERROR(VLOOKUP(U5,Points!$A$2:$B$14,2,FALSE)," ")))</f>
        <v>18</v>
      </c>
      <c r="X5" s="85">
        <v>9.41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IF(Table62202732331627[[#This Row],[Non-Member]]="X"," ",IF(Z5=" "," ",IFERROR(VLOOKUP(Y5,Points!$A$2:$B$14,2,FALSE)," ")))</f>
        <v>18</v>
      </c>
      <c r="AB5" s="85">
        <v>11.62</v>
      </c>
      <c r="AC5" s="86">
        <f t="shared" ref="AC5:AC24" si="12">IF(AB5=0," ",_xlfn.RANK.AVG(AB5,AB$5:AB$24,1)-COUNTIF(AB$5:AB$24,0))</f>
        <v>4</v>
      </c>
      <c r="AD5" s="86">
        <f t="shared" ref="AD5:AD24" si="13">IF(AB5=0," ",IF((RANK(AB5,AB$5:AB$24,1)-COUNTIF(AB$5:AB$24,0)&gt;6)," ",RANK(AB5,AB$5:AB$24,1)-COUNTIF(AB$5:AB$24,0)))</f>
        <v>4</v>
      </c>
      <c r="AE5" s="87">
        <f>IF(Table62202732331627[[#This Row],[Non-Member]]="X"," ",IF(AD5=" "," ",IFERROR(VLOOKUP(AC5,Points!$A$2:$B$14,2,FALSE)," ")))</f>
        <v>9</v>
      </c>
      <c r="AF5" s="85">
        <f t="shared" ref="AF5:AF24" si="14">IF(OR(X5=0,AB5=0)," ",X5+AB5)</f>
        <v>21.03</v>
      </c>
      <c r="AG5" s="86">
        <f t="shared" ref="AG5:AG24" si="15">IF(OR(AF5=0,AF5=" ")," ",_xlfn.RANK.AVG(AF5,AF$5:AF$24,1)-COUNTIF(AF$5:AF$24,0))</f>
        <v>1</v>
      </c>
      <c r="AH5" s="86">
        <f t="shared" ref="AH5:AH24" si="16">IF(OR(AF5=0,AF5=" ")," ",IF((RANK(AF5,AF$5:AF$24,1)-COUNTIF(AF$5:AF$24,0)&gt;6)," ",RANK(AF5,AF$5:AF$24,1)-COUNTIF(AF$5:AF$24,0)))</f>
        <v>1</v>
      </c>
      <c r="AI5" s="87">
        <f>IF(Table62202732331627[[#This Row],[Non-Member]]="X"," ",IF(AH5=" "," ",IFERROR(VLOOKUP(AG5,Points!$A$2:$B$14,2,FALSE)," ")))</f>
        <v>18</v>
      </c>
      <c r="AJ5" s="86">
        <f>IF(Table62202732331627[[#This Row],[Non-Member]]="X"," ",((IF(G5=" ",0,G5))+(IF(K5=" ",0,K5))+(IF(O5=" ",0,O5))+(IF(S5=" ",0,S5))+(IF(W5=" ",0,W5))+(IF(AA5=" ",0,AA5))+(IF(AE5=" ",0,AE5))+(IF(AI5=" ",0,AI5))))</f>
        <v>123</v>
      </c>
      <c r="AK5" s="88">
        <f t="shared" ref="AK5:AK24" si="17">IF(AJ5=0," ",AJ5)</f>
        <v>123</v>
      </c>
      <c r="AL5" s="89">
        <f t="shared" ref="AL5:AL24" si="18">IF(AK5=" "," ",RANK(AK5,$AK$5:$AK$24))</f>
        <v>1</v>
      </c>
    </row>
    <row r="6" spans="2:38" x14ac:dyDescent="0.25">
      <c r="B6" s="90" t="s">
        <v>150</v>
      </c>
      <c r="C6" s="91"/>
      <c r="D6" s="92">
        <v>19.489999999999998</v>
      </c>
      <c r="E6" s="93">
        <f t="shared" si="0"/>
        <v>9</v>
      </c>
      <c r="F6" s="93" t="str">
        <f t="shared" si="1"/>
        <v xml:space="preserve"> </v>
      </c>
      <c r="G6" s="94" t="str">
        <f>IF(Table62202732331627[[#This Row],[Non-Member]]="X"," ",IF(F6=" "," ",IFERROR(VLOOKUP(E6,Points!$A$2:$B$14,2,FALSE)," ")))</f>
        <v xml:space="preserve"> </v>
      </c>
      <c r="H6" s="92">
        <v>10.53</v>
      </c>
      <c r="I6" s="93">
        <f t="shared" si="2"/>
        <v>1</v>
      </c>
      <c r="J6" s="93">
        <f t="shared" si="3"/>
        <v>1</v>
      </c>
      <c r="K6" s="94">
        <f>IF(Table62202732331627[[#This Row],[Non-Member]]="X"," ",IF(J6=" "," ",IFERROR(VLOOKUP(I6,Points!$A$2:$B$14,2,FALSE)," ")))</f>
        <v>18</v>
      </c>
      <c r="L6" s="92">
        <v>9.57</v>
      </c>
      <c r="M6" s="93">
        <f t="shared" si="4"/>
        <v>1</v>
      </c>
      <c r="N6" s="93">
        <f t="shared" si="5"/>
        <v>1</v>
      </c>
      <c r="O6" s="94">
        <f>IF(Table62202732331627[[#This Row],[Non-Member]]="X"," ",IF(N6=" "," ",IFERROR(VLOOKUP(M6,Points!$A$2:$B$14,2,FALSE)," ")))</f>
        <v>18</v>
      </c>
      <c r="P6" s="92">
        <v>11.24</v>
      </c>
      <c r="Q6" s="93">
        <f t="shared" si="6"/>
        <v>4</v>
      </c>
      <c r="R6" s="93">
        <f t="shared" si="7"/>
        <v>4</v>
      </c>
      <c r="S6" s="94">
        <f>IF(Table62202732331627[[#This Row],[Non-Member]]="X"," ",IF(R6=" "," ",IFERROR(VLOOKUP(Q6,Points!$A$2:$B$14,2,FALSE)," ")))</f>
        <v>9</v>
      </c>
      <c r="T6" s="92">
        <v>10.69</v>
      </c>
      <c r="U6" s="93">
        <f t="shared" si="8"/>
        <v>2</v>
      </c>
      <c r="V6" s="93">
        <f t="shared" si="9"/>
        <v>2</v>
      </c>
      <c r="W6" s="94">
        <f>IF(Table62202732331627[[#This Row],[Non-Member]]="X"," ",IF(V6=" "," ",IFERROR(VLOOKUP(U6,Points!$A$2:$B$14,2,FALSE)," ")))</f>
        <v>15</v>
      </c>
      <c r="X6" s="92">
        <v>11.41</v>
      </c>
      <c r="Y6" s="93">
        <f t="shared" si="10"/>
        <v>2</v>
      </c>
      <c r="Z6" s="93">
        <f t="shared" si="11"/>
        <v>2</v>
      </c>
      <c r="AA6" s="94">
        <f>IF(Table62202732331627[[#This Row],[Non-Member]]="X"," ",IF(Z6=" "," ",IFERROR(VLOOKUP(Y6,Points!$A$2:$B$14,2,FALSE)," ")))</f>
        <v>15</v>
      </c>
      <c r="AB6" s="92">
        <v>10.09</v>
      </c>
      <c r="AC6" s="93">
        <f t="shared" si="12"/>
        <v>1</v>
      </c>
      <c r="AD6" s="93">
        <f t="shared" si="13"/>
        <v>1</v>
      </c>
      <c r="AE6" s="94">
        <f>IF(Table62202732331627[[#This Row],[Non-Member]]="X"," ",IF(AD6=" "," ",IFERROR(VLOOKUP(AC6,Points!$A$2:$B$14,2,FALSE)," ")))</f>
        <v>18</v>
      </c>
      <c r="AF6" s="92">
        <f t="shared" si="14"/>
        <v>21.5</v>
      </c>
      <c r="AG6" s="93">
        <f t="shared" si="15"/>
        <v>2</v>
      </c>
      <c r="AH6" s="93">
        <f t="shared" si="16"/>
        <v>2</v>
      </c>
      <c r="AI6" s="94">
        <f>IF(Table62202732331627[[#This Row],[Non-Member]]="X"," ",IF(AH6=" "," ",IFERROR(VLOOKUP(AG6,Points!$A$2:$B$14,2,FALSE)," ")))</f>
        <v>15</v>
      </c>
      <c r="AJ6" s="93">
        <f>IF(Table62202732331627[[#This Row],[Non-Member]]="X"," ",((IF(G6=" ",0,G6))+(IF(K6=" ",0,K6))+(IF(O6=" ",0,O6))+(IF(S6=" ",0,S6))+(IF(W6=" ",0,W6))+(IF(AA6=" ",0,AA6))+(IF(AE6=" ",0,AE6))+(IF(AI6=" ",0,AI6))))</f>
        <v>108</v>
      </c>
      <c r="AK6" s="95">
        <f t="shared" si="17"/>
        <v>108</v>
      </c>
      <c r="AL6" s="96">
        <f t="shared" si="18"/>
        <v>2</v>
      </c>
    </row>
    <row r="7" spans="2:38" x14ac:dyDescent="0.25">
      <c r="B7" s="90" t="s">
        <v>135</v>
      </c>
      <c r="C7" s="91"/>
      <c r="D7" s="92">
        <v>15.7</v>
      </c>
      <c r="E7" s="93">
        <f t="shared" si="0"/>
        <v>6</v>
      </c>
      <c r="F7" s="93">
        <f t="shared" si="1"/>
        <v>6</v>
      </c>
      <c r="G7" s="94">
        <f>IF(Table62202732331627[[#This Row],[Non-Member]]="X"," ",IF(F7=" "," ",IFERROR(VLOOKUP(E7,Points!$A$2:$B$14,2,FALSE)," ")))</f>
        <v>3</v>
      </c>
      <c r="H7" s="92">
        <v>13.56</v>
      </c>
      <c r="I7" s="93">
        <f t="shared" si="2"/>
        <v>5</v>
      </c>
      <c r="J7" s="93">
        <f t="shared" si="3"/>
        <v>5</v>
      </c>
      <c r="K7" s="94">
        <f>IF(Table62202732331627[[#This Row],[Non-Member]]="X"," ",IF(J7=" "," ",IFERROR(VLOOKUP(I7,Points!$A$2:$B$14,2,FALSE)," ")))</f>
        <v>6</v>
      </c>
      <c r="L7" s="92">
        <v>10.55</v>
      </c>
      <c r="M7" s="93">
        <f t="shared" si="4"/>
        <v>3</v>
      </c>
      <c r="N7" s="93">
        <f t="shared" si="5"/>
        <v>3</v>
      </c>
      <c r="O7" s="94">
        <f>IF(Table62202732331627[[#This Row],[Non-Member]]="X"," ",IF(N7=" "," ",IFERROR(VLOOKUP(M7,Points!$A$2:$B$14,2,FALSE)," ")))</f>
        <v>12</v>
      </c>
      <c r="P7" s="92">
        <v>10.050000000000001</v>
      </c>
      <c r="Q7" s="93">
        <f t="shared" si="6"/>
        <v>1</v>
      </c>
      <c r="R7" s="93">
        <f t="shared" si="7"/>
        <v>1</v>
      </c>
      <c r="S7" s="94">
        <f>IF(Table62202732331627[[#This Row],[Non-Member]]="X"," ",IF(R7=" "," ",IFERROR(VLOOKUP(Q7,Points!$A$2:$B$14,2,FALSE)," ")))</f>
        <v>18</v>
      </c>
      <c r="T7" s="92">
        <v>11.26</v>
      </c>
      <c r="U7" s="93">
        <f t="shared" si="8"/>
        <v>3</v>
      </c>
      <c r="V7" s="93">
        <f t="shared" si="9"/>
        <v>3</v>
      </c>
      <c r="W7" s="94">
        <f>IF(Table62202732331627[[#This Row],[Non-Member]]="X"," ",IF(V7=" "," ",IFERROR(VLOOKUP(U7,Points!$A$2:$B$14,2,FALSE)," ")))</f>
        <v>12</v>
      </c>
      <c r="X7" s="92">
        <v>12.49</v>
      </c>
      <c r="Y7" s="93">
        <f t="shared" si="10"/>
        <v>4</v>
      </c>
      <c r="Z7" s="93">
        <f t="shared" si="11"/>
        <v>4</v>
      </c>
      <c r="AA7" s="94">
        <f>IF(Table62202732331627[[#This Row],[Non-Member]]="X"," ",IF(Z7=" "," ",IFERROR(VLOOKUP(Y7,Points!$A$2:$B$14,2,FALSE)," ")))</f>
        <v>9</v>
      </c>
      <c r="AB7" s="92">
        <v>11.22</v>
      </c>
      <c r="AC7" s="93">
        <f t="shared" si="12"/>
        <v>2</v>
      </c>
      <c r="AD7" s="93">
        <f t="shared" si="13"/>
        <v>2</v>
      </c>
      <c r="AE7" s="94">
        <f>IF(Table62202732331627[[#This Row],[Non-Member]]="X"," ",IF(AD7=" "," ",IFERROR(VLOOKUP(AC7,Points!$A$2:$B$14,2,FALSE)," ")))</f>
        <v>15</v>
      </c>
      <c r="AF7" s="92">
        <f t="shared" si="14"/>
        <v>23.71</v>
      </c>
      <c r="AG7" s="93">
        <f t="shared" si="15"/>
        <v>3</v>
      </c>
      <c r="AH7" s="93">
        <f t="shared" si="16"/>
        <v>3</v>
      </c>
      <c r="AI7" s="94">
        <f>IF(Table62202732331627[[#This Row],[Non-Member]]="X"," ",IF(AH7=" "," ",IFERROR(VLOOKUP(AG7,Points!$A$2:$B$14,2,FALSE)," ")))</f>
        <v>12</v>
      </c>
      <c r="AJ7" s="93">
        <f>IF(Table62202732331627[[#This Row],[Non-Member]]="X"," ",((IF(G7=" ",0,G7))+(IF(K7=" ",0,K7))+(IF(O7=" ",0,O7))+(IF(S7=" ",0,S7))+(IF(W7=" ",0,W7))+(IF(AA7=" ",0,AA7))+(IF(AE7=" ",0,AE7))+(IF(AI7=" ",0,AI7))))</f>
        <v>87</v>
      </c>
      <c r="AK7" s="95">
        <f t="shared" si="17"/>
        <v>87</v>
      </c>
      <c r="AL7" s="96">
        <f t="shared" si="18"/>
        <v>3</v>
      </c>
    </row>
    <row r="8" spans="2:38" x14ac:dyDescent="0.25">
      <c r="B8" s="90" t="s">
        <v>136</v>
      </c>
      <c r="C8" s="91"/>
      <c r="D8" s="92">
        <v>12.13</v>
      </c>
      <c r="E8" s="93">
        <f t="shared" si="0"/>
        <v>2</v>
      </c>
      <c r="F8" s="93">
        <f t="shared" si="1"/>
        <v>2</v>
      </c>
      <c r="G8" s="94">
        <f>IF(Table62202732331627[[#This Row],[Non-Member]]="X"," ",IF(F8=" "," ",IFERROR(VLOOKUP(E8,Points!$A$2:$B$14,2,FALSE)," ")))</f>
        <v>15</v>
      </c>
      <c r="H8" s="92">
        <v>11.66</v>
      </c>
      <c r="I8" s="93">
        <f t="shared" si="2"/>
        <v>3</v>
      </c>
      <c r="J8" s="93">
        <f t="shared" si="3"/>
        <v>3</v>
      </c>
      <c r="K8" s="94">
        <f>IF(Table62202732331627[[#This Row],[Non-Member]]="X"," ",IF(J8=" "," ",IFERROR(VLOOKUP(I8,Points!$A$2:$B$14,2,FALSE)," ")))</f>
        <v>12</v>
      </c>
      <c r="L8" s="92">
        <v>13.41</v>
      </c>
      <c r="M8" s="93">
        <f t="shared" si="4"/>
        <v>6</v>
      </c>
      <c r="N8" s="93">
        <f t="shared" si="5"/>
        <v>6</v>
      </c>
      <c r="O8" s="94">
        <f>IF(Table62202732331627[[#This Row],[Non-Member]]="X"," ",IF(N8=" "," ",IFERROR(VLOOKUP(M8,Points!$A$2:$B$14,2,FALSE)," ")))</f>
        <v>3</v>
      </c>
      <c r="P8" s="92">
        <v>10.52</v>
      </c>
      <c r="Q8" s="93">
        <f t="shared" si="6"/>
        <v>2</v>
      </c>
      <c r="R8" s="93">
        <f t="shared" si="7"/>
        <v>2</v>
      </c>
      <c r="S8" s="94">
        <f>IF(Table62202732331627[[#This Row],[Non-Member]]="X"," ",IF(R8=" "," ",IFERROR(VLOOKUP(Q8,Points!$A$2:$B$14,2,FALSE)," ")))</f>
        <v>15</v>
      </c>
      <c r="T8" s="92">
        <v>12.1</v>
      </c>
      <c r="U8" s="93">
        <f t="shared" si="8"/>
        <v>6</v>
      </c>
      <c r="V8" s="93">
        <f t="shared" si="9"/>
        <v>6</v>
      </c>
      <c r="W8" s="94">
        <f>IF(Table62202732331627[[#This Row],[Non-Member]]="X"," ",IF(V8=" "," ",IFERROR(VLOOKUP(U8,Points!$A$2:$B$14,2,FALSE)," ")))</f>
        <v>3</v>
      </c>
      <c r="X8" s="92">
        <v>11.53</v>
      </c>
      <c r="Y8" s="93">
        <f t="shared" si="10"/>
        <v>3</v>
      </c>
      <c r="Z8" s="93">
        <f t="shared" si="11"/>
        <v>3</v>
      </c>
      <c r="AA8" s="94">
        <f>IF(Table62202732331627[[#This Row],[Non-Member]]="X"," ",IF(Z8=" "," ",IFERROR(VLOOKUP(Y8,Points!$A$2:$B$14,2,FALSE)," ")))</f>
        <v>12</v>
      </c>
      <c r="AB8" s="92">
        <v>12.35</v>
      </c>
      <c r="AC8" s="93">
        <f t="shared" si="12"/>
        <v>5</v>
      </c>
      <c r="AD8" s="93">
        <f t="shared" si="13"/>
        <v>5</v>
      </c>
      <c r="AE8" s="94">
        <f>IF(Table62202732331627[[#This Row],[Non-Member]]="X"," ",IF(AD8=" "," ",IFERROR(VLOOKUP(AC8,Points!$A$2:$B$14,2,FALSE)," ")))</f>
        <v>6</v>
      </c>
      <c r="AF8" s="92">
        <f t="shared" si="14"/>
        <v>23.88</v>
      </c>
      <c r="AG8" s="93">
        <f t="shared" si="15"/>
        <v>4</v>
      </c>
      <c r="AH8" s="93">
        <f t="shared" si="16"/>
        <v>4</v>
      </c>
      <c r="AI8" s="94">
        <f>IF(Table62202732331627[[#This Row],[Non-Member]]="X"," ",IF(AH8=" "," ",IFERROR(VLOOKUP(AG8,Points!$A$2:$B$14,2,FALSE)," ")))</f>
        <v>9</v>
      </c>
      <c r="AJ8" s="93">
        <f>IF(Table62202732331627[[#This Row],[Non-Member]]="X"," ",((IF(G8=" ",0,G8))+(IF(K8=" ",0,K8))+(IF(O8=" ",0,O8))+(IF(S8=" ",0,S8))+(IF(W8=" ",0,W8))+(IF(AA8=" ",0,AA8))+(IF(AE8=" ",0,AE8))+(IF(AI8=" ",0,AI8))))</f>
        <v>75</v>
      </c>
      <c r="AK8" s="95">
        <f t="shared" si="17"/>
        <v>75</v>
      </c>
      <c r="AL8" s="96">
        <f t="shared" si="18"/>
        <v>4</v>
      </c>
    </row>
    <row r="9" spans="2:38" x14ac:dyDescent="0.25">
      <c r="B9" s="90" t="s">
        <v>137</v>
      </c>
      <c r="C9" s="91"/>
      <c r="D9" s="92">
        <v>15.11</v>
      </c>
      <c r="E9" s="93">
        <f t="shared" si="0"/>
        <v>4</v>
      </c>
      <c r="F9" s="93">
        <f t="shared" si="1"/>
        <v>4</v>
      </c>
      <c r="G9" s="94">
        <f>IF(Table62202732331627[[#This Row],[Non-Member]]="X"," ",IF(F9=" "," ",IFERROR(VLOOKUP(E9,Points!$A$2:$B$14,2,FALSE)," ")))</f>
        <v>9</v>
      </c>
      <c r="H9" s="92">
        <v>12.5</v>
      </c>
      <c r="I9" s="93">
        <f t="shared" si="2"/>
        <v>4</v>
      </c>
      <c r="J9" s="93">
        <f t="shared" si="3"/>
        <v>4</v>
      </c>
      <c r="K9" s="94">
        <f>IF(Table62202732331627[[#This Row],[Non-Member]]="X"," ",IF(J9=" "," ",IFERROR(VLOOKUP(I9,Points!$A$2:$B$14,2,FALSE)," ")))</f>
        <v>9</v>
      </c>
      <c r="L9" s="92">
        <v>13.49</v>
      </c>
      <c r="M9" s="93">
        <f t="shared" si="4"/>
        <v>7</v>
      </c>
      <c r="N9" s="93" t="str">
        <f t="shared" si="5"/>
        <v xml:space="preserve"> </v>
      </c>
      <c r="O9" s="94" t="str">
        <f>IF(Table62202732331627[[#This Row],[Non-Member]]="X"," ",IF(N9=" "," ",IFERROR(VLOOKUP(M9,Points!$A$2:$B$14,2,FALSE)," ")))</f>
        <v xml:space="preserve"> </v>
      </c>
      <c r="P9" s="92">
        <v>12.54</v>
      </c>
      <c r="Q9" s="93">
        <f t="shared" si="6"/>
        <v>6</v>
      </c>
      <c r="R9" s="93">
        <f t="shared" si="7"/>
        <v>6</v>
      </c>
      <c r="S9" s="94">
        <f>IF(Table62202732331627[[#This Row],[Non-Member]]="X"," ",IF(R9=" "," ",IFERROR(VLOOKUP(Q9,Points!$A$2:$B$14,2,FALSE)," ")))</f>
        <v>3</v>
      </c>
      <c r="T9" s="92">
        <v>11.53</v>
      </c>
      <c r="U9" s="93">
        <f t="shared" si="8"/>
        <v>4</v>
      </c>
      <c r="V9" s="93">
        <f t="shared" si="9"/>
        <v>4</v>
      </c>
      <c r="W9" s="94">
        <f>IF(Table62202732331627[[#This Row],[Non-Member]]="X"," ",IF(V9=" "," ",IFERROR(VLOOKUP(U9,Points!$A$2:$B$14,2,FALSE)," ")))</f>
        <v>9</v>
      </c>
      <c r="X9" s="92">
        <v>13.38</v>
      </c>
      <c r="Y9" s="93">
        <f t="shared" si="10"/>
        <v>6</v>
      </c>
      <c r="Z9" s="93">
        <f t="shared" si="11"/>
        <v>6</v>
      </c>
      <c r="AA9" s="94">
        <f>IF(Table62202732331627[[#This Row],[Non-Member]]="X"," ",IF(Z9=" "," ",IFERROR(VLOOKUP(Y9,Points!$A$2:$B$14,2,FALSE)," ")))</f>
        <v>3</v>
      </c>
      <c r="AB9" s="92">
        <v>11.59</v>
      </c>
      <c r="AC9" s="93">
        <f t="shared" si="12"/>
        <v>3</v>
      </c>
      <c r="AD9" s="93">
        <f t="shared" si="13"/>
        <v>3</v>
      </c>
      <c r="AE9" s="94">
        <f>IF(Table62202732331627[[#This Row],[Non-Member]]="X"," ",IF(AD9=" "," ",IFERROR(VLOOKUP(AC9,Points!$A$2:$B$14,2,FALSE)," ")))</f>
        <v>12</v>
      </c>
      <c r="AF9" s="92">
        <f t="shared" si="14"/>
        <v>24.97</v>
      </c>
      <c r="AG9" s="93">
        <f t="shared" si="15"/>
        <v>5</v>
      </c>
      <c r="AH9" s="93">
        <f t="shared" si="16"/>
        <v>5</v>
      </c>
      <c r="AI9" s="94">
        <f>IF(Table62202732331627[[#This Row],[Non-Member]]="X"," ",IF(AH9=" "," ",IFERROR(VLOOKUP(AG9,Points!$A$2:$B$14,2,FALSE)," ")))</f>
        <v>6</v>
      </c>
      <c r="AJ9" s="93">
        <f>IF(Table62202732331627[[#This Row],[Non-Member]]="X"," ",((IF(G9=" ",0,G9))+(IF(K9=" ",0,K9))+(IF(O9=" ",0,O9))+(IF(S9=" ",0,S9))+(IF(W9=" ",0,W9))+(IF(AA9=" ",0,AA9))+(IF(AE9=" ",0,AE9))+(IF(AI9=" ",0,AI9))))</f>
        <v>51</v>
      </c>
      <c r="AK9" s="95">
        <f t="shared" si="17"/>
        <v>51</v>
      </c>
      <c r="AL9" s="96">
        <f t="shared" si="18"/>
        <v>5</v>
      </c>
    </row>
    <row r="10" spans="2:38" x14ac:dyDescent="0.25">
      <c r="B10" s="90" t="s">
        <v>154</v>
      </c>
      <c r="C10" s="91"/>
      <c r="D10" s="92">
        <v>13.19</v>
      </c>
      <c r="E10" s="93">
        <f t="shared" si="0"/>
        <v>3</v>
      </c>
      <c r="F10" s="93">
        <f t="shared" si="1"/>
        <v>3</v>
      </c>
      <c r="G10" s="94">
        <f>IF(Table62202732331627[[#This Row],[Non-Member]]="X"," ",IF(F10=" "," ",IFERROR(VLOOKUP(E10,Points!$A$2:$B$14,2,FALSE)," ")))</f>
        <v>12</v>
      </c>
      <c r="H10" s="92">
        <v>13.84</v>
      </c>
      <c r="I10" s="93">
        <f t="shared" si="2"/>
        <v>6</v>
      </c>
      <c r="J10" s="93">
        <f t="shared" si="3"/>
        <v>6</v>
      </c>
      <c r="K10" s="94">
        <f>IF(Table62202732331627[[#This Row],[Non-Member]]="X"," ",IF(J10=" "," ",IFERROR(VLOOKUP(I10,Points!$A$2:$B$14,2,FALSE)," ")))</f>
        <v>3</v>
      </c>
      <c r="L10" s="92">
        <v>12.39</v>
      </c>
      <c r="M10" s="93">
        <f t="shared" si="4"/>
        <v>4</v>
      </c>
      <c r="N10" s="93">
        <f t="shared" si="5"/>
        <v>4</v>
      </c>
      <c r="O10" s="99">
        <f>IF(Table62202732331627[[#This Row],[Non-Member]]="X"," ",IF(N10=" "," ",IFERROR(VLOOKUP(M10,Points!$A$2:$B$14,2,FALSE)," ")))</f>
        <v>9</v>
      </c>
      <c r="P10" s="92">
        <v>13.78</v>
      </c>
      <c r="Q10" s="93">
        <f t="shared" si="6"/>
        <v>8</v>
      </c>
      <c r="R10" s="93" t="str">
        <f t="shared" si="7"/>
        <v xml:space="preserve"> </v>
      </c>
      <c r="S10" s="94" t="str">
        <f>IF(Table62202732331627[[#This Row],[Non-Member]]="X"," ",IF(R10=" "," ",IFERROR(VLOOKUP(Q10,Points!$A$2:$B$14,2,FALSE)," ")))</f>
        <v xml:space="preserve"> </v>
      </c>
      <c r="T10" s="92">
        <v>11.83</v>
      </c>
      <c r="U10" s="93">
        <f t="shared" si="8"/>
        <v>5</v>
      </c>
      <c r="V10" s="93">
        <f t="shared" si="9"/>
        <v>5</v>
      </c>
      <c r="W10" s="94">
        <f>IF(Table62202732331627[[#This Row],[Non-Member]]="X"," ",IF(V10=" "," ",IFERROR(VLOOKUP(U10,Points!$A$2:$B$14,2,FALSE)," ")))</f>
        <v>6</v>
      </c>
      <c r="X10" s="92"/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IF(Table62202732331627[[#This Row],[Non-Member]]="X"," ",IF(Z10=" "," ",IFERROR(VLOOKUP(Y10,Points!$A$2:$B$14,2,FALSE)," ")))</f>
        <v xml:space="preserve"> </v>
      </c>
      <c r="AB10" s="92"/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IF(Table62202732331627[[#This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IF(Table62202732331627[[#This Row],[Non-Member]]="X"," ",IF(AH10=" "," ",IFERROR(VLOOKUP(AG10,Points!$A$2:$B$14,2,FALSE)," ")))</f>
        <v xml:space="preserve"> </v>
      </c>
      <c r="AJ10" s="93">
        <f>IF(Table62202732331627[[#This Row],[Non-Member]]="X"," ",((IF(G10=" ",0,G10))+(IF(K10=" ",0,K10))+(IF(O10=" ",0,O10))+(IF(S10=" ",0,S10))+(IF(W10=" ",0,W10))+(IF(AA10=" ",0,AA10))+(IF(AE10=" ",0,AE10))+(IF(AI10=" ",0,AI10))))</f>
        <v>30</v>
      </c>
      <c r="AK10" s="95">
        <f t="shared" si="17"/>
        <v>30</v>
      </c>
      <c r="AL10" s="96">
        <f t="shared" si="18"/>
        <v>6</v>
      </c>
    </row>
    <row r="11" spans="2:38" x14ac:dyDescent="0.25">
      <c r="B11" s="90" t="s">
        <v>152</v>
      </c>
      <c r="C11" s="91"/>
      <c r="D11" s="92">
        <v>16.16</v>
      </c>
      <c r="E11" s="93">
        <f t="shared" si="0"/>
        <v>8</v>
      </c>
      <c r="F11" s="93" t="str">
        <f t="shared" si="1"/>
        <v xml:space="preserve"> </v>
      </c>
      <c r="G11" s="94" t="str">
        <f>IF(Table62202732331627[[#This Row],[Non-Member]]="X"," ",IF(F11=" "," ",IFERROR(VLOOKUP(E11,Points!$A$2:$B$14,2,FALSE)," ")))</f>
        <v xml:space="preserve"> </v>
      </c>
      <c r="H11" s="92">
        <v>18.22</v>
      </c>
      <c r="I11" s="93">
        <f t="shared" si="2"/>
        <v>10</v>
      </c>
      <c r="J11" s="93" t="str">
        <f t="shared" si="3"/>
        <v xml:space="preserve"> </v>
      </c>
      <c r="K11" s="94" t="str">
        <f>IF(Table62202732331627[[#This Row],[Non-Member]]="X"," ",IF(J11=" "," ",IFERROR(VLOOKUP(I11,Points!$A$2:$B$14,2,FALSE)," ")))</f>
        <v xml:space="preserve"> </v>
      </c>
      <c r="L11" s="92">
        <v>13.82</v>
      </c>
      <c r="M11" s="93">
        <f t="shared" si="4"/>
        <v>8</v>
      </c>
      <c r="N11" s="93" t="str">
        <f t="shared" si="5"/>
        <v xml:space="preserve"> </v>
      </c>
      <c r="O11" s="94" t="str">
        <f>IF(Table62202732331627[[#This Row],[Non-Member]]="X"," ",IF(N11=" "," ",IFERROR(VLOOKUP(M11,Points!$A$2:$B$14,2,FALSE)," ")))</f>
        <v xml:space="preserve"> </v>
      </c>
      <c r="P11" s="92">
        <v>12.08</v>
      </c>
      <c r="Q11" s="93">
        <f t="shared" si="6"/>
        <v>5</v>
      </c>
      <c r="R11" s="93">
        <f t="shared" si="7"/>
        <v>5</v>
      </c>
      <c r="S11" s="94">
        <f>IF(Table62202732331627[[#This Row],[Non-Member]]="X"," ",IF(R11=" "," ",IFERROR(VLOOKUP(Q11,Points!$A$2:$B$14,2,FALSE)," ")))</f>
        <v>6</v>
      </c>
      <c r="T11" s="92">
        <v>14.3</v>
      </c>
      <c r="U11" s="93">
        <f t="shared" si="8"/>
        <v>7</v>
      </c>
      <c r="V11" s="93" t="str">
        <f t="shared" si="9"/>
        <v xml:space="preserve"> </v>
      </c>
      <c r="W11" s="94" t="str">
        <f>IF(Table62202732331627[[#This Row],[Non-Member]]="X"," ",IF(V11=" "," ",IFERROR(VLOOKUP(U11,Points!$A$2:$B$14,2,FALSE)," ")))</f>
        <v xml:space="preserve"> </v>
      </c>
      <c r="X11" s="92">
        <v>13.09</v>
      </c>
      <c r="Y11" s="93">
        <f t="shared" si="10"/>
        <v>5</v>
      </c>
      <c r="Z11" s="93">
        <f t="shared" si="11"/>
        <v>5</v>
      </c>
      <c r="AA11" s="94">
        <f>IF(Table62202732331627[[#This Row],[Non-Member]]="X"," ",IF(Z11=" "," ",IFERROR(VLOOKUP(Y11,Points!$A$2:$B$14,2,FALSE)," ")))</f>
        <v>6</v>
      </c>
      <c r="AB11" s="92">
        <v>20.149999999999999</v>
      </c>
      <c r="AC11" s="93">
        <f t="shared" si="12"/>
        <v>8</v>
      </c>
      <c r="AD11" s="93" t="str">
        <f t="shared" si="13"/>
        <v xml:space="preserve"> </v>
      </c>
      <c r="AE11" s="94" t="str">
        <f>IF(Table62202732331627[[#This Row],[Non-Member]]="X"," ",IF(AD11=" "," ",IFERROR(VLOOKUP(AC11,Points!$A$2:$B$14,2,FALSE)," ")))</f>
        <v xml:space="preserve"> </v>
      </c>
      <c r="AF11" s="92">
        <f t="shared" si="14"/>
        <v>33.239999999999995</v>
      </c>
      <c r="AG11" s="93">
        <f t="shared" si="15"/>
        <v>8</v>
      </c>
      <c r="AH11" s="93" t="str">
        <f t="shared" si="16"/>
        <v xml:space="preserve"> </v>
      </c>
      <c r="AI11" s="94" t="str">
        <f>IF(Table62202732331627[[#This Row],[Non-Member]]="X"," ",IF(AH11=" "," ",IFERROR(VLOOKUP(AG11,Points!$A$2:$B$14,2,FALSE)," ")))</f>
        <v xml:space="preserve"> </v>
      </c>
      <c r="AJ11" s="93">
        <f>IF(Table62202732331627[[#This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7</v>
      </c>
    </row>
    <row r="12" spans="2:38" x14ac:dyDescent="0.25">
      <c r="B12" s="90" t="s">
        <v>138</v>
      </c>
      <c r="C12" s="91"/>
      <c r="D12" s="92">
        <v>15.65</v>
      </c>
      <c r="E12" s="93">
        <f t="shared" si="0"/>
        <v>5</v>
      </c>
      <c r="F12" s="93">
        <f t="shared" si="1"/>
        <v>5</v>
      </c>
      <c r="G12" s="94">
        <f>IF(Table62202732331627[[#This Row],[Non-Member]]="X"," ",IF(F12=" "," ",IFERROR(VLOOKUP(E12,Points!$A$2:$B$14,2,FALSE)," ")))</f>
        <v>6</v>
      </c>
      <c r="H12" s="92">
        <v>14.75</v>
      </c>
      <c r="I12" s="93">
        <f t="shared" si="2"/>
        <v>7</v>
      </c>
      <c r="J12" s="93" t="str">
        <f t="shared" si="3"/>
        <v xml:space="preserve"> </v>
      </c>
      <c r="K12" s="94" t="str">
        <f>IF(Table62202732331627[[#This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IF(Table62202732331627[[#This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IF(Table62202732331627[[#This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IF(Table62202732331627[[#This Row],[Non-Member]]="X"," ",IF(V12=" "," ",IFERROR(VLOOKUP(U12,Points!$A$2:$B$14,2,FALSE)," ")))</f>
        <v xml:space="preserve"> </v>
      </c>
      <c r="X12" s="92">
        <v>16.09</v>
      </c>
      <c r="Y12" s="93">
        <f t="shared" si="10"/>
        <v>8</v>
      </c>
      <c r="Z12" s="93" t="str">
        <f t="shared" si="11"/>
        <v xml:space="preserve"> </v>
      </c>
      <c r="AA12" s="94" t="str">
        <f>IF(Table62202732331627[[#This Row],[Non-Member]]="X"," ",IF(Z12=" "," ",IFERROR(VLOOKUP(Y12,Points!$A$2:$B$14,2,FALSE)," ")))</f>
        <v xml:space="preserve"> </v>
      </c>
      <c r="AB12" s="92">
        <v>23.41</v>
      </c>
      <c r="AC12" s="93">
        <f t="shared" si="12"/>
        <v>9</v>
      </c>
      <c r="AD12" s="93" t="str">
        <f t="shared" si="13"/>
        <v xml:space="preserve"> </v>
      </c>
      <c r="AE12" s="94" t="str">
        <f>IF(Table62202732331627[[#This Row],[Non-Member]]="X"," ",IF(AD12=" "," ",IFERROR(VLOOKUP(AC12,Points!$A$2:$B$14,2,FALSE)," ")))</f>
        <v xml:space="preserve"> </v>
      </c>
      <c r="AF12" s="92">
        <f t="shared" si="14"/>
        <v>39.5</v>
      </c>
      <c r="AG12" s="93">
        <f t="shared" si="15"/>
        <v>9</v>
      </c>
      <c r="AH12" s="93" t="str">
        <f t="shared" si="16"/>
        <v xml:space="preserve"> </v>
      </c>
      <c r="AI12" s="94" t="str">
        <f>IF(Table62202732331627[[#This Row],[Non-Member]]="X"," ",IF(AH12=" "," ",IFERROR(VLOOKUP(AG12,Points!$A$2:$B$14,2,FALSE)," ")))</f>
        <v xml:space="preserve"> </v>
      </c>
      <c r="AJ12" s="93">
        <f>IF(Table62202732331627[[#This Row],[Non-Member]]="X"," ",((IF(G12=" ",0,G12))+(IF(K12=" ",0,K12))+(IF(O12=" ",0,O12))+(IF(S12=" ",0,S12))+(IF(W12=" ",0,W12))+(IF(AA12=" ",0,AA12))+(IF(AE12=" ",0,AE12))+(IF(AI12=" ",0,AI12))))</f>
        <v>6</v>
      </c>
      <c r="AK12" s="95">
        <f t="shared" si="17"/>
        <v>6</v>
      </c>
      <c r="AL12" s="96">
        <f t="shared" si="18"/>
        <v>8</v>
      </c>
    </row>
    <row r="13" spans="2:38" x14ac:dyDescent="0.25">
      <c r="B13" s="90" t="s">
        <v>153</v>
      </c>
      <c r="C13" s="91"/>
      <c r="D13" s="92">
        <v>16.03</v>
      </c>
      <c r="E13" s="93">
        <f t="shared" si="0"/>
        <v>7</v>
      </c>
      <c r="F13" s="93" t="str">
        <f t="shared" si="1"/>
        <v xml:space="preserve"> </v>
      </c>
      <c r="G13" s="94" t="str">
        <f>IF(Table62202732331627[[#This Row],[Non-Member]]="X"," ",IF(F13=" "," ",IFERROR(VLOOKUP(E13,Points!$A$2:$B$14,2,FALSE)," ")))</f>
        <v xml:space="preserve"> </v>
      </c>
      <c r="H13" s="92">
        <v>15.72</v>
      </c>
      <c r="I13" s="93">
        <f t="shared" si="2"/>
        <v>9</v>
      </c>
      <c r="J13" s="93" t="str">
        <f t="shared" si="3"/>
        <v xml:space="preserve"> </v>
      </c>
      <c r="K13" s="94" t="str">
        <f>IF(Table62202732331627[[#This Row],[Non-Member]]="X"," ",IF(J13=" "," ",IFERROR(VLOOKUP(I13,Points!$A$2:$B$14,2,FALSE)," ")))</f>
        <v xml:space="preserve"> </v>
      </c>
      <c r="L13" s="92">
        <v>13.3</v>
      </c>
      <c r="M13" s="93">
        <f t="shared" si="4"/>
        <v>5</v>
      </c>
      <c r="N13" s="93">
        <f t="shared" si="5"/>
        <v>5</v>
      </c>
      <c r="O13" s="94">
        <f>IF(Table62202732331627[[#This Row],[Non-Member]]="X"," ",IF(N13=" "," ",IFERROR(VLOOKUP(M13,Points!$A$2:$B$14,2,FALSE)," ")))</f>
        <v>6</v>
      </c>
      <c r="P13" s="92">
        <v>13.4</v>
      </c>
      <c r="Q13" s="93">
        <f t="shared" si="6"/>
        <v>7</v>
      </c>
      <c r="R13" s="93" t="str">
        <f t="shared" si="7"/>
        <v xml:space="preserve"> </v>
      </c>
      <c r="S13" s="94" t="str">
        <f>IF(Table62202732331627[[#This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IF(Table62202732331627[[#This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IF(Table62202732331627[[#This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IF(Table62202732331627[[#This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IF(Table62202732331627[[#This Row],[Non-Member]]="X"," ",IF(AH13=" "," ",IFERROR(VLOOKUP(AG13,Points!$A$2:$B$14,2,FALSE)," ")))</f>
        <v xml:space="preserve"> </v>
      </c>
      <c r="AJ13" s="93">
        <f>IF(Table62202732331627[[#This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6">
        <f t="shared" si="18"/>
        <v>8</v>
      </c>
    </row>
    <row r="14" spans="2:38" x14ac:dyDescent="0.25">
      <c r="B14" s="90" t="s">
        <v>134</v>
      </c>
      <c r="C14" s="91"/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IF(Table62202732331627[[#This Row],[Non-Member]]="X"," ",IF(F14=" "," ",IFERROR(VLOOKUP(E14,Points!$A$2:$B$14,2,FALSE)," ")))</f>
        <v xml:space="preserve"> </v>
      </c>
      <c r="H14" s="92"/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IF(Table62202732331627[[#This Row],[Non-Member]]="X"," ",IF(J14=" "," ",IFERROR(VLOOKUP(I14,Points!$A$2:$B$14,2,FALSE)," ")))</f>
        <v xml:space="preserve"> </v>
      </c>
      <c r="L14" s="92"/>
      <c r="M14" s="97" t="str">
        <f t="shared" si="4"/>
        <v xml:space="preserve"> </v>
      </c>
      <c r="N14" s="97" t="str">
        <f t="shared" si="5"/>
        <v xml:space="preserve"> </v>
      </c>
      <c r="O14" s="94" t="str">
        <f>IF(Table62202732331627[[#This Row],[Non-Member]]="X"," ",IF(N14=" "," ",IFERROR(VLOOKUP(M14,Points!$A$2:$B$14,2,FALSE)," ")))</f>
        <v xml:space="preserve"> </v>
      </c>
      <c r="P14" s="92"/>
      <c r="Q14" s="97" t="str">
        <f t="shared" si="6"/>
        <v xml:space="preserve"> </v>
      </c>
      <c r="R14" s="97" t="str">
        <f t="shared" si="7"/>
        <v xml:space="preserve"> </v>
      </c>
      <c r="S14" s="94" t="str">
        <f>IF(Table62202732331627[[#This Row],[Non-Member]]="X"," ",IF(R14=" "," ",IFERROR(VLOOKUP(Q14,Points!$A$2:$B$14,2,FALSE)," ")))</f>
        <v xml:space="preserve"> </v>
      </c>
      <c r="T14" s="92">
        <v>15.78</v>
      </c>
      <c r="U14" s="97">
        <f t="shared" si="8"/>
        <v>10</v>
      </c>
      <c r="V14" s="97" t="str">
        <f t="shared" si="9"/>
        <v xml:space="preserve"> </v>
      </c>
      <c r="W14" s="94" t="str">
        <f>IF(Table62202732331627[[#This Row],[Non-Member]]="X"," ",IF(V14=" "," ",IFERROR(VLOOKUP(U14,Points!$A$2:$B$14,2,FALSE)," ")))</f>
        <v xml:space="preserve"> </v>
      </c>
      <c r="X14" s="92">
        <v>16.41</v>
      </c>
      <c r="Y14" s="97">
        <f t="shared" si="10"/>
        <v>9</v>
      </c>
      <c r="Z14" s="97" t="str">
        <f t="shared" si="11"/>
        <v xml:space="preserve"> </v>
      </c>
      <c r="AA14" s="94" t="str">
        <f>IF(Table62202732331627[[#This Row],[Non-Member]]="X"," ",IF(Z14=" "," ",IFERROR(VLOOKUP(Y14,Points!$A$2:$B$14,2,FALSE)," ")))</f>
        <v xml:space="preserve"> </v>
      </c>
      <c r="AB14" s="92">
        <v>15.25</v>
      </c>
      <c r="AC14" s="97">
        <f t="shared" si="12"/>
        <v>6</v>
      </c>
      <c r="AD14" s="97">
        <f t="shared" si="13"/>
        <v>6</v>
      </c>
      <c r="AE14" s="94">
        <f>IF(Table62202732331627[[#This Row],[Non-Member]]="X"," ",IF(AD14=" "," ",IFERROR(VLOOKUP(AC14,Points!$A$2:$B$14,2,FALSE)," ")))</f>
        <v>3</v>
      </c>
      <c r="AF14" s="92">
        <f t="shared" si="14"/>
        <v>31.66</v>
      </c>
      <c r="AG14" s="97">
        <f t="shared" si="15"/>
        <v>7</v>
      </c>
      <c r="AH14" s="97" t="str">
        <f t="shared" si="16"/>
        <v xml:space="preserve"> </v>
      </c>
      <c r="AI14" s="94" t="str">
        <f>IF(Table62202732331627[[#This Row],[Non-Member]]="X"," ",IF(AH14=" "," ",IFERROR(VLOOKUP(AG14,Points!$A$2:$B$14,2,FALSE)," ")))</f>
        <v xml:space="preserve"> </v>
      </c>
      <c r="AJ14" s="97">
        <f>IF(Table62202732331627[[#This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8">
        <f t="shared" si="18"/>
        <v>10</v>
      </c>
    </row>
    <row r="15" spans="2:38" x14ac:dyDescent="0.25">
      <c r="B15" s="90" t="s">
        <v>151</v>
      </c>
      <c r="C15" s="91"/>
      <c r="D15" s="92">
        <v>24.45</v>
      </c>
      <c r="E15" s="93">
        <f t="shared" si="0"/>
        <v>10</v>
      </c>
      <c r="F15" s="93" t="str">
        <f t="shared" si="1"/>
        <v xml:space="preserve"> </v>
      </c>
      <c r="G15" s="94" t="str">
        <f>IF(Table62202732331627[[#This Row],[Non-Member]]="X"," ",IF(F15=" "," ",IFERROR(VLOOKUP(E15,Points!$A$2:$B$14,2,FALSE)," ")))</f>
        <v xml:space="preserve"> </v>
      </c>
      <c r="H15" s="92">
        <v>15.38</v>
      </c>
      <c r="I15" s="93">
        <f t="shared" si="2"/>
        <v>8</v>
      </c>
      <c r="J15" s="93" t="str">
        <f t="shared" si="3"/>
        <v xml:space="preserve"> </v>
      </c>
      <c r="K15" s="94" t="str">
        <f>IF(Table62202732331627[[#This Row],[Non-Member]]="X"," ",IF(J15=" "," ",IFERROR(VLOOKUP(I15,Points!$A$2:$B$14,2,FALSE)," ")))</f>
        <v xml:space="preserve"> </v>
      </c>
      <c r="L15" s="92">
        <v>17.809999999999999</v>
      </c>
      <c r="M15" s="93">
        <f t="shared" si="4"/>
        <v>9</v>
      </c>
      <c r="N15" s="93" t="str">
        <f t="shared" si="5"/>
        <v xml:space="preserve"> </v>
      </c>
      <c r="O15" s="94" t="str">
        <f>IF(Table62202732331627[[#This Row],[Non-Member]]="X"," ",IF(N15=" "," ",IFERROR(VLOOKUP(M15,Points!$A$2:$B$14,2,FALSE)," ")))</f>
        <v xml:space="preserve"> </v>
      </c>
      <c r="P15" s="92">
        <v>19.96</v>
      </c>
      <c r="Q15" s="93">
        <f t="shared" si="6"/>
        <v>10</v>
      </c>
      <c r="R15" s="93" t="str">
        <f t="shared" si="7"/>
        <v xml:space="preserve"> </v>
      </c>
      <c r="S15" s="94" t="str">
        <f>IF(Table62202732331627[[#This Row],[Non-Member]]="X"," ",IF(R15=" "," ",IFERROR(VLOOKUP(Q15,Points!$A$2:$B$14,2,FALSE)," ")))</f>
        <v xml:space="preserve"> </v>
      </c>
      <c r="T15" s="92">
        <v>14.68</v>
      </c>
      <c r="U15" s="93">
        <f t="shared" si="8"/>
        <v>9</v>
      </c>
      <c r="V15" s="93" t="str">
        <f t="shared" si="9"/>
        <v xml:space="preserve"> </v>
      </c>
      <c r="W15" s="94" t="str">
        <f>IF(Table62202732331627[[#This Row],[Non-Member]]="X"," ",IF(V15=" "," ",IFERROR(VLOOKUP(U15,Points!$A$2:$B$14,2,FALSE)," ")))</f>
        <v xml:space="preserve"> </v>
      </c>
      <c r="X15" s="92">
        <v>15.97</v>
      </c>
      <c r="Y15" s="93">
        <f t="shared" si="10"/>
        <v>7</v>
      </c>
      <c r="Z15" s="93" t="str">
        <f t="shared" si="11"/>
        <v xml:space="preserve"> </v>
      </c>
      <c r="AA15" s="94" t="str">
        <f>IF(Table62202732331627[[#This Row],[Non-Member]]="X"," ",IF(Z15=" "," ",IFERROR(VLOOKUP(Y15,Points!$A$2:$B$14,2,FALSE)," ")))</f>
        <v xml:space="preserve"> </v>
      </c>
      <c r="AB15" s="92">
        <v>15.31</v>
      </c>
      <c r="AC15" s="93">
        <f t="shared" si="12"/>
        <v>7</v>
      </c>
      <c r="AD15" s="93" t="str">
        <f t="shared" si="13"/>
        <v xml:space="preserve"> </v>
      </c>
      <c r="AE15" s="94" t="str">
        <f>IF(Table62202732331627[[#This Row],[Non-Member]]="X"," ",IF(AD15=" "," ",IFERROR(VLOOKUP(AC15,Points!$A$2:$B$14,2,FALSE)," ")))</f>
        <v xml:space="preserve"> </v>
      </c>
      <c r="AF15" s="92">
        <f t="shared" si="14"/>
        <v>31.28</v>
      </c>
      <c r="AG15" s="93">
        <f t="shared" si="15"/>
        <v>6</v>
      </c>
      <c r="AH15" s="93">
        <f t="shared" si="16"/>
        <v>6</v>
      </c>
      <c r="AI15" s="94">
        <f>IF(Table62202732331627[[#This Row],[Non-Member]]="X"," ",IF(AH15=" "," ",IFERROR(VLOOKUP(AG15,Points!$A$2:$B$14,2,FALSE)," ")))</f>
        <v>3</v>
      </c>
      <c r="AJ15" s="93">
        <f>IF(Table62202732331627[[#This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7"/>
        <v>3</v>
      </c>
      <c r="AL15" s="96">
        <f t="shared" si="18"/>
        <v>10</v>
      </c>
    </row>
    <row r="16" spans="2:38" x14ac:dyDescent="0.25">
      <c r="B16" s="90" t="s">
        <v>270</v>
      </c>
      <c r="C16" s="91" t="s">
        <v>95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IF(Table62202732331627[[#This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IF(Table62202732331627[[#This Row],[Non-Member]]="X"," ",IF(J16=" "," ",IFERROR(VLOOKUP(I16,Points!$A$2:$B$14,2,FALSE)," ")))</f>
        <v xml:space="preserve"> </v>
      </c>
      <c r="L16" s="92">
        <v>32.35</v>
      </c>
      <c r="M16" s="93">
        <f t="shared" si="4"/>
        <v>10</v>
      </c>
      <c r="N16" s="93" t="str">
        <f t="shared" si="5"/>
        <v xml:space="preserve"> </v>
      </c>
      <c r="O16" s="94" t="str">
        <f>IF(Table62202732331627[[#This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IF(Table62202732331627[[#This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IF(Table62202732331627[[#This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IF(Table62202732331627[[#This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IF(Table62202732331627[[#This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IF(Table62202732331627[[#This Row],[Non-Member]]="X"," ",IF(AH16=" "," ",IFERROR(VLOOKUP(AG16,Points!$A$2:$B$14,2,FALSE)," ")))</f>
        <v xml:space="preserve"> </v>
      </c>
      <c r="AJ16" s="93" t="str">
        <f>IF(Table62202732331627[[#This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25">
      <c r="B17" s="90" t="s">
        <v>271</v>
      </c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IF(Table62202732331627[[#This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IF(Table62202732331627[[#This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IF(Table62202732331627[[#This Row],[Non-Member]]="X"," ",IF(N17=" "," ",IFERROR(VLOOKUP(M17,Points!$A$2:$B$14,2,FALSE)," ")))</f>
        <v xml:space="preserve"> </v>
      </c>
      <c r="P17" s="92">
        <v>15.38</v>
      </c>
      <c r="Q17" s="97">
        <f t="shared" si="6"/>
        <v>9</v>
      </c>
      <c r="R17" s="97" t="str">
        <f t="shared" si="7"/>
        <v xml:space="preserve"> </v>
      </c>
      <c r="S17" s="94" t="str">
        <f>IF(Table62202732331627[[#This Row],[Non-Member]]="X"," ",IF(R17=" "," ",IFERROR(VLOOKUP(Q17,Points!$A$2:$B$14,2,FALSE)," ")))</f>
        <v xml:space="preserve"> </v>
      </c>
      <c r="T17" s="92">
        <v>14.53</v>
      </c>
      <c r="U17" s="97">
        <f t="shared" si="8"/>
        <v>8</v>
      </c>
      <c r="V17" s="97" t="str">
        <f t="shared" si="9"/>
        <v xml:space="preserve"> </v>
      </c>
      <c r="W17" s="94" t="str">
        <f>IF(Table62202732331627[[#This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IF(Table62202732331627[[#This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IF(Table62202732331627[[#This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IF(Table62202732331627[[#This Row],[Non-Member]]="X"," ",IF(AH17=" "," ",IFERROR(VLOOKUP(AG17,Points!$A$2:$B$14,2,FALSE)," ")))</f>
        <v xml:space="preserve"> </v>
      </c>
      <c r="AJ17" s="97">
        <f>IF(Table62202732331627[[#This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IF(Table62202732331627[[#This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IF(Table62202732331627[[#This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IF(Table62202732331627[[#This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IF(Table62202732331627[[#This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IF(Table62202732331627[[#This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IF(Table62202732331627[[#This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IF(Table62202732331627[[#This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IF(Table62202732331627[[#This Row],[Non-Member]]="X"," ",IF(AH18=" "," ",IFERROR(VLOOKUP(AG18,Points!$A$2:$B$14,2,FALSE)," ")))</f>
        <v xml:space="preserve"> </v>
      </c>
      <c r="AJ18" s="97">
        <f>IF(Table62202732331627[[#This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IF(Table62202732331627[[#This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IF(Table62202732331627[[#This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IF(Table62202732331627[[#This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IF(Table62202732331627[[#This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IF(Table62202732331627[[#This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IF(Table62202732331627[[#This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IF(Table62202732331627[[#This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IF(Table62202732331627[[#This Row],[Non-Member]]="X"," ",IF(AH19=" "," ",IFERROR(VLOOKUP(AG19,Points!$A$2:$B$14,2,FALSE)," ")))</f>
        <v xml:space="preserve"> </v>
      </c>
      <c r="AJ19" s="93">
        <f>IF(Table62202732331627[[#This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IF(Table62202732331627[[#This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IF(Table62202732331627[[#This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IF(Table62202732331627[[#This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IF(Table62202732331627[[#This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IF(Table62202732331627[[#This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IF(Table62202732331627[[#This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IF(Table62202732331627[[#This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IF(Table62202732331627[[#This Row],[Non-Member]]="X"," ",IF(AH20=" "," ",IFERROR(VLOOKUP(AG20,Points!$A$2:$B$14,2,FALSE)," ")))</f>
        <v xml:space="preserve"> </v>
      </c>
      <c r="AJ20" s="93">
        <f>IF(Table62202732331627[[#This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IF(Table62202732331627[[#This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IF(Table62202732331627[[#This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IF(Table62202732331627[[#This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IF(Table62202732331627[[#This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IF(Table62202732331627[[#This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IF(Table62202732331627[[#This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IF(Table62202732331627[[#This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IF(Table62202732331627[[#This Row],[Non-Member]]="X"," ",IF(AH21=" "," ",IFERROR(VLOOKUP(AG21,Points!$A$2:$B$14,2,FALSE)," ")))</f>
        <v xml:space="preserve"> </v>
      </c>
      <c r="AJ21" s="93">
        <f>IF(Table62202732331627[[#This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IF(Table62202732331627[[#This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IF(Table62202732331627[[#This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IF(Table62202732331627[[#This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IF(Table62202732331627[[#This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IF(Table62202732331627[[#This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IF(Table62202732331627[[#This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IF(Table62202732331627[[#This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IF(Table62202732331627[[#This Row],[Non-Member]]="X"," ",IF(AH22=" "," ",IFERROR(VLOOKUP(AG22,Points!$A$2:$B$14,2,FALSE)," ")))</f>
        <v xml:space="preserve"> </v>
      </c>
      <c r="AJ22" s="93">
        <f>IF(Table62202732331627[[#This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IF(Table62202732331627[[#This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IF(Table62202732331627[[#This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IF(Table62202732331627[[#This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IF(Table62202732331627[[#This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IF(Table62202732331627[[#This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IF(Table62202732331627[[#This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IF(Table62202732331627[[#This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IF(Table62202732331627[[#This Row],[Non-Member]]="X"," ",IF(AH23=" "," ",IFERROR(VLOOKUP(AG23,Points!$A$2:$B$14,2,FALSE)," ")))</f>
        <v xml:space="preserve"> </v>
      </c>
      <c r="AJ23" s="93">
        <f>IF(Table62202732331627[[#This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IF(Table62202732331627[[#This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IF(Table62202732331627[[#This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IF(Table62202732331627[[#This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IF(Table62202732331627[[#This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IF(Table62202732331627[[#This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IF(Table62202732331627[[#This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IF(Table62202732331627[[#This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IF(Table62202732331627[[#This Row],[Non-Member]]="X"," ",IF(AH24=" "," ",IFERROR(VLOOKUP(AG24,Points!$A$2:$B$14,2,FALSE)," ")))</f>
        <v xml:space="preserve"> </v>
      </c>
      <c r="AJ24" s="93">
        <f>IF(Table62202732331627[[#This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g2Z4ylDhqDJ25FyNtXrM0NGqNuWgDgk8oIA53nQYHcGT1E0Y1gQlOTssL8VzuvNng/fNQOs78j1bpvog6tsL3w==" saltValue="KyRBxybV0IHQM27MJP2MW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E1776-73B5-4327-B065-5E4EA6D1A537}">
  <sheetPr codeName="Sheet69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212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149</v>
      </c>
      <c r="C5" s="84"/>
      <c r="D5" s="85">
        <v>6.46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IF(Table6220273233341728[[#This Row],[Non-Member]]="X"," ",IF(F5=" "," ",IFERROR(VLOOKUP(E5,Points!$A$2:$B$14,2,FALSE)," ")))</f>
        <v>18</v>
      </c>
      <c r="H5" s="85">
        <v>7.53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IF(Table6220273233341728[[#This Row],[Non-Member]]="X"," ",IF(J5=" "," ",IFERROR(VLOOKUP(I5,Points!$A$2:$B$14,2,FALSE)," ")))</f>
        <v>18</v>
      </c>
      <c r="L5" s="85">
        <v>6.53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IF(Table6220273233341728[[#This Row],[Non-Member]]="X"," ",IF(N5=" "," ",IFERROR(VLOOKUP(M5,Points!$A$2:$B$14,2,FALSE)," ")))</f>
        <v>18</v>
      </c>
      <c r="P5" s="85">
        <v>6.36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IF(Table6220273233341728[[#This Row],[Non-Member]]="X"," ",IF(R5=" "," ",IFERROR(VLOOKUP(Q5,Points!$A$2:$B$14,2,FALSE)," ")))</f>
        <v>18</v>
      </c>
      <c r="T5" s="85">
        <v>7.5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IF(Table6220273233341728[[#This Row],[Non-Member]]="X"," ",IF(V5=" "," ",IFERROR(VLOOKUP(U5,Points!$A$2:$B$14,2,FALSE)," ")))</f>
        <v>18</v>
      </c>
      <c r="X5" s="85">
        <v>5.78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IF(Table6220273233341728[[#This Row],[Non-Member]]="X"," ",IF(Z5=" "," ",IFERROR(VLOOKUP(Y5,Points!$A$2:$B$14,2,FALSE)," ")))</f>
        <v>18</v>
      </c>
      <c r="AB5" s="85">
        <v>6.63</v>
      </c>
      <c r="AC5" s="86">
        <f t="shared" ref="AC5:AC24" si="12">IF(AB5=0," ",_xlfn.RANK.AVG(AB5,AB$5:AB$24,1)-COUNTIF(AB$5:AB$24,0))</f>
        <v>2</v>
      </c>
      <c r="AD5" s="86">
        <f t="shared" ref="AD5:AD24" si="13">IF(AB5=0," ",IF((RANK(AB5,AB$5:AB$24,1)-COUNTIF(AB$5:AB$24,0)&gt;6)," ",RANK(AB5,AB$5:AB$24,1)-COUNTIF(AB$5:AB$24,0)))</f>
        <v>2</v>
      </c>
      <c r="AE5" s="87">
        <f>IF(Table6220273233341728[[#This Row],[Non-Member]]="X"," ",IF(AD5=" "," ",IFERROR(VLOOKUP(AC5,Points!$A$2:$B$14,2,FALSE)," ")))</f>
        <v>15</v>
      </c>
      <c r="AF5" s="85">
        <f t="shared" ref="AF5:AF24" si="14">IF(OR(X5=0,AB5=0)," ",X5+AB5)</f>
        <v>12.41</v>
      </c>
      <c r="AG5" s="86">
        <f t="shared" ref="AG5:AG24" si="15">IF(OR(AF5=0,AF5=" ")," ",_xlfn.RANK.AVG(AF5,AF$5:AF$24,1)-COUNTIF(AF$5:AF$24,0))</f>
        <v>1</v>
      </c>
      <c r="AH5" s="86">
        <f t="shared" ref="AH5:AH24" si="16">IF(OR(AF5=0,AF5=" ")," ",IF((RANK(AF5,AF$5:AF$24,1)-COUNTIF(AF$5:AF$24,0)&gt;6)," ",RANK(AF5,AF$5:AF$24,1)-COUNTIF(AF$5:AF$24,0)))</f>
        <v>1</v>
      </c>
      <c r="AI5" s="87">
        <f>IF(Table6220273233341728[[#This Row],[Non-Member]]="X"," ",IF(AH5=" "," ",IFERROR(VLOOKUP(AG5,Points!$A$2:$B$14,2,FALSE)," ")))</f>
        <v>18</v>
      </c>
      <c r="AJ5" s="86">
        <f>IF(Table6220273233341728[[#This Row],[Non-Member]]="X"," ",((IF(G5=" ",0,G5))+(IF(K5=" ",0,K5))+(IF(O5=" ",0,O5))+(IF(S5=" ",0,S5))+(IF(W5=" ",0,W5))+(IF(AA5=" ",0,AA5))+(IF(AE5=" ",0,AE5))+(IF(AI5=" ",0,AI5))))</f>
        <v>141</v>
      </c>
      <c r="AK5" s="88">
        <f t="shared" ref="AK5:AK24" si="17">IF(AJ5=0," ",AJ5)</f>
        <v>141</v>
      </c>
      <c r="AL5" s="89">
        <f t="shared" ref="AL5:AL24" si="18">IF(AK5=" "," ",RANK(AK5,$AK$5:$AK$24))</f>
        <v>1</v>
      </c>
    </row>
    <row r="6" spans="2:38" x14ac:dyDescent="0.25">
      <c r="B6" s="90" t="s">
        <v>150</v>
      </c>
      <c r="C6" s="91"/>
      <c r="D6" s="92">
        <v>9.6999999999999993</v>
      </c>
      <c r="E6" s="93">
        <f t="shared" si="0"/>
        <v>3</v>
      </c>
      <c r="F6" s="93">
        <f t="shared" si="1"/>
        <v>3</v>
      </c>
      <c r="G6" s="94">
        <f>IF(Table6220273233341728[[#This Row],[Non-Member]]="X"," ",IF(F6=" "," ",IFERROR(VLOOKUP(E6,Points!$A$2:$B$14,2,FALSE)," ")))</f>
        <v>12</v>
      </c>
      <c r="H6" s="92">
        <v>7.69</v>
      </c>
      <c r="I6" s="93">
        <f t="shared" si="2"/>
        <v>2</v>
      </c>
      <c r="J6" s="93">
        <f t="shared" si="3"/>
        <v>2</v>
      </c>
      <c r="K6" s="94">
        <f>IF(Table6220273233341728[[#This Row],[Non-Member]]="X"," ",IF(J6=" "," ",IFERROR(VLOOKUP(I6,Points!$A$2:$B$14,2,FALSE)," ")))</f>
        <v>15</v>
      </c>
      <c r="L6" s="92">
        <v>10.86</v>
      </c>
      <c r="M6" s="93">
        <f t="shared" si="4"/>
        <v>5</v>
      </c>
      <c r="N6" s="93">
        <f t="shared" si="5"/>
        <v>5</v>
      </c>
      <c r="O6" s="94">
        <f>IF(Table6220273233341728[[#This Row],[Non-Member]]="X"," ",IF(N6=" "," ",IFERROR(VLOOKUP(M6,Points!$A$2:$B$14,2,FALSE)," ")))</f>
        <v>6</v>
      </c>
      <c r="P6" s="92">
        <v>17.649999999999999</v>
      </c>
      <c r="Q6" s="93">
        <f t="shared" si="6"/>
        <v>7</v>
      </c>
      <c r="R6" s="93" t="str">
        <f t="shared" si="7"/>
        <v xml:space="preserve"> </v>
      </c>
      <c r="S6" s="94" t="str">
        <f>IF(Table6220273233341728[[#This Row],[Non-Member]]="X"," ",IF(R6=" "," ",IFERROR(VLOOKUP(Q6,Points!$A$2:$B$14,2,FALSE)," ")))</f>
        <v xml:space="preserve"> </v>
      </c>
      <c r="T6" s="92">
        <v>9.9700000000000006</v>
      </c>
      <c r="U6" s="93">
        <f t="shared" si="8"/>
        <v>4</v>
      </c>
      <c r="V6" s="93">
        <f t="shared" si="9"/>
        <v>4</v>
      </c>
      <c r="W6" s="94">
        <f>IF(Table6220273233341728[[#This Row],[Non-Member]]="X"," ",IF(V6=" "," ",IFERROR(VLOOKUP(U6,Points!$A$2:$B$14,2,FALSE)," ")))</f>
        <v>9</v>
      </c>
      <c r="X6" s="92">
        <v>7.66</v>
      </c>
      <c r="Y6" s="93">
        <f t="shared" si="10"/>
        <v>2</v>
      </c>
      <c r="Z6" s="93">
        <f t="shared" si="11"/>
        <v>2</v>
      </c>
      <c r="AA6" s="94">
        <f>IF(Table6220273233341728[[#This Row],[Non-Member]]="X"," ",IF(Z6=" "," ",IFERROR(VLOOKUP(Y6,Points!$A$2:$B$14,2,FALSE)," ")))</f>
        <v>15</v>
      </c>
      <c r="AB6" s="92">
        <v>6.22</v>
      </c>
      <c r="AC6" s="93">
        <f t="shared" si="12"/>
        <v>1</v>
      </c>
      <c r="AD6" s="93">
        <f t="shared" si="13"/>
        <v>1</v>
      </c>
      <c r="AE6" s="94">
        <f>IF(Table6220273233341728[[#This Row],[Non-Member]]="X"," ",IF(AD6=" "," ",IFERROR(VLOOKUP(AC6,Points!$A$2:$B$14,2,FALSE)," ")))</f>
        <v>18</v>
      </c>
      <c r="AF6" s="92">
        <f t="shared" si="14"/>
        <v>13.879999999999999</v>
      </c>
      <c r="AG6" s="93">
        <f t="shared" si="15"/>
        <v>2</v>
      </c>
      <c r="AH6" s="93">
        <f t="shared" si="16"/>
        <v>2</v>
      </c>
      <c r="AI6" s="94">
        <f>IF(Table6220273233341728[[#This Row],[Non-Member]]="X"," ",IF(AH6=" "," ",IFERROR(VLOOKUP(AG6,Points!$A$2:$B$14,2,FALSE)," ")))</f>
        <v>15</v>
      </c>
      <c r="AJ6" s="93">
        <f>IF(Table6220273233341728[[#This Row],[Non-Member]]="X"," ",((IF(G6=" ",0,G6))+(IF(K6=" ",0,K6))+(IF(O6=" ",0,O6))+(IF(S6=" ",0,S6))+(IF(W6=" ",0,W6))+(IF(AA6=" ",0,AA6))+(IF(AE6=" ",0,AE6))+(IF(AI6=" ",0,AI6))))</f>
        <v>90</v>
      </c>
      <c r="AK6" s="95">
        <f t="shared" si="17"/>
        <v>90</v>
      </c>
      <c r="AL6" s="96">
        <f t="shared" si="18"/>
        <v>2</v>
      </c>
    </row>
    <row r="7" spans="2:38" x14ac:dyDescent="0.25">
      <c r="B7" s="90" t="s">
        <v>136</v>
      </c>
      <c r="C7" s="91"/>
      <c r="D7" s="92">
        <v>10.15</v>
      </c>
      <c r="E7" s="93">
        <f t="shared" si="0"/>
        <v>4</v>
      </c>
      <c r="F7" s="93">
        <f t="shared" si="1"/>
        <v>4</v>
      </c>
      <c r="G7" s="94">
        <f>IF(Table6220273233341728[[#This Row],[Non-Member]]="X"," ",IF(F7=" "," ",IFERROR(VLOOKUP(E7,Points!$A$2:$B$14,2,FALSE)," ")))</f>
        <v>9</v>
      </c>
      <c r="H7" s="92">
        <v>8.44</v>
      </c>
      <c r="I7" s="93">
        <f t="shared" si="2"/>
        <v>3</v>
      </c>
      <c r="J7" s="93">
        <f t="shared" si="3"/>
        <v>3</v>
      </c>
      <c r="K7" s="94">
        <f>IF(Table6220273233341728[[#This Row],[Non-Member]]="X"," ",IF(J7=" "," ",IFERROR(VLOOKUP(I7,Points!$A$2:$B$14,2,FALSE)," ")))</f>
        <v>12</v>
      </c>
      <c r="L7" s="92">
        <v>15.37</v>
      </c>
      <c r="M7" s="93">
        <f t="shared" si="4"/>
        <v>7</v>
      </c>
      <c r="N7" s="93" t="str">
        <f t="shared" si="5"/>
        <v xml:space="preserve"> </v>
      </c>
      <c r="O7" s="94" t="str">
        <f>IF(Table6220273233341728[[#This Row],[Non-Member]]="X"," ",IF(N7=" "," ",IFERROR(VLOOKUP(M7,Points!$A$2:$B$14,2,FALSE)," ")))</f>
        <v xml:space="preserve"> </v>
      </c>
      <c r="P7" s="92">
        <v>14.61</v>
      </c>
      <c r="Q7" s="93">
        <f t="shared" si="6"/>
        <v>6</v>
      </c>
      <c r="R7" s="93">
        <f t="shared" si="7"/>
        <v>6</v>
      </c>
      <c r="S7" s="94">
        <f>IF(Table6220273233341728[[#This Row],[Non-Member]]="X"," ",IF(R7=" "," ",IFERROR(VLOOKUP(Q7,Points!$A$2:$B$14,2,FALSE)," ")))</f>
        <v>3</v>
      </c>
      <c r="T7" s="92">
        <v>8</v>
      </c>
      <c r="U7" s="93">
        <f t="shared" si="8"/>
        <v>2</v>
      </c>
      <c r="V7" s="93">
        <f t="shared" si="9"/>
        <v>2</v>
      </c>
      <c r="W7" s="94">
        <f>IF(Table6220273233341728[[#This Row],[Non-Member]]="X"," ",IF(V7=" "," ",IFERROR(VLOOKUP(U7,Points!$A$2:$B$14,2,FALSE)," ")))</f>
        <v>15</v>
      </c>
      <c r="X7" s="92">
        <v>8.1300000000000008</v>
      </c>
      <c r="Y7" s="93">
        <f t="shared" si="10"/>
        <v>3</v>
      </c>
      <c r="Z7" s="93">
        <f t="shared" si="11"/>
        <v>3</v>
      </c>
      <c r="AA7" s="94">
        <f>IF(Table6220273233341728[[#This Row],[Non-Member]]="X"," ",IF(Z7=" "," ",IFERROR(VLOOKUP(Y7,Points!$A$2:$B$14,2,FALSE)," ")))</f>
        <v>12</v>
      </c>
      <c r="AB7" s="92">
        <v>8.32</v>
      </c>
      <c r="AC7" s="93">
        <f t="shared" si="12"/>
        <v>6</v>
      </c>
      <c r="AD7" s="93">
        <f t="shared" si="13"/>
        <v>6</v>
      </c>
      <c r="AE7" s="94">
        <f>IF(Table6220273233341728[[#This Row],[Non-Member]]="X"," ",IF(AD7=" "," ",IFERROR(VLOOKUP(AC7,Points!$A$2:$B$14,2,FALSE)," ")))</f>
        <v>3</v>
      </c>
      <c r="AF7" s="92">
        <f t="shared" si="14"/>
        <v>16.450000000000003</v>
      </c>
      <c r="AG7" s="93">
        <f t="shared" si="15"/>
        <v>3</v>
      </c>
      <c r="AH7" s="93">
        <f t="shared" si="16"/>
        <v>3</v>
      </c>
      <c r="AI7" s="94">
        <f>IF(Table6220273233341728[[#This Row],[Non-Member]]="X"," ",IF(AH7=" "," ",IFERROR(VLOOKUP(AG7,Points!$A$2:$B$14,2,FALSE)," ")))</f>
        <v>12</v>
      </c>
      <c r="AJ7" s="93">
        <f>IF(Table6220273233341728[[#This Row],[Non-Member]]="X"," ",((IF(G7=" ",0,G7))+(IF(K7=" ",0,K7))+(IF(O7=" ",0,O7))+(IF(S7=" ",0,S7))+(IF(W7=" ",0,W7))+(IF(AA7=" ",0,AA7))+(IF(AE7=" ",0,AE7))+(IF(AI7=" ",0,AI7))))</f>
        <v>66</v>
      </c>
      <c r="AK7" s="95">
        <f t="shared" si="17"/>
        <v>66</v>
      </c>
      <c r="AL7" s="96">
        <f t="shared" si="18"/>
        <v>3</v>
      </c>
    </row>
    <row r="8" spans="2:38" x14ac:dyDescent="0.25">
      <c r="B8" s="90" t="s">
        <v>152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IF(Table6220273233341728[[#This Row],[Non-Member]]="X"," ",IF(F8=" "," ",IFERROR(VLOOKUP(E8,Points!$A$2:$B$14,2,FALSE)," ")))</f>
        <v xml:space="preserve"> </v>
      </c>
      <c r="H8" s="92">
        <v>8.75</v>
      </c>
      <c r="I8" s="93">
        <f t="shared" si="2"/>
        <v>4</v>
      </c>
      <c r="J8" s="93">
        <f t="shared" si="3"/>
        <v>4</v>
      </c>
      <c r="K8" s="94">
        <f>IF(Table6220273233341728[[#This Row],[Non-Member]]="X"," ",IF(J8=" "," ",IFERROR(VLOOKUP(I8,Points!$A$2:$B$14,2,FALSE)," ")))</f>
        <v>9</v>
      </c>
      <c r="L8" s="92">
        <v>8.9499999999999993</v>
      </c>
      <c r="M8" s="93">
        <f t="shared" si="4"/>
        <v>3</v>
      </c>
      <c r="N8" s="93">
        <f t="shared" si="5"/>
        <v>3</v>
      </c>
      <c r="O8" s="94">
        <f>IF(Table6220273233341728[[#This Row],[Non-Member]]="X"," ",IF(N8=" "," ",IFERROR(VLOOKUP(M8,Points!$A$2:$B$14,2,FALSE)," ")))</f>
        <v>12</v>
      </c>
      <c r="P8" s="92">
        <v>13.65</v>
      </c>
      <c r="Q8" s="93">
        <f t="shared" si="6"/>
        <v>5</v>
      </c>
      <c r="R8" s="93">
        <f t="shared" si="7"/>
        <v>5</v>
      </c>
      <c r="S8" s="94">
        <f>IF(Table6220273233341728[[#This Row],[Non-Member]]="X"," ",IF(R8=" "," ",IFERROR(VLOOKUP(Q8,Points!$A$2:$B$14,2,FALSE)," ")))</f>
        <v>6</v>
      </c>
      <c r="T8" s="92">
        <v>10.44</v>
      </c>
      <c r="U8" s="93">
        <f t="shared" si="8"/>
        <v>5</v>
      </c>
      <c r="V8" s="93">
        <f t="shared" si="9"/>
        <v>5</v>
      </c>
      <c r="W8" s="94">
        <f>IF(Table6220273233341728[[#This Row],[Non-Member]]="X"," ",IF(V8=" "," ",IFERROR(VLOOKUP(U8,Points!$A$2:$B$14,2,FALSE)," ")))</f>
        <v>6</v>
      </c>
      <c r="X8" s="92">
        <v>9.91</v>
      </c>
      <c r="Y8" s="93">
        <f t="shared" si="10"/>
        <v>5</v>
      </c>
      <c r="Z8" s="93">
        <f t="shared" si="11"/>
        <v>5</v>
      </c>
      <c r="AA8" s="94">
        <f>IF(Table6220273233341728[[#This Row],[Non-Member]]="X"," ",IF(Z8=" "," ",IFERROR(VLOOKUP(Y8,Points!$A$2:$B$14,2,FALSE)," ")))</f>
        <v>6</v>
      </c>
      <c r="AB8" s="92">
        <v>8.19</v>
      </c>
      <c r="AC8" s="93">
        <f t="shared" si="12"/>
        <v>5</v>
      </c>
      <c r="AD8" s="93">
        <f t="shared" si="13"/>
        <v>5</v>
      </c>
      <c r="AE8" s="94">
        <f>IF(Table6220273233341728[[#This Row],[Non-Member]]="X"," ",IF(AD8=" "," ",IFERROR(VLOOKUP(AC8,Points!$A$2:$B$14,2,FALSE)," ")))</f>
        <v>6</v>
      </c>
      <c r="AF8" s="92">
        <f t="shared" si="14"/>
        <v>18.100000000000001</v>
      </c>
      <c r="AG8" s="93">
        <f t="shared" si="15"/>
        <v>5</v>
      </c>
      <c r="AH8" s="93">
        <f t="shared" si="16"/>
        <v>5</v>
      </c>
      <c r="AI8" s="94">
        <f>IF(Table6220273233341728[[#This Row],[Non-Member]]="X"," ",IF(AH8=" "," ",IFERROR(VLOOKUP(AG8,Points!$A$2:$B$14,2,FALSE)," ")))</f>
        <v>6</v>
      </c>
      <c r="AJ8" s="93">
        <f>IF(Table6220273233341728[[#This Row],[Non-Member]]="X"," ",((IF(G8=" ",0,G8))+(IF(K8=" ",0,K8))+(IF(O8=" ",0,O8))+(IF(S8=" ",0,S8))+(IF(W8=" ",0,W8))+(IF(AA8=" ",0,AA8))+(IF(AE8=" ",0,AE8))+(IF(AI8=" ",0,AI8))))</f>
        <v>51</v>
      </c>
      <c r="AK8" s="95">
        <f t="shared" si="17"/>
        <v>51</v>
      </c>
      <c r="AL8" s="96">
        <f t="shared" si="18"/>
        <v>4</v>
      </c>
    </row>
    <row r="9" spans="2:38" x14ac:dyDescent="0.25">
      <c r="B9" s="90" t="s">
        <v>135</v>
      </c>
      <c r="C9" s="91"/>
      <c r="D9" s="92">
        <v>10.37</v>
      </c>
      <c r="E9" s="93">
        <f t="shared" si="0"/>
        <v>5</v>
      </c>
      <c r="F9" s="93">
        <f t="shared" si="1"/>
        <v>5</v>
      </c>
      <c r="G9" s="94">
        <f>IF(Table6220273233341728[[#This Row],[Non-Member]]="X"," ",IF(F9=" "," ",IFERROR(VLOOKUP(E9,Points!$A$2:$B$14,2,FALSE)," ")))</f>
        <v>6</v>
      </c>
      <c r="H9" s="92">
        <v>10.44</v>
      </c>
      <c r="I9" s="93">
        <f t="shared" si="2"/>
        <v>5</v>
      </c>
      <c r="J9" s="93">
        <f t="shared" si="3"/>
        <v>5</v>
      </c>
      <c r="K9" s="94">
        <f>IF(Table6220273233341728[[#This Row],[Non-Member]]="X"," ",IF(J9=" "," ",IFERROR(VLOOKUP(I9,Points!$A$2:$B$14,2,FALSE)," ")))</f>
        <v>6</v>
      </c>
      <c r="L9" s="92">
        <v>9.36</v>
      </c>
      <c r="M9" s="93">
        <f t="shared" si="4"/>
        <v>4</v>
      </c>
      <c r="N9" s="93">
        <f t="shared" si="5"/>
        <v>4</v>
      </c>
      <c r="O9" s="94">
        <f>IF(Table6220273233341728[[#This Row],[Non-Member]]="X"," ",IF(N9=" "," ",IFERROR(VLOOKUP(M9,Points!$A$2:$B$14,2,FALSE)," ")))</f>
        <v>9</v>
      </c>
      <c r="P9" s="92">
        <v>9.48</v>
      </c>
      <c r="Q9" s="93">
        <f t="shared" si="6"/>
        <v>3</v>
      </c>
      <c r="R9" s="93">
        <f t="shared" si="7"/>
        <v>3</v>
      </c>
      <c r="S9" s="94">
        <f>IF(Table6220273233341728[[#This Row],[Non-Member]]="X"," ",IF(R9=" "," ",IFERROR(VLOOKUP(Q9,Points!$A$2:$B$14,2,FALSE)," ")))</f>
        <v>12</v>
      </c>
      <c r="T9" s="92">
        <v>14.13</v>
      </c>
      <c r="U9" s="93">
        <f t="shared" si="8"/>
        <v>9</v>
      </c>
      <c r="V9" s="93" t="str">
        <f t="shared" si="9"/>
        <v xml:space="preserve"> </v>
      </c>
      <c r="W9" s="94" t="str">
        <f>IF(Table6220273233341728[[#This Row],[Non-Member]]="X"," ",IF(V9=" "," ",IFERROR(VLOOKUP(U9,Points!$A$2:$B$14,2,FALSE)," ")))</f>
        <v xml:space="preserve"> </v>
      </c>
      <c r="X9" s="92">
        <v>13.97</v>
      </c>
      <c r="Y9" s="93">
        <f t="shared" si="10"/>
        <v>7</v>
      </c>
      <c r="Z9" s="93" t="str">
        <f t="shared" si="11"/>
        <v xml:space="preserve"> </v>
      </c>
      <c r="AA9" s="94" t="str">
        <f>IF(Table6220273233341728[[#This Row],[Non-Member]]="X"," ",IF(Z9=" "," ",IFERROR(VLOOKUP(Y9,Points!$A$2:$B$14,2,FALSE)," ")))</f>
        <v xml:space="preserve"> </v>
      </c>
      <c r="AB9" s="92">
        <v>7.37</v>
      </c>
      <c r="AC9" s="93">
        <f t="shared" si="12"/>
        <v>3</v>
      </c>
      <c r="AD9" s="93">
        <f t="shared" si="13"/>
        <v>3</v>
      </c>
      <c r="AE9" s="94">
        <f>IF(Table6220273233341728[[#This Row],[Non-Member]]="X"," ",IF(AD9=" "," ",IFERROR(VLOOKUP(AC9,Points!$A$2:$B$14,2,FALSE)," ")))</f>
        <v>12</v>
      </c>
      <c r="AF9" s="92">
        <f t="shared" si="14"/>
        <v>21.34</v>
      </c>
      <c r="AG9" s="93">
        <f t="shared" si="15"/>
        <v>7</v>
      </c>
      <c r="AH9" s="93" t="str">
        <f t="shared" si="16"/>
        <v xml:space="preserve"> </v>
      </c>
      <c r="AI9" s="94" t="str">
        <f>IF(Table6220273233341728[[#This Row],[Non-Member]]="X"," ",IF(AH9=" "," ",IFERROR(VLOOKUP(AG9,Points!$A$2:$B$14,2,FALSE)," ")))</f>
        <v xml:space="preserve"> </v>
      </c>
      <c r="AJ9" s="93">
        <f>IF(Table6220273233341728[[#This Row],[Non-Member]]="X"," ",((IF(G9=" ",0,G9))+(IF(K9=" ",0,K9))+(IF(O9=" ",0,O9))+(IF(S9=" ",0,S9))+(IF(W9=" ",0,W9))+(IF(AA9=" ",0,AA9))+(IF(AE9=" ",0,AE9))+(IF(AI9=" ",0,AI9))))</f>
        <v>45</v>
      </c>
      <c r="AK9" s="95">
        <f t="shared" si="17"/>
        <v>45</v>
      </c>
      <c r="AL9" s="96">
        <f t="shared" si="18"/>
        <v>5</v>
      </c>
    </row>
    <row r="10" spans="2:38" x14ac:dyDescent="0.25">
      <c r="B10" s="90" t="s">
        <v>151</v>
      </c>
      <c r="C10" s="91"/>
      <c r="D10" s="92">
        <v>9.2899999999999991</v>
      </c>
      <c r="E10" s="93">
        <f t="shared" si="0"/>
        <v>2</v>
      </c>
      <c r="F10" s="93">
        <f t="shared" si="1"/>
        <v>2</v>
      </c>
      <c r="G10" s="94">
        <f>IF(Table6220273233341728[[#This Row],[Non-Member]]="X"," ",IF(F10=" "," ",IFERROR(VLOOKUP(E10,Points!$A$2:$B$14,2,FALSE)," ")))</f>
        <v>15</v>
      </c>
      <c r="H10" s="92">
        <v>12.45</v>
      </c>
      <c r="I10" s="93">
        <f t="shared" si="2"/>
        <v>6</v>
      </c>
      <c r="J10" s="93">
        <f t="shared" si="3"/>
        <v>6</v>
      </c>
      <c r="K10" s="94">
        <f>IF(Table6220273233341728[[#This Row],[Non-Member]]="X"," ",IF(J10=" "," ",IFERROR(VLOOKUP(I10,Points!$A$2:$B$14,2,FALSE)," ")))</f>
        <v>3</v>
      </c>
      <c r="L10" s="92">
        <v>11.76</v>
      </c>
      <c r="M10" s="93">
        <f t="shared" si="4"/>
        <v>6</v>
      </c>
      <c r="N10" s="93">
        <f t="shared" si="5"/>
        <v>6</v>
      </c>
      <c r="O10" s="94">
        <f>IF(Table6220273233341728[[#This Row],[Non-Member]]="X"," ",IF(N10=" "," ",IFERROR(VLOOKUP(M10,Points!$A$2:$B$14,2,FALSE)," ")))</f>
        <v>3</v>
      </c>
      <c r="P10" s="92">
        <v>25.82</v>
      </c>
      <c r="Q10" s="93">
        <f t="shared" si="6"/>
        <v>9</v>
      </c>
      <c r="R10" s="93" t="str">
        <f t="shared" si="7"/>
        <v xml:space="preserve"> </v>
      </c>
      <c r="S10" s="94" t="str">
        <f>IF(Table6220273233341728[[#This Row],[Non-Member]]="X"," ",IF(R10=" "," ",IFERROR(VLOOKUP(Q10,Points!$A$2:$B$14,2,FALSE)," ")))</f>
        <v xml:space="preserve"> </v>
      </c>
      <c r="T10" s="92">
        <v>10.75</v>
      </c>
      <c r="U10" s="93">
        <f t="shared" si="8"/>
        <v>6</v>
      </c>
      <c r="V10" s="93">
        <f t="shared" si="9"/>
        <v>6</v>
      </c>
      <c r="W10" s="94">
        <f>IF(Table6220273233341728[[#This Row],[Non-Member]]="X"," ",IF(V10=" "," ",IFERROR(VLOOKUP(U10,Points!$A$2:$B$14,2,FALSE)," ")))</f>
        <v>3</v>
      </c>
      <c r="X10" s="92">
        <v>10.19</v>
      </c>
      <c r="Y10" s="93">
        <f t="shared" si="10"/>
        <v>6</v>
      </c>
      <c r="Z10" s="93">
        <f t="shared" si="11"/>
        <v>6</v>
      </c>
      <c r="AA10" s="94">
        <f>IF(Table6220273233341728[[#This Row],[Non-Member]]="X"," ",IF(Z10=" "," ",IFERROR(VLOOKUP(Y10,Points!$A$2:$B$14,2,FALSE)," ")))</f>
        <v>3</v>
      </c>
      <c r="AB10" s="92">
        <v>8.56</v>
      </c>
      <c r="AC10" s="93">
        <f t="shared" si="12"/>
        <v>7</v>
      </c>
      <c r="AD10" s="93" t="str">
        <f t="shared" si="13"/>
        <v xml:space="preserve"> </v>
      </c>
      <c r="AE10" s="94" t="str">
        <f>IF(Table6220273233341728[[#This Row],[Non-Member]]="X"," ",IF(AD10=" "," ",IFERROR(VLOOKUP(AC10,Points!$A$2:$B$14,2,FALSE)," ")))</f>
        <v xml:space="preserve"> </v>
      </c>
      <c r="AF10" s="92">
        <f t="shared" si="14"/>
        <v>18.75</v>
      </c>
      <c r="AG10" s="93">
        <f t="shared" si="15"/>
        <v>6</v>
      </c>
      <c r="AH10" s="93">
        <f t="shared" si="16"/>
        <v>6</v>
      </c>
      <c r="AI10" s="94">
        <f>IF(Table6220273233341728[[#This Row],[Non-Member]]="X"," ",IF(AH10=" "," ",IFERROR(VLOOKUP(AG10,Points!$A$2:$B$14,2,FALSE)," ")))</f>
        <v>3</v>
      </c>
      <c r="AJ10" s="93">
        <f>IF(Table6220273233341728[[#This Row],[Non-Member]]="X"," ",((IF(G10=" ",0,G10))+(IF(K10=" ",0,K10))+(IF(O10=" ",0,O10))+(IF(S10=" ",0,S10))+(IF(W10=" ",0,W10))+(IF(AA10=" ",0,AA10))+(IF(AE10=" ",0,AE10))+(IF(AI10=" ",0,AI10))))</f>
        <v>30</v>
      </c>
      <c r="AK10" s="95">
        <f t="shared" si="17"/>
        <v>30</v>
      </c>
      <c r="AL10" s="96">
        <f t="shared" si="18"/>
        <v>6</v>
      </c>
    </row>
    <row r="11" spans="2:38" x14ac:dyDescent="0.25">
      <c r="B11" s="90" t="s">
        <v>137</v>
      </c>
      <c r="C11" s="91"/>
      <c r="D11" s="92">
        <v>16.55</v>
      </c>
      <c r="E11" s="93">
        <f t="shared" si="0"/>
        <v>8</v>
      </c>
      <c r="F11" s="93" t="str">
        <f t="shared" si="1"/>
        <v xml:space="preserve"> </v>
      </c>
      <c r="G11" s="94" t="str">
        <f>IF(Table6220273233341728[[#This Row],[Non-Member]]="X"," ",IF(F11=" "," ",IFERROR(VLOOKUP(E11,Points!$A$2:$B$14,2,FALSE)," ")))</f>
        <v xml:space="preserve"> </v>
      </c>
      <c r="H11" s="92">
        <v>12.9</v>
      </c>
      <c r="I11" s="93">
        <f t="shared" si="2"/>
        <v>7</v>
      </c>
      <c r="J11" s="93" t="str">
        <f t="shared" si="3"/>
        <v xml:space="preserve"> </v>
      </c>
      <c r="K11" s="94" t="str">
        <f>IF(Table6220273233341728[[#This Row],[Non-Member]]="X"," ",IF(J11=" "," ",IFERROR(VLOOKUP(I11,Points!$A$2:$B$14,2,FALSE)," ")))</f>
        <v xml:space="preserve"> </v>
      </c>
      <c r="L11" s="92">
        <v>36.17</v>
      </c>
      <c r="M11" s="93">
        <f t="shared" si="4"/>
        <v>9</v>
      </c>
      <c r="N11" s="93" t="str">
        <f t="shared" si="5"/>
        <v xml:space="preserve"> </v>
      </c>
      <c r="O11" s="94" t="str">
        <f>IF(Table6220273233341728[[#This Row],[Non-Member]]="X"," ",IF(N11=" "," ",IFERROR(VLOOKUP(M11,Points!$A$2:$B$14,2,FALSE)," ")))</f>
        <v xml:space="preserve"> </v>
      </c>
      <c r="P11" s="92">
        <v>19.37</v>
      </c>
      <c r="Q11" s="93">
        <f t="shared" si="6"/>
        <v>8</v>
      </c>
      <c r="R11" s="93" t="str">
        <f t="shared" si="7"/>
        <v xml:space="preserve"> </v>
      </c>
      <c r="S11" s="94" t="str">
        <f>IF(Table6220273233341728[[#This Row],[Non-Member]]="X"," ",IF(R11=" "," ",IFERROR(VLOOKUP(Q11,Points!$A$2:$B$14,2,FALSE)," ")))</f>
        <v xml:space="preserve"> </v>
      </c>
      <c r="T11" s="92">
        <v>11.69</v>
      </c>
      <c r="U11" s="93">
        <f t="shared" si="8"/>
        <v>7</v>
      </c>
      <c r="V11" s="93" t="str">
        <f t="shared" si="9"/>
        <v xml:space="preserve"> </v>
      </c>
      <c r="W11" s="94" t="str">
        <f>IF(Table6220273233341728[[#This Row],[Non-Member]]="X"," ",IF(V11=" "," ",IFERROR(VLOOKUP(U11,Points!$A$2:$B$14,2,FALSE)," ")))</f>
        <v xml:space="preserve"> </v>
      </c>
      <c r="X11" s="92">
        <v>8.91</v>
      </c>
      <c r="Y11" s="93">
        <f t="shared" si="10"/>
        <v>4</v>
      </c>
      <c r="Z11" s="93">
        <f t="shared" si="11"/>
        <v>4</v>
      </c>
      <c r="AA11" s="94">
        <f>IF(Table6220273233341728[[#This Row],[Non-Member]]="X"," ",IF(Z11=" "," ",IFERROR(VLOOKUP(Y11,Points!$A$2:$B$14,2,FALSE)," ")))</f>
        <v>9</v>
      </c>
      <c r="AB11" s="92">
        <v>8.1199999999999992</v>
      </c>
      <c r="AC11" s="93">
        <f t="shared" si="12"/>
        <v>4</v>
      </c>
      <c r="AD11" s="93">
        <f t="shared" si="13"/>
        <v>4</v>
      </c>
      <c r="AE11" s="94">
        <f>IF(Table6220273233341728[[#This Row],[Non-Member]]="X"," ",IF(AD11=" "," ",IFERROR(VLOOKUP(AC11,Points!$A$2:$B$14,2,FALSE)," ")))</f>
        <v>9</v>
      </c>
      <c r="AF11" s="92">
        <f t="shared" si="14"/>
        <v>17.03</v>
      </c>
      <c r="AG11" s="93">
        <f t="shared" si="15"/>
        <v>4</v>
      </c>
      <c r="AH11" s="93">
        <f t="shared" si="16"/>
        <v>4</v>
      </c>
      <c r="AI11" s="94">
        <f>IF(Table6220273233341728[[#This Row],[Non-Member]]="X"," ",IF(AH11=" "," ",IFERROR(VLOOKUP(AG11,Points!$A$2:$B$14,2,FALSE)," ")))</f>
        <v>9</v>
      </c>
      <c r="AJ11" s="93">
        <f>IF(Table6220273233341728[[#This Row],[Non-Member]]="X"," ",((IF(G11=" ",0,G11))+(IF(K11=" ",0,K11))+(IF(O11=" ",0,O11))+(IF(S11=" ",0,S11))+(IF(W11=" ",0,W11))+(IF(AA11=" ",0,AA11))+(IF(AE11=" ",0,AE11))+(IF(AI11=" ",0,AI11))))</f>
        <v>27</v>
      </c>
      <c r="AK11" s="95">
        <f t="shared" si="17"/>
        <v>27</v>
      </c>
      <c r="AL11" s="96">
        <f t="shared" si="18"/>
        <v>7</v>
      </c>
    </row>
    <row r="12" spans="2:38" x14ac:dyDescent="0.25">
      <c r="B12" s="90" t="s">
        <v>271</v>
      </c>
      <c r="C12" s="91"/>
      <c r="D12" s="92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IF(Table6220273233341728[[#This Row],[Non-Member]]="X"," ",IF(F12=" "," ",IFERROR(VLOOKUP(E12,Points!$A$2:$B$14,2,FALSE)," ")))</f>
        <v xml:space="preserve"> </v>
      </c>
      <c r="H12" s="92"/>
      <c r="I12" s="97" t="str">
        <f t="shared" si="2"/>
        <v xml:space="preserve"> </v>
      </c>
      <c r="J12" s="97" t="str">
        <f t="shared" si="3"/>
        <v xml:space="preserve"> </v>
      </c>
      <c r="K12" s="94" t="str">
        <f>IF(Table6220273233341728[[#This Row],[Non-Member]]="X"," ",IF(J12=" "," ",IFERROR(VLOOKUP(I12,Points!$A$2:$B$14,2,FALSE)," ")))</f>
        <v xml:space="preserve"> </v>
      </c>
      <c r="L12" s="92"/>
      <c r="M12" s="97" t="str">
        <f t="shared" si="4"/>
        <v xml:space="preserve"> </v>
      </c>
      <c r="N12" s="97" t="str">
        <f t="shared" si="5"/>
        <v xml:space="preserve"> </v>
      </c>
      <c r="O12" s="94" t="str">
        <f>IF(Table6220273233341728[[#This Row],[Non-Member]]="X"," ",IF(N12=" "," ",IFERROR(VLOOKUP(M12,Points!$A$2:$B$14,2,FALSE)," ")))</f>
        <v xml:space="preserve"> </v>
      </c>
      <c r="P12" s="92">
        <v>9.14</v>
      </c>
      <c r="Q12" s="97">
        <f t="shared" si="6"/>
        <v>2</v>
      </c>
      <c r="R12" s="97">
        <f t="shared" si="7"/>
        <v>2</v>
      </c>
      <c r="S12" s="94">
        <f>IF(Table6220273233341728[[#This Row],[Non-Member]]="X"," ",IF(R12=" "," ",IFERROR(VLOOKUP(Q12,Points!$A$2:$B$14,2,FALSE)," ")))</f>
        <v>15</v>
      </c>
      <c r="T12" s="92">
        <v>8.19</v>
      </c>
      <c r="U12" s="97">
        <f t="shared" si="8"/>
        <v>3</v>
      </c>
      <c r="V12" s="97">
        <f t="shared" si="9"/>
        <v>3</v>
      </c>
      <c r="W12" s="94">
        <f>IF(Table6220273233341728[[#This Row],[Non-Member]]="X"," ",IF(V12=" "," ",IFERROR(VLOOKUP(U12,Points!$A$2:$B$14,2,FALSE)," ")))</f>
        <v>12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IF(Table6220273233341728[[#This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IF(Table6220273233341728[[#This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7" t="str">
        <f t="shared" si="15"/>
        <v xml:space="preserve"> </v>
      </c>
      <c r="AH12" s="97" t="str">
        <f t="shared" si="16"/>
        <v xml:space="preserve"> </v>
      </c>
      <c r="AI12" s="94" t="str">
        <f>IF(Table6220273233341728[[#This Row],[Non-Member]]="X"," ",IF(AH12=" "," ",IFERROR(VLOOKUP(AG12,Points!$A$2:$B$14,2,FALSE)," ")))</f>
        <v xml:space="preserve"> </v>
      </c>
      <c r="AJ12" s="97">
        <f>IF(Table6220273233341728[[#This Row],[Non-Member]]="X"," ",((IF(G12=" ",0,G12))+(IF(K12=" ",0,K12))+(IF(O12=" ",0,O12))+(IF(S12=" ",0,S12))+(IF(W12=" ",0,W12))+(IF(AA12=" ",0,AA12))+(IF(AE12=" ",0,AE12))+(IF(AI12=" ",0,AI12))))</f>
        <v>27</v>
      </c>
      <c r="AK12" s="95">
        <f t="shared" si="17"/>
        <v>27</v>
      </c>
      <c r="AL12" s="98">
        <f t="shared" si="18"/>
        <v>7</v>
      </c>
    </row>
    <row r="13" spans="2:38" x14ac:dyDescent="0.25">
      <c r="B13" s="90" t="s">
        <v>154</v>
      </c>
      <c r="C13" s="91"/>
      <c r="D13" s="92">
        <v>10.42</v>
      </c>
      <c r="E13" s="93">
        <f t="shared" si="0"/>
        <v>6</v>
      </c>
      <c r="F13" s="93">
        <f t="shared" si="1"/>
        <v>6</v>
      </c>
      <c r="G13" s="94">
        <f>IF(Table6220273233341728[[#This Row],[Non-Member]]="X"," ",IF(F13=" "," ",IFERROR(VLOOKUP(E13,Points!$A$2:$B$14,2,FALSE)," ")))</f>
        <v>3</v>
      </c>
      <c r="H13" s="92">
        <v>17.309999999999999</v>
      </c>
      <c r="I13" s="93">
        <f t="shared" si="2"/>
        <v>9</v>
      </c>
      <c r="J13" s="93" t="str">
        <f t="shared" si="3"/>
        <v xml:space="preserve"> </v>
      </c>
      <c r="K13" s="94" t="str">
        <f>IF(Table6220273233341728[[#This Row],[Non-Member]]="X"," ",IF(J13=" "," ",IFERROR(VLOOKUP(I13,Points!$A$2:$B$14,2,FALSE)," ")))</f>
        <v xml:space="preserve"> </v>
      </c>
      <c r="L13" s="92">
        <v>23.45</v>
      </c>
      <c r="M13" s="93">
        <f t="shared" si="4"/>
        <v>8</v>
      </c>
      <c r="N13" s="93" t="str">
        <f t="shared" si="5"/>
        <v xml:space="preserve"> </v>
      </c>
      <c r="O13" s="94" t="str">
        <f>IF(Table6220273233341728[[#This Row],[Non-Member]]="X"," ",IF(N13=" "," ",IFERROR(VLOOKUP(M13,Points!$A$2:$B$14,2,FALSE)," ")))</f>
        <v xml:space="preserve"> </v>
      </c>
      <c r="P13" s="92">
        <v>11.94</v>
      </c>
      <c r="Q13" s="93">
        <f t="shared" si="6"/>
        <v>4</v>
      </c>
      <c r="R13" s="93">
        <f t="shared" si="7"/>
        <v>4</v>
      </c>
      <c r="S13" s="94">
        <f>IF(Table6220273233341728[[#This Row],[Non-Member]]="X"," ",IF(R13=" "," ",IFERROR(VLOOKUP(Q13,Points!$A$2:$B$14,2,FALSE)," ")))</f>
        <v>9</v>
      </c>
      <c r="T13" s="92">
        <v>12.62</v>
      </c>
      <c r="U13" s="93">
        <f t="shared" si="8"/>
        <v>8</v>
      </c>
      <c r="V13" s="93" t="str">
        <f t="shared" si="9"/>
        <v xml:space="preserve"> </v>
      </c>
      <c r="W13" s="94" t="str">
        <f>IF(Table6220273233341728[[#This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IF(Table6220273233341728[[#This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IF(Table6220273233341728[[#This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IF(Table6220273233341728[[#This Row],[Non-Member]]="X"," ",IF(AH13=" "," ",IFERROR(VLOOKUP(AG13,Points!$A$2:$B$14,2,FALSE)," ")))</f>
        <v xml:space="preserve"> </v>
      </c>
      <c r="AJ13" s="93">
        <f>IF(Table6220273233341728[[#This Row],[Non-Member]]="X"," ",((IF(G13=" ",0,G13))+(IF(K13=" ",0,K13))+(IF(O13=" ",0,O13))+(IF(S13=" ",0,S13))+(IF(W13=" ",0,W13))+(IF(AA13=" ",0,AA13))+(IF(AE13=" ",0,AE13))+(IF(AI13=" ",0,AI13))))</f>
        <v>12</v>
      </c>
      <c r="AK13" s="95">
        <f t="shared" si="17"/>
        <v>12</v>
      </c>
      <c r="AL13" s="96">
        <f t="shared" si="18"/>
        <v>9</v>
      </c>
    </row>
    <row r="14" spans="2:38" x14ac:dyDescent="0.25">
      <c r="B14" s="90" t="s">
        <v>270</v>
      </c>
      <c r="C14" s="91" t="s">
        <v>95</v>
      </c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IF(Table6220273233341728[[#This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IF(Table6220273233341728[[#This Row],[Non-Member]]="X"," ",IF(J14=" "," ",IFERROR(VLOOKUP(I14,Points!$A$2:$B$14,2,FALSE)," ")))</f>
        <v xml:space="preserve"> </v>
      </c>
      <c r="L14" s="92">
        <v>8.11</v>
      </c>
      <c r="M14" s="93">
        <f t="shared" si="4"/>
        <v>2</v>
      </c>
      <c r="N14" s="93">
        <f t="shared" si="5"/>
        <v>2</v>
      </c>
      <c r="O14" s="94" t="str">
        <f>IF(Table6220273233341728[[#This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IF(Table6220273233341728[[#This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IF(Table6220273233341728[[#This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IF(Table6220273233341728[[#This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IF(Table6220273233341728[[#This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IF(Table6220273233341728[[#This Row],[Non-Member]]="X"," ",IF(AH14=" "," ",IFERROR(VLOOKUP(AG14,Points!$A$2:$B$14,2,FALSE)," ")))</f>
        <v xml:space="preserve"> </v>
      </c>
      <c r="AJ14" s="93" t="str">
        <f>IF(Table6220273233341728[[#This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25">
      <c r="B15" s="90" t="s">
        <v>138</v>
      </c>
      <c r="C15" s="91"/>
      <c r="D15" s="92">
        <v>16.260000000000002</v>
      </c>
      <c r="E15" s="93">
        <f t="shared" si="0"/>
        <v>7</v>
      </c>
      <c r="F15" s="93" t="str">
        <f t="shared" si="1"/>
        <v xml:space="preserve"> </v>
      </c>
      <c r="G15" s="94" t="str">
        <f>IF(Table6220273233341728[[#This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IF(Table6220273233341728[[#This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IF(Table6220273233341728[[#This Row],[Non-Member]]="X"," ",IF(N15=" "," ",IFERROR(VLOOKUP(M15,Points!$A$2:$B$14,2,FALSE)," ")))</f>
        <v xml:space="preserve"> 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IF(Table6220273233341728[[#This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IF(Table6220273233341728[[#This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IF(Table6220273233341728[[#This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IF(Table6220273233341728[[#This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IF(Table6220273233341728[[#This Row],[Non-Member]]="X"," ",IF(AH15=" "," ",IFERROR(VLOOKUP(AG15,Points!$A$2:$B$14,2,FALSE)," ")))</f>
        <v xml:space="preserve"> </v>
      </c>
      <c r="AJ15" s="93">
        <f>IF(Table6220273233341728[[#This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 t="s">
        <v>153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IF(Table6220273233341728[[#This Row],[Non-Member]]="X"," ",IF(F16=" "," ",IFERROR(VLOOKUP(E16,Points!$A$2:$B$14,2,FALSE)," ")))</f>
        <v xml:space="preserve"> </v>
      </c>
      <c r="H16" s="92">
        <v>13.84</v>
      </c>
      <c r="I16" s="93">
        <f t="shared" si="2"/>
        <v>8</v>
      </c>
      <c r="J16" s="93" t="str">
        <f t="shared" si="3"/>
        <v xml:space="preserve"> </v>
      </c>
      <c r="K16" s="94" t="str">
        <f>IF(Table6220273233341728[[#This Row],[Non-Member]]="X"," ",IF(J16=" "," ",IFERROR(VLOOKUP(I16,Points!$A$2:$B$14,2,FALSE)," ")))</f>
        <v xml:space="preserve"> </v>
      </c>
      <c r="L16" s="92">
        <v>43.02</v>
      </c>
      <c r="M16" s="93">
        <f t="shared" si="4"/>
        <v>10</v>
      </c>
      <c r="N16" s="93" t="str">
        <f t="shared" si="5"/>
        <v xml:space="preserve"> </v>
      </c>
      <c r="O16" s="94" t="str">
        <f>IF(Table6220273233341728[[#This Row],[Non-Member]]="X"," ",IF(N16=" "," ",IFERROR(VLOOKUP(M16,Points!$A$2:$B$14,2,FALSE)," ")))</f>
        <v xml:space="preserve"> </v>
      </c>
      <c r="P16" s="138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IF(Table6220273233341728[[#This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IF(Table6220273233341728[[#This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IF(Table6220273233341728[[#This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IF(Table6220273233341728[[#This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IF(Table6220273233341728[[#This Row],[Non-Member]]="X"," ",IF(AH16=" "," ",IFERROR(VLOOKUP(AG16,Points!$A$2:$B$14,2,FALSE)," ")))</f>
        <v xml:space="preserve"> </v>
      </c>
      <c r="AJ16" s="93">
        <f>IF(Table6220273233341728[[#This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25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IF(Table6220273233341728[[#This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IF(Table6220273233341728[[#This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IF(Table6220273233341728[[#This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IF(Table6220273233341728[[#This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IF(Table6220273233341728[[#This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IF(Table6220273233341728[[#This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IF(Table6220273233341728[[#This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IF(Table6220273233341728[[#This Row],[Non-Member]]="X"," ",IF(AH17=" "," ",IFERROR(VLOOKUP(AG17,Points!$A$2:$B$14,2,FALSE)," ")))</f>
        <v xml:space="preserve"> </v>
      </c>
      <c r="AJ17" s="97">
        <f>IF(Table6220273233341728[[#This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IF(Table6220273233341728[[#This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IF(Table6220273233341728[[#This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IF(Table6220273233341728[[#This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IF(Table6220273233341728[[#This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IF(Table6220273233341728[[#This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IF(Table6220273233341728[[#This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IF(Table6220273233341728[[#This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IF(Table6220273233341728[[#This Row],[Non-Member]]="X"," ",IF(AH18=" "," ",IFERROR(VLOOKUP(AG18,Points!$A$2:$B$14,2,FALSE)," ")))</f>
        <v xml:space="preserve"> </v>
      </c>
      <c r="AJ18" s="97">
        <f>IF(Table6220273233341728[[#This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IF(Table6220273233341728[[#This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IF(Table6220273233341728[[#This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IF(Table6220273233341728[[#This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IF(Table6220273233341728[[#This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IF(Table6220273233341728[[#This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IF(Table6220273233341728[[#This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IF(Table6220273233341728[[#This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IF(Table6220273233341728[[#This Row],[Non-Member]]="X"," ",IF(AH19=" "," ",IFERROR(VLOOKUP(AG19,Points!$A$2:$B$14,2,FALSE)," ")))</f>
        <v xml:space="preserve"> </v>
      </c>
      <c r="AJ19" s="93">
        <f>IF(Table6220273233341728[[#This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IF(Table6220273233341728[[#This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IF(Table6220273233341728[[#This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IF(Table6220273233341728[[#This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IF(Table6220273233341728[[#This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IF(Table6220273233341728[[#This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IF(Table6220273233341728[[#This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IF(Table6220273233341728[[#This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IF(Table6220273233341728[[#This Row],[Non-Member]]="X"," ",IF(AH20=" "," ",IFERROR(VLOOKUP(AG20,Points!$A$2:$B$14,2,FALSE)," ")))</f>
        <v xml:space="preserve"> </v>
      </c>
      <c r="AJ20" s="93">
        <f>IF(Table6220273233341728[[#This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IF(Table6220273233341728[[#This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IF(Table6220273233341728[[#This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IF(Table6220273233341728[[#This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IF(Table6220273233341728[[#This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IF(Table6220273233341728[[#This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IF(Table6220273233341728[[#This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IF(Table6220273233341728[[#This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IF(Table6220273233341728[[#This Row],[Non-Member]]="X"," ",IF(AH21=" "," ",IFERROR(VLOOKUP(AG21,Points!$A$2:$B$14,2,FALSE)," ")))</f>
        <v xml:space="preserve"> </v>
      </c>
      <c r="AJ21" s="93">
        <f>IF(Table6220273233341728[[#This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IF(Table6220273233341728[[#This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IF(Table6220273233341728[[#This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IF(Table6220273233341728[[#This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IF(Table6220273233341728[[#This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IF(Table6220273233341728[[#This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IF(Table6220273233341728[[#This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IF(Table6220273233341728[[#This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IF(Table6220273233341728[[#This Row],[Non-Member]]="X"," ",IF(AH22=" "," ",IFERROR(VLOOKUP(AG22,Points!$A$2:$B$14,2,FALSE)," ")))</f>
        <v xml:space="preserve"> </v>
      </c>
      <c r="AJ22" s="93">
        <f>IF(Table6220273233341728[[#This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IF(Table6220273233341728[[#This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IF(Table6220273233341728[[#This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IF(Table6220273233341728[[#This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IF(Table6220273233341728[[#This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IF(Table6220273233341728[[#This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IF(Table6220273233341728[[#This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IF(Table6220273233341728[[#This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IF(Table6220273233341728[[#This Row],[Non-Member]]="X"," ",IF(AH23=" "," ",IFERROR(VLOOKUP(AG23,Points!$A$2:$B$14,2,FALSE)," ")))</f>
        <v xml:space="preserve"> </v>
      </c>
      <c r="AJ23" s="93">
        <f>IF(Table6220273233341728[[#This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IF(Table6220273233341728[[#This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IF(Table6220273233341728[[#This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IF(Table6220273233341728[[#This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IF(Table6220273233341728[[#This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IF(Table6220273233341728[[#This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IF(Table6220273233341728[[#This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IF(Table6220273233341728[[#This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IF(Table6220273233341728[[#This Row],[Non-Member]]="X"," ",IF(AH24=" "," ",IFERROR(VLOOKUP(AG24,Points!$A$2:$B$14,2,FALSE)," ")))</f>
        <v xml:space="preserve"> </v>
      </c>
      <c r="AJ24" s="93">
        <f>IF(Table6220273233341728[[#This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It5E2dglz/9X3JAW53OP1URhLBESlJ1d96dr73wOOSYuS00MHqVvt0LL13Jegv2RtSo9bmni2ZYbVomXT0qglQ==" saltValue="wxiRNbSFvlIc8wn9LvXXH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52D4-0685-4571-B46E-EFAD82148EAA}">
  <sheetPr codeName="Sheet70">
    <tabColor theme="8" tint="0.39997558519241921"/>
  </sheetPr>
  <dimension ref="B1:AL29"/>
  <sheetViews>
    <sheetView showGridLines="0" zoomScaleNormal="100" workbookViewId="0">
      <pane xSplit="2" topLeftCell="C1" activePane="topRight" state="frozen"/>
      <selection activeCell="N34" sqref="N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111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149</v>
      </c>
      <c r="C5" s="84"/>
      <c r="D5" s="85">
        <v>0</v>
      </c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IF(Table622027323334171829[[#This Row],[Non-Member]]="X"," ",IF(F5=" "," ",IFERROR(VLOOKUP(E5,Points!$A$2:$B$14,2,FALSE)," ")))</f>
        <v xml:space="preserve"> </v>
      </c>
      <c r="H5" s="85">
        <v>12.69</v>
      </c>
      <c r="I5" s="86">
        <f t="shared" ref="I5:I24" si="2">IF(H5=0," ",_xlfn.RANK.AVG(H5,H$5:H$24,1)-COUNTIF(H$5:H$24,0))</f>
        <v>6</v>
      </c>
      <c r="J5" s="86">
        <f t="shared" ref="J5:J24" si="3">IF(H5=0," ",IF((RANK(H5,H$5:H$24,1)-COUNTIF(H$5:H$24,0)&gt;6)," ",RANK(H5,H$5:H$24,1)-COUNTIF(H$5:H$24,0)))</f>
        <v>6</v>
      </c>
      <c r="K5" s="87">
        <f>IF(Table622027323334171829[[#This Row],[Non-Member]]="X"," ",IF(J5=" "," ",IFERROR(VLOOKUP(I5,Points!$A$2:$B$14,2,FALSE)," ")))</f>
        <v>3</v>
      </c>
      <c r="L5" s="85">
        <v>2.78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IF(Table622027323334171829[[#This Row],[Non-Member]]="X"," ",IF(N5=" "," ",IFERROR(VLOOKUP(M5,Points!$A$2:$B$14,2,FALSE)," ")))</f>
        <v>18</v>
      </c>
      <c r="P5" s="85">
        <v>2.2799999999999998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IF(Table622027323334171829[[#This Row],[Non-Member]]="X"," ",IF(R5=" "," ",IFERROR(VLOOKUP(Q5,Points!$A$2:$B$14,2,FALSE)," ")))</f>
        <v>18</v>
      </c>
      <c r="T5" s="85">
        <v>0</v>
      </c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IF(Table622027323334171829[[#This Row],[Non-Member]]="X"," ",IF(V5=" "," ",IFERROR(VLOOKUP(U5,Points!$A$2:$B$14,2,FALSE)," ")))</f>
        <v xml:space="preserve"> </v>
      </c>
      <c r="X5" s="85">
        <v>2.4300000000000002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IF(Table622027323334171829[[#This Row],[Non-Member]]="X"," ",IF(Z5=" "," ",IFERROR(VLOOKUP(Y5,Points!$A$2:$B$14,2,FALSE)," ")))</f>
        <v>18</v>
      </c>
      <c r="AB5" s="85">
        <v>2.9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IF(Table622027323334171829[[#This Row],[Non-Member]]="X"," ",IF(AD5=" "," ",IFERROR(VLOOKUP(AC5,Points!$A$2:$B$14,2,FALSE)," ")))</f>
        <v>18</v>
      </c>
      <c r="AF5" s="85">
        <f>IF(OR(X5=0,AB5=0)," ",X5+AB5)</f>
        <v>5.33</v>
      </c>
      <c r="AG5" s="86">
        <f>IF(OR(AF5=0,AF5=" ")," ",_xlfn.RANK.AVG(AF5,AF$5:AF$24,1)-COUNTIF(AF$5:AF$24,0))</f>
        <v>1</v>
      </c>
      <c r="AH5" s="86">
        <f>IF(OR(AF5=0,AF5=" ")," ",IF((RANK(AF5,AF$5:AF$24,1)-COUNTIF(AF$5:AF$24,0)&gt;6)," ",RANK(AF5,AF$5:AF$24,1)-COUNTIF(AF$5:AF$24,0)))</f>
        <v>1</v>
      </c>
      <c r="AI5" s="87">
        <f>IF(Table622027323334171829[[#This Row],[Non-Member]]="X"," ",IF(AH5=" "," ",IFERROR(VLOOKUP(AG5,Points!$A$2:$B$14,2,FALSE)," ")))</f>
        <v>18</v>
      </c>
      <c r="AJ5" s="86">
        <f>IF(Table622027323334171829[[#This Row],[Non-Member]]="X"," ",((IF(G5=" ",0,G5))+(IF(K5=" ",0,K5))+(IF(O5=" ",0,O5))+(IF(S5=" ",0,S5))+(IF(W5=" ",0,W5))+(IF(AA5=" ",0,AA5))+(IF(AE5=" ",0,AE5))+(IF(AI5=" ",0,AI5))))</f>
        <v>93</v>
      </c>
      <c r="AK5" s="88">
        <f t="shared" ref="AK5:AK24" si="14">IF(AJ5=0," ",AJ5)</f>
        <v>93</v>
      </c>
      <c r="AL5" s="89">
        <f t="shared" ref="AL5:AL24" si="15">IF(AK5=" "," ",RANK(AK5,$AK$5:$AK$24))</f>
        <v>1</v>
      </c>
    </row>
    <row r="6" spans="2:38" x14ac:dyDescent="0.25">
      <c r="B6" s="90" t="s">
        <v>135</v>
      </c>
      <c r="C6" s="91"/>
      <c r="D6" s="92">
        <v>2.9</v>
      </c>
      <c r="E6" s="93">
        <f t="shared" si="0"/>
        <v>1</v>
      </c>
      <c r="F6" s="93">
        <f t="shared" si="1"/>
        <v>1</v>
      </c>
      <c r="G6" s="94">
        <f>IF(Table622027323334171829[[#This Row],[Non-Member]]="X"," ",IF(F6=" "," ",IFERROR(VLOOKUP(E6,Points!$A$2:$B$14,2,FALSE)," ")))</f>
        <v>18</v>
      </c>
      <c r="H6" s="92">
        <v>2.61</v>
      </c>
      <c r="I6" s="93">
        <f t="shared" si="2"/>
        <v>1</v>
      </c>
      <c r="J6" s="93">
        <f t="shared" si="3"/>
        <v>1</v>
      </c>
      <c r="K6" s="94">
        <f>IF(Table622027323334171829[[#This Row],[Non-Member]]="X"," ",IF(J6=" "," ",IFERROR(VLOOKUP(I6,Points!$A$2:$B$14,2,FALSE)," ")))</f>
        <v>18</v>
      </c>
      <c r="L6" s="92">
        <v>12.78</v>
      </c>
      <c r="M6" s="93">
        <f t="shared" si="4"/>
        <v>3</v>
      </c>
      <c r="N6" s="93">
        <f t="shared" si="5"/>
        <v>3</v>
      </c>
      <c r="O6" s="94">
        <f>IF(Table622027323334171829[[#This Row],[Non-Member]]="X"," ",IF(N6=" "," ",IFERROR(VLOOKUP(M6,Points!$A$2:$B$14,2,FALSE)," ")))</f>
        <v>12</v>
      </c>
      <c r="P6" s="92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IF(Table622027323334171829[[#This Row],[Non-Member]]="X"," ",IF(R6=" "," ",IFERROR(VLOOKUP(Q6,Points!$A$2:$B$14,2,FALSE)," ")))</f>
        <v xml:space="preserve"> </v>
      </c>
      <c r="T6" s="92">
        <v>4.2699999999999996</v>
      </c>
      <c r="U6" s="93">
        <f t="shared" si="8"/>
        <v>3</v>
      </c>
      <c r="V6" s="93">
        <f t="shared" si="9"/>
        <v>3</v>
      </c>
      <c r="W6" s="94">
        <f>IF(Table622027323334171829[[#This Row],[Non-Member]]="X"," ",IF(V6=" "," ",IFERROR(VLOOKUP(U6,Points!$A$2:$B$14,2,FALSE)," ")))</f>
        <v>12</v>
      </c>
      <c r="X6" s="92">
        <v>8.15</v>
      </c>
      <c r="Y6" s="93">
        <f t="shared" si="10"/>
        <v>4</v>
      </c>
      <c r="Z6" s="93">
        <f t="shared" si="11"/>
        <v>4</v>
      </c>
      <c r="AA6" s="94">
        <f>IF(Table622027323334171829[[#This Row],[Non-Member]]="X"," ",IF(Z6=" "," ",IFERROR(VLOOKUP(Y6,Points!$A$2:$B$14,2,FALSE)," ")))</f>
        <v>9</v>
      </c>
      <c r="AB6" s="92">
        <v>5.09</v>
      </c>
      <c r="AC6" s="93">
        <f t="shared" si="12"/>
        <v>4</v>
      </c>
      <c r="AD6" s="93">
        <f t="shared" si="13"/>
        <v>4</v>
      </c>
      <c r="AE6" s="94">
        <f>IF(Table622027323334171829[[#This Row],[Non-Member]]="X"," ",IF(AD6=" "," ",IFERROR(VLOOKUP(AC6,Points!$A$2:$B$14,2,FALSE)," ")))</f>
        <v>9</v>
      </c>
      <c r="AF6" s="92">
        <f>IF(OR(X6=0,AB6=0)," ",X6+AB6)</f>
        <v>13.24</v>
      </c>
      <c r="AG6" s="93">
        <f>IF(OR(AF6=0,AF6=" ")," ",_xlfn.RANK.AVG(AF6,AF$5:AF$24,1)-COUNTIF(AF$5:AF$24,0))</f>
        <v>4</v>
      </c>
      <c r="AH6" s="93">
        <f>IF(OR(AF6=0,AF6=" ")," ",IF((RANK(AF6,AF$5:AF$24,1)-COUNTIF(AF$5:AF$24,0)&gt;6)," ",RANK(AF6,AF$5:AF$24,1)-COUNTIF(AF$5:AF$24,0)))</f>
        <v>4</v>
      </c>
      <c r="AI6" s="94">
        <f>IF(Table622027323334171829[[#This Row],[Non-Member]]="X"," ",IF(AH6=" "," ",IFERROR(VLOOKUP(AG6,Points!$A$2:$B$14,2,FALSE)," ")))</f>
        <v>9</v>
      </c>
      <c r="AJ6" s="93">
        <f>IF(Table622027323334171829[[#This Row],[Non-Member]]="X"," ",((IF(G6=" ",0,G6))+(IF(K6=" ",0,K6))+(IF(O6=" ",0,O6))+(IF(S6=" ",0,S6))+(IF(W6=" ",0,W6))+(IF(AA6=" ",0,AA6))+(IF(AE6=" ",0,AE6))+(IF(AI6=" ",0,AI6))))</f>
        <v>87</v>
      </c>
      <c r="AK6" s="95">
        <f t="shared" si="14"/>
        <v>87</v>
      </c>
      <c r="AL6" s="96">
        <f t="shared" si="15"/>
        <v>2</v>
      </c>
    </row>
    <row r="7" spans="2:38" x14ac:dyDescent="0.25">
      <c r="B7" s="90" t="s">
        <v>136</v>
      </c>
      <c r="C7" s="91"/>
      <c r="D7" s="92">
        <v>3.94</v>
      </c>
      <c r="E7" s="93">
        <f t="shared" si="0"/>
        <v>3</v>
      </c>
      <c r="F7" s="93">
        <f t="shared" si="1"/>
        <v>3</v>
      </c>
      <c r="G7" s="94">
        <f>IF(Table622027323334171829[[#This Row],[Non-Member]]="X"," ",IF(F7=" "," ",IFERROR(VLOOKUP(E7,Points!$A$2:$B$14,2,FALSE)," ")))</f>
        <v>12</v>
      </c>
      <c r="H7" s="92">
        <v>4.5</v>
      </c>
      <c r="I7" s="93">
        <f t="shared" si="2"/>
        <v>4</v>
      </c>
      <c r="J7" s="93">
        <f t="shared" si="3"/>
        <v>4</v>
      </c>
      <c r="K7" s="94">
        <f>IF(Table622027323334171829[[#This Row],[Non-Member]]="X"," ",IF(J7=" "," ",IFERROR(VLOOKUP(I7,Points!$A$2:$B$14,2,FALSE)," ")))</f>
        <v>9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IF(Table622027323334171829[[#This Row],[Non-Member]]="X"," ",IF(N7=" "," ",IFERROR(VLOOKUP(M7,Points!$A$2:$B$14,2,FALSE)," ")))</f>
        <v xml:space="preserve"> </v>
      </c>
      <c r="P7" s="92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IF(Table622027323334171829[[#This Row],[Non-Member]]="X"," ",IF(R7=" "," ",IFERROR(VLOOKUP(Q7,Points!$A$2:$B$14,2,FALSE)," ")))</f>
        <v xml:space="preserve"> </v>
      </c>
      <c r="T7" s="92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IF(Table622027323334171829[[#This Row],[Non-Member]]="X"," ",IF(V7=" "," ",IFERROR(VLOOKUP(U7,Points!$A$2:$B$14,2,FALSE)," ")))</f>
        <v xml:space="preserve"> </v>
      </c>
      <c r="X7" s="92">
        <v>4.0999999999999996</v>
      </c>
      <c r="Y7" s="93">
        <f t="shared" si="10"/>
        <v>2</v>
      </c>
      <c r="Z7" s="93">
        <f t="shared" si="11"/>
        <v>2</v>
      </c>
      <c r="AA7" s="94">
        <f>IF(Table622027323334171829[[#This Row],[Non-Member]]="X"," ",IF(Z7=" "," ",IFERROR(VLOOKUP(Y7,Points!$A$2:$B$14,2,FALSE)," ")))</f>
        <v>15</v>
      </c>
      <c r="AB7" s="92">
        <v>3.87</v>
      </c>
      <c r="AC7" s="93">
        <f t="shared" si="12"/>
        <v>2</v>
      </c>
      <c r="AD7" s="93">
        <f t="shared" si="13"/>
        <v>2</v>
      </c>
      <c r="AE7" s="94">
        <f>IF(Table622027323334171829[[#This Row],[Non-Member]]="X"," ",IF(AD7=" "," ",IFERROR(VLOOKUP(AC7,Points!$A$2:$B$14,2,FALSE)," ")))</f>
        <v>15</v>
      </c>
      <c r="AF7" s="92">
        <f>IF(OR(X7=0,AB7=0)," ",X7+AB7)</f>
        <v>7.97</v>
      </c>
      <c r="AG7" s="93">
        <f>IF(OR(AF7=0,AF7=" ")," ",_xlfn.RANK.AVG(AF7,AF$5:AF$24,1)-COUNTIF(AF$5:AF$24,0))</f>
        <v>2</v>
      </c>
      <c r="AH7" s="93">
        <f>IF(OR(AF7=0,AF7=" ")," ",IF((RANK(AF7,AF$5:AF$24,1)-COUNTIF(AF$5:AF$24,0)&gt;6)," ",RANK(AF7,AF$5:AF$24,1)-COUNTIF(AF$5:AF$24,0)))</f>
        <v>2</v>
      </c>
      <c r="AI7" s="94">
        <f>IF(Table622027323334171829[[#This Row],[Non-Member]]="X"," ",IF(AH7=" "," ",IFERROR(VLOOKUP(AG7,Points!$A$2:$B$14,2,FALSE)," ")))</f>
        <v>15</v>
      </c>
      <c r="AJ7" s="93">
        <f>IF(Table622027323334171829[[#This Row],[Non-Member]]="X"," ",((IF(G7=" ",0,G7))+(IF(K7=" ",0,K7))+(IF(O7=" ",0,O7))+(IF(S7=" ",0,S7))+(IF(W7=" ",0,W7))+(IF(AA7=" ",0,AA7))+(IF(AE7=" ",0,AE7))+(IF(AI7=" ",0,AI7))))</f>
        <v>66</v>
      </c>
      <c r="AK7" s="95">
        <f t="shared" si="14"/>
        <v>66</v>
      </c>
      <c r="AL7" s="96">
        <f t="shared" si="15"/>
        <v>3</v>
      </c>
    </row>
    <row r="8" spans="2:38" x14ac:dyDescent="0.25">
      <c r="B8" s="90" t="s">
        <v>137</v>
      </c>
      <c r="C8" s="91"/>
      <c r="D8" s="92">
        <v>4.13</v>
      </c>
      <c r="E8" s="93">
        <f t="shared" si="0"/>
        <v>4</v>
      </c>
      <c r="F8" s="93">
        <f t="shared" si="1"/>
        <v>4</v>
      </c>
      <c r="G8" s="94">
        <f>IF(Table622027323334171829[[#This Row],[Non-Member]]="X"," ",IF(F8=" "," ",IFERROR(VLOOKUP(E8,Points!$A$2:$B$14,2,FALSE)," ")))</f>
        <v>9</v>
      </c>
      <c r="H8" s="92">
        <v>4.2300000000000004</v>
      </c>
      <c r="I8" s="93">
        <f t="shared" si="2"/>
        <v>3</v>
      </c>
      <c r="J8" s="93">
        <f t="shared" si="3"/>
        <v>3</v>
      </c>
      <c r="K8" s="94">
        <f>IF(Table622027323334171829[[#This Row],[Non-Member]]="X"," ",IF(J8=" "," ",IFERROR(VLOOKUP(I8,Points!$A$2:$B$14,2,FALSE)," ")))</f>
        <v>12</v>
      </c>
      <c r="L8" s="92">
        <v>3</v>
      </c>
      <c r="M8" s="93">
        <f t="shared" si="4"/>
        <v>2</v>
      </c>
      <c r="N8" s="93">
        <f t="shared" si="5"/>
        <v>2</v>
      </c>
      <c r="O8" s="94">
        <f>IF(Table622027323334171829[[#This Row],[Non-Member]]="X"," ",IF(N8=" "," ",IFERROR(VLOOKUP(M8,Points!$A$2:$B$14,2,FALSE)," ")))</f>
        <v>15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IF(Table622027323334171829[[#This Row],[Non-Member]]="X"," ",IF(R8=" "," ",IFERROR(VLOOKUP(Q8,Points!$A$2:$B$14,2,FALSE)," ")))</f>
        <v xml:space="preserve"> </v>
      </c>
      <c r="T8" s="92">
        <v>2.72</v>
      </c>
      <c r="U8" s="93">
        <f t="shared" si="8"/>
        <v>1</v>
      </c>
      <c r="V8" s="93">
        <f t="shared" si="9"/>
        <v>1</v>
      </c>
      <c r="W8" s="94">
        <f>IF(Table622027323334171829[[#This Row],[Non-Member]]="X"," ",IF(V8=" "," ",IFERROR(VLOOKUP(U8,Points!$A$2:$B$14,2,FALSE)," ")))</f>
        <v>18</v>
      </c>
      <c r="X8" s="92">
        <v>0</v>
      </c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IF(Table622027323334171829[[#This Row],[Non-Member]]="X"," ",IF(Z8=" "," ",IFERROR(VLOOKUP(Y8,Points!$A$2:$B$14,2,FALSE)," ")))</f>
        <v xml:space="preserve"> </v>
      </c>
      <c r="AB8" s="92">
        <v>0</v>
      </c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IF(Table622027323334171829[[#This Row],[Non-Member]]="X"," ",IF(AD8=" "," ",IFERROR(VLOOKUP(AC8,Points!$A$2:$B$14,2,FALSE)," ")))</f>
        <v xml:space="preserve"> </v>
      </c>
      <c r="AF8" s="92" t="str">
        <f>IF(OR(X8=0,AB8=0)," ",X8+AB8)</f>
        <v xml:space="preserve"> </v>
      </c>
      <c r="AG8" s="93" t="str">
        <f>IF(OR(AF8=0,AF8=" ")," ",_xlfn.RANK.AVG(AF8,AF$5:AF$24,1)-COUNTIF(AF$5:AF$24,0))</f>
        <v xml:space="preserve"> </v>
      </c>
      <c r="AH8" s="93" t="str">
        <f>IF(OR(AF8=0,AF8=" ")," ",IF((RANK(AF8,AF$5:AF$24,1)-COUNTIF(AF$5:AF$24,0)&gt;6)," ",RANK(AF8,AF$5:AF$24,1)-COUNTIF(AF$5:AF$24,0)))</f>
        <v xml:space="preserve"> </v>
      </c>
      <c r="AI8" s="94" t="str">
        <f>IF(Table622027323334171829[[#This Row],[Non-Member]]="X"," ",IF(AH8=" "," ",IFERROR(VLOOKUP(AG8,Points!$A$2:$B$14,2,FALSE)," ")))</f>
        <v xml:space="preserve"> </v>
      </c>
      <c r="AJ8" s="93">
        <f>IF(Table622027323334171829[[#This Row],[Non-Member]]="X"," ",((IF(G8=" ",0,G8))+(IF(K8=" ",0,K8))+(IF(O8=" ",0,O8))+(IF(S8=" ",0,S8))+(IF(W8=" ",0,W8))+(IF(AA8=" ",0,AA8))+(IF(AE8=" ",0,AE8))+(IF(AI8=" ",0,AI8))))</f>
        <v>54</v>
      </c>
      <c r="AK8" s="95">
        <f t="shared" si="14"/>
        <v>54</v>
      </c>
      <c r="AL8" s="96">
        <f t="shared" si="15"/>
        <v>4</v>
      </c>
    </row>
    <row r="9" spans="2:38" x14ac:dyDescent="0.25">
      <c r="B9" s="90" t="s">
        <v>152</v>
      </c>
      <c r="C9" s="91"/>
      <c r="D9" s="92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IF(Table622027323334171829[[#This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IF(Table622027323334171829[[#This Row],[Non-Member]]="X"," ",IF(J9=" "," ",IFERROR(VLOOKUP(I9,Points!$A$2:$B$14,2,FALSE)," ")))</f>
        <v xml:space="preserve"> 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IF(Table622027323334171829[[#This Row],[Non-Member]]="X"," ",IF(N9=" "," ",IFERROR(VLOOKUP(M9,Points!$A$2:$B$14,2,FALSE)," ")))</f>
        <v xml:space="preserve"> </v>
      </c>
      <c r="P9" s="92">
        <v>5.96</v>
      </c>
      <c r="Q9" s="93">
        <f t="shared" si="6"/>
        <v>3</v>
      </c>
      <c r="R9" s="93">
        <f t="shared" si="7"/>
        <v>3</v>
      </c>
      <c r="S9" s="94">
        <f>IF(Table622027323334171829[[#This Row],[Non-Member]]="X"," ",IF(R9=" "," ",IFERROR(VLOOKUP(Q9,Points!$A$2:$B$14,2,FALSE)," ")))</f>
        <v>12</v>
      </c>
      <c r="T9" s="92">
        <v>3.38</v>
      </c>
      <c r="U9" s="93">
        <f t="shared" si="8"/>
        <v>2</v>
      </c>
      <c r="V9" s="93">
        <f t="shared" si="9"/>
        <v>2</v>
      </c>
      <c r="W9" s="94">
        <f>IF(Table622027323334171829[[#This Row],[Non-Member]]="X"," ",IF(V9=" "," ",IFERROR(VLOOKUP(U9,Points!$A$2:$B$14,2,FALSE)," ")))</f>
        <v>15</v>
      </c>
      <c r="X9" s="92">
        <v>0</v>
      </c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IF(Table622027323334171829[[#This Row],[Non-Member]]="X"," ",IF(Z9=" "," ",IFERROR(VLOOKUP(Y9,Points!$A$2:$B$14,2,FALSE)," ")))</f>
        <v xml:space="preserve"> </v>
      </c>
      <c r="AB9" s="92">
        <v>4.0599999999999996</v>
      </c>
      <c r="AC9" s="93">
        <f t="shared" si="12"/>
        <v>3</v>
      </c>
      <c r="AD9" s="93">
        <f t="shared" si="13"/>
        <v>3</v>
      </c>
      <c r="AE9" s="94">
        <f>IF(Table622027323334171829[[#This Row],[Non-Member]]="X"," ",IF(AD9=" "," ",IFERROR(VLOOKUP(AC9,Points!$A$2:$B$14,2,FALSE)," ")))</f>
        <v>12</v>
      </c>
      <c r="AF9" s="163" t="s">
        <v>311</v>
      </c>
      <c r="AG9" s="93">
        <v>5</v>
      </c>
      <c r="AH9" s="93">
        <v>5</v>
      </c>
      <c r="AI9" s="94">
        <f>IF(Table622027323334171829[[#This Row],[Non-Member]]="X"," ",IF(AH9=" "," ",IFERROR(VLOOKUP(AG9,Points!$A$2:$B$14,2,FALSE)," ")))</f>
        <v>6</v>
      </c>
      <c r="AJ9" s="93">
        <f>IF(Table622027323334171829[[#This Row],[Non-Member]]="X"," ",((IF(G9=" ",0,G9))+(IF(K9=" ",0,K9))+(IF(O9=" ",0,O9))+(IF(S9=" ",0,S9))+(IF(W9=" ",0,W9))+(IF(AA9=" ",0,AA9))+(IF(AE9=" ",0,AE9))+(IF(AI9=" ",0,AI9))))</f>
        <v>45</v>
      </c>
      <c r="AK9" s="95">
        <f t="shared" si="14"/>
        <v>45</v>
      </c>
      <c r="AL9" s="96">
        <f t="shared" si="15"/>
        <v>5</v>
      </c>
    </row>
    <row r="10" spans="2:38" x14ac:dyDescent="0.25">
      <c r="B10" s="90" t="s">
        <v>134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IF(Table622027323334171829[[#This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IF(Table622027323334171829[[#This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IF(Table622027323334171829[[#This Row],[Non-Member]]="X"," ",IF(N10=" "," ",IFERROR(VLOOKUP(M10,Points!$A$2:$B$14,2,FALSE)," ")))</f>
        <v xml:space="preserve"> 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IF(Table622027323334171829[[#This Row],[Non-Member]]="X"," ",IF(R10=" "," ",IFERROR(VLOOKUP(Q10,Points!$A$2:$B$14,2,FALSE)," ")))</f>
        <v xml:space="preserve"> 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IF(Table622027323334171829[[#This Row],[Non-Member]]="X"," ",IF(V10=" "," ",IFERROR(VLOOKUP(U10,Points!$A$2:$B$14,2,FALSE)," ")))</f>
        <v xml:space="preserve"> </v>
      </c>
      <c r="X10" s="92">
        <v>5.42</v>
      </c>
      <c r="Y10" s="93">
        <f t="shared" si="10"/>
        <v>3</v>
      </c>
      <c r="Z10" s="93">
        <f t="shared" si="11"/>
        <v>3</v>
      </c>
      <c r="AA10" s="94">
        <f>IF(Table622027323334171829[[#This Row],[Non-Member]]="X"," ",IF(Z10=" "," ",IFERROR(VLOOKUP(Y10,Points!$A$2:$B$14,2,FALSE)," ")))</f>
        <v>12</v>
      </c>
      <c r="AB10" s="92">
        <v>5.78</v>
      </c>
      <c r="AC10" s="93">
        <f t="shared" si="12"/>
        <v>5</v>
      </c>
      <c r="AD10" s="93">
        <f t="shared" si="13"/>
        <v>5</v>
      </c>
      <c r="AE10" s="94">
        <f>IF(Table622027323334171829[[#This Row],[Non-Member]]="X"," ",IF(AD10=" "," ",IFERROR(VLOOKUP(AC10,Points!$A$2:$B$14,2,FALSE)," ")))</f>
        <v>6</v>
      </c>
      <c r="AF10" s="92">
        <f>IF(OR(X10=0,AB10=0)," ",X10+AB10)</f>
        <v>11.2</v>
      </c>
      <c r="AG10" s="93">
        <f>IF(OR(AF10=0,AF10=" ")," ",_xlfn.RANK.AVG(AF10,AF$5:AF$24,1)-COUNTIF(AF$5:AF$24,0))</f>
        <v>3</v>
      </c>
      <c r="AH10" s="93">
        <f>IF(OR(AF10=0,AF10=" ")," ",IF((RANK(AF10,AF$5:AF$24,1)-COUNTIF(AF$5:AF$24,0)&gt;6)," ",RANK(AF10,AF$5:AF$24,1)-COUNTIF(AF$5:AF$24,0)))</f>
        <v>3</v>
      </c>
      <c r="AI10" s="94">
        <f>IF(Table622027323334171829[[#This Row],[Non-Member]]="X"," ",IF(AH10=" "," ",IFERROR(VLOOKUP(AG10,Points!$A$2:$B$14,2,FALSE)," ")))</f>
        <v>12</v>
      </c>
      <c r="AJ10" s="93">
        <f>IF(Table622027323334171829[[#This Row],[Non-Member]]="X"," ",((IF(G10=" ",0,G10))+(IF(K10=" ",0,K10))+(IF(O10=" ",0,O10))+(IF(S10=" ",0,S10))+(IF(W10=" ",0,W10))+(IF(AA10=" ",0,AA10))+(IF(AE10=" ",0,AE10))+(IF(AI10=" ",0,AI10))))</f>
        <v>30</v>
      </c>
      <c r="AK10" s="95">
        <f t="shared" si="14"/>
        <v>30</v>
      </c>
      <c r="AL10" s="96">
        <f t="shared" si="15"/>
        <v>6</v>
      </c>
    </row>
    <row r="11" spans="2:38" x14ac:dyDescent="0.25">
      <c r="B11" s="90" t="s">
        <v>155</v>
      </c>
      <c r="C11" s="91"/>
      <c r="D11" s="92">
        <v>3.54</v>
      </c>
      <c r="E11" s="93">
        <f t="shared" si="0"/>
        <v>2</v>
      </c>
      <c r="F11" s="93">
        <f t="shared" si="1"/>
        <v>2</v>
      </c>
      <c r="G11" s="94">
        <f>IF(Table622027323334171829[[#This Row],[Non-Member]]="X"," ",IF(F11=" "," ",IFERROR(VLOOKUP(E11,Points!$A$2:$B$14,2,FALSE)," ")))</f>
        <v>15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IF(Table622027323334171829[[#This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IF(Table622027323334171829[[#This Row],[Non-Member]]="X"," ",IF(N11=" "," ",IFERROR(VLOOKUP(M11,Points!$A$2:$B$14,2,FALSE)," ")))</f>
        <v xml:space="preserve"> </v>
      </c>
      <c r="P11" s="92">
        <v>6.21</v>
      </c>
      <c r="Q11" s="93">
        <f t="shared" si="6"/>
        <v>4</v>
      </c>
      <c r="R11" s="93">
        <f t="shared" si="7"/>
        <v>4</v>
      </c>
      <c r="S11" s="94">
        <f>IF(Table622027323334171829[[#This Row],[Non-Member]]="X"," ",IF(R11=" "," ",IFERROR(VLOOKUP(Q11,Points!$A$2:$B$14,2,FALSE)," ")))</f>
        <v>9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IF(Table622027323334171829[[#This Row],[Non-Member]]="X"," ",IF(V11=" "," ",IFERROR(VLOOKUP(U11,Points!$A$2:$B$14,2,FALSE)," ")))</f>
        <v xml:space="preserve"> </v>
      </c>
      <c r="X11" s="92">
        <v>0</v>
      </c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IF(Table622027323334171829[[#This Row],[Non-Member]]="X"," ",IF(Z11=" "," ",IFERROR(VLOOKUP(Y11,Points!$A$2:$B$14,2,FALSE)," ")))</f>
        <v xml:space="preserve"> </v>
      </c>
      <c r="AB11" s="92">
        <v>0</v>
      </c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IF(Table622027323334171829[[#This Row],[Non-Member]]="X"," ",IF(AD11=" "," ",IFERROR(VLOOKUP(AC11,Points!$A$2:$B$14,2,FALSE)," ")))</f>
        <v xml:space="preserve"> </v>
      </c>
      <c r="AF11" s="92" t="str">
        <f>IF(OR(X11=0,AB11=0)," ",X11+AB11)</f>
        <v xml:space="preserve"> </v>
      </c>
      <c r="AG11" s="93" t="str">
        <f>IF(OR(AF11=0,AF11=" ")," ",_xlfn.RANK.AVG(AF11,AF$5:AF$24,1)-COUNTIF(AF$5:AF$24,0))</f>
        <v xml:space="preserve"> </v>
      </c>
      <c r="AH11" s="93" t="str">
        <f>IF(OR(AF11=0,AF11=" ")," ",IF((RANK(AF11,AF$5:AF$24,1)-COUNTIF(AF$5:AF$24,0)&gt;6)," ",RANK(AF11,AF$5:AF$24,1)-COUNTIF(AF$5:AF$24,0)))</f>
        <v xml:space="preserve"> </v>
      </c>
      <c r="AI11" s="94" t="str">
        <f>IF(Table622027323334171829[[#This Row],[Non-Member]]="X"," ",IF(AH11=" "," ",IFERROR(VLOOKUP(AG11,Points!$A$2:$B$14,2,FALSE)," ")))</f>
        <v xml:space="preserve"> </v>
      </c>
      <c r="AJ11" s="93">
        <f>IF(Table622027323334171829[[#This Row],[Non-Member]]="X"," ",((IF(G11=" ",0,G11))+(IF(K11=" ",0,K11))+(IF(O11=" ",0,O11))+(IF(S11=" ",0,S11))+(IF(W11=" ",0,W11))+(IF(AA11=" ",0,AA11))+(IF(AE11=" ",0,AE11))+(IF(AI11=" ",0,AI11))))</f>
        <v>24</v>
      </c>
      <c r="AK11" s="95">
        <f t="shared" si="14"/>
        <v>24</v>
      </c>
      <c r="AL11" s="96">
        <f t="shared" si="15"/>
        <v>7</v>
      </c>
    </row>
    <row r="12" spans="2:38" x14ac:dyDescent="0.25">
      <c r="B12" s="90" t="s">
        <v>150</v>
      </c>
      <c r="C12" s="91"/>
      <c r="D12" s="92">
        <v>0</v>
      </c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IF(Table622027323334171829[[#This Row],[Non-Member]]="X"," ",IF(F12=" "," ",IFERROR(VLOOKUP(E12,Points!$A$2:$B$14,2,FALSE)," ")))</f>
        <v xml:space="preserve"> </v>
      </c>
      <c r="H12" s="92">
        <v>3.44</v>
      </c>
      <c r="I12" s="97">
        <f t="shared" si="2"/>
        <v>2</v>
      </c>
      <c r="J12" s="97">
        <f t="shared" si="3"/>
        <v>2</v>
      </c>
      <c r="K12" s="94">
        <f>IF(Table622027323334171829[[#This Row],[Non-Member]]="X"," ",IF(J12=" "," ",IFERROR(VLOOKUP(I12,Points!$A$2:$B$14,2,FALSE)," ")))</f>
        <v>15</v>
      </c>
      <c r="L12" s="92">
        <v>0</v>
      </c>
      <c r="M12" s="97" t="str">
        <f t="shared" si="4"/>
        <v xml:space="preserve"> </v>
      </c>
      <c r="N12" s="97" t="str">
        <f t="shared" si="5"/>
        <v xml:space="preserve"> </v>
      </c>
      <c r="O12" s="94" t="str">
        <f>IF(Table622027323334171829[[#This Row],[Non-Member]]="X"," ",IF(N12=" "," ",IFERROR(VLOOKUP(M12,Points!$A$2:$B$14,2,FALSE)," ")))</f>
        <v xml:space="preserve"> </v>
      </c>
      <c r="P12" s="92">
        <v>0</v>
      </c>
      <c r="Q12" s="97" t="str">
        <f t="shared" si="6"/>
        <v xml:space="preserve"> </v>
      </c>
      <c r="R12" s="97" t="str">
        <f t="shared" si="7"/>
        <v xml:space="preserve"> </v>
      </c>
      <c r="S12" s="94" t="str">
        <f>IF(Table622027323334171829[[#This Row],[Non-Member]]="X"," ",IF(R12=" "," ",IFERROR(VLOOKUP(Q12,Points!$A$2:$B$14,2,FALSE)," ")))</f>
        <v xml:space="preserve"> </v>
      </c>
      <c r="T12" s="92">
        <v>0</v>
      </c>
      <c r="U12" s="97" t="str">
        <f t="shared" si="8"/>
        <v xml:space="preserve"> </v>
      </c>
      <c r="V12" s="97" t="str">
        <f t="shared" si="9"/>
        <v xml:space="preserve"> </v>
      </c>
      <c r="W12" s="94" t="str">
        <f>IF(Table622027323334171829[[#This Row],[Non-Member]]="X"," ",IF(V12=" "," ",IFERROR(VLOOKUP(U12,Points!$A$2:$B$14,2,FALSE)," ")))</f>
        <v xml:space="preserve"> </v>
      </c>
      <c r="X12" s="92">
        <v>0</v>
      </c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IF(Table622027323334171829[[#This Row],[Non-Member]]="X"," ",IF(Z12=" "," ",IFERROR(VLOOKUP(Y12,Points!$A$2:$B$14,2,FALSE)," ")))</f>
        <v xml:space="preserve"> </v>
      </c>
      <c r="AB12" s="92">
        <v>12.44</v>
      </c>
      <c r="AC12" s="97">
        <f t="shared" si="12"/>
        <v>6</v>
      </c>
      <c r="AD12" s="97">
        <f t="shared" si="13"/>
        <v>6</v>
      </c>
      <c r="AE12" s="94">
        <f>IF(Table622027323334171829[[#This Row],[Non-Member]]="X"," ",IF(AD12=" "," ",IFERROR(VLOOKUP(AC12,Points!$A$2:$B$14,2,FALSE)," ")))</f>
        <v>3</v>
      </c>
      <c r="AF12" s="163" t="s">
        <v>312</v>
      </c>
      <c r="AG12" s="97">
        <v>6</v>
      </c>
      <c r="AH12" s="97">
        <v>6</v>
      </c>
      <c r="AI12" s="94">
        <f>IF(Table622027323334171829[[#This Row],[Non-Member]]="X"," ",IF(AH12=" "," ",IFERROR(VLOOKUP(AG12,Points!$A$2:$B$14,2,FALSE)," ")))</f>
        <v>3</v>
      </c>
      <c r="AJ12" s="97">
        <f>IF(Table622027323334171829[[#This Row],[Non-Member]]="X"," ",((IF(G12=" ",0,G12))+(IF(K12=" ",0,K12))+(IF(O12=" ",0,O12))+(IF(S12=" ",0,S12))+(IF(W12=" ",0,W12))+(IF(AA12=" ",0,AA12))+(IF(AE12=" ",0,AE12))+(IF(AI12=" ",0,AI12))))</f>
        <v>21</v>
      </c>
      <c r="AK12" s="95">
        <f t="shared" si="14"/>
        <v>21</v>
      </c>
      <c r="AL12" s="98">
        <f t="shared" si="15"/>
        <v>8</v>
      </c>
    </row>
    <row r="13" spans="2:38" x14ac:dyDescent="0.25">
      <c r="B13" s="90" t="s">
        <v>153</v>
      </c>
      <c r="C13" s="91"/>
      <c r="D13" s="92">
        <v>0</v>
      </c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IF(Table622027323334171829[[#This Row],[Non-Member]]="X"," ",IF(F13=" "," ",IFERROR(VLOOKUP(E13,Points!$A$2:$B$14,2,FALSE)," ")))</f>
        <v xml:space="preserve"> </v>
      </c>
      <c r="H13" s="92">
        <v>9.3800000000000008</v>
      </c>
      <c r="I13" s="93">
        <f t="shared" si="2"/>
        <v>5</v>
      </c>
      <c r="J13" s="93">
        <f t="shared" si="3"/>
        <v>5</v>
      </c>
      <c r="K13" s="94">
        <f>IF(Table622027323334171829[[#This Row],[Non-Member]]="X"," ",IF(J13=" "," ",IFERROR(VLOOKUP(I13,Points!$A$2:$B$14,2,FALSE)," ")))</f>
        <v>6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IF(Table622027323334171829[[#This Row],[Non-Member]]="X"," ",IF(N13=" "," ",IFERROR(VLOOKUP(M13,Points!$A$2:$B$14,2,FALSE)," ")))</f>
        <v xml:space="preserve"> </v>
      </c>
      <c r="P13" s="92">
        <v>5.73</v>
      </c>
      <c r="Q13" s="93">
        <f t="shared" si="6"/>
        <v>2</v>
      </c>
      <c r="R13" s="93">
        <f t="shared" si="7"/>
        <v>2</v>
      </c>
      <c r="S13" s="94">
        <f>IF(Table622027323334171829[[#This Row],[Non-Member]]="X"," ",IF(R13=" "," ",IFERROR(VLOOKUP(Q13,Points!$A$2:$B$14,2,FALSE)," ")))</f>
        <v>15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IF(Table622027323334171829[[#This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IF(Table622027323334171829[[#This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IF(Table622027323334171829[[#This Row],[Non-Member]]="X"," ",IF(AD13=" "," ",IFERROR(VLOOKUP(AC13,Points!$A$2:$B$14,2,FALSE)," ")))</f>
        <v xml:space="preserve"> </v>
      </c>
      <c r="AF13" s="92" t="str">
        <f t="shared" ref="AF13:AF24" si="16">IF(OR(X13=0,AB13=0)," ",X13+AB13)</f>
        <v xml:space="preserve"> </v>
      </c>
      <c r="AG13" s="93" t="str">
        <f t="shared" ref="AG13:AG24" si="17">IF(OR(AF13=0,AF13=" ")," ",_xlfn.RANK.AVG(AF13,AF$5:AF$24,1)-COUNTIF(AF$5:AF$24,0))</f>
        <v xml:space="preserve"> </v>
      </c>
      <c r="AH13" s="93" t="str">
        <f t="shared" ref="AH13:AH24" si="18">IF(OR(AF13=0,AF13=" ")," ",IF((RANK(AF13,AF$5:AF$24,1)-COUNTIF(AF$5:AF$24,0)&gt;6)," ",RANK(AF13,AF$5:AF$24,1)-COUNTIF(AF$5:AF$24,0)))</f>
        <v xml:space="preserve"> </v>
      </c>
      <c r="AI13" s="94" t="str">
        <f>IF(Table622027323334171829[[#This Row],[Non-Member]]="X"," ",IF(AH13=" "," ",IFERROR(VLOOKUP(AG13,Points!$A$2:$B$14,2,FALSE)," ")))</f>
        <v xml:space="preserve"> </v>
      </c>
      <c r="AJ13" s="93">
        <f>IF(Table622027323334171829[[#This Row],[Non-Member]]="X"," ",((IF(G13=" ",0,G13))+(IF(K13=" ",0,K13))+(IF(O13=" ",0,O13))+(IF(S13=" ",0,S13))+(IF(W13=" ",0,W13))+(IF(AA13=" ",0,AA13))+(IF(AE13=" ",0,AE13))+(IF(AI13=" ",0,AI13))))</f>
        <v>21</v>
      </c>
      <c r="AK13" s="95">
        <f t="shared" si="14"/>
        <v>21</v>
      </c>
      <c r="AL13" s="96">
        <f t="shared" si="15"/>
        <v>8</v>
      </c>
    </row>
    <row r="14" spans="2:38" x14ac:dyDescent="0.25">
      <c r="B14" s="90" t="s">
        <v>154</v>
      </c>
      <c r="C14" s="91"/>
      <c r="D14" s="92">
        <v>0</v>
      </c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IF(Table622027323334171829[[#This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IF(Table622027323334171829[[#This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IF(Table622027323334171829[[#This Row],[Non-Member]]="X"," ",IF(N14=" "," ",IFERROR(VLOOKUP(M14,Points!$A$2:$B$14,2,FALSE)," ")))</f>
        <v xml:space="preserve"> 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IF(Table622027323334171829[[#This Row],[Non-Member]]="X"," ",IF(R14=" "," ",IFERROR(VLOOKUP(Q14,Points!$A$2:$B$14,2,FALSE)," ")))</f>
        <v xml:space="preserve"> </v>
      </c>
      <c r="T14" s="92">
        <v>6.35</v>
      </c>
      <c r="U14" s="93">
        <f t="shared" si="8"/>
        <v>4</v>
      </c>
      <c r="V14" s="93">
        <f t="shared" si="9"/>
        <v>4</v>
      </c>
      <c r="W14" s="94">
        <f>IF(Table622027323334171829[[#This Row],[Non-Member]]="X"," ",IF(V14=" "," ",IFERROR(VLOOKUP(U14,Points!$A$2:$B$14,2,FALSE)," ")))</f>
        <v>9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IF(Table622027323334171829[[#This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IF(Table622027323334171829[[#This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IF(Table622027323334171829[[#This Row],[Non-Member]]="X"," ",IF(AH14=" "," ",IFERROR(VLOOKUP(AG14,Points!$A$2:$B$14,2,FALSE)," ")))</f>
        <v xml:space="preserve"> </v>
      </c>
      <c r="AJ14" s="93">
        <f>IF(Table622027323334171829[[#This Row],[Non-Member]]="X"," ",((IF(G14=" ",0,G14))+(IF(K14=" ",0,K14))+(IF(O14=" ",0,O14))+(IF(S14=" ",0,S14))+(IF(W14=" ",0,W14))+(IF(AA14=" ",0,AA14))+(IF(AE14=" ",0,AE14))+(IF(AI14=" ",0,AI14))))</f>
        <v>9</v>
      </c>
      <c r="AK14" s="95">
        <f t="shared" si="14"/>
        <v>9</v>
      </c>
      <c r="AL14" s="96">
        <f t="shared" si="15"/>
        <v>10</v>
      </c>
    </row>
    <row r="15" spans="2:38" x14ac:dyDescent="0.25">
      <c r="B15" s="90" t="s">
        <v>270</v>
      </c>
      <c r="C15" s="91" t="s">
        <v>95</v>
      </c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IF(Table622027323334171829[[#This Row],[Non-Member]]="X"," ",IF(F15=" "," ",IFERROR(VLOOKUP(E15,Points!$A$2:$B$14,2,FALSE)," ")))</f>
        <v xml:space="preserve"> </v>
      </c>
      <c r="H15" s="92"/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IF(Table622027323334171829[[#This Row],[Non-Member]]="X"," ",IF(J15=" "," ",IFERROR(VLOOKUP(I15,Points!$A$2:$B$14,2,FALSE)," ")))</f>
        <v xml:space="preserve"> </v>
      </c>
      <c r="L15" s="92">
        <v>0</v>
      </c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IF(Table622027323334171829[[#This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IF(Table622027323334171829[[#This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IF(Table622027323334171829[[#This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IF(Table622027323334171829[[#This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IF(Table622027323334171829[[#This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7" t="str">
        <f t="shared" si="17"/>
        <v xml:space="preserve"> </v>
      </c>
      <c r="AH15" s="97" t="str">
        <f t="shared" si="18"/>
        <v xml:space="preserve"> </v>
      </c>
      <c r="AI15" s="94" t="str">
        <f>IF(Table622027323334171829[[#This Row],[Non-Member]]="X"," ",IF(AH15=" "," ",IFERROR(VLOOKUP(AG15,Points!$A$2:$B$14,2,FALSE)," ")))</f>
        <v xml:space="preserve"> </v>
      </c>
      <c r="AJ15" s="97" t="str">
        <f>IF(Table622027323334171829[[#This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4"/>
        <v xml:space="preserve"> </v>
      </c>
      <c r="AL15" s="98" t="str">
        <f t="shared" si="15"/>
        <v xml:space="preserve"> </v>
      </c>
    </row>
    <row r="16" spans="2:38" x14ac:dyDescent="0.25">
      <c r="B16" s="90" t="s">
        <v>271</v>
      </c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IF(Table622027323334171829[[#This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IF(Table622027323334171829[[#This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IF(Table622027323334171829[[#This Row],[Non-Member]]="X"," ",IF(N16=" "," ",IFERROR(VLOOKUP(M16,Points!$A$2:$B$14,2,FALSE)," ")))</f>
        <v xml:space="preserve"> </v>
      </c>
      <c r="P16" s="92">
        <v>0</v>
      </c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IF(Table622027323334171829[[#This Row],[Non-Member]]="X"," ",IF(R16=" "," ",IFERROR(VLOOKUP(Q16,Points!$A$2:$B$14,2,FALSE)," ")))</f>
        <v xml:space="preserve"> </v>
      </c>
      <c r="T16" s="92">
        <v>0</v>
      </c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IF(Table622027323334171829[[#This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IF(Table622027323334171829[[#This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IF(Table622027323334171829[[#This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7" t="str">
        <f t="shared" si="17"/>
        <v xml:space="preserve"> </v>
      </c>
      <c r="AH16" s="97" t="str">
        <f t="shared" si="18"/>
        <v xml:space="preserve"> </v>
      </c>
      <c r="AI16" s="94" t="str">
        <f>IF(Table622027323334171829[[#This Row],[Non-Member]]="X"," ",IF(AH16=" "," ",IFERROR(VLOOKUP(AG16,Points!$A$2:$B$14,2,FALSE)," ")))</f>
        <v xml:space="preserve"> </v>
      </c>
      <c r="AJ16" s="97">
        <f>IF(Table622027323334171829[[#This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8" t="str">
        <f t="shared" si="15"/>
        <v xml:space="preserve"> </v>
      </c>
    </row>
    <row r="17" spans="2:38" x14ac:dyDescent="0.25">
      <c r="B17" s="90" t="s">
        <v>151</v>
      </c>
      <c r="C17" s="91"/>
      <c r="D17" s="92">
        <v>0</v>
      </c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IF(Table622027323334171829[[#This Row],[Non-Member]]="X"," ",IF(F17=" "," ",IFERROR(VLOOKUP(E17,Points!$A$2:$B$14,2,FALSE)," ")))</f>
        <v xml:space="preserve"> </v>
      </c>
      <c r="H17" s="92">
        <v>14.7</v>
      </c>
      <c r="I17" s="93">
        <f t="shared" si="2"/>
        <v>7</v>
      </c>
      <c r="J17" s="93" t="str">
        <f t="shared" si="3"/>
        <v xml:space="preserve"> </v>
      </c>
      <c r="K17" s="94" t="str">
        <f>IF(Table622027323334171829[[#This Row],[Non-Member]]="X"," ",IF(J17=" "," ",IFERROR(VLOOKUP(I17,Points!$A$2:$B$14,2,FALSE)," ")))</f>
        <v xml:space="preserve"> </v>
      </c>
      <c r="L17" s="92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IF(Table622027323334171829[[#This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IF(Table622027323334171829[[#This Row],[Non-Member]]="X"," ",IF(R17=" "," ",IFERROR(VLOOKUP(Q17,Points!$A$2:$B$14,2,FALSE)," ")))</f>
        <v xml:space="preserve"> </v>
      </c>
      <c r="T17" s="92">
        <v>0</v>
      </c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IF(Table622027323334171829[[#This Row],[Non-Member]]="X"," ",IF(V17=" "," ",IFERROR(VLOOKUP(U17,Points!$A$2:$B$14,2,FALSE)," ")))</f>
        <v xml:space="preserve"> </v>
      </c>
      <c r="X17" s="92">
        <v>0</v>
      </c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IF(Table622027323334171829[[#This Row],[Non-Member]]="X"," ",IF(Z17=" "," ",IFERROR(VLOOKUP(Y17,Points!$A$2:$B$14,2,FALSE)," ")))</f>
        <v xml:space="preserve"> </v>
      </c>
      <c r="AB17" s="92">
        <v>0</v>
      </c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IF(Table622027323334171829[[#This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3" t="str">
        <f t="shared" si="17"/>
        <v xml:space="preserve"> </v>
      </c>
      <c r="AH17" s="93" t="str">
        <f t="shared" si="18"/>
        <v xml:space="preserve"> </v>
      </c>
      <c r="AI17" s="94" t="str">
        <f>IF(Table622027323334171829[[#This Row],[Non-Member]]="X"," ",IF(AH17=" "," ",IFERROR(VLOOKUP(AG17,Points!$A$2:$B$14,2,FALSE)," ")))</f>
        <v xml:space="preserve"> </v>
      </c>
      <c r="AJ17" s="93">
        <f>IF(Table622027323334171829[[#This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6" t="str">
        <f t="shared" si="15"/>
        <v xml:space="preserve"> </v>
      </c>
    </row>
    <row r="18" spans="2:38" x14ac:dyDescent="0.25">
      <c r="B18" s="90" t="s">
        <v>138</v>
      </c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IF(Table622027323334171829[[#This Row],[Non-Member]]="X"," ",IF(F18=" "," ",IFERROR(VLOOKUP(E18,Points!$A$2:$B$14,2,FALSE)," ")))</f>
        <v xml:space="preserve"> </v>
      </c>
      <c r="H18" s="92">
        <v>0</v>
      </c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IF(Table622027323334171829[[#This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IF(Table622027323334171829[[#This Row],[Non-Member]]="X"," ",IF(N18=" "," ",IFERROR(VLOOKUP(M18,Points!$A$2:$B$14,2,FALSE)," ")))</f>
        <v xml:space="preserve"> </v>
      </c>
      <c r="P18" s="92">
        <v>0</v>
      </c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IF(Table622027323334171829[[#This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IF(Table622027323334171829[[#This Row],[Non-Member]]="X"," ",IF(V18=" "," ",IFERROR(VLOOKUP(U18,Points!$A$2:$B$14,2,FALSE)," ")))</f>
        <v xml:space="preserve"> </v>
      </c>
      <c r="X18" s="92">
        <v>0</v>
      </c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IF(Table622027323334171829[[#This Row],[Non-Member]]="X"," ",IF(Z18=" "," ",IFERROR(VLOOKUP(Y18,Points!$A$2:$B$14,2,FALSE)," ")))</f>
        <v xml:space="preserve"> </v>
      </c>
      <c r="AB18" s="92">
        <v>0</v>
      </c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IF(Table622027323334171829[[#This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3" t="str">
        <f t="shared" si="17"/>
        <v xml:space="preserve"> </v>
      </c>
      <c r="AH18" s="93" t="str">
        <f t="shared" si="18"/>
        <v xml:space="preserve"> </v>
      </c>
      <c r="AI18" s="94" t="str">
        <f>IF(Table622027323334171829[[#This Row],[Non-Member]]="X"," ",IF(AH18=" "," ",IFERROR(VLOOKUP(AG18,Points!$A$2:$B$14,2,FALSE)," ")))</f>
        <v xml:space="preserve"> </v>
      </c>
      <c r="AJ18" s="93">
        <f>IF(Table622027323334171829[[#This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6" t="str">
        <f t="shared" si="15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IF(Table622027323334171829[[#This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IF(Table622027323334171829[[#This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IF(Table622027323334171829[[#This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IF(Table622027323334171829[[#This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IF(Table622027323334171829[[#This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IF(Table622027323334171829[[#This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IF(Table622027323334171829[[#This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IF(Table622027323334171829[[#This Row],[Non-Member]]="X"," ",IF(AH19=" "," ",IFERROR(VLOOKUP(AG19,Points!$A$2:$B$14,2,FALSE)," ")))</f>
        <v xml:space="preserve"> </v>
      </c>
      <c r="AJ19" s="93">
        <f>IF(Table622027323334171829[[#This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IF(Table622027323334171829[[#This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IF(Table622027323334171829[[#This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IF(Table622027323334171829[[#This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IF(Table622027323334171829[[#This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IF(Table622027323334171829[[#This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IF(Table622027323334171829[[#This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IF(Table622027323334171829[[#This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IF(Table622027323334171829[[#This Row],[Non-Member]]="X"," ",IF(AH20=" "," ",IFERROR(VLOOKUP(AG20,Points!$A$2:$B$14,2,FALSE)," ")))</f>
        <v xml:space="preserve"> </v>
      </c>
      <c r="AJ20" s="93">
        <f>IF(Table622027323334171829[[#This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IF(Table622027323334171829[[#This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IF(Table622027323334171829[[#This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IF(Table622027323334171829[[#This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IF(Table622027323334171829[[#This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IF(Table622027323334171829[[#This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IF(Table622027323334171829[[#This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IF(Table622027323334171829[[#This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IF(Table622027323334171829[[#This Row],[Non-Member]]="X"," ",IF(AH21=" "," ",IFERROR(VLOOKUP(AG21,Points!$A$2:$B$14,2,FALSE)," ")))</f>
        <v xml:space="preserve"> </v>
      </c>
      <c r="AJ21" s="93">
        <f>IF(Table622027323334171829[[#This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IF(Table622027323334171829[[#This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IF(Table622027323334171829[[#This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IF(Table622027323334171829[[#This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IF(Table622027323334171829[[#This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IF(Table622027323334171829[[#This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IF(Table622027323334171829[[#This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IF(Table622027323334171829[[#This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IF(Table622027323334171829[[#This Row],[Non-Member]]="X"," ",IF(AH22=" "," ",IFERROR(VLOOKUP(AG22,Points!$A$2:$B$14,2,FALSE)," ")))</f>
        <v xml:space="preserve"> </v>
      </c>
      <c r="AJ22" s="93">
        <f>IF(Table622027323334171829[[#This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IF(Table622027323334171829[[#This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IF(Table622027323334171829[[#This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IF(Table622027323334171829[[#This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IF(Table622027323334171829[[#This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IF(Table622027323334171829[[#This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IF(Table622027323334171829[[#This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IF(Table622027323334171829[[#This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IF(Table622027323334171829[[#This Row],[Non-Member]]="X"," ",IF(AH23=" "," ",IFERROR(VLOOKUP(AG23,Points!$A$2:$B$14,2,FALSE)," ")))</f>
        <v xml:space="preserve"> </v>
      </c>
      <c r="AJ23" s="93">
        <f>IF(Table622027323334171829[[#This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IF(Table622027323334171829[[#This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IF(Table622027323334171829[[#This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IF(Table622027323334171829[[#This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IF(Table622027323334171829[[#This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IF(Table622027323334171829[[#This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IF(Table622027323334171829[[#This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IF(Table622027323334171829[[#This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IF(Table622027323334171829[[#This Row],[Non-Member]]="X"," ",IF(AH24=" "," ",IFERROR(VLOOKUP(AG24,Points!$A$2:$B$14,2,FALSE)," ")))</f>
        <v xml:space="preserve"> </v>
      </c>
      <c r="AJ24" s="93">
        <f>IF(Table622027323334171829[[#This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JeTmiWTraRfemxcVShiXFu17SvTly2HU+CAHA7rwGn1alsrtDDonxPBuPDu4hRGDsoBhNAmy4YtxbNEApWx6RA==" saltValue="Ox1BdIutoaIqmMwMXWWNQ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ignoredErrors>
    <ignoredError sqref="AF9:AH12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73729-C97D-4427-B0D7-E769653CFCDA}">
  <sheetPr codeName="Sheet80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F34" sqref="F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121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185</v>
      </c>
      <c r="C5" s="84"/>
      <c r="D5" s="85">
        <v>22.751000000000001</v>
      </c>
      <c r="E5" s="86">
        <f t="shared" ref="E5:E24" si="0">IF(D5=0," ",_xlfn.RANK.AVG(D5,D$5:D$24,1)-COUNTIF(D$5:D$24,0))</f>
        <v>3</v>
      </c>
      <c r="F5" s="86">
        <f t="shared" ref="F5:F24" si="1">IF(D5=0," ",IF((RANK(D5,D$5:D$24,1)-COUNTIF(D$5:D$24,0)&gt;6)," ",RANK(D5,D$5:D$24,1)-COUNTIF(D$5:D$24,0)))</f>
        <v>3</v>
      </c>
      <c r="G5" s="87">
        <f>IF(Table62202732333738224248[[#This Row],[Non-Member]]="X"," ",IF(F5=" "," ",IFERROR(VLOOKUP(E5,Points!$A$2:$B$14,2,FALSE)," ")))</f>
        <v>12</v>
      </c>
      <c r="H5" s="85">
        <v>23.812000000000001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IF(Table62202732333738224248[[#This Row],[Non-Member]]="X"," ",IF(J5=" "," ",IFERROR(VLOOKUP(I5,Points!$A$2:$B$14,2,FALSE)," ")))</f>
        <v>15</v>
      </c>
      <c r="L5" s="85">
        <v>22.081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IF(Table62202732333738224248[[#This Row],[Non-Member]]="X"," ",IF(N5=" "," ",IFERROR(VLOOKUP(M5,Points!$A$2:$B$14,2,FALSE)," ")))</f>
        <v>18</v>
      </c>
      <c r="P5" s="85">
        <v>21.986000000000001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IF(Table62202732333738224248[[#This Row],[Non-Member]]="X"," ",IF(R5=" "," ",IFERROR(VLOOKUP(Q5,Points!$A$2:$B$14,2,FALSE)," ")))</f>
        <v>15</v>
      </c>
      <c r="T5" s="85">
        <v>22.8</v>
      </c>
      <c r="U5" s="86">
        <f t="shared" ref="U5:U24" si="8">IF(T5=0," ",_xlfn.RANK.AVG(T5,T$5:T$24,1)-COUNTIF(T$5:T$24,0))</f>
        <v>3</v>
      </c>
      <c r="V5" s="86">
        <f t="shared" ref="V5:V24" si="9">IF(T5=0," ",IF((RANK(T5,T$5:T$24,1)-COUNTIF(T$5:T$24,0)&gt;6)," ",RANK(T5,T$5:T$24,1)-COUNTIF(T$5:T$24,0)))</f>
        <v>3</v>
      </c>
      <c r="W5" s="87">
        <f>IF(Table62202732333738224248[[#This Row],[Non-Member]]="X"," ",IF(V5=" "," ",IFERROR(VLOOKUP(U5,Points!$A$2:$B$14,2,FALSE)," ")))</f>
        <v>12</v>
      </c>
      <c r="X5" s="85">
        <v>22.797000000000001</v>
      </c>
      <c r="Y5" s="86">
        <f t="shared" ref="Y5:Y24" si="10">IF(X5=0," ",_xlfn.RANK.AVG(X5,X$5:X$24,1)-COUNTIF(X$5:X$24,0))</f>
        <v>4</v>
      </c>
      <c r="Z5" s="86">
        <f t="shared" ref="Z5:Z24" si="11">IF(X5=0," ",IF((RANK(X5,X$5:X$24,1)-COUNTIF(X$5:X$24,0)&gt;6)," ",RANK(X5,X$5:X$24,1)-COUNTIF(X$5:X$24,0)))</f>
        <v>4</v>
      </c>
      <c r="AA5" s="87">
        <f>IF(Table62202732333738224248[[#This Row],[Non-Member]]="X"," ",IF(Z5=" "," ",IFERROR(VLOOKUP(Y5,Points!$A$2:$B$14,2,FALSE)," ")))</f>
        <v>9</v>
      </c>
      <c r="AB5" s="85">
        <v>22.524999999999999</v>
      </c>
      <c r="AC5" s="86">
        <f t="shared" ref="AC5:AC24" si="12">IF(AB5=0," ",_xlfn.RANK.AVG(AB5,AB$5:AB$24,1)-COUNTIF(AB$5:AB$24,0))</f>
        <v>2</v>
      </c>
      <c r="AD5" s="86">
        <f t="shared" ref="AD5:AD24" si="13">IF(AB5=0," ",IF((RANK(AB5,AB$5:AB$24,1)-COUNTIF(AB$5:AB$24,0)&gt;6)," ",RANK(AB5,AB$5:AB$24,1)-COUNTIF(AB$5:AB$24,0)))</f>
        <v>2</v>
      </c>
      <c r="AE5" s="87">
        <f>IF(Table62202732333738224248[[#This Row],[Non-Member]]="X"," ",IF(AD5=" "," ",IFERROR(VLOOKUP(AC5,Points!$A$2:$B$14,2,FALSE)," ")))</f>
        <v>15</v>
      </c>
      <c r="AF5" s="85">
        <f t="shared" ref="AF5:AF24" si="14">IF(OR(X5=0,AB5=0)," ",X5+AB5)</f>
        <v>45.322000000000003</v>
      </c>
      <c r="AG5" s="86">
        <f t="shared" ref="AG5:AG24" si="15">IF(OR(AF5=0,AF5=" ")," ",_xlfn.RANK.AVG(AF5,AF$5:AF$24,1)-COUNTIF(AF$5:AF$24,0))</f>
        <v>2</v>
      </c>
      <c r="AH5" s="86">
        <f t="shared" ref="AH5:AH24" si="16">IF(OR(AF5=0,AF5=" ")," ",IF((RANK(AF5,AF$5:AF$24,1)-COUNTIF(AF$5:AF$24,0)&gt;6)," ",RANK(AF5,AF$5:AF$24,1)-COUNTIF(AF$5:AF$24,0)))</f>
        <v>2</v>
      </c>
      <c r="AI5" s="87">
        <f>IF(Table62202732333738224248[[#This Row],[Non-Member]]="X"," ",IF(AH5=" "," ",IFERROR(VLOOKUP(AG5,Points!$A$2:$B$14,2,FALSE)," ")))</f>
        <v>15</v>
      </c>
      <c r="AJ5" s="86">
        <f>IF(Table62202732333738224248[[#This Row],[Non-Member]]="X"," ",((IF(G5=" ",0,G5))+(IF(K5=" ",0,K5))+(IF(O5=" ",0,O5))+(IF(S5=" ",0,S5))+(IF(W5=" ",0,W5))+(IF(AA5=" ",0,AA5))+(IF(AE5=" ",0,AE5))+(IF(AI5=" ",0,AI5))))</f>
        <v>111</v>
      </c>
      <c r="AK5" s="88">
        <f t="shared" ref="AK5:AK24" si="17">IF(AJ5=0," ",AJ5)</f>
        <v>111</v>
      </c>
      <c r="AL5" s="89">
        <f t="shared" ref="AL5:AL24" si="18">IF(AK5=" "," ",RANK(AK5,$AK$5:$AK$24))</f>
        <v>1</v>
      </c>
    </row>
    <row r="6" spans="2:38" x14ac:dyDescent="0.25">
      <c r="B6" s="90" t="s">
        <v>166</v>
      </c>
      <c r="C6" s="91"/>
      <c r="D6" s="92">
        <v>21.588000000000001</v>
      </c>
      <c r="E6" s="93">
        <f t="shared" si="0"/>
        <v>2</v>
      </c>
      <c r="F6" s="93">
        <f t="shared" si="1"/>
        <v>2</v>
      </c>
      <c r="G6" s="94">
        <f>IF(Table62202732333738224248[[#This Row],[Non-Member]]="X"," ",IF(F6=" "," ",IFERROR(VLOOKUP(E6,Points!$A$2:$B$14,2,FALSE)," ")))</f>
        <v>15</v>
      </c>
      <c r="H6" s="92"/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IF(Table62202732333738224248[[#This Row],[Non-Member]]="X"," ",IF(J6=" "," ",IFERROR(VLOOKUP(I6,Points!$A$2:$B$14,2,FALSE)," ")))</f>
        <v xml:space="preserve"> </v>
      </c>
      <c r="L6" s="92"/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IF(Table62202732333738224248[[#This Row],[Non-Member]]="X"," ",IF(N6=" "," ",IFERROR(VLOOKUP(M6,Points!$A$2:$B$14,2,FALSE)," ")))</f>
        <v xml:space="preserve"> </v>
      </c>
      <c r="P6" s="92">
        <v>21.800999999999998</v>
      </c>
      <c r="Q6" s="93">
        <f t="shared" si="6"/>
        <v>1</v>
      </c>
      <c r="R6" s="93">
        <f t="shared" si="7"/>
        <v>1</v>
      </c>
      <c r="S6" s="94">
        <f>IF(Table62202732333738224248[[#This Row],[Non-Member]]="X"," ",IF(R6=" "," ",IFERROR(VLOOKUP(Q6,Points!$A$2:$B$14,2,FALSE)," ")))</f>
        <v>18</v>
      </c>
      <c r="T6" s="92">
        <v>22.256</v>
      </c>
      <c r="U6" s="93">
        <f t="shared" si="8"/>
        <v>1</v>
      </c>
      <c r="V6" s="93">
        <f t="shared" si="9"/>
        <v>1</v>
      </c>
      <c r="W6" s="94">
        <f>IF(Table62202732333738224248[[#This Row],[Non-Member]]="X"," ",IF(V6=" "," ",IFERROR(VLOOKUP(U6,Points!$A$2:$B$14,2,FALSE)," ")))</f>
        <v>18</v>
      </c>
      <c r="X6" s="92">
        <v>21.510999999999999</v>
      </c>
      <c r="Y6" s="93">
        <f t="shared" si="10"/>
        <v>1</v>
      </c>
      <c r="Z6" s="93">
        <f t="shared" si="11"/>
        <v>1</v>
      </c>
      <c r="AA6" s="94">
        <f>IF(Table62202732333738224248[[#This Row],[Non-Member]]="X"," ",IF(Z6=" "," ",IFERROR(VLOOKUP(Y6,Points!$A$2:$B$14,2,FALSE)," ")))</f>
        <v>18</v>
      </c>
      <c r="AB6" s="92">
        <v>21.738</v>
      </c>
      <c r="AC6" s="93">
        <f t="shared" si="12"/>
        <v>1</v>
      </c>
      <c r="AD6" s="93">
        <f t="shared" si="13"/>
        <v>1</v>
      </c>
      <c r="AE6" s="94">
        <f>IF(Table62202732333738224248[[#This Row],[Non-Member]]="X"," ",IF(AD6=" "," ",IFERROR(VLOOKUP(AC6,Points!$A$2:$B$14,2,FALSE)," ")))</f>
        <v>18</v>
      </c>
      <c r="AF6" s="92">
        <f t="shared" si="14"/>
        <v>43.248999999999995</v>
      </c>
      <c r="AG6" s="93">
        <f t="shared" si="15"/>
        <v>1</v>
      </c>
      <c r="AH6" s="93">
        <f t="shared" si="16"/>
        <v>1</v>
      </c>
      <c r="AI6" s="94">
        <f>IF(Table62202732333738224248[[#This Row],[Non-Member]]="X"," ",IF(AH6=" "," ",IFERROR(VLOOKUP(AG6,Points!$A$2:$B$14,2,FALSE)," ")))</f>
        <v>18</v>
      </c>
      <c r="AJ6" s="93">
        <f>IF(Table62202732333738224248[[#This Row],[Non-Member]]="X"," ",((IF(G6=" ",0,G6))+(IF(K6=" ",0,K6))+(IF(O6=" ",0,O6))+(IF(S6=" ",0,S6))+(IF(W6=" ",0,W6))+(IF(AA6=" ",0,AA6))+(IF(AE6=" ",0,AE6))+(IF(AI6=" ",0,AI6))))</f>
        <v>105</v>
      </c>
      <c r="AK6" s="95">
        <f t="shared" si="17"/>
        <v>105</v>
      </c>
      <c r="AL6" s="96">
        <f t="shared" si="18"/>
        <v>2</v>
      </c>
    </row>
    <row r="7" spans="2:38" x14ac:dyDescent="0.25">
      <c r="B7" s="90" t="s">
        <v>164</v>
      </c>
      <c r="C7" s="91"/>
      <c r="D7" s="92">
        <v>26.274000000000001</v>
      </c>
      <c r="E7" s="93">
        <f t="shared" si="0"/>
        <v>5</v>
      </c>
      <c r="F7" s="93">
        <f t="shared" si="1"/>
        <v>5</v>
      </c>
      <c r="G7" s="94">
        <f>IF(Table62202732333738224248[[#This Row],[Non-Member]]="X"," ",IF(F7=" "," ",IFERROR(VLOOKUP(E7,Points!$A$2:$B$14,2,FALSE)," ")))</f>
        <v>6</v>
      </c>
      <c r="H7" s="92">
        <v>28.925999999999998</v>
      </c>
      <c r="I7" s="93">
        <f t="shared" si="2"/>
        <v>6</v>
      </c>
      <c r="J7" s="93">
        <f t="shared" si="3"/>
        <v>6</v>
      </c>
      <c r="K7" s="94">
        <f>IF(Table62202732333738224248[[#This Row],[Non-Member]]="X"," ",IF(J7=" "," ",IFERROR(VLOOKUP(I7,Points!$A$2:$B$14,2,FALSE)," ")))</f>
        <v>3</v>
      </c>
      <c r="L7" s="92">
        <v>29.123999999999999</v>
      </c>
      <c r="M7" s="93">
        <f t="shared" si="4"/>
        <v>6</v>
      </c>
      <c r="N7" s="93">
        <f t="shared" si="5"/>
        <v>6</v>
      </c>
      <c r="O7" s="94">
        <f>IF(Table62202732333738224248[[#This Row],[Non-Member]]="X"," ",IF(N7=" "," ",IFERROR(VLOOKUP(M7,Points!$A$2:$B$14,2,FALSE)," ")))</f>
        <v>3</v>
      </c>
      <c r="P7" s="92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IF(Table62202732333738224248[[#This Row],[Non-Member]]="X"," ",IF(R7=" "," ",IFERROR(VLOOKUP(Q7,Points!$A$2:$B$14,2,FALSE)," ")))</f>
        <v xml:space="preserve"> </v>
      </c>
      <c r="T7" s="92">
        <v>22.681999999999999</v>
      </c>
      <c r="U7" s="93">
        <f t="shared" si="8"/>
        <v>2</v>
      </c>
      <c r="V7" s="93">
        <f t="shared" si="9"/>
        <v>2</v>
      </c>
      <c r="W7" s="94">
        <f>IF(Table62202732333738224248[[#This Row],[Non-Member]]="X"," ",IF(V7=" "," ",IFERROR(VLOOKUP(U7,Points!$A$2:$B$14,2,FALSE)," ")))</f>
        <v>15</v>
      </c>
      <c r="X7" s="92">
        <v>22.629000000000001</v>
      </c>
      <c r="Y7" s="93">
        <f t="shared" si="10"/>
        <v>3</v>
      </c>
      <c r="Z7" s="93">
        <f t="shared" si="11"/>
        <v>3</v>
      </c>
      <c r="AA7" s="94">
        <f>IF(Table62202732333738224248[[#This Row],[Non-Member]]="X"," ",IF(Z7=" "," ",IFERROR(VLOOKUP(Y7,Points!$A$2:$B$14,2,FALSE)," ")))</f>
        <v>12</v>
      </c>
      <c r="AB7" s="92">
        <v>22.831</v>
      </c>
      <c r="AC7" s="93">
        <f t="shared" si="12"/>
        <v>4</v>
      </c>
      <c r="AD7" s="93">
        <f t="shared" si="13"/>
        <v>4</v>
      </c>
      <c r="AE7" s="94">
        <f>IF(Table62202732333738224248[[#This Row],[Non-Member]]="X"," ",IF(AD7=" "," ",IFERROR(VLOOKUP(AC7,Points!$A$2:$B$14,2,FALSE)," ")))</f>
        <v>9</v>
      </c>
      <c r="AF7" s="92">
        <f t="shared" si="14"/>
        <v>45.46</v>
      </c>
      <c r="AG7" s="93">
        <f t="shared" si="15"/>
        <v>3</v>
      </c>
      <c r="AH7" s="93">
        <f t="shared" si="16"/>
        <v>3</v>
      </c>
      <c r="AI7" s="94">
        <f>IF(Table62202732333738224248[[#This Row],[Non-Member]]="X"," ",IF(AH7=" "," ",IFERROR(VLOOKUP(AG7,Points!$A$2:$B$14,2,FALSE)," ")))</f>
        <v>12</v>
      </c>
      <c r="AJ7" s="93">
        <f>IF(Table62202732333738224248[[#This Row],[Non-Member]]="X"," ",((IF(G7=" ",0,G7))+(IF(K7=" ",0,K7))+(IF(O7=" ",0,O7))+(IF(S7=" ",0,S7))+(IF(W7=" ",0,W7))+(IF(AA7=" ",0,AA7))+(IF(AE7=" ",0,AE7))+(IF(AI7=" ",0,AI7))))</f>
        <v>60</v>
      </c>
      <c r="AK7" s="95">
        <f t="shared" si="17"/>
        <v>60</v>
      </c>
      <c r="AL7" s="96">
        <f t="shared" si="18"/>
        <v>3</v>
      </c>
    </row>
    <row r="8" spans="2:38" x14ac:dyDescent="0.25">
      <c r="B8" s="90" t="s">
        <v>257</v>
      </c>
      <c r="C8" s="91"/>
      <c r="D8" s="92"/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IF(Table62202732333738224248[[#This Row],[Non-Member]]="X"," ",IF(F8=" "," ",IFERROR(VLOOKUP(E8,Points!$A$2:$B$14,2,FALSE)," ")))</f>
        <v xml:space="preserve"> </v>
      </c>
      <c r="H8" s="92">
        <v>22.507999999999999</v>
      </c>
      <c r="I8" s="93">
        <f t="shared" si="2"/>
        <v>1</v>
      </c>
      <c r="J8" s="93">
        <f t="shared" si="3"/>
        <v>1</v>
      </c>
      <c r="K8" s="94">
        <f>IF(Table62202732333738224248[[#This Row],[Non-Member]]="X"," ",IF(J8=" "," ",IFERROR(VLOOKUP(I8,Points!$A$2:$B$14,2,FALSE)," ")))</f>
        <v>18</v>
      </c>
      <c r="L8" s="92">
        <v>25.238</v>
      </c>
      <c r="M8" s="93">
        <f t="shared" si="4"/>
        <v>3</v>
      </c>
      <c r="N8" s="93">
        <f t="shared" si="5"/>
        <v>3</v>
      </c>
      <c r="O8" s="94">
        <f>IF(Table62202732333738224248[[#This Row],[Non-Member]]="X"," ",IF(N8=" "," ",IFERROR(VLOOKUP(M8,Points!$A$2:$B$14,2,FALSE)," ")))</f>
        <v>12</v>
      </c>
      <c r="P8" s="92">
        <v>23.981000000000002</v>
      </c>
      <c r="Q8" s="93">
        <f t="shared" si="6"/>
        <v>3</v>
      </c>
      <c r="R8" s="93">
        <f t="shared" si="7"/>
        <v>3</v>
      </c>
      <c r="S8" s="94">
        <f>IF(Table62202732333738224248[[#This Row],[Non-Member]]="X"," ",IF(R8=" "," ",IFERROR(VLOOKUP(Q8,Points!$A$2:$B$14,2,FALSE)," ")))</f>
        <v>12</v>
      </c>
      <c r="T8" s="92">
        <v>23.42</v>
      </c>
      <c r="U8" s="93">
        <f t="shared" si="8"/>
        <v>5</v>
      </c>
      <c r="V8" s="93">
        <f t="shared" si="9"/>
        <v>5</v>
      </c>
      <c r="W8" s="94">
        <f>IF(Table62202732333738224248[[#This Row],[Non-Member]]="X"," ",IF(V8=" "," ",IFERROR(VLOOKUP(U8,Points!$A$2:$B$14,2,FALSE)," ")))</f>
        <v>6</v>
      </c>
      <c r="X8" s="92">
        <v>29.224</v>
      </c>
      <c r="Y8" s="93">
        <f t="shared" si="10"/>
        <v>8</v>
      </c>
      <c r="Z8" s="93" t="str">
        <f t="shared" si="11"/>
        <v xml:space="preserve"> </v>
      </c>
      <c r="AA8" s="94" t="str">
        <f>IF(Table62202732333738224248[[#This Row],[Non-Member]]="X"," ",IF(Z8=" "," ",IFERROR(VLOOKUP(Y8,Points!$A$2:$B$14,2,FALSE)," ")))</f>
        <v xml:space="preserve"> </v>
      </c>
      <c r="AB8" s="92">
        <v>23.530999999999999</v>
      </c>
      <c r="AC8" s="93">
        <f t="shared" si="12"/>
        <v>5</v>
      </c>
      <c r="AD8" s="93">
        <f t="shared" si="13"/>
        <v>5</v>
      </c>
      <c r="AE8" s="94">
        <f>IF(Table62202732333738224248[[#This Row],[Non-Member]]="X"," ",IF(AD8=" "," ",IFERROR(VLOOKUP(AC8,Points!$A$2:$B$14,2,FALSE)," ")))</f>
        <v>6</v>
      </c>
      <c r="AF8" s="92">
        <f t="shared" si="14"/>
        <v>52.754999999999995</v>
      </c>
      <c r="AG8" s="93">
        <f t="shared" si="15"/>
        <v>5</v>
      </c>
      <c r="AH8" s="93">
        <f t="shared" si="16"/>
        <v>5</v>
      </c>
      <c r="AI8" s="94">
        <f>IF(Table62202732333738224248[[#This Row],[Non-Member]]="X"," ",IF(AH8=" "," ",IFERROR(VLOOKUP(AG8,Points!$A$2:$B$14,2,FALSE)," ")))</f>
        <v>6</v>
      </c>
      <c r="AJ8" s="93">
        <f>IF(Table62202732333738224248[[#This Row],[Non-Member]]="X"," ",((IF(G8=" ",0,G8))+(IF(K8=" ",0,K8))+(IF(O8=" ",0,O8))+(IF(S8=" ",0,S8))+(IF(W8=" ",0,W8))+(IF(AA8=" ",0,AA8))+(IF(AE8=" ",0,AE8))+(IF(AI8=" ",0,AI8))))</f>
        <v>60</v>
      </c>
      <c r="AK8" s="95">
        <f t="shared" si="17"/>
        <v>60</v>
      </c>
      <c r="AL8" s="96">
        <f t="shared" si="18"/>
        <v>3</v>
      </c>
    </row>
    <row r="9" spans="2:38" x14ac:dyDescent="0.25">
      <c r="B9" s="90" t="s">
        <v>259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IF(Table62202732333738224248[[#This Row],[Non-Member]]="X"," ",IF(F9=" "," ",IFERROR(VLOOKUP(E9,Points!$A$2:$B$14,2,FALSE)," ")))</f>
        <v xml:space="preserve"> </v>
      </c>
      <c r="H9" s="92">
        <v>27.786999999999999</v>
      </c>
      <c r="I9" s="93">
        <f t="shared" si="2"/>
        <v>5</v>
      </c>
      <c r="J9" s="93">
        <f t="shared" si="3"/>
        <v>5</v>
      </c>
      <c r="K9" s="94">
        <f>IF(Table62202732333738224248[[#This Row],[Non-Member]]="X"," ",IF(J9=" "," ",IFERROR(VLOOKUP(I9,Points!$A$2:$B$14,2,FALSE)," ")))</f>
        <v>6</v>
      </c>
      <c r="L9" s="92">
        <v>27.059000000000001</v>
      </c>
      <c r="M9" s="93">
        <f t="shared" si="4"/>
        <v>5</v>
      </c>
      <c r="N9" s="93">
        <f t="shared" si="5"/>
        <v>5</v>
      </c>
      <c r="O9" s="94">
        <f>IF(Table62202732333738224248[[#This Row],[Non-Member]]="X"," ",IF(N9=" "," ",IFERROR(VLOOKUP(M9,Points!$A$2:$B$14,2,FALSE)," ")))</f>
        <v>6</v>
      </c>
      <c r="P9" s="92">
        <v>37.777999999999999</v>
      </c>
      <c r="Q9" s="93">
        <f t="shared" si="6"/>
        <v>7</v>
      </c>
      <c r="R9" s="93" t="str">
        <f t="shared" si="7"/>
        <v xml:space="preserve"> </v>
      </c>
      <c r="S9" s="94" t="str">
        <f>IF(Table62202732333738224248[[#This Row],[Non-Member]]="X"," ",IF(R9=" "," ",IFERROR(VLOOKUP(Q9,Points!$A$2:$B$14,2,FALSE)," ")))</f>
        <v xml:space="preserve"> </v>
      </c>
      <c r="T9" s="92">
        <v>23.123000000000001</v>
      </c>
      <c r="U9" s="93">
        <f t="shared" si="8"/>
        <v>4</v>
      </c>
      <c r="V9" s="93">
        <f t="shared" si="9"/>
        <v>4</v>
      </c>
      <c r="W9" s="94">
        <f>IF(Table62202732333738224248[[#This Row],[Non-Member]]="X"," ",IF(V9=" "," ",IFERROR(VLOOKUP(U9,Points!$A$2:$B$14,2,FALSE)," ")))</f>
        <v>9</v>
      </c>
      <c r="X9" s="92">
        <v>22.141999999999999</v>
      </c>
      <c r="Y9" s="93">
        <f t="shared" si="10"/>
        <v>2</v>
      </c>
      <c r="Z9" s="93">
        <f t="shared" si="11"/>
        <v>2</v>
      </c>
      <c r="AA9" s="94">
        <f>IF(Table62202732333738224248[[#This Row],[Non-Member]]="X"," ",IF(Z9=" "," ",IFERROR(VLOOKUP(Y9,Points!$A$2:$B$14,2,FALSE)," ")))</f>
        <v>15</v>
      </c>
      <c r="AB9" s="92">
        <v>31.550999999999998</v>
      </c>
      <c r="AC9" s="93">
        <f t="shared" si="12"/>
        <v>8</v>
      </c>
      <c r="AD9" s="93" t="str">
        <f t="shared" si="13"/>
        <v xml:space="preserve"> </v>
      </c>
      <c r="AE9" s="94" t="str">
        <f>IF(Table62202732333738224248[[#This Row],[Non-Member]]="X"," ",IF(AD9=" "," ",IFERROR(VLOOKUP(AC9,Points!$A$2:$B$14,2,FALSE)," ")))</f>
        <v xml:space="preserve"> </v>
      </c>
      <c r="AF9" s="92">
        <f t="shared" si="14"/>
        <v>53.692999999999998</v>
      </c>
      <c r="AG9" s="93">
        <f t="shared" si="15"/>
        <v>7</v>
      </c>
      <c r="AH9" s="93" t="str">
        <f t="shared" si="16"/>
        <v xml:space="preserve"> </v>
      </c>
      <c r="AI9" s="94" t="str">
        <f>IF(Table62202732333738224248[[#This Row],[Non-Member]]="X"," ",IF(AH9=" "," ",IFERROR(VLOOKUP(AG9,Points!$A$2:$B$14,2,FALSE)," ")))</f>
        <v xml:space="preserve"> </v>
      </c>
      <c r="AJ9" s="93">
        <f>IF(Table62202732333738224248[[#This Row],[Non-Member]]="X"," ",((IF(G9=" ",0,G9))+(IF(K9=" ",0,K9))+(IF(O9=" ",0,O9))+(IF(S9=" ",0,S9))+(IF(W9=" ",0,W9))+(IF(AA9=" ",0,AA9))+(IF(AE9=" ",0,AE9))+(IF(AI9=" ",0,AI9))))</f>
        <v>36</v>
      </c>
      <c r="AK9" s="95">
        <f t="shared" si="17"/>
        <v>36</v>
      </c>
      <c r="AL9" s="96">
        <f t="shared" si="18"/>
        <v>5</v>
      </c>
    </row>
    <row r="10" spans="2:38" x14ac:dyDescent="0.25">
      <c r="B10" s="90" t="s">
        <v>186</v>
      </c>
      <c r="C10" s="91"/>
      <c r="D10" s="92">
        <v>26.728999999999999</v>
      </c>
      <c r="E10" s="97">
        <f t="shared" si="0"/>
        <v>6</v>
      </c>
      <c r="F10" s="97">
        <f t="shared" si="1"/>
        <v>6</v>
      </c>
      <c r="G10" s="94">
        <f>IF(Table62202732333738224248[[#This Row],[Non-Member]]="X"," ",IF(F10=" "," ",IFERROR(VLOOKUP(E10,Points!$A$2:$B$14,2,FALSE)," ")))</f>
        <v>3</v>
      </c>
      <c r="H10" s="92">
        <v>29.289000000000001</v>
      </c>
      <c r="I10" s="97">
        <f t="shared" si="2"/>
        <v>7</v>
      </c>
      <c r="J10" s="97" t="str">
        <f t="shared" si="3"/>
        <v xml:space="preserve"> </v>
      </c>
      <c r="K10" s="94" t="str">
        <f>IF(Table62202732333738224248[[#This Row],[Non-Member]]="X"," ",IF(J10=" "," ",IFERROR(VLOOKUP(I10,Points!$A$2:$B$14,2,FALSE)," ")))</f>
        <v xml:space="preserve"> </v>
      </c>
      <c r="L10" s="92">
        <v>24.434999999999999</v>
      </c>
      <c r="M10" s="97">
        <f t="shared" si="4"/>
        <v>2</v>
      </c>
      <c r="N10" s="97">
        <f t="shared" si="5"/>
        <v>2</v>
      </c>
      <c r="O10" s="94">
        <f>IF(Table62202732333738224248[[#This Row],[Non-Member]]="X"," ",IF(N10=" "," ",IFERROR(VLOOKUP(M10,Points!$A$2:$B$14,2,FALSE)," ")))</f>
        <v>15</v>
      </c>
      <c r="P10" s="92">
        <v>24.513000000000002</v>
      </c>
      <c r="Q10" s="97">
        <f t="shared" si="6"/>
        <v>4</v>
      </c>
      <c r="R10" s="97">
        <f t="shared" si="7"/>
        <v>4</v>
      </c>
      <c r="S10" s="94">
        <f>IF(Table62202732333738224248[[#This Row],[Non-Member]]="X"," ",IF(R10=" "," ",IFERROR(VLOOKUP(Q10,Points!$A$2:$B$14,2,FALSE)," ")))</f>
        <v>9</v>
      </c>
      <c r="T10" s="92">
        <v>24.567</v>
      </c>
      <c r="U10" s="97">
        <f t="shared" si="8"/>
        <v>6</v>
      </c>
      <c r="V10" s="97">
        <f t="shared" si="9"/>
        <v>6</v>
      </c>
      <c r="W10" s="94">
        <f>IF(Table62202732333738224248[[#This Row],[Non-Member]]="X"," ",IF(V10=" "," ",IFERROR(VLOOKUP(U10,Points!$A$2:$B$14,2,FALSE)," ")))</f>
        <v>3</v>
      </c>
      <c r="X10" s="92">
        <v>26.492000000000001</v>
      </c>
      <c r="Y10" s="97">
        <f t="shared" si="10"/>
        <v>7</v>
      </c>
      <c r="Z10" s="97" t="str">
        <f t="shared" si="11"/>
        <v xml:space="preserve"> </v>
      </c>
      <c r="AA10" s="94" t="str">
        <f>IF(Table62202732333738224248[[#This Row],[Non-Member]]="X"," ",IF(Z10=" "," ",IFERROR(VLOOKUP(Y10,Points!$A$2:$B$14,2,FALSE)," ")))</f>
        <v xml:space="preserve"> </v>
      </c>
      <c r="AB10" s="92">
        <v>26.856000000000002</v>
      </c>
      <c r="AC10" s="97">
        <f t="shared" si="12"/>
        <v>6</v>
      </c>
      <c r="AD10" s="97">
        <f t="shared" si="13"/>
        <v>6</v>
      </c>
      <c r="AE10" s="94">
        <f>IF(Table62202732333738224248[[#This Row],[Non-Member]]="X"," ",IF(AD10=" "," ",IFERROR(VLOOKUP(AC10,Points!$A$2:$B$14,2,FALSE)," ")))</f>
        <v>3</v>
      </c>
      <c r="AF10" s="92">
        <f t="shared" si="14"/>
        <v>53.347999999999999</v>
      </c>
      <c r="AG10" s="97">
        <f t="shared" si="15"/>
        <v>6</v>
      </c>
      <c r="AH10" s="97">
        <f t="shared" si="16"/>
        <v>6</v>
      </c>
      <c r="AI10" s="94">
        <f>IF(Table62202732333738224248[[#This Row],[Non-Member]]="X"," ",IF(AH10=" "," ",IFERROR(VLOOKUP(AG10,Points!$A$2:$B$14,2,FALSE)," ")))</f>
        <v>3</v>
      </c>
      <c r="AJ10" s="97">
        <f>IF(Table62202732333738224248[[#This Row],[Non-Member]]="X"," ",((IF(G10=" ",0,G10))+(IF(K10=" ",0,K10))+(IF(O10=" ",0,O10))+(IF(S10=" ",0,S10))+(IF(W10=" ",0,W10))+(IF(AA10=" ",0,AA10))+(IF(AE10=" ",0,AE10))+(IF(AI10=" ",0,AI10))))</f>
        <v>36</v>
      </c>
      <c r="AK10" s="95">
        <f t="shared" si="17"/>
        <v>36</v>
      </c>
      <c r="AL10" s="98">
        <f t="shared" si="18"/>
        <v>5</v>
      </c>
    </row>
    <row r="11" spans="2:38" x14ac:dyDescent="0.25">
      <c r="B11" s="90" t="s">
        <v>168</v>
      </c>
      <c r="C11" s="91"/>
      <c r="D11" s="92">
        <v>26.82</v>
      </c>
      <c r="E11" s="93">
        <f t="shared" si="0"/>
        <v>7</v>
      </c>
      <c r="F11" s="93" t="str">
        <f t="shared" si="1"/>
        <v xml:space="preserve"> </v>
      </c>
      <c r="G11" s="94" t="str">
        <f>IF(Table62202732333738224248[[#This Row],[Non-Member]]="X"," ",IF(F11=" "," ",IFERROR(VLOOKUP(E11,Points!$A$2:$B$14,2,FALSE)," ")))</f>
        <v xml:space="preserve"> </v>
      </c>
      <c r="H11" s="92">
        <v>27.03</v>
      </c>
      <c r="I11" s="93">
        <f t="shared" si="2"/>
        <v>4</v>
      </c>
      <c r="J11" s="93">
        <f t="shared" si="3"/>
        <v>4</v>
      </c>
      <c r="K11" s="94">
        <f>IF(Table62202732333738224248[[#This Row],[Non-Member]]="X"," ",IF(J11=" "," ",IFERROR(VLOOKUP(I11,Points!$A$2:$B$14,2,FALSE)," ")))</f>
        <v>9</v>
      </c>
      <c r="L11" s="92">
        <v>33.972999999999999</v>
      </c>
      <c r="M11" s="93">
        <f t="shared" si="4"/>
        <v>7</v>
      </c>
      <c r="N11" s="93" t="str">
        <f t="shared" si="5"/>
        <v xml:space="preserve"> </v>
      </c>
      <c r="O11" s="94" t="str">
        <f>IF(Table62202732333738224248[[#This Row],[Non-Member]]="X"," ",IF(N11=" "," ",IFERROR(VLOOKUP(M11,Points!$A$2:$B$14,2,FALSE)," ")))</f>
        <v xml:space="preserve"> </v>
      </c>
      <c r="P11" s="92">
        <v>33.026000000000003</v>
      </c>
      <c r="Q11" s="93">
        <f t="shared" si="6"/>
        <v>6</v>
      </c>
      <c r="R11" s="93">
        <f t="shared" si="7"/>
        <v>6</v>
      </c>
      <c r="S11" s="94">
        <f>IF(Table62202732333738224248[[#This Row],[Non-Member]]="X"," ",IF(R11=" "," ",IFERROR(VLOOKUP(Q11,Points!$A$2:$B$14,2,FALSE)," ")))</f>
        <v>3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IF(Table62202732333738224248[[#This Row],[Non-Member]]="X"," ",IF(V11=" "," ",IFERROR(VLOOKUP(U11,Points!$A$2:$B$14,2,FALSE)," ")))</f>
        <v xml:space="preserve"> </v>
      </c>
      <c r="X11" s="92">
        <v>29.602</v>
      </c>
      <c r="Y11" s="93">
        <f t="shared" si="10"/>
        <v>9</v>
      </c>
      <c r="Z11" s="93" t="str">
        <f t="shared" si="11"/>
        <v xml:space="preserve"> </v>
      </c>
      <c r="AA11" s="94" t="str">
        <f>IF(Table62202732333738224248[[#This Row],[Non-Member]]="X"," ",IF(Z11=" "," ",IFERROR(VLOOKUP(Y11,Points!$A$2:$B$14,2,FALSE)," ")))</f>
        <v xml:space="preserve"> </v>
      </c>
      <c r="AB11" s="92">
        <v>22.760999999999999</v>
      </c>
      <c r="AC11" s="93">
        <f t="shared" si="12"/>
        <v>3</v>
      </c>
      <c r="AD11" s="93">
        <f t="shared" si="13"/>
        <v>3</v>
      </c>
      <c r="AE11" s="94">
        <f>IF(Table62202732333738224248[[#This Row],[Non-Member]]="X"," ",IF(AD11=" "," ",IFERROR(VLOOKUP(AC11,Points!$A$2:$B$14,2,FALSE)," ")))</f>
        <v>12</v>
      </c>
      <c r="AF11" s="92">
        <f t="shared" si="14"/>
        <v>52.363</v>
      </c>
      <c r="AG11" s="93">
        <f t="shared" si="15"/>
        <v>4</v>
      </c>
      <c r="AH11" s="93">
        <f t="shared" si="16"/>
        <v>4</v>
      </c>
      <c r="AI11" s="94">
        <f>IF(Table62202732333738224248[[#This Row],[Non-Member]]="X"," ",IF(AH11=" "," ",IFERROR(VLOOKUP(AG11,Points!$A$2:$B$14,2,FALSE)," ")))</f>
        <v>9</v>
      </c>
      <c r="AJ11" s="93">
        <f>IF(Table62202732333738224248[[#This Row],[Non-Member]]="X"," ",((IF(G11=" ",0,G11))+(IF(K11=" ",0,K11))+(IF(O11=" ",0,O11))+(IF(S11=" ",0,S11))+(IF(W11=" ",0,W11))+(IF(AA11=" ",0,AA11))+(IF(AE11=" ",0,AE11))+(IF(AI11=" ",0,AI11))))</f>
        <v>33</v>
      </c>
      <c r="AK11" s="95">
        <f t="shared" si="17"/>
        <v>33</v>
      </c>
      <c r="AL11" s="96">
        <f t="shared" si="18"/>
        <v>7</v>
      </c>
    </row>
    <row r="12" spans="2:38" x14ac:dyDescent="0.25">
      <c r="B12" s="90" t="s">
        <v>188</v>
      </c>
      <c r="C12" s="91"/>
      <c r="D12" s="92">
        <v>20.690999999999999</v>
      </c>
      <c r="E12" s="97">
        <f t="shared" si="0"/>
        <v>1</v>
      </c>
      <c r="F12" s="97">
        <f t="shared" si="1"/>
        <v>1</v>
      </c>
      <c r="G12" s="94">
        <f>IF(Table62202732333738224248[[#This Row],[Non-Member]]="X"," ",IF(F12=" "," ",IFERROR(VLOOKUP(E12,Points!$A$2:$B$14,2,FALSE)," ")))</f>
        <v>18</v>
      </c>
      <c r="H12" s="92"/>
      <c r="I12" s="97" t="str">
        <f t="shared" si="2"/>
        <v xml:space="preserve"> </v>
      </c>
      <c r="J12" s="97" t="str">
        <f t="shared" si="3"/>
        <v xml:space="preserve"> </v>
      </c>
      <c r="K12" s="94" t="str">
        <f>IF(Table62202732333738224248[[#This Row],[Non-Member]]="X"," ",IF(J12=" "," ",IFERROR(VLOOKUP(I12,Points!$A$2:$B$14,2,FALSE)," ")))</f>
        <v xml:space="preserve"> </v>
      </c>
      <c r="L12" s="92"/>
      <c r="M12" s="97" t="str">
        <f t="shared" si="4"/>
        <v xml:space="preserve"> </v>
      </c>
      <c r="N12" s="97" t="str">
        <f t="shared" si="5"/>
        <v xml:space="preserve"> </v>
      </c>
      <c r="O12" s="94" t="str">
        <f>IF(Table62202732333738224248[[#This Row],[Non-Member]]="X"," ",IF(N12=" "," ",IFERROR(VLOOKUP(M12,Points!$A$2:$B$14,2,FALSE)," ")))</f>
        <v xml:space="preserve"> </v>
      </c>
      <c r="P12" s="92"/>
      <c r="Q12" s="97" t="str">
        <f t="shared" si="6"/>
        <v xml:space="preserve"> </v>
      </c>
      <c r="R12" s="97" t="str">
        <f t="shared" si="7"/>
        <v xml:space="preserve"> </v>
      </c>
      <c r="S12" s="94" t="str">
        <f>IF(Table62202732333738224248[[#This Row],[Non-Member]]="X"," ",IF(R12=" "," ",IFERROR(VLOOKUP(Q12,Points!$A$2:$B$14,2,FALSE)," ")))</f>
        <v xml:space="preserve"> </v>
      </c>
      <c r="T12" s="92">
        <v>26.603000000000002</v>
      </c>
      <c r="U12" s="97">
        <f t="shared" si="8"/>
        <v>9</v>
      </c>
      <c r="V12" s="97" t="str">
        <f t="shared" si="9"/>
        <v xml:space="preserve"> </v>
      </c>
      <c r="W12" s="94" t="str">
        <f>IF(Table62202732333738224248[[#This Row],[Non-Member]]="X"," ",IF(V12=" "," ",IFERROR(VLOOKUP(U12,Points!$A$2:$B$14,2,FALSE)," ")))</f>
        <v xml:space="preserve"> </v>
      </c>
      <c r="X12" s="92">
        <v>25.459</v>
      </c>
      <c r="Y12" s="97">
        <f t="shared" si="10"/>
        <v>5</v>
      </c>
      <c r="Z12" s="97">
        <f t="shared" si="11"/>
        <v>5</v>
      </c>
      <c r="AA12" s="94">
        <f>IF(Table62202732333738224248[[#This Row],[Non-Member]]="X"," ",IF(Z12=" "," ",IFERROR(VLOOKUP(Y12,Points!$A$2:$B$14,2,FALSE)," ")))</f>
        <v>6</v>
      </c>
      <c r="AB12" s="92">
        <v>32.392000000000003</v>
      </c>
      <c r="AC12" s="97">
        <f t="shared" si="12"/>
        <v>9</v>
      </c>
      <c r="AD12" s="97" t="str">
        <f t="shared" si="13"/>
        <v xml:space="preserve"> </v>
      </c>
      <c r="AE12" s="94" t="str">
        <f>IF(Table62202732333738224248[[#This Row],[Non-Member]]="X"," ",IF(AD12=" "," ",IFERROR(VLOOKUP(AC12,Points!$A$2:$B$14,2,FALSE)," ")))</f>
        <v xml:space="preserve"> </v>
      </c>
      <c r="AF12" s="92">
        <f t="shared" si="14"/>
        <v>57.850999999999999</v>
      </c>
      <c r="AG12" s="97">
        <f t="shared" si="15"/>
        <v>9</v>
      </c>
      <c r="AH12" s="97" t="str">
        <f t="shared" si="16"/>
        <v xml:space="preserve"> </v>
      </c>
      <c r="AI12" s="94" t="str">
        <f>IF(Table62202732333738224248[[#This Row],[Non-Member]]="X"," ",IF(AH12=" "," ",IFERROR(VLOOKUP(AG12,Points!$A$2:$B$14,2,FALSE)," ")))</f>
        <v xml:space="preserve"> </v>
      </c>
      <c r="AJ12" s="97">
        <f>IF(Table62202732333738224248[[#This Row],[Non-Member]]="X"," ",((IF(G12=" ",0,G12))+(IF(K12=" ",0,K12))+(IF(O12=" ",0,O12))+(IF(S12=" ",0,S12))+(IF(W12=" ",0,W12))+(IF(AA12=" ",0,AA12))+(IF(AE12=" ",0,AE12))+(IF(AI12=" ",0,AI12))))</f>
        <v>24</v>
      </c>
      <c r="AK12" s="95">
        <f t="shared" si="17"/>
        <v>24</v>
      </c>
      <c r="AL12" s="98">
        <f t="shared" si="18"/>
        <v>8</v>
      </c>
    </row>
    <row r="13" spans="2:38" x14ac:dyDescent="0.25">
      <c r="B13" s="90" t="s">
        <v>167</v>
      </c>
      <c r="C13" s="91"/>
      <c r="D13" s="92">
        <v>32.250999999999998</v>
      </c>
      <c r="E13" s="93">
        <f t="shared" si="0"/>
        <v>9</v>
      </c>
      <c r="F13" s="93" t="str">
        <f t="shared" si="1"/>
        <v xml:space="preserve"> </v>
      </c>
      <c r="G13" s="94" t="str">
        <f>IF(Table62202732333738224248[[#This Row],[Non-Member]]="X"," ",IF(F13=" "," ",IFERROR(VLOOKUP(E13,Points!$A$2:$B$14,2,FALSE)," ")))</f>
        <v xml:space="preserve"> </v>
      </c>
      <c r="H13" s="92">
        <v>46.811</v>
      </c>
      <c r="I13" s="93">
        <f t="shared" si="2"/>
        <v>8</v>
      </c>
      <c r="J13" s="93" t="str">
        <f t="shared" si="3"/>
        <v xml:space="preserve"> </v>
      </c>
      <c r="K13" s="94" t="str">
        <f>IF(Table62202732333738224248[[#This Row],[Non-Member]]="X"," ",IF(J13=" "," ",IFERROR(VLOOKUP(I13,Points!$A$2:$B$14,2,FALSE)," ")))</f>
        <v xml:space="preserve"> </v>
      </c>
      <c r="L13" s="92">
        <v>25.4</v>
      </c>
      <c r="M13" s="93">
        <f t="shared" si="4"/>
        <v>4</v>
      </c>
      <c r="N13" s="93">
        <f t="shared" si="5"/>
        <v>4</v>
      </c>
      <c r="O13" s="94">
        <f>IF(Table62202732333738224248[[#This Row],[Non-Member]]="X"," ",IF(N13=" "," ",IFERROR(VLOOKUP(M13,Points!$A$2:$B$14,2,FALSE)," ")))</f>
        <v>9</v>
      </c>
      <c r="P13" s="92">
        <v>30.454999999999998</v>
      </c>
      <c r="Q13" s="93">
        <f t="shared" si="6"/>
        <v>5</v>
      </c>
      <c r="R13" s="93">
        <f t="shared" si="7"/>
        <v>5</v>
      </c>
      <c r="S13" s="94">
        <f>IF(Table62202732333738224248[[#This Row],[Non-Member]]="X"," ",IF(R13=" "," ",IFERROR(VLOOKUP(Q13,Points!$A$2:$B$14,2,FALSE)," ")))</f>
        <v>6</v>
      </c>
      <c r="T13" s="92">
        <v>25.027999999999999</v>
      </c>
      <c r="U13" s="93">
        <f t="shared" si="8"/>
        <v>7</v>
      </c>
      <c r="V13" s="93" t="str">
        <f t="shared" si="9"/>
        <v xml:space="preserve"> </v>
      </c>
      <c r="W13" s="94" t="str">
        <f>IF(Table62202732333738224248[[#This Row],[Non-Member]]="X"," ",IF(V13=" "," ",IFERROR(VLOOKUP(U13,Points!$A$2:$B$14,2,FALSE)," ")))</f>
        <v xml:space="preserve"> </v>
      </c>
      <c r="X13" s="92">
        <v>26.076000000000001</v>
      </c>
      <c r="Y13" s="93">
        <f t="shared" si="10"/>
        <v>6</v>
      </c>
      <c r="Z13" s="93">
        <f t="shared" si="11"/>
        <v>6</v>
      </c>
      <c r="AA13" s="94">
        <f>IF(Table62202732333738224248[[#This Row],[Non-Member]]="X"," ",IF(Z13=" "," ",IFERROR(VLOOKUP(Y13,Points!$A$2:$B$14,2,FALSE)," ")))</f>
        <v>3</v>
      </c>
      <c r="AB13" s="92">
        <v>30.401</v>
      </c>
      <c r="AC13" s="93">
        <f t="shared" si="12"/>
        <v>7</v>
      </c>
      <c r="AD13" s="93" t="str">
        <f t="shared" si="13"/>
        <v xml:space="preserve"> </v>
      </c>
      <c r="AE13" s="94" t="str">
        <f>IF(Table62202732333738224248[[#This Row],[Non-Member]]="X"," ",IF(AD13=" "," ",IFERROR(VLOOKUP(AC13,Points!$A$2:$B$14,2,FALSE)," ")))</f>
        <v xml:space="preserve"> </v>
      </c>
      <c r="AF13" s="92">
        <f t="shared" si="14"/>
        <v>56.477000000000004</v>
      </c>
      <c r="AG13" s="93">
        <f t="shared" si="15"/>
        <v>8</v>
      </c>
      <c r="AH13" s="93" t="str">
        <f t="shared" si="16"/>
        <v xml:space="preserve"> </v>
      </c>
      <c r="AI13" s="94" t="str">
        <f>IF(Table62202732333738224248[[#This Row],[Non-Member]]="X"," ",IF(AH13=" "," ",IFERROR(VLOOKUP(AG13,Points!$A$2:$B$14,2,FALSE)," ")))</f>
        <v xml:space="preserve"> </v>
      </c>
      <c r="AJ13" s="93">
        <f>IF(Table62202732333738224248[[#This Row],[Non-Member]]="X"," ",((IF(G13=" ",0,G13))+(IF(K13=" ",0,K13))+(IF(O13=" ",0,O13))+(IF(S13=" ",0,S13))+(IF(W13=" ",0,W13))+(IF(AA13=" ",0,AA13))+(IF(AE13=" ",0,AE13))+(IF(AI13=" ",0,AI13))))</f>
        <v>18</v>
      </c>
      <c r="AK13" s="95">
        <f t="shared" si="17"/>
        <v>18</v>
      </c>
      <c r="AL13" s="96">
        <f t="shared" si="18"/>
        <v>9</v>
      </c>
    </row>
    <row r="14" spans="2:38" x14ac:dyDescent="0.25">
      <c r="B14" s="90" t="s">
        <v>258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IF(Table62202732333738224248[[#This Row],[Non-Member]]="X"," ",IF(F14=" "," ",IFERROR(VLOOKUP(E14,Points!$A$2:$B$14,2,FALSE)," ")))</f>
        <v xml:space="preserve"> </v>
      </c>
      <c r="H14" s="92">
        <v>26.875</v>
      </c>
      <c r="I14" s="93">
        <f t="shared" si="2"/>
        <v>3</v>
      </c>
      <c r="J14" s="93">
        <f t="shared" si="3"/>
        <v>3</v>
      </c>
      <c r="K14" s="94">
        <f>IF(Table62202732333738224248[[#This Row],[Non-Member]]="X"," ",IF(J14=" "," ",IFERROR(VLOOKUP(I14,Points!$A$2:$B$14,2,FALSE)," ")))</f>
        <v>12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IF(Table62202732333738224248[[#This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IF(Table62202732333738224248[[#This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IF(Table62202732333738224248[[#This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IF(Table62202732333738224248[[#This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IF(Table62202732333738224248[[#This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IF(Table62202732333738224248[[#This Row],[Non-Member]]="X"," ",IF(AH14=" "," ",IFERROR(VLOOKUP(AG14,Points!$A$2:$B$14,2,FALSE)," ")))</f>
        <v xml:space="preserve"> </v>
      </c>
      <c r="AJ14" s="93">
        <f>IF(Table62202732333738224248[[#This Row],[Non-Member]]="X"," ",((IF(G14=" ",0,G14))+(IF(K14=" ",0,K14))+(IF(O14=" ",0,O14))+(IF(S14=" ",0,S14))+(IF(W14=" ",0,W14))+(IF(AA14=" ",0,AA14))+(IF(AE14=" ",0,AE14))+(IF(AI14=" ",0,AI14))))</f>
        <v>12</v>
      </c>
      <c r="AK14" s="95">
        <f t="shared" si="17"/>
        <v>12</v>
      </c>
      <c r="AL14" s="96">
        <f t="shared" si="18"/>
        <v>10</v>
      </c>
    </row>
    <row r="15" spans="2:38" x14ac:dyDescent="0.25">
      <c r="B15" s="90" t="s">
        <v>165</v>
      </c>
      <c r="C15" s="91"/>
      <c r="D15" s="92">
        <v>29.562999999999999</v>
      </c>
      <c r="E15" s="97">
        <f t="shared" si="0"/>
        <v>8</v>
      </c>
      <c r="F15" s="97" t="str">
        <f t="shared" si="1"/>
        <v xml:space="preserve"> </v>
      </c>
      <c r="G15" s="94" t="str">
        <f>IF(Table62202732333738224248[[#This Row],[Non-Member]]="X"," ",IF(F15=" "," ",IFERROR(VLOOKUP(E15,Points!$A$2:$B$14,2,FALSE)," ")))</f>
        <v xml:space="preserve"> </v>
      </c>
      <c r="H15" s="92"/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IF(Table62202732333738224248[[#This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IF(Table62202732333738224248[[#This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IF(Table62202732333738224248[[#This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IF(Table62202732333738224248[[#This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IF(Table62202732333738224248[[#This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IF(Table62202732333738224248[[#This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7" t="str">
        <f t="shared" si="15"/>
        <v xml:space="preserve"> </v>
      </c>
      <c r="AH15" s="97" t="str">
        <f t="shared" si="16"/>
        <v xml:space="preserve"> </v>
      </c>
      <c r="AI15" s="94" t="str">
        <f>IF(Table62202732333738224248[[#This Row],[Non-Member]]="X"," ",IF(AH15=" "," ",IFERROR(VLOOKUP(AG15,Points!$A$2:$B$14,2,FALSE)," ")))</f>
        <v xml:space="preserve"> </v>
      </c>
      <c r="AJ15" s="97">
        <f>IF(Table62202732333738224248[[#This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8" t="str">
        <f t="shared" si="18"/>
        <v xml:space="preserve"> </v>
      </c>
    </row>
    <row r="16" spans="2:38" x14ac:dyDescent="0.25">
      <c r="B16" s="90" t="s">
        <v>284</v>
      </c>
      <c r="C16" s="91" t="s">
        <v>95</v>
      </c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IF(Table62202732333738224248[[#This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IF(Table62202732333738224248[[#This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IF(Table62202732333738224248[[#This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IF(Table62202732333738224248[[#This Row],[Non-Member]]="X"," ",IF(R16=" "," ",IFERROR(VLOOKUP(Q16,Points!$A$2:$B$14,2,FALSE)," ")))</f>
        <v xml:space="preserve"> </v>
      </c>
      <c r="T16" s="92">
        <v>26.486999999999998</v>
      </c>
      <c r="U16" s="93">
        <f t="shared" si="8"/>
        <v>8</v>
      </c>
      <c r="V16" s="93" t="str">
        <f t="shared" si="9"/>
        <v xml:space="preserve"> </v>
      </c>
      <c r="W16" s="94" t="str">
        <f>IF(Table62202732333738224248[[#This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IF(Table62202732333738224248[[#This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IF(Table62202732333738224248[[#This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IF(Table62202732333738224248[[#This Row],[Non-Member]]="X"," ",IF(AH16=" "," ",IFERROR(VLOOKUP(AG16,Points!$A$2:$B$14,2,FALSE)," ")))</f>
        <v xml:space="preserve"> </v>
      </c>
      <c r="AJ16" s="93" t="str">
        <f>IF(Table62202732333738224248[[#This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25">
      <c r="B17" s="90" t="s">
        <v>189</v>
      </c>
      <c r="C17" s="91" t="s">
        <v>95</v>
      </c>
      <c r="D17" s="92">
        <v>23.07</v>
      </c>
      <c r="E17" s="93">
        <f t="shared" si="0"/>
        <v>4</v>
      </c>
      <c r="F17" s="93">
        <f t="shared" si="1"/>
        <v>4</v>
      </c>
      <c r="G17" s="94" t="str">
        <f>IF(Table62202732333738224248[[#This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IF(Table62202732333738224248[[#This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IF(Table62202732333738224248[[#This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IF(Table62202732333738224248[[#This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IF(Table62202732333738224248[[#This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IF(Table62202732333738224248[[#This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IF(Table62202732333738224248[[#This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IF(Table62202732333738224248[[#This Row],[Non-Member]]="X"," ",IF(AH17=" "," ",IFERROR(VLOOKUP(AG17,Points!$A$2:$B$14,2,FALSE)," ")))</f>
        <v xml:space="preserve"> </v>
      </c>
      <c r="AJ17" s="93" t="str">
        <f>IF(Table62202732333738224248[[#This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25">
      <c r="B18" s="90" t="s">
        <v>169</v>
      </c>
      <c r="C18" s="91"/>
      <c r="D18" s="92">
        <v>0</v>
      </c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IF(Table62202732333738224248[[#This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IF(Table62202732333738224248[[#This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IF(Table62202732333738224248[[#This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IF(Table62202732333738224248[[#This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IF(Table62202732333738224248[[#This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IF(Table62202732333738224248[[#This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IF(Table62202732333738224248[[#This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IF(Table62202732333738224248[[#This Row],[Non-Member]]="X"," ",IF(AH18=" "," ",IFERROR(VLOOKUP(AG18,Points!$A$2:$B$14,2,FALSE)," ")))</f>
        <v xml:space="preserve"> </v>
      </c>
      <c r="AJ18" s="93">
        <f>IF(Table62202732333738224248[[#This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25">
      <c r="B19" s="90" t="s">
        <v>260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IF(Table62202732333738224248[[#This Row],[Non-Member]]="X"," ",IF(F19=" "," ",IFERROR(VLOOKUP(E19,Points!$A$2:$B$14,2,FALSE)," ")))</f>
        <v xml:space="preserve"> </v>
      </c>
      <c r="H19" s="138">
        <v>0</v>
      </c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IF(Table62202732333738224248[[#This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IF(Table62202732333738224248[[#This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IF(Table62202732333738224248[[#This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IF(Table62202732333738224248[[#This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IF(Table62202732333738224248[[#This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IF(Table62202732333738224248[[#This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IF(Table62202732333738224248[[#This Row],[Non-Member]]="X"," ",IF(AH19=" "," ",IFERROR(VLOOKUP(AG19,Points!$A$2:$B$14,2,FALSE)," ")))</f>
        <v xml:space="preserve"> </v>
      </c>
      <c r="AJ19" s="93">
        <f>IF(Table62202732333738224248[[#This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 t="s">
        <v>161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IF(Table62202732333738224248[[#This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IF(Table62202732333738224248[[#This Row],[Non-Member]]="X"," ",IF(J20=" "," ",IFERROR(VLOOKUP(I20,Points!$A$2:$B$14,2,FALSE)," ")))</f>
        <v xml:space="preserve"> </v>
      </c>
      <c r="L20" s="92">
        <v>0</v>
      </c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IF(Table62202732333738224248[[#This Row],[Non-Member]]="X"," ",IF(N20=" "," ",IFERROR(VLOOKUP(M20,Points!$A$2:$B$14,2,FALSE)," ")))</f>
        <v xml:space="preserve"> </v>
      </c>
      <c r="P20" s="92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IF(Table62202732333738224248[[#This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IF(Table62202732333738224248[[#This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IF(Table62202732333738224248[[#This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IF(Table62202732333738224248[[#This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IF(Table62202732333738224248[[#This Row],[Non-Member]]="X"," ",IF(AH20=" "," ",IFERROR(VLOOKUP(AG20,Points!$A$2:$B$14,2,FALSE)," ")))</f>
        <v xml:space="preserve"> </v>
      </c>
      <c r="AJ20" s="93">
        <f>IF(Table62202732333738224248[[#This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IF(Table62202732333738224248[[#This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IF(Table62202732333738224248[[#This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IF(Table62202732333738224248[[#This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IF(Table62202732333738224248[[#This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IF(Table62202732333738224248[[#This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IF(Table62202732333738224248[[#This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IF(Table62202732333738224248[[#This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IF(Table62202732333738224248[[#This Row],[Non-Member]]="X"," ",IF(AH21=" "," ",IFERROR(VLOOKUP(AG21,Points!$A$2:$B$14,2,FALSE)," ")))</f>
        <v xml:space="preserve"> </v>
      </c>
      <c r="AJ21" s="93">
        <f>IF(Table62202732333738224248[[#This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IF(Table62202732333738224248[[#This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IF(Table62202732333738224248[[#This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IF(Table62202732333738224248[[#This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IF(Table62202732333738224248[[#This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IF(Table62202732333738224248[[#This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IF(Table62202732333738224248[[#This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IF(Table62202732333738224248[[#This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IF(Table62202732333738224248[[#This Row],[Non-Member]]="X"," ",IF(AH22=" "," ",IFERROR(VLOOKUP(AG22,Points!$A$2:$B$14,2,FALSE)," ")))</f>
        <v xml:space="preserve"> </v>
      </c>
      <c r="AJ22" s="93">
        <f>IF(Table62202732333738224248[[#This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IF(Table62202732333738224248[[#This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IF(Table62202732333738224248[[#This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IF(Table62202732333738224248[[#This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IF(Table62202732333738224248[[#This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IF(Table62202732333738224248[[#This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IF(Table62202732333738224248[[#This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IF(Table62202732333738224248[[#This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IF(Table62202732333738224248[[#This Row],[Non-Member]]="X"," ",IF(AH23=" "," ",IFERROR(VLOOKUP(AG23,Points!$A$2:$B$14,2,FALSE)," ")))</f>
        <v xml:space="preserve"> </v>
      </c>
      <c r="AJ23" s="93">
        <f>IF(Table62202732333738224248[[#This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IF(Table62202732333738224248[[#This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IF(Table62202732333738224248[[#This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IF(Table62202732333738224248[[#This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IF(Table62202732333738224248[[#This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IF(Table62202732333738224248[[#This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IF(Table62202732333738224248[[#This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IF(Table62202732333738224248[[#This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IF(Table62202732333738224248[[#This Row],[Non-Member]]="X"," ",IF(AH24=" "," ",IFERROR(VLOOKUP(AG24,Points!$A$2:$B$14,2,FALSE)," ")))</f>
        <v xml:space="preserve"> </v>
      </c>
      <c r="AJ24" s="93">
        <f>IF(Table62202732333738224248[[#This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/7WGSqHWd6DS+2/AMaBdpYWxjqj8q+HQ2yKlkfIrM85TmtuUnx2N+DprxT5IOQx8T8sMrYRWvJyPaEtHrY572g==" saltValue="G3DgOe3ZBu55n8OnUKmlS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04C70-F2F8-4280-B969-49D0714B7923}">
  <sheetPr codeName="Sheet72">
    <tabColor theme="8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AI5" sqref="AI5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47" style="62" customWidth="1"/>
    <col min="3" max="3" width="11.6640625" style="60" hidden="1" customWidth="1"/>
    <col min="4" max="4" width="11.6640625" style="60" customWidth="1"/>
    <col min="5" max="5" width="11.6640625" style="57" customWidth="1"/>
    <col min="6" max="6" width="11.6640625" style="60" hidden="1" customWidth="1"/>
    <col min="7" max="7" width="11.6640625" style="60" customWidth="1"/>
    <col min="8" max="8" width="11.6640625" style="57" customWidth="1"/>
    <col min="9" max="9" width="11.6640625" style="60" hidden="1" customWidth="1"/>
    <col min="10" max="10" width="11.6640625" style="60" customWidth="1"/>
    <col min="11" max="11" width="11.6640625" style="57" customWidth="1"/>
    <col min="12" max="12" width="11.6640625" style="60" hidden="1" customWidth="1"/>
    <col min="13" max="13" width="11.6640625" style="60" customWidth="1"/>
    <col min="14" max="14" width="11.6640625" style="57" customWidth="1"/>
    <col min="15" max="15" width="11.6640625" style="60" hidden="1" customWidth="1"/>
    <col min="16" max="16" width="11.6640625" style="60" customWidth="1"/>
    <col min="17" max="17" width="11.6640625" style="57" customWidth="1"/>
    <col min="18" max="18" width="11.6640625" style="60" hidden="1" customWidth="1"/>
    <col min="19" max="19" width="11.6640625" style="60" customWidth="1"/>
    <col min="20" max="20" width="11.6640625" style="57" customWidth="1"/>
    <col min="21" max="21" width="11.6640625" style="60" hidden="1" customWidth="1"/>
    <col min="22" max="22" width="11.6640625" style="60" customWidth="1"/>
    <col min="23" max="23" width="11.6640625" style="57" customWidth="1"/>
    <col min="24" max="24" width="11.6640625" style="60" hidden="1" customWidth="1"/>
    <col min="25" max="25" width="11.6640625" style="60" customWidth="1"/>
    <col min="26" max="26" width="11.6640625" style="57" customWidth="1"/>
    <col min="27" max="27" width="11.6640625" style="60" hidden="1" customWidth="1"/>
    <col min="28" max="28" width="11.6640625" style="60" customWidth="1"/>
    <col min="29" max="29" width="11.6640625" style="57" customWidth="1"/>
    <col min="30" max="16384" width="9.109375" style="62"/>
  </cols>
  <sheetData>
    <row r="1" spans="2:29" ht="18" thickBot="1" x14ac:dyDescent="0.35">
      <c r="B1" s="54"/>
    </row>
    <row r="2" spans="2:29" s="64" customFormat="1" ht="17.399999999999999" x14ac:dyDescent="0.3">
      <c r="B2" s="139" t="s">
        <v>112</v>
      </c>
      <c r="C2" s="165">
        <v>43590</v>
      </c>
      <c r="D2" s="166"/>
      <c r="E2" s="167"/>
      <c r="F2" s="166">
        <v>43632</v>
      </c>
      <c r="G2" s="166"/>
      <c r="H2" s="167"/>
      <c r="I2" s="166">
        <v>43659</v>
      </c>
      <c r="J2" s="166"/>
      <c r="K2" s="167"/>
      <c r="L2" s="166">
        <v>43660</v>
      </c>
      <c r="M2" s="166"/>
      <c r="N2" s="167"/>
      <c r="O2" s="166">
        <v>43681</v>
      </c>
      <c r="P2" s="166"/>
      <c r="Q2" s="167"/>
      <c r="R2" s="166" t="s">
        <v>183</v>
      </c>
      <c r="S2" s="166"/>
      <c r="T2" s="167"/>
      <c r="U2" s="166" t="s">
        <v>184</v>
      </c>
      <c r="V2" s="166"/>
      <c r="W2" s="167"/>
      <c r="X2" s="166" t="s">
        <v>3</v>
      </c>
      <c r="Y2" s="166"/>
      <c r="Z2" s="167"/>
      <c r="AA2" s="166" t="s">
        <v>4</v>
      </c>
      <c r="AB2" s="166"/>
      <c r="AC2" s="167"/>
    </row>
    <row r="3" spans="2:29" s="74" customFormat="1" ht="14.4" thickBot="1" x14ac:dyDescent="0.3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3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25">
      <c r="B5" s="140" t="s">
        <v>149</v>
      </c>
      <c r="C5" s="118">
        <f>IFERROR(IF(VLOOKUP($B5,'JR-Team Roping-Header'!$B$5:$N$24,3,FALSE)=" ",0,VLOOKUP($B5,'JR-Team Roping-Header'!$B$5:$N$24,3,FALSE)),0)+IFERROR(IF(VLOOKUP($B5,'JR-Team Roping-Heeler'!$B$5:$N$24,3,FALSE)=" ",0,VLOOKUP($B5,'JR-Team Roping-Heeler'!$B$5:$N$24,3,FALSE)),0)+IFERROR(IF(VLOOKUP($B5,'JR B-Steer Riding'!$B$5:$AI$24,6,FALSE)=" ",0,VLOOKUP($B5,'JR B-Steer Riding'!$B$5:$AI$24,6,FALSE)),0)+IFERROR(IF(VLOOKUP($B5,'JR B-Goats'!$B$5:$AI$24,6,FALSE)=" ",0,VLOOKUP($B5,'JR B-Goats'!$B$5:$AI$24,6,FALSE)),0)+IFERROR(IF(VLOOKUP($B5,'JR B-Calf Tying'!$B$5:$AI$24,6,FALSE)=" ",0,VLOOKUP($B5,'JR B-Calf Tying'!$B$5:$AI$24,6,FALSE)),0)+IFERROR(IF(VLOOKUP($B5,'JR B-Breakaway'!$B$5:$AI$24,6,FALSE)=" ",0,VLOOKUP($B5,'JR B-Breakaway'!$B$5:$AI$24,6,FALSE)),0)</f>
        <v>51</v>
      </c>
      <c r="D5" s="88">
        <f t="shared" ref="D5:D24" si="0">IF(C5&gt;0,C5," ")</f>
        <v>51</v>
      </c>
      <c r="E5" s="84">
        <f t="shared" ref="E5:E24" si="1">IF(C5=0," ",RANK(C5,C$5:C$24,0))</f>
        <v>2</v>
      </c>
      <c r="F5" s="119">
        <f>IFERROR(IF(VLOOKUP($B5,'JR-Team Roping-Header'!$B$5:$N$24,4,FALSE)=" ",0,VLOOKUP($B5,'JR-Team Roping-Header'!$B$5:$N$24,4,FALSE)),0)+IFERROR(IF(VLOOKUP($B5,'JR-Team Roping-Heeler'!$B$5:$N$24,4,FALSE)=" ",0,VLOOKUP($B5,'JR-Team Roping-Heeler'!$B$5:$N$24,4,FALSE)),0)+IFERROR(IF(VLOOKUP($B5,'JR B-Steer Riding'!$B$5:$AI$24,10,FALSE)=" ",0,VLOOKUP($B5,'JR B-Steer Riding'!$B$5:$AI$24,10,FALSE)),0)+IFERROR(IF(VLOOKUP($B5,'JR B-Goats'!$B$5:$AI$24,10,FALSE)=" ",0,VLOOKUP($B5,'JR B-Goats'!$B$5:$AI$24,10,FALSE)),0)+IFERROR(IF(VLOOKUP($B5,'JR B-Calf Tying'!$B$5:$AI$24,10,FALSE)=" ",0,VLOOKUP($B5,'JR B-Calf Tying'!$B$5:$AI$24,10,FALSE)),0)+IFERROR(IF(VLOOKUP($B5,'JR B-Breakaway'!$B$5:$AI$24,10,FALSE)=" ",0,VLOOKUP($B5,'JR B-Breakaway'!$B$5:$AI$24,10,FALSE)),0)</f>
        <v>45</v>
      </c>
      <c r="G5" s="88">
        <f t="shared" ref="G5:G24" si="2">IF(F5&gt;0,F5," ")</f>
        <v>45</v>
      </c>
      <c r="H5" s="84">
        <f t="shared" ref="H5:H24" si="3">IF(F5=0," ",RANK(F5,F$5:F$24,0))</f>
        <v>4</v>
      </c>
      <c r="I5" s="119">
        <f>IFERROR(IF(VLOOKUP($B5,'JR-Team Roping-Header'!$B$5:$N$24,5,FALSE)=" ",0,VLOOKUP($B5,'JR-Team Roping-Header'!$B$5:$N$24,5,FALSE)),0)+IFERROR(IF(VLOOKUP($B5,'JR-Team Roping-Heeler'!$B$5:$N$24,5,FALSE)=" ",0,VLOOKUP($B5,'JR-Team Roping-Heeler'!$B$5:$N$24,5,FALSE)),0)+IFERROR(IF(VLOOKUP($B5,'JR B-Steer Riding'!$B$5:$AI$24,14,FALSE)=" ",0,VLOOKUP($B5,'JR B-Steer Riding'!$B$5:$AI$24,14,FALSE)),0)+IFERROR(IF(VLOOKUP($B5,'JR B-Goats'!$B$5:$AI$24,14,FALSE)=" ",0,VLOOKUP($B5,'JR B-Goats'!$B$5:$AI$24,14,FALSE)),0)+IFERROR(IF(VLOOKUP($B5,'JR B-Calf Tying'!$B$5:$AI$24,14,FALSE)=" ",0,VLOOKUP($B5,'JR B-Calf Tying'!$B$5:$AI$24,14,FALSE)),0)+IFERROR(IF(VLOOKUP($B5,'JR B-Breakaway'!$B$5:$AI$24,14,FALSE)=" ",0,VLOOKUP($B5,'JR B-Breakaway'!$B$5:$AI$24,14,FALSE)),0)</f>
        <v>51</v>
      </c>
      <c r="J5" s="88">
        <f t="shared" ref="J5:J24" si="4">IF(I5&gt;0,I5," ")</f>
        <v>51</v>
      </c>
      <c r="K5" s="84">
        <f t="shared" ref="K5:K24" si="5">IF(I5=0," ",RANK(I5,I$5:I$24,0))</f>
        <v>3</v>
      </c>
      <c r="L5" s="119">
        <f>IFERROR(IF(VLOOKUP($B5,'JR-Team Roping-Header'!$B$5:$N$24,6,FALSE)=" ",0,VLOOKUP($B5,'JR-Team Roping-Header'!$B$5:$N$24,6,FALSE)),0)+IFERROR(IF(VLOOKUP($B5,'JR-Team Roping-Heeler'!$B$5:$N$24,6,FALSE)=" ",0,VLOOKUP($B5,'JR-Team Roping-Heeler'!$B$5:$N$24,6,FALSE)),0)+IFERROR(IF(VLOOKUP($B5,'JR B-Steer Riding'!$B$5:$AI$24,18,FALSE)=" ",0,VLOOKUP($B5,'JR B-Steer Riding'!$B$5:$AI$24,18,FALSE)),0)+IFERROR(IF(VLOOKUP($B5,'JR B-Goats'!$B$5:$AI$24,18,FALSE)=" ",0,VLOOKUP($B5,'JR B-Goats'!$B$5:$AI$24,18,FALSE)),0)+IFERROR(IF(VLOOKUP($B5,'JR B-Calf Tying'!$B$5:$AI$24,18,FALSE)=" ",0,VLOOKUP($B5,'JR B-Calf Tying'!$B$5:$AI$24,18,FALSE)),0)+IFERROR(IF(VLOOKUP($B5,'JR B-Breakaway'!$B$5:$AI$24,18,FALSE)=" ",0,VLOOKUP($B5,'JR B-Breakaway'!$B$5:$AI$24,18,FALSE)),0)</f>
        <v>78</v>
      </c>
      <c r="M5" s="88">
        <f t="shared" ref="M5:M24" si="6">IF(L5&gt;0,L5," ")</f>
        <v>78</v>
      </c>
      <c r="N5" s="84">
        <f t="shared" ref="N5:N24" si="7">IF(L5=0," ",RANK(L5,L$5:L$24,0))</f>
        <v>1</v>
      </c>
      <c r="O5" s="119">
        <f>IFERROR(IF(VLOOKUP($B5,'JR-Team Roping-Header'!$B$5:$N$24,7,FALSE)=" ",0,VLOOKUP($B5,'JR-Team Roping-Header'!$B$5:$N$24,7,FALSE)),0)+IFERROR(IF(VLOOKUP($B5,'JR-Team Roping-Heeler'!$B$5:$N$24,7,FALSE)=" ",0,VLOOKUP($B5,'JR-Team Roping-Heeler'!$B$5:$N$24,7,FALSE)),0)+IFERROR(IF(VLOOKUP($B5,'JR B-Steer Riding'!$B$5:$AI$24,22,FALSE)=" ",0,VLOOKUP($B5,'JR B-Steer Riding'!$B$5:$AI$24,22,FALSE)),0)+IFERROR(IF(VLOOKUP($B5,'JR B-Goats'!$B$5:$AI$24,22,FALSE)=" ",0,VLOOKUP($B5,'JR B-Goats'!$B$5:$AI$24,22,FALSE)),0)+IFERROR(IF(VLOOKUP($B5,'JR B-Calf Tying'!$B$5:$AI$24,22,FALSE)=" ",0,VLOOKUP($B5,'JR B-Calf Tying'!$B$5:$AI$24,22,FALSE)),0)+IFERROR(IF(VLOOKUP($B5,'JR B-Breakaway'!$B$5:$AI$24,22,FALSE)=" ",0,VLOOKUP($B5,'JR B-Breakaway'!$B$5:$AI$24,22,FALSE)),0)</f>
        <v>39</v>
      </c>
      <c r="P5" s="88">
        <f t="shared" ref="P5:P24" si="8">IF(O5&gt;0,O5," ")</f>
        <v>39</v>
      </c>
      <c r="Q5" s="84">
        <f t="shared" ref="Q5:Q24" si="9">IF(O5=0," ",RANK(O5,O$5:O$24,0))</f>
        <v>1</v>
      </c>
      <c r="R5" s="119">
        <f>IFERROR(IF(VLOOKUP($B5,'JR-Team Roping-Header'!$B$5:$N$24,8,FALSE)=" ",0,VLOOKUP($B5,'JR-Team Roping-Header'!$B$5:$N$24,8,FALSE)),0)+IFERROR(IF(VLOOKUP($B5,'JR-Team Roping-Heeler'!$B$5:$N$24,8,FALSE)=" ",0,VLOOKUP($B5,'JR-Team Roping-Heeler'!$B$5:$N$24,8,FALSE)),0)+IFERROR(IF(VLOOKUP($B5,'JR B-Steer Riding'!$B$5:$AI$24,26,FALSE)=" ",0,VLOOKUP($B5,'JR B-Steer Riding'!$B$5:$AI$24,26,FALSE)),0)+IFERROR(IF(VLOOKUP($B5,'JR B-Goats'!$B$5:$AI$24,26,FALSE)=" ",0,VLOOKUP($B5,'JR B-Goats'!$B$5:$AI$24,26,FALSE)),0)+IFERROR(IF(VLOOKUP($B5,'JR B-Calf Tying'!$B$5:$AI$24,26,FALSE)=" ",0,VLOOKUP($B5,'JR B-Calf Tying'!$B$5:$AI$24,26,FALSE)),0)+IFERROR(IF(VLOOKUP($B5,'JR B-Breakaway'!$B$5:$AI$24,26,FALSE)=" ",0,VLOOKUP($B5,'JR B-Breakaway'!$B$5:$AI$24,26,FALSE)),0)</f>
        <v>90</v>
      </c>
      <c r="S5" s="88">
        <f t="shared" ref="S5:S24" si="10">IF(R5&gt;0,R5," ")</f>
        <v>90</v>
      </c>
      <c r="T5" s="84">
        <f t="shared" ref="T5:T24" si="11">IF(R5=0," ",RANK(R5,R$5:R$24,0))</f>
        <v>1</v>
      </c>
      <c r="U5" s="119">
        <f>IFERROR(IF(VLOOKUP($B5,'JR-Team Roping-Header'!$B$5:$N$24,9,FALSE)=" ",0,VLOOKUP($B5,'JR-Team Roping-Header'!$B$5:$N$24,9,FALSE)),0)+IFERROR(IF(VLOOKUP($B5,'JR-Team Roping-Heeler'!$B$5:$N$24,9,FALSE)=" ",0,VLOOKUP($B5,'JR-Team Roping-Heeler'!$B$5:$N$24,9,FALSE)),0)+IFERROR(IF(VLOOKUP($B5,'JR B-Steer Riding'!$B$5:$AI$24,30,FALSE)=" ",0,VLOOKUP($B5,'JR B-Steer Riding'!$B$5:$AI$24,30,FALSE)),0)+IFERROR(IF(VLOOKUP($B5,'JR B-Goats'!$B$5:$AI$24,30,FALSE)=" ",0,VLOOKUP($B5,'JR B-Goats'!$B$5:$AI$24,30,FALSE)),0)+IFERROR(IF(VLOOKUP($B5,'JR B-Calf Tying'!$B$5:$AI$24,30,FALSE)=" ",0,VLOOKUP($B5,'JR B-Calf Tying'!$B$5:$AI$24,30,FALSE)),0)+IFERROR(IF(VLOOKUP($B5,'JR B-Breakaway'!$B$5:$AI$24,30,FALSE)=" ",0,VLOOKUP($B5,'JR B-Breakaway'!$B$5:$AI$24,30,FALSE)),0)</f>
        <v>76.5</v>
      </c>
      <c r="V5" s="88">
        <f t="shared" ref="V5:V24" si="12">IF(U5&gt;0,U5," ")</f>
        <v>76.5</v>
      </c>
      <c r="W5" s="84">
        <f t="shared" ref="W5:W24" si="13">IF(U5=0," ",RANK(U5,U$5:U$24,0))</f>
        <v>1</v>
      </c>
      <c r="X5" s="119">
        <f>IFERROR(IF(VLOOKUP($B5,'JR-Team Roping-Header'!$B$5:$N$24,10,FALSE)=" ",0,VLOOKUP($B5,'JR-Team Roping-Header'!$B$5:$N$24,10,FALSE)),0)+IFERROR(IF(VLOOKUP($B5,'JR-Team Roping-Heeler'!$B$5:$N$24,10,FALSE)=" ",0,VLOOKUP($B5,'JR-Team Roping-Heeler'!$B$5:$N$24,10,FALSE)),0)+IFERROR(IF(VLOOKUP($B5,'JR B-Steer Riding'!$B$5:$AI$24,34,FALSE)=" ",0,VLOOKUP($B5,'JR B-Steer Riding'!$B$5:$AI$24,34,FALSE)),0)+IFERROR(IF(VLOOKUP($B5,'JR B-Goats'!$B$5:$AI$24,34,FALSE)=" ",0,VLOOKUP($B5,'JR B-Goats'!$B$5:$AI$24,34,FALSE)),0)+IFERROR(IF(VLOOKUP($B5,'JR B-Calf Tying'!$B$5:$AI$24,34,FALSE)=" ",0,VLOOKUP($B5,'JR B-Calf Tying'!$B$5:$AI$24,34,FALSE)),0)+IFERROR(IF(VLOOKUP($B5,'JR B-Breakaway'!$B$5:$AI$24,34,FALSE)=" ",0,VLOOKUP($B5,'JR B-Breakaway'!$B$5:$AI$24,34,FALSE)),0)</f>
        <v>90</v>
      </c>
      <c r="Y5" s="88">
        <f t="shared" ref="Y5:Y24" si="14">IF(X5&gt;0,X5," ")</f>
        <v>90</v>
      </c>
      <c r="Z5" s="84">
        <f t="shared" ref="Z5:Z24" si="15">IF(X5=0," ",RANK(X5,X$5:X$24,0))</f>
        <v>1</v>
      </c>
      <c r="AA5" s="119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520.5</v>
      </c>
      <c r="AB5" s="88">
        <f t="shared" ref="AB5:AB24" si="16">IF(AA5&gt;0,AA5," ")</f>
        <v>520.5</v>
      </c>
      <c r="AC5" s="84">
        <f t="shared" ref="AC5:AC24" si="17">IF(AB5=" "," ",RANK(AB5,AB$5:AB$24))</f>
        <v>1</v>
      </c>
    </row>
    <row r="6" spans="2:29" x14ac:dyDescent="0.25">
      <c r="B6" s="141" t="s">
        <v>135</v>
      </c>
      <c r="C6" s="120">
        <f>IFERROR(IF(VLOOKUP($B6,'JR-Team Roping-Header'!$B$5:$N$24,3,FALSE)=" ",0,VLOOKUP($B6,'JR-Team Roping-Header'!$B$5:$N$24,3,FALSE)),0)+IFERROR(IF(VLOOKUP($B6,'JR-Team Roping-Heeler'!$B$5:$N$24,3,FALSE)=" ",0,VLOOKUP($B6,'JR-Team Roping-Heeler'!$B$5:$N$24,3,FALSE)),0)+IFERROR(IF(VLOOKUP($B6,'JR B-Steer Riding'!$B$5:$AI$24,6,FALSE)=" ",0,VLOOKUP($B6,'JR B-Steer Riding'!$B$5:$AI$24,6,FALSE)),0)+IFERROR(IF(VLOOKUP($B6,'JR B-Goats'!$B$5:$AI$24,6,FALSE)=" ",0,VLOOKUP($B6,'JR B-Goats'!$B$5:$AI$24,6,FALSE)),0)+IFERROR(IF(VLOOKUP($B6,'JR B-Calf Tying'!$B$5:$AI$24,6,FALSE)=" ",0,VLOOKUP($B6,'JR B-Calf Tying'!$B$5:$AI$24,6,FALSE)),0)+IFERROR(IF(VLOOKUP($B6,'JR B-Breakaway'!$B$5:$AI$24,6,FALSE)=" ",0,VLOOKUP($B6,'JR B-Breakaway'!$B$5:$AI$24,6,FALSE)),0)</f>
        <v>60</v>
      </c>
      <c r="D6" s="95">
        <f t="shared" si="0"/>
        <v>60</v>
      </c>
      <c r="E6" s="91">
        <f t="shared" si="1"/>
        <v>1</v>
      </c>
      <c r="F6" s="121">
        <f>IFERROR(IF(VLOOKUP($B6,'JR-Team Roping-Header'!$B$5:$N$24,4,FALSE)=" ",0,VLOOKUP($B6,'JR-Team Roping-Header'!$B$5:$N$24,4,FALSE)),0)+IFERROR(IF(VLOOKUP($B6,'JR-Team Roping-Heeler'!$B$5:$N$24,4,FALSE)=" ",0,VLOOKUP($B6,'JR-Team Roping-Heeler'!$B$5:$N$24,4,FALSE)),0)+IFERROR(IF(VLOOKUP($B6,'JR B-Steer Riding'!$B$5:$AI$24,10,FALSE)=" ",0,VLOOKUP($B6,'JR B-Steer Riding'!$B$5:$AI$24,10,FALSE)),0)+IFERROR(IF(VLOOKUP($B6,'JR B-Goats'!$B$5:$AI$24,10,FALSE)=" ",0,VLOOKUP($B6,'JR B-Goats'!$B$5:$AI$24,10,FALSE)),0)+IFERROR(IF(VLOOKUP($B6,'JR B-Calf Tying'!$B$5:$AI$24,10,FALSE)=" ",0,VLOOKUP($B6,'JR B-Calf Tying'!$B$5:$AI$24,10,FALSE)),0)+IFERROR(IF(VLOOKUP($B6,'JR B-Breakaway'!$B$5:$AI$24,10,FALSE)=" ",0,VLOOKUP($B6,'JR B-Breakaway'!$B$5:$AI$24,10,FALSE)),0)</f>
        <v>78</v>
      </c>
      <c r="G6" s="95">
        <f t="shared" si="2"/>
        <v>78</v>
      </c>
      <c r="H6" s="91">
        <f t="shared" si="3"/>
        <v>1</v>
      </c>
      <c r="I6" s="121">
        <f>IFERROR(IF(VLOOKUP($B6,'JR-Team Roping-Header'!$B$5:$N$24,5,FALSE)=" ",0,VLOOKUP($B6,'JR-Team Roping-Header'!$B$5:$N$24,5,FALSE)),0)+IFERROR(IF(VLOOKUP($B6,'JR-Team Roping-Heeler'!$B$5:$N$24,5,FALSE)=" ",0,VLOOKUP($B6,'JR-Team Roping-Heeler'!$B$5:$N$24,5,FALSE)),0)+IFERROR(IF(VLOOKUP($B6,'JR B-Steer Riding'!$B$5:$AI$24,14,FALSE)=" ",0,VLOOKUP($B6,'JR B-Steer Riding'!$B$5:$AI$24,14,FALSE)),0)+IFERROR(IF(VLOOKUP($B6,'JR B-Goats'!$B$5:$AI$24,14,FALSE)=" ",0,VLOOKUP($B6,'JR B-Goats'!$B$5:$AI$24,14,FALSE)),0)+IFERROR(IF(VLOOKUP($B6,'JR B-Calf Tying'!$B$5:$AI$24,14,FALSE)=" ",0,VLOOKUP($B6,'JR B-Calf Tying'!$B$5:$AI$24,14,FALSE)),0)+IFERROR(IF(VLOOKUP($B6,'JR B-Breakaway'!$B$5:$AI$24,14,FALSE)=" ",0,VLOOKUP($B6,'JR B-Breakaway'!$B$5:$AI$24,14,FALSE)),0)</f>
        <v>66</v>
      </c>
      <c r="J6" s="95">
        <f t="shared" si="4"/>
        <v>66</v>
      </c>
      <c r="K6" s="91">
        <f t="shared" si="5"/>
        <v>1</v>
      </c>
      <c r="L6" s="121">
        <f>IFERROR(IF(VLOOKUP($B6,'JR-Team Roping-Header'!$B$5:$N$24,6,FALSE)=" ",0,VLOOKUP($B6,'JR-Team Roping-Header'!$B$5:$N$24,6,FALSE)),0)+IFERROR(IF(VLOOKUP($B6,'JR-Team Roping-Heeler'!$B$5:$N$24,6,FALSE)=" ",0,VLOOKUP($B6,'JR-Team Roping-Heeler'!$B$5:$N$24,6,FALSE)),0)+IFERROR(IF(VLOOKUP($B6,'JR B-Steer Riding'!$B$5:$AI$24,18,FALSE)=" ",0,VLOOKUP($B6,'JR B-Steer Riding'!$B$5:$AI$24,18,FALSE)),0)+IFERROR(IF(VLOOKUP($B6,'JR B-Goats'!$B$5:$AI$24,18,FALSE)=" ",0,VLOOKUP($B6,'JR B-Goats'!$B$5:$AI$24,18,FALSE)),0)+IFERROR(IF(VLOOKUP($B6,'JR B-Calf Tying'!$B$5:$AI$24,18,FALSE)=" ",0,VLOOKUP($B6,'JR B-Calf Tying'!$B$5:$AI$24,18,FALSE)),0)+IFERROR(IF(VLOOKUP($B6,'JR B-Breakaway'!$B$5:$AI$24,18,FALSE)=" ",0,VLOOKUP($B6,'JR B-Breakaway'!$B$5:$AI$24,18,FALSE)),0)</f>
        <v>48</v>
      </c>
      <c r="M6" s="95">
        <f t="shared" si="6"/>
        <v>48</v>
      </c>
      <c r="N6" s="91">
        <f t="shared" si="7"/>
        <v>2</v>
      </c>
      <c r="O6" s="121">
        <f>IFERROR(IF(VLOOKUP($B6,'JR-Team Roping-Header'!$B$5:$N$24,7,FALSE)=" ",0,VLOOKUP($B6,'JR-Team Roping-Header'!$B$5:$N$24,7,FALSE)),0)+IFERROR(IF(VLOOKUP($B6,'JR-Team Roping-Heeler'!$B$5:$N$24,7,FALSE)=" ",0,VLOOKUP($B6,'JR-Team Roping-Heeler'!$B$5:$N$24,7,FALSE)),0)+IFERROR(IF(VLOOKUP($B6,'JR B-Steer Riding'!$B$5:$AI$24,22,FALSE)=" ",0,VLOOKUP($B6,'JR B-Steer Riding'!$B$5:$AI$24,22,FALSE)),0)+IFERROR(IF(VLOOKUP($B6,'JR B-Goats'!$B$5:$AI$24,22,FALSE)=" ",0,VLOOKUP($B6,'JR B-Goats'!$B$5:$AI$24,22,FALSE)),0)+IFERROR(IF(VLOOKUP($B6,'JR B-Calf Tying'!$B$5:$AI$24,22,FALSE)=" ",0,VLOOKUP($B6,'JR B-Calf Tying'!$B$5:$AI$24,22,FALSE)),0)+IFERROR(IF(VLOOKUP($B6,'JR B-Breakaway'!$B$5:$AI$24,22,FALSE)=" ",0,VLOOKUP($B6,'JR B-Breakaway'!$B$5:$AI$24,22,FALSE)),0)</f>
        <v>39</v>
      </c>
      <c r="P6" s="95">
        <f t="shared" si="8"/>
        <v>39</v>
      </c>
      <c r="Q6" s="91">
        <f t="shared" si="9"/>
        <v>1</v>
      </c>
      <c r="R6" s="121">
        <f>IFERROR(IF(VLOOKUP($B6,'JR-Team Roping-Header'!$B$5:$N$24,8,FALSE)=" ",0,VLOOKUP($B6,'JR-Team Roping-Header'!$B$5:$N$24,8,FALSE)),0)+IFERROR(IF(VLOOKUP($B6,'JR-Team Roping-Heeler'!$B$5:$N$24,8,FALSE)=" ",0,VLOOKUP($B6,'JR-Team Roping-Heeler'!$B$5:$N$24,8,FALSE)),0)+IFERROR(IF(VLOOKUP($B6,'JR B-Steer Riding'!$B$5:$AI$24,26,FALSE)=" ",0,VLOOKUP($B6,'JR B-Steer Riding'!$B$5:$AI$24,26,FALSE)),0)+IFERROR(IF(VLOOKUP($B6,'JR B-Goats'!$B$5:$AI$24,26,FALSE)=" ",0,VLOOKUP($B6,'JR B-Goats'!$B$5:$AI$24,26,FALSE)),0)+IFERROR(IF(VLOOKUP($B6,'JR B-Calf Tying'!$B$5:$AI$24,26,FALSE)=" ",0,VLOOKUP($B6,'JR B-Calf Tying'!$B$5:$AI$24,26,FALSE)),0)+IFERROR(IF(VLOOKUP($B6,'JR B-Breakaway'!$B$5:$AI$24,26,FALSE)=" ",0,VLOOKUP($B6,'JR B-Breakaway'!$B$5:$AI$24,26,FALSE)),0)</f>
        <v>42</v>
      </c>
      <c r="S6" s="95">
        <f t="shared" si="10"/>
        <v>42</v>
      </c>
      <c r="T6" s="91">
        <f t="shared" si="11"/>
        <v>3</v>
      </c>
      <c r="U6" s="121">
        <f>IFERROR(IF(VLOOKUP($B6,'JR-Team Roping-Header'!$B$5:$N$24,9,FALSE)=" ",0,VLOOKUP($B6,'JR-Team Roping-Header'!$B$5:$N$24,9,FALSE)),0)+IFERROR(IF(VLOOKUP($B6,'JR-Team Roping-Heeler'!$B$5:$N$24,9,FALSE)=" ",0,VLOOKUP($B6,'JR-Team Roping-Heeler'!$B$5:$N$24,9,FALSE)),0)+IFERROR(IF(VLOOKUP($B6,'JR B-Steer Riding'!$B$5:$AI$24,30,FALSE)=" ",0,VLOOKUP($B6,'JR B-Steer Riding'!$B$5:$AI$24,30,FALSE)),0)+IFERROR(IF(VLOOKUP($B6,'JR B-Goats'!$B$5:$AI$24,30,FALSE)=" ",0,VLOOKUP($B6,'JR B-Goats'!$B$5:$AI$24,30,FALSE)),0)+IFERROR(IF(VLOOKUP($B6,'JR B-Calf Tying'!$B$5:$AI$24,30,FALSE)=" ",0,VLOOKUP($B6,'JR B-Calf Tying'!$B$5:$AI$24,30,FALSE)),0)+IFERROR(IF(VLOOKUP($B6,'JR B-Breakaway'!$B$5:$AI$24,30,FALSE)=" ",0,VLOOKUP($B6,'JR B-Breakaway'!$B$5:$AI$24,30,FALSE)),0)</f>
        <v>63</v>
      </c>
      <c r="V6" s="95">
        <f t="shared" si="12"/>
        <v>63</v>
      </c>
      <c r="W6" s="91">
        <f t="shared" si="13"/>
        <v>3</v>
      </c>
      <c r="X6" s="121">
        <f>IFERROR(IF(VLOOKUP($B6,'JR-Team Roping-Header'!$B$5:$N$24,10,FALSE)=" ",0,VLOOKUP($B6,'JR-Team Roping-Header'!$B$5:$N$24,10,FALSE)),0)+IFERROR(IF(VLOOKUP($B6,'JR-Team Roping-Heeler'!$B$5:$N$24,10,FALSE)=" ",0,VLOOKUP($B6,'JR-Team Roping-Heeler'!$B$5:$N$24,10,FALSE)),0)+IFERROR(IF(VLOOKUP($B6,'JR B-Steer Riding'!$B$5:$AI$24,34,FALSE)=" ",0,VLOOKUP($B6,'JR B-Steer Riding'!$B$5:$AI$24,34,FALSE)),0)+IFERROR(IF(VLOOKUP($B6,'JR B-Goats'!$B$5:$AI$24,34,FALSE)=" ",0,VLOOKUP($B6,'JR B-Goats'!$B$5:$AI$24,34,FALSE)),0)+IFERROR(IF(VLOOKUP($B6,'JR B-Calf Tying'!$B$5:$AI$24,34,FALSE)=" ",0,VLOOKUP($B6,'JR B-Calf Tying'!$B$5:$AI$24,34,FALSE)),0)+IFERROR(IF(VLOOKUP($B6,'JR B-Breakaway'!$B$5:$AI$24,34,FALSE)=" ",0,VLOOKUP($B6,'JR B-Breakaway'!$B$5:$AI$24,34,FALSE)),0)</f>
        <v>48</v>
      </c>
      <c r="Y6" s="95">
        <f t="shared" si="14"/>
        <v>48</v>
      </c>
      <c r="Z6" s="91">
        <f t="shared" si="15"/>
        <v>4</v>
      </c>
      <c r="AA6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444</v>
      </c>
      <c r="AB6" s="95">
        <f t="shared" si="16"/>
        <v>444</v>
      </c>
      <c r="AC6" s="91">
        <f t="shared" si="17"/>
        <v>2</v>
      </c>
    </row>
    <row r="7" spans="2:29" x14ac:dyDescent="0.25">
      <c r="B7" s="141" t="s">
        <v>137</v>
      </c>
      <c r="C7" s="120">
        <f>IFERROR(IF(VLOOKUP($B7,'JR-Team Roping-Header'!$B$5:$N$24,3,FALSE)=" ",0,VLOOKUP($B7,'JR-Team Roping-Header'!$B$5:$N$24,3,FALSE)),0)+IFERROR(IF(VLOOKUP($B7,'JR-Team Roping-Heeler'!$B$5:$N$24,3,FALSE)=" ",0,VLOOKUP($B7,'JR-Team Roping-Heeler'!$B$5:$N$24,3,FALSE)),0)+IFERROR(IF(VLOOKUP($B7,'JR B-Steer Riding'!$B$5:$AI$24,6,FALSE)=" ",0,VLOOKUP($B7,'JR B-Steer Riding'!$B$5:$AI$24,6,FALSE)),0)+IFERROR(IF(VLOOKUP($B7,'JR B-Goats'!$B$5:$AI$24,6,FALSE)=" ",0,VLOOKUP($B7,'JR B-Goats'!$B$5:$AI$24,6,FALSE)),0)+IFERROR(IF(VLOOKUP($B7,'JR B-Calf Tying'!$B$5:$AI$24,6,FALSE)=" ",0,VLOOKUP($B7,'JR B-Calf Tying'!$B$5:$AI$24,6,FALSE)),0)+IFERROR(IF(VLOOKUP($B7,'JR B-Breakaway'!$B$5:$AI$24,6,FALSE)=" ",0,VLOOKUP($B7,'JR B-Breakaway'!$B$5:$AI$24,6,FALSE)),0)</f>
        <v>45</v>
      </c>
      <c r="D7" s="95">
        <f t="shared" si="0"/>
        <v>45</v>
      </c>
      <c r="E7" s="91">
        <f t="shared" si="1"/>
        <v>3</v>
      </c>
      <c r="F7" s="121">
        <f>IFERROR(IF(VLOOKUP($B7,'JR-Team Roping-Header'!$B$5:$N$24,4,FALSE)=" ",0,VLOOKUP($B7,'JR-Team Roping-Header'!$B$5:$N$24,4,FALSE)),0)+IFERROR(IF(VLOOKUP($B7,'JR-Team Roping-Heeler'!$B$5:$N$24,4,FALSE)=" ",0,VLOOKUP($B7,'JR-Team Roping-Heeler'!$B$5:$N$24,4,FALSE)),0)+IFERROR(IF(VLOOKUP($B7,'JR B-Steer Riding'!$B$5:$AI$24,10,FALSE)=" ",0,VLOOKUP($B7,'JR B-Steer Riding'!$B$5:$AI$24,10,FALSE)),0)+IFERROR(IF(VLOOKUP($B7,'JR B-Goats'!$B$5:$AI$24,10,FALSE)=" ",0,VLOOKUP($B7,'JR B-Goats'!$B$5:$AI$24,10,FALSE)),0)+IFERROR(IF(VLOOKUP($B7,'JR B-Calf Tying'!$B$5:$AI$24,10,FALSE)=" ",0,VLOOKUP($B7,'JR B-Calf Tying'!$B$5:$AI$24,10,FALSE)),0)+IFERROR(IF(VLOOKUP($B7,'JR B-Breakaway'!$B$5:$AI$24,10,FALSE)=" ",0,VLOOKUP($B7,'JR B-Breakaway'!$B$5:$AI$24,10,FALSE)),0)</f>
        <v>57</v>
      </c>
      <c r="G7" s="95">
        <f t="shared" si="2"/>
        <v>57</v>
      </c>
      <c r="H7" s="91">
        <f t="shared" si="3"/>
        <v>3</v>
      </c>
      <c r="I7" s="121">
        <f>IFERROR(IF(VLOOKUP($B7,'JR-Team Roping-Header'!$B$5:$N$24,5,FALSE)=" ",0,VLOOKUP($B7,'JR-Team Roping-Header'!$B$5:$N$24,5,FALSE)),0)+IFERROR(IF(VLOOKUP($B7,'JR-Team Roping-Heeler'!$B$5:$N$24,5,FALSE)=" ",0,VLOOKUP($B7,'JR-Team Roping-Heeler'!$B$5:$N$24,5,FALSE)),0)+IFERROR(IF(VLOOKUP($B7,'JR B-Steer Riding'!$B$5:$AI$24,14,FALSE)=" ",0,VLOOKUP($B7,'JR B-Steer Riding'!$B$5:$AI$24,14,FALSE)),0)+IFERROR(IF(VLOOKUP($B7,'JR B-Goats'!$B$5:$AI$24,14,FALSE)=" ",0,VLOOKUP($B7,'JR B-Goats'!$B$5:$AI$24,14,FALSE)),0)+IFERROR(IF(VLOOKUP($B7,'JR B-Calf Tying'!$B$5:$AI$24,14,FALSE)=" ",0,VLOOKUP($B7,'JR B-Calf Tying'!$B$5:$AI$24,14,FALSE)),0)+IFERROR(IF(VLOOKUP($B7,'JR B-Breakaway'!$B$5:$AI$24,14,FALSE)=" ",0,VLOOKUP($B7,'JR B-Breakaway'!$B$5:$AI$24,14,FALSE)),0)</f>
        <v>57</v>
      </c>
      <c r="J7" s="95">
        <f t="shared" si="4"/>
        <v>57</v>
      </c>
      <c r="K7" s="91">
        <f t="shared" si="5"/>
        <v>2</v>
      </c>
      <c r="L7" s="121">
        <f>IFERROR(IF(VLOOKUP($B7,'JR-Team Roping-Header'!$B$5:$N$24,6,FALSE)=" ",0,VLOOKUP($B7,'JR-Team Roping-Header'!$B$5:$N$24,6,FALSE)),0)+IFERROR(IF(VLOOKUP($B7,'JR-Team Roping-Heeler'!$B$5:$N$24,6,FALSE)=" ",0,VLOOKUP($B7,'JR-Team Roping-Heeler'!$B$5:$N$24,6,FALSE)),0)+IFERROR(IF(VLOOKUP($B7,'JR B-Steer Riding'!$B$5:$AI$24,18,FALSE)=" ",0,VLOOKUP($B7,'JR B-Steer Riding'!$B$5:$AI$24,18,FALSE)),0)+IFERROR(IF(VLOOKUP($B7,'JR B-Goats'!$B$5:$AI$24,18,FALSE)=" ",0,VLOOKUP($B7,'JR B-Goats'!$B$5:$AI$24,18,FALSE)),0)+IFERROR(IF(VLOOKUP($B7,'JR B-Calf Tying'!$B$5:$AI$24,18,FALSE)=" ",0,VLOOKUP($B7,'JR B-Calf Tying'!$B$5:$AI$24,18,FALSE)),0)+IFERROR(IF(VLOOKUP($B7,'JR B-Breakaway'!$B$5:$AI$24,18,FALSE)=" ",0,VLOOKUP($B7,'JR B-Breakaway'!$B$5:$AI$24,18,FALSE)),0)</f>
        <v>12</v>
      </c>
      <c r="M7" s="95">
        <f t="shared" si="6"/>
        <v>12</v>
      </c>
      <c r="N7" s="91">
        <f t="shared" si="7"/>
        <v>9</v>
      </c>
      <c r="O7" s="121">
        <f>IFERROR(IF(VLOOKUP($B7,'JR-Team Roping-Header'!$B$5:$N$24,7,FALSE)=" ",0,VLOOKUP($B7,'JR-Team Roping-Header'!$B$5:$N$24,7,FALSE)),0)+IFERROR(IF(VLOOKUP($B7,'JR-Team Roping-Heeler'!$B$5:$N$24,7,FALSE)=" ",0,VLOOKUP($B7,'JR-Team Roping-Heeler'!$B$5:$N$24,7,FALSE)),0)+IFERROR(IF(VLOOKUP($B7,'JR B-Steer Riding'!$B$5:$AI$24,22,FALSE)=" ",0,VLOOKUP($B7,'JR B-Steer Riding'!$B$5:$AI$24,22,FALSE)),0)+IFERROR(IF(VLOOKUP($B7,'JR B-Goats'!$B$5:$AI$24,22,FALSE)=" ",0,VLOOKUP($B7,'JR B-Goats'!$B$5:$AI$24,22,FALSE)),0)+IFERROR(IF(VLOOKUP($B7,'JR B-Calf Tying'!$B$5:$AI$24,22,FALSE)=" ",0,VLOOKUP($B7,'JR B-Calf Tying'!$B$5:$AI$24,22,FALSE)),0)+IFERROR(IF(VLOOKUP($B7,'JR B-Breakaway'!$B$5:$AI$24,22,FALSE)=" ",0,VLOOKUP($B7,'JR B-Breakaway'!$B$5:$AI$24,22,FALSE)),0)</f>
        <v>39</v>
      </c>
      <c r="P7" s="95">
        <f t="shared" si="8"/>
        <v>39</v>
      </c>
      <c r="Q7" s="91">
        <f t="shared" si="9"/>
        <v>1</v>
      </c>
      <c r="R7" s="121">
        <f>IFERROR(IF(VLOOKUP($B7,'JR-Team Roping-Header'!$B$5:$N$24,8,FALSE)=" ",0,VLOOKUP($B7,'JR-Team Roping-Header'!$B$5:$N$24,8,FALSE)),0)+IFERROR(IF(VLOOKUP($B7,'JR-Team Roping-Heeler'!$B$5:$N$24,8,FALSE)=" ",0,VLOOKUP($B7,'JR-Team Roping-Heeler'!$B$5:$N$24,8,FALSE)),0)+IFERROR(IF(VLOOKUP($B7,'JR B-Steer Riding'!$B$5:$AI$24,26,FALSE)=" ",0,VLOOKUP($B7,'JR B-Steer Riding'!$B$5:$AI$24,26,FALSE)),0)+IFERROR(IF(VLOOKUP($B7,'JR B-Goats'!$B$5:$AI$24,26,FALSE)=" ",0,VLOOKUP($B7,'JR B-Goats'!$B$5:$AI$24,26,FALSE)),0)+IFERROR(IF(VLOOKUP($B7,'JR B-Calf Tying'!$B$5:$AI$24,26,FALSE)=" ",0,VLOOKUP($B7,'JR B-Calf Tying'!$B$5:$AI$24,26,FALSE)),0)+IFERROR(IF(VLOOKUP($B7,'JR B-Breakaway'!$B$5:$AI$24,26,FALSE)=" ",0,VLOOKUP($B7,'JR B-Breakaway'!$B$5:$AI$24,26,FALSE)),0)</f>
        <v>39</v>
      </c>
      <c r="S7" s="95">
        <f t="shared" si="10"/>
        <v>39</v>
      </c>
      <c r="T7" s="91">
        <f t="shared" si="11"/>
        <v>4</v>
      </c>
      <c r="U7" s="121">
        <f>IFERROR(IF(VLOOKUP($B7,'JR-Team Roping-Header'!$B$5:$N$24,9,FALSE)=" ",0,VLOOKUP($B7,'JR-Team Roping-Header'!$B$5:$N$24,9,FALSE)),0)+IFERROR(IF(VLOOKUP($B7,'JR-Team Roping-Heeler'!$B$5:$N$24,9,FALSE)=" ",0,VLOOKUP($B7,'JR-Team Roping-Heeler'!$B$5:$N$24,9,FALSE)),0)+IFERROR(IF(VLOOKUP($B7,'JR B-Steer Riding'!$B$5:$AI$24,30,FALSE)=" ",0,VLOOKUP($B7,'JR B-Steer Riding'!$B$5:$AI$24,30,FALSE)),0)+IFERROR(IF(VLOOKUP($B7,'JR B-Goats'!$B$5:$AI$24,30,FALSE)=" ",0,VLOOKUP($B7,'JR B-Goats'!$B$5:$AI$24,30,FALSE)),0)+IFERROR(IF(VLOOKUP($B7,'JR B-Calf Tying'!$B$5:$AI$24,30,FALSE)=" ",0,VLOOKUP($B7,'JR B-Calf Tying'!$B$5:$AI$24,30,FALSE)),0)+IFERROR(IF(VLOOKUP($B7,'JR B-Breakaway'!$B$5:$AI$24,30,FALSE)=" ",0,VLOOKUP($B7,'JR B-Breakaway'!$B$5:$AI$24,30,FALSE)),0)</f>
        <v>64.5</v>
      </c>
      <c r="V7" s="95">
        <f t="shared" si="12"/>
        <v>64.5</v>
      </c>
      <c r="W7" s="91">
        <f t="shared" si="13"/>
        <v>2</v>
      </c>
      <c r="X7" s="121">
        <f>IFERROR(IF(VLOOKUP($B7,'JR-Team Roping-Header'!$B$5:$N$24,10,FALSE)=" ",0,VLOOKUP($B7,'JR-Team Roping-Header'!$B$5:$N$24,10,FALSE)),0)+IFERROR(IF(VLOOKUP($B7,'JR-Team Roping-Heeler'!$B$5:$N$24,10,FALSE)=" ",0,VLOOKUP($B7,'JR-Team Roping-Heeler'!$B$5:$N$24,10,FALSE)),0)+IFERROR(IF(VLOOKUP($B7,'JR B-Steer Riding'!$B$5:$AI$24,34,FALSE)=" ",0,VLOOKUP($B7,'JR B-Steer Riding'!$B$5:$AI$24,34,FALSE)),0)+IFERROR(IF(VLOOKUP($B7,'JR B-Goats'!$B$5:$AI$24,34,FALSE)=" ",0,VLOOKUP($B7,'JR B-Goats'!$B$5:$AI$24,34,FALSE)),0)+IFERROR(IF(VLOOKUP($B7,'JR B-Calf Tying'!$B$5:$AI$24,34,FALSE)=" ",0,VLOOKUP($B7,'JR B-Calf Tying'!$B$5:$AI$24,34,FALSE)),0)+IFERROR(IF(VLOOKUP($B7,'JR B-Breakaway'!$B$5:$AI$24,34,FALSE)=" ",0,VLOOKUP($B7,'JR B-Breakaway'!$B$5:$AI$24,34,FALSE)),0)</f>
        <v>57</v>
      </c>
      <c r="Y7" s="95">
        <f t="shared" si="14"/>
        <v>57</v>
      </c>
      <c r="Z7" s="91">
        <f t="shared" si="15"/>
        <v>2</v>
      </c>
      <c r="AA7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370.5</v>
      </c>
      <c r="AB7" s="95">
        <f t="shared" si="16"/>
        <v>370.5</v>
      </c>
      <c r="AC7" s="91">
        <f t="shared" si="17"/>
        <v>3</v>
      </c>
    </row>
    <row r="8" spans="2:29" x14ac:dyDescent="0.25">
      <c r="B8" s="154" t="s">
        <v>150</v>
      </c>
      <c r="C8" s="120">
        <f>IFERROR(IF(VLOOKUP($B8,'JR-Team Roping-Header'!$B$5:$N$24,3,FALSE)=" ",0,VLOOKUP($B8,'JR-Team Roping-Header'!$B$5:$N$24,3,FALSE)),0)+IFERROR(IF(VLOOKUP($B8,'JR-Team Roping-Heeler'!$B$5:$N$24,3,FALSE)=" ",0,VLOOKUP($B8,'JR-Team Roping-Heeler'!$B$5:$N$24,3,FALSE)),0)+IFERROR(IF(VLOOKUP($B8,'JR B-Steer Riding'!$B$5:$AI$24,6,FALSE)=" ",0,VLOOKUP($B8,'JR B-Steer Riding'!$B$5:$AI$24,6,FALSE)),0)+IFERROR(IF(VLOOKUP($B8,'JR B-Goats'!$B$5:$AI$24,6,FALSE)=" ",0,VLOOKUP($B8,'JR B-Goats'!$B$5:$AI$24,6,FALSE)),0)+IFERROR(IF(VLOOKUP($B8,'JR B-Calf Tying'!$B$5:$AI$24,6,FALSE)=" ",0,VLOOKUP($B8,'JR B-Calf Tying'!$B$5:$AI$24,6,FALSE)),0)+IFERROR(IF(VLOOKUP($B8,'JR B-Breakaway'!$B$5:$AI$24,6,FALSE)=" ",0,VLOOKUP($B8,'JR B-Breakaway'!$B$5:$AI$24,6,FALSE)),0)</f>
        <v>12</v>
      </c>
      <c r="D8" s="95">
        <f t="shared" si="0"/>
        <v>12</v>
      </c>
      <c r="E8" s="122">
        <f t="shared" si="1"/>
        <v>10</v>
      </c>
      <c r="F8" s="121">
        <f>IFERROR(IF(VLOOKUP($B8,'JR-Team Roping-Header'!$B$5:$N$24,4,FALSE)=" ",0,VLOOKUP($B8,'JR-Team Roping-Header'!$B$5:$N$24,4,FALSE)),0)+IFERROR(IF(VLOOKUP($B8,'JR-Team Roping-Heeler'!$B$5:$N$24,4,FALSE)=" ",0,VLOOKUP($B8,'JR-Team Roping-Heeler'!$B$5:$N$24,4,FALSE)),0)+IFERROR(IF(VLOOKUP($B8,'JR B-Steer Riding'!$B$5:$AI$24,10,FALSE)=" ",0,VLOOKUP($B8,'JR B-Steer Riding'!$B$5:$AI$24,10,FALSE)),0)+IFERROR(IF(VLOOKUP($B8,'JR B-Goats'!$B$5:$AI$24,10,FALSE)=" ",0,VLOOKUP($B8,'JR B-Goats'!$B$5:$AI$24,10,FALSE)),0)+IFERROR(IF(VLOOKUP($B8,'JR B-Calf Tying'!$B$5:$AI$24,10,FALSE)=" ",0,VLOOKUP($B8,'JR B-Calf Tying'!$B$5:$AI$24,10,FALSE)),0)+IFERROR(IF(VLOOKUP($B8,'JR B-Breakaway'!$B$5:$AI$24,10,FALSE)=" ",0,VLOOKUP($B8,'JR B-Breakaway'!$B$5:$AI$24,10,FALSE)),0)</f>
        <v>75</v>
      </c>
      <c r="G8" s="95">
        <f t="shared" si="2"/>
        <v>75</v>
      </c>
      <c r="H8" s="122">
        <f t="shared" si="3"/>
        <v>2</v>
      </c>
      <c r="I8" s="121">
        <f>IFERROR(IF(VLOOKUP($B8,'JR-Team Roping-Header'!$B$5:$N$24,5,FALSE)=" ",0,VLOOKUP($B8,'JR-Team Roping-Header'!$B$5:$N$24,5,FALSE)),0)+IFERROR(IF(VLOOKUP($B8,'JR-Team Roping-Heeler'!$B$5:$N$24,5,FALSE)=" ",0,VLOOKUP($B8,'JR-Team Roping-Heeler'!$B$5:$N$24,5,FALSE)),0)+IFERROR(IF(VLOOKUP($B8,'JR B-Steer Riding'!$B$5:$AI$24,14,FALSE)=" ",0,VLOOKUP($B8,'JR B-Steer Riding'!$B$5:$AI$24,14,FALSE)),0)+IFERROR(IF(VLOOKUP($B8,'JR B-Goats'!$B$5:$AI$24,14,FALSE)=" ",0,VLOOKUP($B8,'JR B-Goats'!$B$5:$AI$24,14,FALSE)),0)+IFERROR(IF(VLOOKUP($B8,'JR B-Calf Tying'!$B$5:$AI$24,14,FALSE)=" ",0,VLOOKUP($B8,'JR B-Calf Tying'!$B$5:$AI$24,14,FALSE)),0)+IFERROR(IF(VLOOKUP($B8,'JR B-Breakaway'!$B$5:$AI$24,14,FALSE)=" ",0,VLOOKUP($B8,'JR B-Breakaway'!$B$5:$AI$24,14,FALSE)),0)</f>
        <v>36</v>
      </c>
      <c r="J8" s="95">
        <f t="shared" si="4"/>
        <v>36</v>
      </c>
      <c r="K8" s="122">
        <f t="shared" si="5"/>
        <v>4</v>
      </c>
      <c r="L8" s="121">
        <f>IFERROR(IF(VLOOKUP($B8,'JR-Team Roping-Header'!$B$5:$N$24,6,FALSE)=" ",0,VLOOKUP($B8,'JR-Team Roping-Header'!$B$5:$N$24,6,FALSE)),0)+IFERROR(IF(VLOOKUP($B8,'JR-Team Roping-Heeler'!$B$5:$N$24,6,FALSE)=" ",0,VLOOKUP($B8,'JR-Team Roping-Heeler'!$B$5:$N$24,6,FALSE)),0)+IFERROR(IF(VLOOKUP($B8,'JR B-Steer Riding'!$B$5:$AI$24,18,FALSE)=" ",0,VLOOKUP($B8,'JR B-Steer Riding'!$B$5:$AI$24,18,FALSE)),0)+IFERROR(IF(VLOOKUP($B8,'JR B-Goats'!$B$5:$AI$24,18,FALSE)=" ",0,VLOOKUP($B8,'JR B-Goats'!$B$5:$AI$24,18,FALSE)),0)+IFERROR(IF(VLOOKUP($B8,'JR B-Calf Tying'!$B$5:$AI$24,18,FALSE)=" ",0,VLOOKUP($B8,'JR B-Calf Tying'!$B$5:$AI$24,18,FALSE)),0)+IFERROR(IF(VLOOKUP($B8,'JR B-Breakaway'!$B$5:$AI$24,18,FALSE)=" ",0,VLOOKUP($B8,'JR B-Breakaway'!$B$5:$AI$24,18,FALSE)),0)</f>
        <v>42</v>
      </c>
      <c r="M8" s="95">
        <f t="shared" si="6"/>
        <v>42</v>
      </c>
      <c r="N8" s="122">
        <f t="shared" si="7"/>
        <v>3</v>
      </c>
      <c r="O8" s="121">
        <f>IFERROR(IF(VLOOKUP($B8,'JR-Team Roping-Header'!$B$5:$N$24,7,FALSE)=" ",0,VLOOKUP($B8,'JR-Team Roping-Header'!$B$5:$N$24,7,FALSE)),0)+IFERROR(IF(VLOOKUP($B8,'JR-Team Roping-Heeler'!$B$5:$N$24,7,FALSE)=" ",0,VLOOKUP($B8,'JR-Team Roping-Heeler'!$B$5:$N$24,7,FALSE)),0)+IFERROR(IF(VLOOKUP($B8,'JR B-Steer Riding'!$B$5:$AI$24,22,FALSE)=" ",0,VLOOKUP($B8,'JR B-Steer Riding'!$B$5:$AI$24,22,FALSE)),0)+IFERROR(IF(VLOOKUP($B8,'JR B-Goats'!$B$5:$AI$24,22,FALSE)=" ",0,VLOOKUP($B8,'JR B-Goats'!$B$5:$AI$24,22,FALSE)),0)+IFERROR(IF(VLOOKUP($B8,'JR B-Calf Tying'!$B$5:$AI$24,22,FALSE)=" ",0,VLOOKUP($B8,'JR B-Calf Tying'!$B$5:$AI$24,22,FALSE)),0)+IFERROR(IF(VLOOKUP($B8,'JR B-Breakaway'!$B$5:$AI$24,22,FALSE)=" ",0,VLOOKUP($B8,'JR B-Breakaway'!$B$5:$AI$24,22,FALSE)),0)</f>
        <v>24</v>
      </c>
      <c r="P8" s="95">
        <f t="shared" si="8"/>
        <v>24</v>
      </c>
      <c r="Q8" s="122">
        <f t="shared" si="9"/>
        <v>4</v>
      </c>
      <c r="R8" s="121">
        <f>IFERROR(IF(VLOOKUP($B8,'JR-Team Roping-Header'!$B$5:$N$24,8,FALSE)=" ",0,VLOOKUP($B8,'JR-Team Roping-Header'!$B$5:$N$24,8,FALSE)),0)+IFERROR(IF(VLOOKUP($B8,'JR-Team Roping-Heeler'!$B$5:$N$24,8,FALSE)=" ",0,VLOOKUP($B8,'JR-Team Roping-Heeler'!$B$5:$N$24,8,FALSE)),0)+IFERROR(IF(VLOOKUP($B8,'JR B-Steer Riding'!$B$5:$AI$24,26,FALSE)=" ",0,VLOOKUP($B8,'JR B-Steer Riding'!$B$5:$AI$24,26,FALSE)),0)+IFERROR(IF(VLOOKUP($B8,'JR B-Goats'!$B$5:$AI$24,26,FALSE)=" ",0,VLOOKUP($B8,'JR B-Goats'!$B$5:$AI$24,26,FALSE)),0)+IFERROR(IF(VLOOKUP($B8,'JR B-Calf Tying'!$B$5:$AI$24,26,FALSE)=" ",0,VLOOKUP($B8,'JR B-Calf Tying'!$B$5:$AI$24,26,FALSE)),0)+IFERROR(IF(VLOOKUP($B8,'JR B-Breakaway'!$B$5:$AI$24,26,FALSE)=" ",0,VLOOKUP($B8,'JR B-Breakaway'!$B$5:$AI$24,26,FALSE)),0)</f>
        <v>48</v>
      </c>
      <c r="S8" s="95">
        <f t="shared" si="10"/>
        <v>48</v>
      </c>
      <c r="T8" s="122">
        <f t="shared" si="11"/>
        <v>2</v>
      </c>
      <c r="U8" s="121">
        <f>IFERROR(IF(VLOOKUP($B8,'JR-Team Roping-Header'!$B$5:$N$24,9,FALSE)=" ",0,VLOOKUP($B8,'JR-Team Roping-Header'!$B$5:$N$24,9,FALSE)),0)+IFERROR(IF(VLOOKUP($B8,'JR-Team Roping-Heeler'!$B$5:$N$24,9,FALSE)=" ",0,VLOOKUP($B8,'JR-Team Roping-Heeler'!$B$5:$N$24,9,FALSE)),0)+IFERROR(IF(VLOOKUP($B8,'JR B-Steer Riding'!$B$5:$AI$24,30,FALSE)=" ",0,VLOOKUP($B8,'JR B-Steer Riding'!$B$5:$AI$24,30,FALSE)),0)+IFERROR(IF(VLOOKUP($B8,'JR B-Goats'!$B$5:$AI$24,30,FALSE)=" ",0,VLOOKUP($B8,'JR B-Goats'!$B$5:$AI$24,30,FALSE)),0)+IFERROR(IF(VLOOKUP($B8,'JR B-Calf Tying'!$B$5:$AI$24,30,FALSE)=" ",0,VLOOKUP($B8,'JR B-Calf Tying'!$B$5:$AI$24,30,FALSE)),0)+IFERROR(IF(VLOOKUP($B8,'JR B-Breakaway'!$B$5:$AI$24,30,FALSE)=" ",0,VLOOKUP($B8,'JR B-Breakaway'!$B$5:$AI$24,30,FALSE)),0)</f>
        <v>57</v>
      </c>
      <c r="V8" s="95">
        <f t="shared" si="12"/>
        <v>57</v>
      </c>
      <c r="W8" s="122">
        <f t="shared" si="13"/>
        <v>4</v>
      </c>
      <c r="X8" s="121">
        <f>IFERROR(IF(VLOOKUP($B8,'JR-Team Roping-Header'!$B$5:$N$24,10,FALSE)=" ",0,VLOOKUP($B8,'JR-Team Roping-Header'!$B$5:$N$24,10,FALSE)),0)+IFERROR(IF(VLOOKUP($B8,'JR-Team Roping-Heeler'!$B$5:$N$24,10,FALSE)=" ",0,VLOOKUP($B8,'JR-Team Roping-Heeler'!$B$5:$N$24,10,FALSE)),0)+IFERROR(IF(VLOOKUP($B8,'JR B-Steer Riding'!$B$5:$AI$24,34,FALSE)=" ",0,VLOOKUP($B8,'JR B-Steer Riding'!$B$5:$AI$24,34,FALSE)),0)+IFERROR(IF(VLOOKUP($B8,'JR B-Goats'!$B$5:$AI$24,34,FALSE)=" ",0,VLOOKUP($B8,'JR B-Goats'!$B$5:$AI$24,34,FALSE)),0)+IFERROR(IF(VLOOKUP($B8,'JR B-Calf Tying'!$B$5:$AI$24,34,FALSE)=" ",0,VLOOKUP($B8,'JR B-Calf Tying'!$B$5:$AI$24,34,FALSE)),0)+IFERROR(IF(VLOOKUP($B8,'JR B-Breakaway'!$B$5:$AI$24,34,FALSE)=" ",0,VLOOKUP($B8,'JR B-Breakaway'!$B$5:$AI$24,34,FALSE)),0)</f>
        <v>51</v>
      </c>
      <c r="Y8" s="95">
        <f t="shared" si="14"/>
        <v>51</v>
      </c>
      <c r="Z8" s="122">
        <f t="shared" si="15"/>
        <v>3</v>
      </c>
      <c r="AA8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345</v>
      </c>
      <c r="AB8" s="95">
        <f t="shared" si="16"/>
        <v>345</v>
      </c>
      <c r="AC8" s="122">
        <f t="shared" si="17"/>
        <v>4</v>
      </c>
    </row>
    <row r="9" spans="2:29" x14ac:dyDescent="0.25">
      <c r="B9" s="141" t="s">
        <v>136</v>
      </c>
      <c r="C9" s="120">
        <f>IFERROR(IF(VLOOKUP($B9,'JR-Team Roping-Header'!$B$5:$N$24,3,FALSE)=" ",0,VLOOKUP($B9,'JR-Team Roping-Header'!$B$5:$N$24,3,FALSE)),0)+IFERROR(IF(VLOOKUP($B9,'JR-Team Roping-Heeler'!$B$5:$N$24,3,FALSE)=" ",0,VLOOKUP($B9,'JR-Team Roping-Heeler'!$B$5:$N$24,3,FALSE)),0)+IFERROR(IF(VLOOKUP($B9,'JR B-Steer Riding'!$B$5:$AI$24,6,FALSE)=" ",0,VLOOKUP($B9,'JR B-Steer Riding'!$B$5:$AI$24,6,FALSE)),0)+IFERROR(IF(VLOOKUP($B9,'JR B-Goats'!$B$5:$AI$24,6,FALSE)=" ",0,VLOOKUP($B9,'JR B-Goats'!$B$5:$AI$24,6,FALSE)),0)+IFERROR(IF(VLOOKUP($B9,'JR B-Calf Tying'!$B$5:$AI$24,6,FALSE)=" ",0,VLOOKUP($B9,'JR B-Calf Tying'!$B$5:$AI$24,6,FALSE)),0)+IFERROR(IF(VLOOKUP($B9,'JR B-Breakaway'!$B$5:$AI$24,6,FALSE)=" ",0,VLOOKUP($B9,'JR B-Breakaway'!$B$5:$AI$24,6,FALSE)),0)</f>
        <v>36</v>
      </c>
      <c r="D9" s="95">
        <f t="shared" si="0"/>
        <v>36</v>
      </c>
      <c r="E9" s="91">
        <f t="shared" si="1"/>
        <v>4</v>
      </c>
      <c r="F9" s="121">
        <f>IFERROR(IF(VLOOKUP($B9,'JR-Team Roping-Header'!$B$5:$N$24,4,FALSE)=" ",0,VLOOKUP($B9,'JR-Team Roping-Header'!$B$5:$N$24,4,FALSE)),0)+IFERROR(IF(VLOOKUP($B9,'JR-Team Roping-Heeler'!$B$5:$N$24,4,FALSE)=" ",0,VLOOKUP($B9,'JR-Team Roping-Heeler'!$B$5:$N$24,4,FALSE)),0)+IFERROR(IF(VLOOKUP($B9,'JR B-Steer Riding'!$B$5:$AI$24,10,FALSE)=" ",0,VLOOKUP($B9,'JR B-Steer Riding'!$B$5:$AI$24,10,FALSE)),0)+IFERROR(IF(VLOOKUP($B9,'JR B-Goats'!$B$5:$AI$24,10,FALSE)=" ",0,VLOOKUP($B9,'JR B-Goats'!$B$5:$AI$24,10,FALSE)),0)+IFERROR(IF(VLOOKUP($B9,'JR B-Calf Tying'!$B$5:$AI$24,10,FALSE)=" ",0,VLOOKUP($B9,'JR B-Calf Tying'!$B$5:$AI$24,10,FALSE)),0)+IFERROR(IF(VLOOKUP($B9,'JR B-Breakaway'!$B$5:$AI$24,10,FALSE)=" ",0,VLOOKUP($B9,'JR B-Breakaway'!$B$5:$AI$24,10,FALSE)),0)</f>
        <v>33</v>
      </c>
      <c r="G9" s="95">
        <f t="shared" si="2"/>
        <v>33</v>
      </c>
      <c r="H9" s="91">
        <f t="shared" si="3"/>
        <v>5</v>
      </c>
      <c r="I9" s="121">
        <f>IFERROR(IF(VLOOKUP($B9,'JR-Team Roping-Header'!$B$5:$N$24,5,FALSE)=" ",0,VLOOKUP($B9,'JR-Team Roping-Header'!$B$5:$N$24,5,FALSE)),0)+IFERROR(IF(VLOOKUP($B9,'JR-Team Roping-Heeler'!$B$5:$N$24,5,FALSE)=" ",0,VLOOKUP($B9,'JR-Team Roping-Heeler'!$B$5:$N$24,5,FALSE)),0)+IFERROR(IF(VLOOKUP($B9,'JR B-Steer Riding'!$B$5:$AI$24,14,FALSE)=" ",0,VLOOKUP($B9,'JR B-Steer Riding'!$B$5:$AI$24,14,FALSE)),0)+IFERROR(IF(VLOOKUP($B9,'JR B-Goats'!$B$5:$AI$24,14,FALSE)=" ",0,VLOOKUP($B9,'JR B-Goats'!$B$5:$AI$24,14,FALSE)),0)+IFERROR(IF(VLOOKUP($B9,'JR B-Calf Tying'!$B$5:$AI$24,14,FALSE)=" ",0,VLOOKUP($B9,'JR B-Calf Tying'!$B$5:$AI$24,14,FALSE)),0)+IFERROR(IF(VLOOKUP($B9,'JR B-Breakaway'!$B$5:$AI$24,14,FALSE)=" ",0,VLOOKUP($B9,'JR B-Breakaway'!$B$5:$AI$24,14,FALSE)),0)</f>
        <v>3</v>
      </c>
      <c r="J9" s="95">
        <f t="shared" si="4"/>
        <v>3</v>
      </c>
      <c r="K9" s="91">
        <f t="shared" si="5"/>
        <v>11</v>
      </c>
      <c r="L9" s="121">
        <f>IFERROR(IF(VLOOKUP($B9,'JR-Team Roping-Header'!$B$5:$N$24,6,FALSE)=" ",0,VLOOKUP($B9,'JR-Team Roping-Header'!$B$5:$N$24,6,FALSE)),0)+IFERROR(IF(VLOOKUP($B9,'JR-Team Roping-Heeler'!$B$5:$N$24,6,FALSE)=" ",0,VLOOKUP($B9,'JR-Team Roping-Heeler'!$B$5:$N$24,6,FALSE)),0)+IFERROR(IF(VLOOKUP($B9,'JR B-Steer Riding'!$B$5:$AI$24,18,FALSE)=" ",0,VLOOKUP($B9,'JR B-Steer Riding'!$B$5:$AI$24,18,FALSE)),0)+IFERROR(IF(VLOOKUP($B9,'JR B-Goats'!$B$5:$AI$24,18,FALSE)=" ",0,VLOOKUP($B9,'JR B-Goats'!$B$5:$AI$24,18,FALSE)),0)+IFERROR(IF(VLOOKUP($B9,'JR B-Calf Tying'!$B$5:$AI$24,18,FALSE)=" ",0,VLOOKUP($B9,'JR B-Calf Tying'!$B$5:$AI$24,18,FALSE)),0)+IFERROR(IF(VLOOKUP($B9,'JR B-Breakaway'!$B$5:$AI$24,18,FALSE)=" ",0,VLOOKUP($B9,'JR B-Breakaway'!$B$5:$AI$24,18,FALSE)),0)</f>
        <v>30</v>
      </c>
      <c r="M9" s="95">
        <f t="shared" si="6"/>
        <v>30</v>
      </c>
      <c r="N9" s="91">
        <f t="shared" si="7"/>
        <v>4</v>
      </c>
      <c r="O9" s="121">
        <f>IFERROR(IF(VLOOKUP($B9,'JR-Team Roping-Header'!$B$5:$N$24,7,FALSE)=" ",0,VLOOKUP($B9,'JR-Team Roping-Header'!$B$5:$N$24,7,FALSE)),0)+IFERROR(IF(VLOOKUP($B9,'JR-Team Roping-Heeler'!$B$5:$N$24,7,FALSE)=" ",0,VLOOKUP($B9,'JR-Team Roping-Heeler'!$B$5:$N$24,7,FALSE)),0)+IFERROR(IF(VLOOKUP($B9,'JR B-Steer Riding'!$B$5:$AI$24,22,FALSE)=" ",0,VLOOKUP($B9,'JR B-Steer Riding'!$B$5:$AI$24,22,FALSE)),0)+IFERROR(IF(VLOOKUP($B9,'JR B-Goats'!$B$5:$AI$24,22,FALSE)=" ",0,VLOOKUP($B9,'JR B-Goats'!$B$5:$AI$24,22,FALSE)),0)+IFERROR(IF(VLOOKUP($B9,'JR B-Calf Tying'!$B$5:$AI$24,22,FALSE)=" ",0,VLOOKUP($B9,'JR B-Calf Tying'!$B$5:$AI$24,22,FALSE)),0)+IFERROR(IF(VLOOKUP($B9,'JR B-Breakaway'!$B$5:$AI$24,22,FALSE)=" ",0,VLOOKUP($B9,'JR B-Breakaway'!$B$5:$AI$24,22,FALSE)),0)</f>
        <v>18</v>
      </c>
      <c r="P9" s="95">
        <f t="shared" si="8"/>
        <v>18</v>
      </c>
      <c r="Q9" s="91">
        <f t="shared" si="9"/>
        <v>6</v>
      </c>
      <c r="R9" s="121">
        <f>IFERROR(IF(VLOOKUP($B9,'JR-Team Roping-Header'!$B$5:$N$24,8,FALSE)=" ",0,VLOOKUP($B9,'JR-Team Roping-Header'!$B$5:$N$24,8,FALSE)),0)+IFERROR(IF(VLOOKUP($B9,'JR-Team Roping-Heeler'!$B$5:$N$24,8,FALSE)=" ",0,VLOOKUP($B9,'JR-Team Roping-Heeler'!$B$5:$N$24,8,FALSE)),0)+IFERROR(IF(VLOOKUP($B9,'JR B-Steer Riding'!$B$5:$AI$24,26,FALSE)=" ",0,VLOOKUP($B9,'JR B-Steer Riding'!$B$5:$AI$24,26,FALSE)),0)+IFERROR(IF(VLOOKUP($B9,'JR B-Goats'!$B$5:$AI$24,26,FALSE)=" ",0,VLOOKUP($B9,'JR B-Goats'!$B$5:$AI$24,26,FALSE)),0)+IFERROR(IF(VLOOKUP($B9,'JR B-Calf Tying'!$B$5:$AI$24,26,FALSE)=" ",0,VLOOKUP($B9,'JR B-Calf Tying'!$B$5:$AI$24,26,FALSE)),0)+IFERROR(IF(VLOOKUP($B9,'JR B-Breakaway'!$B$5:$AI$24,26,FALSE)=" ",0,VLOOKUP($B9,'JR B-Breakaway'!$B$5:$AI$24,26,FALSE)),0)</f>
        <v>39</v>
      </c>
      <c r="S9" s="95">
        <f t="shared" si="10"/>
        <v>39</v>
      </c>
      <c r="T9" s="91">
        <f t="shared" si="11"/>
        <v>4</v>
      </c>
      <c r="U9" s="121">
        <f>IFERROR(IF(VLOOKUP($B9,'JR-Team Roping-Header'!$B$5:$N$24,9,FALSE)=" ",0,VLOOKUP($B9,'JR-Team Roping-Header'!$B$5:$N$24,9,FALSE)),0)+IFERROR(IF(VLOOKUP($B9,'JR-Team Roping-Heeler'!$B$5:$N$24,9,FALSE)=" ",0,VLOOKUP($B9,'JR-Team Roping-Heeler'!$B$5:$N$24,9,FALSE)),0)+IFERROR(IF(VLOOKUP($B9,'JR B-Steer Riding'!$B$5:$AI$24,30,FALSE)=" ",0,VLOOKUP($B9,'JR B-Steer Riding'!$B$5:$AI$24,30,FALSE)),0)+IFERROR(IF(VLOOKUP($B9,'JR B-Goats'!$B$5:$AI$24,30,FALSE)=" ",0,VLOOKUP($B9,'JR B-Goats'!$B$5:$AI$24,30,FALSE)),0)+IFERROR(IF(VLOOKUP($B9,'JR B-Calf Tying'!$B$5:$AI$24,30,FALSE)=" ",0,VLOOKUP($B9,'JR B-Calf Tying'!$B$5:$AI$24,30,FALSE)),0)+IFERROR(IF(VLOOKUP($B9,'JR B-Breakaway'!$B$5:$AI$24,30,FALSE)=" ",0,VLOOKUP($B9,'JR B-Breakaway'!$B$5:$AI$24,30,FALSE)),0)</f>
        <v>24</v>
      </c>
      <c r="V9" s="95">
        <f t="shared" si="12"/>
        <v>24</v>
      </c>
      <c r="W9" s="91">
        <f t="shared" si="13"/>
        <v>5</v>
      </c>
      <c r="X9" s="121">
        <f>IFERROR(IF(VLOOKUP($B9,'JR-Team Roping-Header'!$B$5:$N$24,10,FALSE)=" ",0,VLOOKUP($B9,'JR-Team Roping-Header'!$B$5:$N$24,10,FALSE)),0)+IFERROR(IF(VLOOKUP($B9,'JR-Team Roping-Heeler'!$B$5:$N$24,10,FALSE)=" ",0,VLOOKUP($B9,'JR-Team Roping-Heeler'!$B$5:$N$24,10,FALSE)),0)+IFERROR(IF(VLOOKUP($B9,'JR B-Steer Riding'!$B$5:$AI$24,34,FALSE)=" ",0,VLOOKUP($B9,'JR B-Steer Riding'!$B$5:$AI$24,34,FALSE)),0)+IFERROR(IF(VLOOKUP($B9,'JR B-Goats'!$B$5:$AI$24,34,FALSE)=" ",0,VLOOKUP($B9,'JR B-Goats'!$B$5:$AI$24,34,FALSE)),0)+IFERROR(IF(VLOOKUP($B9,'JR B-Calf Tying'!$B$5:$AI$24,34,FALSE)=" ",0,VLOOKUP($B9,'JR B-Calf Tying'!$B$5:$AI$24,34,FALSE)),0)+IFERROR(IF(VLOOKUP($B9,'JR B-Breakaway'!$B$5:$AI$24,34,FALSE)=" ",0,VLOOKUP($B9,'JR B-Breakaway'!$B$5:$AI$24,34,FALSE)),0)</f>
        <v>36</v>
      </c>
      <c r="Y9" s="95">
        <f t="shared" si="14"/>
        <v>36</v>
      </c>
      <c r="Z9" s="91">
        <f t="shared" si="15"/>
        <v>5</v>
      </c>
      <c r="AA9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219</v>
      </c>
      <c r="AB9" s="95">
        <f t="shared" si="16"/>
        <v>219</v>
      </c>
      <c r="AC9" s="91">
        <f t="shared" si="17"/>
        <v>5</v>
      </c>
    </row>
    <row r="10" spans="2:29" x14ac:dyDescent="0.25">
      <c r="B10" s="154" t="s">
        <v>152</v>
      </c>
      <c r="C10" s="120">
        <f>IFERROR(IF(VLOOKUP($B10,'JR-Team Roping-Header'!$B$5:$N$24,3,FALSE)=" ",0,VLOOKUP($B10,'JR-Team Roping-Header'!$B$5:$N$24,3,FALSE)),0)+IFERROR(IF(VLOOKUP($B10,'JR-Team Roping-Heeler'!$B$5:$N$24,3,FALSE)=" ",0,VLOOKUP($B10,'JR-Team Roping-Heeler'!$B$5:$N$24,3,FALSE)),0)+IFERROR(IF(VLOOKUP($B10,'JR B-Steer Riding'!$B$5:$AI$24,6,FALSE)=" ",0,VLOOKUP($B10,'JR B-Steer Riding'!$B$5:$AI$24,6,FALSE)),0)+IFERROR(IF(VLOOKUP($B10,'JR B-Goats'!$B$5:$AI$24,6,FALSE)=" ",0,VLOOKUP($B10,'JR B-Goats'!$B$5:$AI$24,6,FALSE)),0)+IFERROR(IF(VLOOKUP($B10,'JR B-Calf Tying'!$B$5:$AI$24,6,FALSE)=" ",0,VLOOKUP($B10,'JR B-Calf Tying'!$B$5:$AI$24,6,FALSE)),0)+IFERROR(IF(VLOOKUP($B10,'JR B-Breakaway'!$B$5:$AI$24,6,FALSE)=" ",0,VLOOKUP($B10,'JR B-Breakaway'!$B$5:$AI$24,6,FALSE)),0)</f>
        <v>0</v>
      </c>
      <c r="D10" s="95" t="str">
        <f t="shared" si="0"/>
        <v xml:space="preserve"> </v>
      </c>
      <c r="E10" s="91" t="str">
        <f t="shared" si="1"/>
        <v xml:space="preserve"> </v>
      </c>
      <c r="F10" s="121">
        <f>IFERROR(IF(VLOOKUP($B10,'JR-Team Roping-Header'!$B$5:$N$24,4,FALSE)=" ",0,VLOOKUP($B10,'JR-Team Roping-Header'!$B$5:$N$24,4,FALSE)),0)+IFERROR(IF(VLOOKUP($B10,'JR-Team Roping-Heeler'!$B$5:$N$24,4,FALSE)=" ",0,VLOOKUP($B10,'JR-Team Roping-Heeler'!$B$5:$N$24,4,FALSE)),0)+IFERROR(IF(VLOOKUP($B10,'JR B-Steer Riding'!$B$5:$AI$24,10,FALSE)=" ",0,VLOOKUP($B10,'JR B-Steer Riding'!$B$5:$AI$24,10,FALSE)),0)+IFERROR(IF(VLOOKUP($B10,'JR B-Goats'!$B$5:$AI$24,10,FALSE)=" ",0,VLOOKUP($B10,'JR B-Goats'!$B$5:$AI$24,10,FALSE)),0)+IFERROR(IF(VLOOKUP($B10,'JR B-Calf Tying'!$B$5:$AI$24,10,FALSE)=" ",0,VLOOKUP($B10,'JR B-Calf Tying'!$B$5:$AI$24,10,FALSE)),0)+IFERROR(IF(VLOOKUP($B10,'JR B-Breakaway'!$B$5:$AI$24,10,FALSE)=" ",0,VLOOKUP($B10,'JR B-Breakaway'!$B$5:$AI$24,10,FALSE)),0)</f>
        <v>9</v>
      </c>
      <c r="G10" s="95">
        <f t="shared" si="2"/>
        <v>9</v>
      </c>
      <c r="H10" s="91">
        <f t="shared" si="3"/>
        <v>6</v>
      </c>
      <c r="I10" s="121">
        <f>IFERROR(IF(VLOOKUP($B10,'JR-Team Roping-Header'!$B$5:$N$24,5,FALSE)=" ",0,VLOOKUP($B10,'JR-Team Roping-Header'!$B$5:$N$24,5,FALSE)),0)+IFERROR(IF(VLOOKUP($B10,'JR-Team Roping-Heeler'!$B$5:$N$24,5,FALSE)=" ",0,VLOOKUP($B10,'JR-Team Roping-Heeler'!$B$5:$N$24,5,FALSE)),0)+IFERROR(IF(VLOOKUP($B10,'JR B-Steer Riding'!$B$5:$AI$24,14,FALSE)=" ",0,VLOOKUP($B10,'JR B-Steer Riding'!$B$5:$AI$24,14,FALSE)),0)+IFERROR(IF(VLOOKUP($B10,'JR B-Goats'!$B$5:$AI$24,14,FALSE)=" ",0,VLOOKUP($B10,'JR B-Goats'!$B$5:$AI$24,14,FALSE)),0)+IFERROR(IF(VLOOKUP($B10,'JR B-Calf Tying'!$B$5:$AI$24,14,FALSE)=" ",0,VLOOKUP($B10,'JR B-Calf Tying'!$B$5:$AI$24,14,FALSE)),0)+IFERROR(IF(VLOOKUP($B10,'JR B-Breakaway'!$B$5:$AI$24,14,FALSE)=" ",0,VLOOKUP($B10,'JR B-Breakaway'!$B$5:$AI$24,14,FALSE)),0)</f>
        <v>12</v>
      </c>
      <c r="J10" s="95">
        <f t="shared" si="4"/>
        <v>12</v>
      </c>
      <c r="K10" s="91">
        <f t="shared" si="5"/>
        <v>6</v>
      </c>
      <c r="L10" s="121">
        <f>IFERROR(IF(VLOOKUP($B10,'JR-Team Roping-Header'!$B$5:$N$24,6,FALSE)=" ",0,VLOOKUP($B10,'JR-Team Roping-Header'!$B$5:$N$24,6,FALSE)),0)+IFERROR(IF(VLOOKUP($B10,'JR-Team Roping-Heeler'!$B$5:$N$24,6,FALSE)=" ",0,VLOOKUP($B10,'JR-Team Roping-Heeler'!$B$5:$N$24,6,FALSE)),0)+IFERROR(IF(VLOOKUP($B10,'JR B-Steer Riding'!$B$5:$AI$24,18,FALSE)=" ",0,VLOOKUP($B10,'JR B-Steer Riding'!$B$5:$AI$24,18,FALSE)),0)+IFERROR(IF(VLOOKUP($B10,'JR B-Goats'!$B$5:$AI$24,18,FALSE)=" ",0,VLOOKUP($B10,'JR B-Goats'!$B$5:$AI$24,18,FALSE)),0)+IFERROR(IF(VLOOKUP($B10,'JR B-Calf Tying'!$B$5:$AI$24,18,FALSE)=" ",0,VLOOKUP($B10,'JR B-Calf Tying'!$B$5:$AI$24,18,FALSE)),0)+IFERROR(IF(VLOOKUP($B10,'JR B-Breakaway'!$B$5:$AI$24,18,FALSE)=" ",0,VLOOKUP($B10,'JR B-Breakaway'!$B$5:$AI$24,18,FALSE)),0)</f>
        <v>24</v>
      </c>
      <c r="M10" s="95">
        <f t="shared" si="6"/>
        <v>24</v>
      </c>
      <c r="N10" s="91">
        <f t="shared" si="7"/>
        <v>5</v>
      </c>
      <c r="O10" s="121">
        <f>IFERROR(IF(VLOOKUP($B10,'JR-Team Roping-Header'!$B$5:$N$24,7,FALSE)=" ",0,VLOOKUP($B10,'JR-Team Roping-Header'!$B$5:$N$24,7,FALSE)),0)+IFERROR(IF(VLOOKUP($B10,'JR-Team Roping-Heeler'!$B$5:$N$24,7,FALSE)=" ",0,VLOOKUP($B10,'JR-Team Roping-Heeler'!$B$5:$N$24,7,FALSE)),0)+IFERROR(IF(VLOOKUP($B10,'JR B-Steer Riding'!$B$5:$AI$24,22,FALSE)=" ",0,VLOOKUP($B10,'JR B-Steer Riding'!$B$5:$AI$24,22,FALSE)),0)+IFERROR(IF(VLOOKUP($B10,'JR B-Goats'!$B$5:$AI$24,22,FALSE)=" ",0,VLOOKUP($B10,'JR B-Goats'!$B$5:$AI$24,22,FALSE)),0)+IFERROR(IF(VLOOKUP($B10,'JR B-Calf Tying'!$B$5:$AI$24,22,FALSE)=" ",0,VLOOKUP($B10,'JR B-Calf Tying'!$B$5:$AI$24,22,FALSE)),0)+IFERROR(IF(VLOOKUP($B10,'JR B-Breakaway'!$B$5:$AI$24,22,FALSE)=" ",0,VLOOKUP($B10,'JR B-Breakaway'!$B$5:$AI$24,22,FALSE)),0)</f>
        <v>21</v>
      </c>
      <c r="P10" s="95">
        <f t="shared" si="8"/>
        <v>21</v>
      </c>
      <c r="Q10" s="91">
        <f t="shared" si="9"/>
        <v>5</v>
      </c>
      <c r="R10" s="121">
        <f>IFERROR(IF(VLOOKUP($B10,'JR-Team Roping-Header'!$B$5:$N$24,8,FALSE)=" ",0,VLOOKUP($B10,'JR-Team Roping-Header'!$B$5:$N$24,8,FALSE)),0)+IFERROR(IF(VLOOKUP($B10,'JR-Team Roping-Heeler'!$B$5:$N$24,8,FALSE)=" ",0,VLOOKUP($B10,'JR-Team Roping-Heeler'!$B$5:$N$24,8,FALSE)),0)+IFERROR(IF(VLOOKUP($B10,'JR B-Steer Riding'!$B$5:$AI$24,26,FALSE)=" ",0,VLOOKUP($B10,'JR B-Steer Riding'!$B$5:$AI$24,26,FALSE)),0)+IFERROR(IF(VLOOKUP($B10,'JR B-Goats'!$B$5:$AI$24,26,FALSE)=" ",0,VLOOKUP($B10,'JR B-Goats'!$B$5:$AI$24,26,FALSE)),0)+IFERROR(IF(VLOOKUP($B10,'JR B-Calf Tying'!$B$5:$AI$24,26,FALSE)=" ",0,VLOOKUP($B10,'JR B-Calf Tying'!$B$5:$AI$24,26,FALSE)),0)+IFERROR(IF(VLOOKUP($B10,'JR B-Breakaway'!$B$5:$AI$24,26,FALSE)=" ",0,VLOOKUP($B10,'JR B-Breakaway'!$B$5:$AI$24,26,FALSE)),0)</f>
        <v>12</v>
      </c>
      <c r="S10" s="95">
        <f t="shared" si="10"/>
        <v>12</v>
      </c>
      <c r="T10" s="91">
        <f t="shared" si="11"/>
        <v>6</v>
      </c>
      <c r="U10" s="121">
        <f>IFERROR(IF(VLOOKUP($B10,'JR-Team Roping-Header'!$B$5:$N$24,9,FALSE)=" ",0,VLOOKUP($B10,'JR-Team Roping-Header'!$B$5:$N$24,9,FALSE)),0)+IFERROR(IF(VLOOKUP($B10,'JR-Team Roping-Heeler'!$B$5:$N$24,9,FALSE)=" ",0,VLOOKUP($B10,'JR-Team Roping-Heeler'!$B$5:$N$24,9,FALSE)),0)+IFERROR(IF(VLOOKUP($B10,'JR B-Steer Riding'!$B$5:$AI$24,30,FALSE)=" ",0,VLOOKUP($B10,'JR B-Steer Riding'!$B$5:$AI$24,30,FALSE)),0)+IFERROR(IF(VLOOKUP($B10,'JR B-Goats'!$B$5:$AI$24,30,FALSE)=" ",0,VLOOKUP($B10,'JR B-Goats'!$B$5:$AI$24,30,FALSE)),0)+IFERROR(IF(VLOOKUP($B10,'JR B-Calf Tying'!$B$5:$AI$24,30,FALSE)=" ",0,VLOOKUP($B10,'JR B-Calf Tying'!$B$5:$AI$24,30,FALSE)),0)+IFERROR(IF(VLOOKUP($B10,'JR B-Breakaway'!$B$5:$AI$24,30,FALSE)=" ",0,VLOOKUP($B10,'JR B-Breakaway'!$B$5:$AI$24,30,FALSE)),0)</f>
        <v>18</v>
      </c>
      <c r="V10" s="95">
        <f t="shared" si="12"/>
        <v>18</v>
      </c>
      <c r="W10" s="91">
        <f t="shared" si="13"/>
        <v>6</v>
      </c>
      <c r="X10" s="121">
        <f>IFERROR(IF(VLOOKUP($B10,'JR-Team Roping-Header'!$B$5:$N$24,10,FALSE)=" ",0,VLOOKUP($B10,'JR-Team Roping-Header'!$B$5:$N$24,10,FALSE)),0)+IFERROR(IF(VLOOKUP($B10,'JR-Team Roping-Heeler'!$B$5:$N$24,10,FALSE)=" ",0,VLOOKUP($B10,'JR-Team Roping-Heeler'!$B$5:$N$24,10,FALSE)),0)+IFERROR(IF(VLOOKUP($B10,'JR B-Steer Riding'!$B$5:$AI$24,34,FALSE)=" ",0,VLOOKUP($B10,'JR B-Steer Riding'!$B$5:$AI$24,34,FALSE)),0)+IFERROR(IF(VLOOKUP($B10,'JR B-Goats'!$B$5:$AI$24,34,FALSE)=" ",0,VLOOKUP($B10,'JR B-Goats'!$B$5:$AI$24,34,FALSE)),0)+IFERROR(IF(VLOOKUP($B10,'JR B-Calf Tying'!$B$5:$AI$24,34,FALSE)=" ",0,VLOOKUP($B10,'JR B-Calf Tying'!$B$5:$AI$24,34,FALSE)),0)+IFERROR(IF(VLOOKUP($B10,'JR B-Breakaway'!$B$5:$AI$24,34,FALSE)=" ",0,VLOOKUP($B10,'JR B-Breakaway'!$B$5:$AI$24,34,FALSE)),0)</f>
        <v>12</v>
      </c>
      <c r="Y10" s="95">
        <f t="shared" si="14"/>
        <v>12</v>
      </c>
      <c r="Z10" s="91">
        <f t="shared" si="15"/>
        <v>6</v>
      </c>
      <c r="AA10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108</v>
      </c>
      <c r="AB10" s="95">
        <f t="shared" si="16"/>
        <v>108</v>
      </c>
      <c r="AC10" s="91">
        <f t="shared" si="17"/>
        <v>6</v>
      </c>
    </row>
    <row r="11" spans="2:29" x14ac:dyDescent="0.25">
      <c r="B11" s="142" t="s">
        <v>256</v>
      </c>
      <c r="C11" s="120">
        <f>IFERROR(IF(VLOOKUP($B11,'JR-Team Roping-Header'!$B$5:$N$24,3,FALSE)=" ",0,VLOOKUP($B11,'JR-Team Roping-Header'!$B$5:$N$24,3,FALSE)),0)+IFERROR(IF(VLOOKUP($B11,'JR-Team Roping-Heeler'!$B$5:$N$24,3,FALSE)=" ",0,VLOOKUP($B11,'JR-Team Roping-Heeler'!$B$5:$N$24,3,FALSE)),0)+IFERROR(IF(VLOOKUP($B11,'JR B-Steer Riding'!$B$5:$AI$24,6,FALSE)=" ",0,VLOOKUP($B11,'JR B-Steer Riding'!$B$5:$AI$24,6,FALSE)),0)+IFERROR(IF(VLOOKUP($B11,'JR B-Goats'!$B$5:$AI$24,6,FALSE)=" ",0,VLOOKUP($B11,'JR B-Goats'!$B$5:$AI$24,6,FALSE)),0)+IFERROR(IF(VLOOKUP($B11,'JR B-Calf Tying'!$B$5:$AI$24,6,FALSE)=" ",0,VLOOKUP($B11,'JR B-Calf Tying'!$B$5:$AI$24,6,FALSE)),0)+IFERROR(IF(VLOOKUP($B11,'JR B-Breakaway'!$B$5:$AI$24,6,FALSE)=" ",0,VLOOKUP($B11,'JR B-Breakaway'!$B$5:$AI$24,6,FALSE)),0)</f>
        <v>0</v>
      </c>
      <c r="D11" s="95" t="str">
        <f t="shared" si="0"/>
        <v xml:space="preserve"> </v>
      </c>
      <c r="E11" s="122" t="str">
        <f t="shared" si="1"/>
        <v xml:space="preserve"> </v>
      </c>
      <c r="F11" s="121">
        <f>IFERROR(IF(VLOOKUP($B11,'JR-Team Roping-Header'!$B$5:$N$24,4,FALSE)=" ",0,VLOOKUP($B11,'JR-Team Roping-Header'!$B$5:$N$24,4,FALSE)),0)+IFERROR(IF(VLOOKUP($B11,'JR-Team Roping-Heeler'!$B$5:$N$24,4,FALSE)=" ",0,VLOOKUP($B11,'JR-Team Roping-Heeler'!$B$5:$N$24,4,FALSE)),0)+IFERROR(IF(VLOOKUP($B11,'JR B-Steer Riding'!$B$5:$AI$24,10,FALSE)=" ",0,VLOOKUP($B11,'JR B-Steer Riding'!$B$5:$AI$24,10,FALSE)),0)+IFERROR(IF(VLOOKUP($B11,'JR B-Goats'!$B$5:$AI$24,10,FALSE)=" ",0,VLOOKUP($B11,'JR B-Goats'!$B$5:$AI$24,10,FALSE)),0)+IFERROR(IF(VLOOKUP($B11,'JR B-Calf Tying'!$B$5:$AI$24,10,FALSE)=" ",0,VLOOKUP($B11,'JR B-Calf Tying'!$B$5:$AI$24,10,FALSE)),0)+IFERROR(IF(VLOOKUP($B11,'JR B-Breakaway'!$B$5:$AI$24,10,FALSE)=" ",0,VLOOKUP($B11,'JR B-Breakaway'!$B$5:$AI$24,10,FALSE)),0)</f>
        <v>9</v>
      </c>
      <c r="G11" s="95">
        <f t="shared" si="2"/>
        <v>9</v>
      </c>
      <c r="H11" s="122">
        <f t="shared" si="3"/>
        <v>6</v>
      </c>
      <c r="I11" s="121">
        <f>IFERROR(IF(VLOOKUP($B11,'JR-Team Roping-Header'!$B$5:$N$24,5,FALSE)=" ",0,VLOOKUP($B11,'JR-Team Roping-Header'!$B$5:$N$24,5,FALSE)),0)+IFERROR(IF(VLOOKUP($B11,'JR-Team Roping-Heeler'!$B$5:$N$24,5,FALSE)=" ",0,VLOOKUP($B11,'JR-Team Roping-Heeler'!$B$5:$N$24,5,FALSE)),0)+IFERROR(IF(VLOOKUP($B11,'JR B-Steer Riding'!$B$5:$AI$24,14,FALSE)=" ",0,VLOOKUP($B11,'JR B-Steer Riding'!$B$5:$AI$24,14,FALSE)),0)+IFERROR(IF(VLOOKUP($B11,'JR B-Goats'!$B$5:$AI$24,14,FALSE)=" ",0,VLOOKUP($B11,'JR B-Goats'!$B$5:$AI$24,14,FALSE)),0)+IFERROR(IF(VLOOKUP($B11,'JR B-Calf Tying'!$B$5:$AI$24,14,FALSE)=" ",0,VLOOKUP($B11,'JR B-Calf Tying'!$B$5:$AI$24,14,FALSE)),0)+IFERROR(IF(VLOOKUP($B11,'JR B-Breakaway'!$B$5:$AI$24,14,FALSE)=" ",0,VLOOKUP($B11,'JR B-Breakaway'!$B$5:$AI$24,14,FALSE)),0)</f>
        <v>15</v>
      </c>
      <c r="J11" s="95">
        <f t="shared" si="4"/>
        <v>15</v>
      </c>
      <c r="K11" s="122">
        <f t="shared" si="5"/>
        <v>5</v>
      </c>
      <c r="L11" s="121">
        <f>IFERROR(IF(VLOOKUP($B11,'JR-Team Roping-Header'!$B$5:$N$24,6,FALSE)=" ",0,VLOOKUP($B11,'JR-Team Roping-Header'!$B$5:$N$24,6,FALSE)),0)+IFERROR(IF(VLOOKUP($B11,'JR-Team Roping-Heeler'!$B$5:$N$24,6,FALSE)=" ",0,VLOOKUP($B11,'JR-Team Roping-Heeler'!$B$5:$N$24,6,FALSE)),0)+IFERROR(IF(VLOOKUP($B11,'JR B-Steer Riding'!$B$5:$AI$24,18,FALSE)=" ",0,VLOOKUP($B11,'JR B-Steer Riding'!$B$5:$AI$24,18,FALSE)),0)+IFERROR(IF(VLOOKUP($B11,'JR B-Goats'!$B$5:$AI$24,18,FALSE)=" ",0,VLOOKUP($B11,'JR B-Goats'!$B$5:$AI$24,18,FALSE)),0)+IFERROR(IF(VLOOKUP($B11,'JR B-Calf Tying'!$B$5:$AI$24,18,FALSE)=" ",0,VLOOKUP($B11,'JR B-Calf Tying'!$B$5:$AI$24,18,FALSE)),0)+IFERROR(IF(VLOOKUP($B11,'JR B-Breakaway'!$B$5:$AI$24,18,FALSE)=" ",0,VLOOKUP($B11,'JR B-Breakaway'!$B$5:$AI$24,18,FALSE)),0)</f>
        <v>15</v>
      </c>
      <c r="M11" s="95">
        <f t="shared" si="6"/>
        <v>15</v>
      </c>
      <c r="N11" s="122">
        <f t="shared" si="7"/>
        <v>6</v>
      </c>
      <c r="O11" s="121">
        <f>IFERROR(IF(VLOOKUP($B11,'JR-Team Roping-Header'!$B$5:$N$24,7,FALSE)=" ",0,VLOOKUP($B11,'JR-Team Roping-Header'!$B$5:$N$24,7,FALSE)),0)+IFERROR(IF(VLOOKUP($B11,'JR-Team Roping-Heeler'!$B$5:$N$24,7,FALSE)=" ",0,VLOOKUP($B11,'JR-Team Roping-Heeler'!$B$5:$N$24,7,FALSE)),0)+IFERROR(IF(VLOOKUP($B11,'JR B-Steer Riding'!$B$5:$AI$24,22,FALSE)=" ",0,VLOOKUP($B11,'JR B-Steer Riding'!$B$5:$AI$24,22,FALSE)),0)+IFERROR(IF(VLOOKUP($B11,'JR B-Goats'!$B$5:$AI$24,22,FALSE)=" ",0,VLOOKUP($B11,'JR B-Goats'!$B$5:$AI$24,22,FALSE)),0)+IFERROR(IF(VLOOKUP($B11,'JR B-Calf Tying'!$B$5:$AI$24,22,FALSE)=" ",0,VLOOKUP($B11,'JR B-Calf Tying'!$B$5:$AI$24,22,FALSE)),0)+IFERROR(IF(VLOOKUP($B11,'JR B-Breakaway'!$B$5:$AI$24,22,FALSE)=" ",0,VLOOKUP($B11,'JR B-Breakaway'!$B$5:$AI$24,22,FALSE)),0)</f>
        <v>18</v>
      </c>
      <c r="P11" s="95">
        <f t="shared" si="8"/>
        <v>18</v>
      </c>
      <c r="Q11" s="122">
        <f t="shared" si="9"/>
        <v>6</v>
      </c>
      <c r="R11" s="121">
        <f>IFERROR(IF(VLOOKUP($B11,'JR-Team Roping-Header'!$B$5:$N$24,8,FALSE)=" ",0,VLOOKUP($B11,'JR-Team Roping-Header'!$B$5:$N$24,8,FALSE)),0)+IFERROR(IF(VLOOKUP($B11,'JR-Team Roping-Heeler'!$B$5:$N$24,8,FALSE)=" ",0,VLOOKUP($B11,'JR-Team Roping-Heeler'!$B$5:$N$24,8,FALSE)),0)+IFERROR(IF(VLOOKUP($B11,'JR B-Steer Riding'!$B$5:$AI$24,26,FALSE)=" ",0,VLOOKUP($B11,'JR B-Steer Riding'!$B$5:$AI$24,26,FALSE)),0)+IFERROR(IF(VLOOKUP($B11,'JR B-Goats'!$B$5:$AI$24,26,FALSE)=" ",0,VLOOKUP($B11,'JR B-Goats'!$B$5:$AI$24,26,FALSE)),0)+IFERROR(IF(VLOOKUP($B11,'JR B-Calf Tying'!$B$5:$AI$24,26,FALSE)=" ",0,VLOOKUP($B11,'JR B-Calf Tying'!$B$5:$AI$24,26,FALSE)),0)+IFERROR(IF(VLOOKUP($B11,'JR B-Breakaway'!$B$5:$AI$24,26,FALSE)=" ",0,VLOOKUP($B11,'JR B-Breakaway'!$B$5:$AI$24,26,FALSE)),0)</f>
        <v>6</v>
      </c>
      <c r="S11" s="95">
        <f t="shared" si="10"/>
        <v>6</v>
      </c>
      <c r="T11" s="122">
        <f t="shared" si="11"/>
        <v>8</v>
      </c>
      <c r="U11" s="121">
        <f>IFERROR(IF(VLOOKUP($B11,'JR-Team Roping-Header'!$B$5:$N$24,9,FALSE)=" ",0,VLOOKUP($B11,'JR-Team Roping-Header'!$B$5:$N$24,9,FALSE)),0)+IFERROR(IF(VLOOKUP($B11,'JR-Team Roping-Heeler'!$B$5:$N$24,9,FALSE)=" ",0,VLOOKUP($B11,'JR-Team Roping-Heeler'!$B$5:$N$24,9,FALSE)),0)+IFERROR(IF(VLOOKUP($B11,'JR B-Steer Riding'!$B$5:$AI$24,30,FALSE)=" ",0,VLOOKUP($B11,'JR B-Steer Riding'!$B$5:$AI$24,30,FALSE)),0)+IFERROR(IF(VLOOKUP($B11,'JR B-Goats'!$B$5:$AI$24,30,FALSE)=" ",0,VLOOKUP($B11,'JR B-Goats'!$B$5:$AI$24,30,FALSE)),0)+IFERROR(IF(VLOOKUP($B11,'JR B-Calf Tying'!$B$5:$AI$24,30,FALSE)=" ",0,VLOOKUP($B11,'JR B-Calf Tying'!$B$5:$AI$24,30,FALSE)),0)+IFERROR(IF(VLOOKUP($B11,'JR B-Breakaway'!$B$5:$AI$24,30,FALSE)=" ",0,VLOOKUP($B11,'JR B-Breakaway'!$B$5:$AI$24,30,FALSE)),0)</f>
        <v>9</v>
      </c>
      <c r="V11" s="95">
        <f t="shared" si="12"/>
        <v>9</v>
      </c>
      <c r="W11" s="122">
        <f t="shared" si="13"/>
        <v>8</v>
      </c>
      <c r="X11" s="121">
        <f>IFERROR(IF(VLOOKUP($B11,'JR-Team Roping-Header'!$B$5:$N$24,10,FALSE)=" ",0,VLOOKUP($B11,'JR-Team Roping-Header'!$B$5:$N$24,10,FALSE)),0)+IFERROR(IF(VLOOKUP($B11,'JR-Team Roping-Heeler'!$B$5:$N$24,10,FALSE)=" ",0,VLOOKUP($B11,'JR-Team Roping-Heeler'!$B$5:$N$24,10,FALSE)),0)+IFERROR(IF(VLOOKUP($B11,'JR B-Steer Riding'!$B$5:$AI$24,34,FALSE)=" ",0,VLOOKUP($B11,'JR B-Steer Riding'!$B$5:$AI$24,34,FALSE)),0)+IFERROR(IF(VLOOKUP($B11,'JR B-Goats'!$B$5:$AI$24,34,FALSE)=" ",0,VLOOKUP($B11,'JR B-Goats'!$B$5:$AI$24,34,FALSE)),0)+IFERROR(IF(VLOOKUP($B11,'JR B-Calf Tying'!$B$5:$AI$24,34,FALSE)=" ",0,VLOOKUP($B11,'JR B-Calf Tying'!$B$5:$AI$24,34,FALSE)),0)+IFERROR(IF(VLOOKUP($B11,'JR B-Breakaway'!$B$5:$AI$24,34,FALSE)=" ",0,VLOOKUP($B11,'JR B-Breakaway'!$B$5:$AI$24,34,FALSE)),0)</f>
        <v>9</v>
      </c>
      <c r="Y11" s="95">
        <f t="shared" si="14"/>
        <v>9</v>
      </c>
      <c r="Z11" s="122">
        <f t="shared" si="15"/>
        <v>9</v>
      </c>
      <c r="AA11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81</v>
      </c>
      <c r="AB11" s="95">
        <f t="shared" si="16"/>
        <v>81</v>
      </c>
      <c r="AC11" s="122">
        <f t="shared" si="17"/>
        <v>7</v>
      </c>
    </row>
    <row r="12" spans="2:29" x14ac:dyDescent="0.25">
      <c r="B12" s="141" t="s">
        <v>155</v>
      </c>
      <c r="C12" s="120">
        <f>IFERROR(IF(VLOOKUP($B12,'JR-Team Roping-Header'!$B$5:$N$24,3,FALSE)=" ",0,VLOOKUP($B12,'JR-Team Roping-Header'!$B$5:$N$24,3,FALSE)),0)+IFERROR(IF(VLOOKUP($B12,'JR-Team Roping-Heeler'!$B$5:$N$24,3,FALSE)=" ",0,VLOOKUP($B12,'JR-Team Roping-Heeler'!$B$5:$N$24,3,FALSE)),0)+IFERROR(IF(VLOOKUP($B12,'JR B-Steer Riding'!$B$5:$AI$24,6,FALSE)=" ",0,VLOOKUP($B12,'JR B-Steer Riding'!$B$5:$AI$24,6,FALSE)),0)+IFERROR(IF(VLOOKUP($B12,'JR B-Goats'!$B$5:$AI$24,6,FALSE)=" ",0,VLOOKUP($B12,'JR B-Goats'!$B$5:$AI$24,6,FALSE)),0)+IFERROR(IF(VLOOKUP($B12,'JR B-Calf Tying'!$B$5:$AI$24,6,FALSE)=" ",0,VLOOKUP($B12,'JR B-Calf Tying'!$B$5:$AI$24,6,FALSE)),0)+IFERROR(IF(VLOOKUP($B12,'JR B-Breakaway'!$B$5:$AI$24,6,FALSE)=" ",0,VLOOKUP($B12,'JR B-Breakaway'!$B$5:$AI$24,6,FALSE)),0)</f>
        <v>21</v>
      </c>
      <c r="D12" s="95">
        <f t="shared" si="0"/>
        <v>21</v>
      </c>
      <c r="E12" s="122">
        <f t="shared" si="1"/>
        <v>7</v>
      </c>
      <c r="F12" s="121">
        <f>IFERROR(IF(VLOOKUP($B12,'JR-Team Roping-Header'!$B$5:$N$24,4,FALSE)=" ",0,VLOOKUP($B12,'JR-Team Roping-Header'!$B$5:$N$24,4,FALSE)),0)+IFERROR(IF(VLOOKUP($B12,'JR-Team Roping-Heeler'!$B$5:$N$24,4,FALSE)=" ",0,VLOOKUP($B12,'JR-Team Roping-Heeler'!$B$5:$N$24,4,FALSE)),0)+IFERROR(IF(VLOOKUP($B12,'JR B-Steer Riding'!$B$5:$AI$24,10,FALSE)=" ",0,VLOOKUP($B12,'JR B-Steer Riding'!$B$5:$AI$24,10,FALSE)),0)+IFERROR(IF(VLOOKUP($B12,'JR B-Goats'!$B$5:$AI$24,10,FALSE)=" ",0,VLOOKUP($B12,'JR B-Goats'!$B$5:$AI$24,10,FALSE)),0)+IFERROR(IF(VLOOKUP($B12,'JR B-Calf Tying'!$B$5:$AI$24,10,FALSE)=" ",0,VLOOKUP($B12,'JR B-Calf Tying'!$B$5:$AI$24,10,FALSE)),0)+IFERROR(IF(VLOOKUP($B12,'JR B-Breakaway'!$B$5:$AI$24,10,FALSE)=" ",0,VLOOKUP($B12,'JR B-Breakaway'!$B$5:$AI$24,10,FALSE)),0)</f>
        <v>3</v>
      </c>
      <c r="G12" s="95">
        <f t="shared" si="2"/>
        <v>3</v>
      </c>
      <c r="H12" s="122">
        <f t="shared" si="3"/>
        <v>9</v>
      </c>
      <c r="I12" s="121">
        <f>IFERROR(IF(VLOOKUP($B12,'JR-Team Roping-Header'!$B$5:$N$24,5,FALSE)=" ",0,VLOOKUP($B12,'JR-Team Roping-Header'!$B$5:$N$24,5,FALSE)),0)+IFERROR(IF(VLOOKUP($B12,'JR-Team Roping-Heeler'!$B$5:$N$24,5,FALSE)=" ",0,VLOOKUP($B12,'JR-Team Roping-Heeler'!$B$5:$N$24,5,FALSE)),0)+IFERROR(IF(VLOOKUP($B12,'JR B-Steer Riding'!$B$5:$AI$24,14,FALSE)=" ",0,VLOOKUP($B12,'JR B-Steer Riding'!$B$5:$AI$24,14,FALSE)),0)+IFERROR(IF(VLOOKUP($B12,'JR B-Goats'!$B$5:$AI$24,14,FALSE)=" ",0,VLOOKUP($B12,'JR B-Goats'!$B$5:$AI$24,14,FALSE)),0)+IFERROR(IF(VLOOKUP($B12,'JR B-Calf Tying'!$B$5:$AI$24,14,FALSE)=" ",0,VLOOKUP($B12,'JR B-Calf Tying'!$B$5:$AI$24,14,FALSE)),0)+IFERROR(IF(VLOOKUP($B12,'JR B-Breakaway'!$B$5:$AI$24,14,FALSE)=" ",0,VLOOKUP($B12,'JR B-Breakaway'!$B$5:$AI$24,14,FALSE)),0)</f>
        <v>9</v>
      </c>
      <c r="J12" s="95">
        <f t="shared" si="4"/>
        <v>9</v>
      </c>
      <c r="K12" s="122">
        <f t="shared" si="5"/>
        <v>8</v>
      </c>
      <c r="L12" s="121">
        <f>IFERROR(IF(VLOOKUP($B12,'JR-Team Roping-Header'!$B$5:$N$24,6,FALSE)=" ",0,VLOOKUP($B12,'JR-Team Roping-Header'!$B$5:$N$24,6,FALSE)),0)+IFERROR(IF(VLOOKUP($B12,'JR-Team Roping-Heeler'!$B$5:$N$24,6,FALSE)=" ",0,VLOOKUP($B12,'JR-Team Roping-Heeler'!$B$5:$N$24,6,FALSE)),0)+IFERROR(IF(VLOOKUP($B12,'JR B-Steer Riding'!$B$5:$AI$24,18,FALSE)=" ",0,VLOOKUP($B12,'JR B-Steer Riding'!$B$5:$AI$24,18,FALSE)),0)+IFERROR(IF(VLOOKUP($B12,'JR B-Goats'!$B$5:$AI$24,18,FALSE)=" ",0,VLOOKUP($B12,'JR B-Goats'!$B$5:$AI$24,18,FALSE)),0)+IFERROR(IF(VLOOKUP($B12,'JR B-Calf Tying'!$B$5:$AI$24,18,FALSE)=" ",0,VLOOKUP($B12,'JR B-Calf Tying'!$B$5:$AI$24,18,FALSE)),0)+IFERROR(IF(VLOOKUP($B12,'JR B-Breakaway'!$B$5:$AI$24,18,FALSE)=" ",0,VLOOKUP($B12,'JR B-Breakaway'!$B$5:$AI$24,18,FALSE)),0)</f>
        <v>9</v>
      </c>
      <c r="M12" s="95">
        <f t="shared" si="6"/>
        <v>9</v>
      </c>
      <c r="N12" s="122">
        <f t="shared" si="7"/>
        <v>10</v>
      </c>
      <c r="O12" s="121">
        <f>IFERROR(IF(VLOOKUP($B12,'JR-Team Roping-Header'!$B$5:$N$24,7,FALSE)=" ",0,VLOOKUP($B12,'JR-Team Roping-Header'!$B$5:$N$24,7,FALSE)),0)+IFERROR(IF(VLOOKUP($B12,'JR-Team Roping-Heeler'!$B$5:$N$24,7,FALSE)=" ",0,VLOOKUP($B12,'JR-Team Roping-Heeler'!$B$5:$N$24,7,FALSE)),0)+IFERROR(IF(VLOOKUP($B12,'JR B-Steer Riding'!$B$5:$AI$24,22,FALSE)=" ",0,VLOOKUP($B12,'JR B-Steer Riding'!$B$5:$AI$24,22,FALSE)),0)+IFERROR(IF(VLOOKUP($B12,'JR B-Goats'!$B$5:$AI$24,22,FALSE)=" ",0,VLOOKUP($B12,'JR B-Goats'!$B$5:$AI$24,22,FALSE)),0)+IFERROR(IF(VLOOKUP($B12,'JR B-Calf Tying'!$B$5:$AI$24,22,FALSE)=" ",0,VLOOKUP($B12,'JR B-Calf Tying'!$B$5:$AI$24,22,FALSE)),0)+IFERROR(IF(VLOOKUP($B12,'JR B-Breakaway'!$B$5:$AI$24,22,FALSE)=" ",0,VLOOKUP($B12,'JR B-Breakaway'!$B$5:$AI$24,22,FALSE)),0)</f>
        <v>0</v>
      </c>
      <c r="P12" s="95" t="str">
        <f t="shared" si="8"/>
        <v xml:space="preserve"> </v>
      </c>
      <c r="Q12" s="122" t="str">
        <f t="shared" si="9"/>
        <v xml:space="preserve"> </v>
      </c>
      <c r="R12" s="121">
        <f>IFERROR(IF(VLOOKUP($B12,'JR-Team Roping-Header'!$B$5:$N$24,8,FALSE)=" ",0,VLOOKUP($B12,'JR-Team Roping-Header'!$B$5:$N$24,8,FALSE)),0)+IFERROR(IF(VLOOKUP($B12,'JR-Team Roping-Heeler'!$B$5:$N$24,8,FALSE)=" ",0,VLOOKUP($B12,'JR-Team Roping-Heeler'!$B$5:$N$24,8,FALSE)),0)+IFERROR(IF(VLOOKUP($B12,'JR B-Steer Riding'!$B$5:$AI$24,26,FALSE)=" ",0,VLOOKUP($B12,'JR B-Steer Riding'!$B$5:$AI$24,26,FALSE)),0)+IFERROR(IF(VLOOKUP($B12,'JR B-Goats'!$B$5:$AI$24,26,FALSE)=" ",0,VLOOKUP($B12,'JR B-Goats'!$B$5:$AI$24,26,FALSE)),0)+IFERROR(IF(VLOOKUP($B12,'JR B-Calf Tying'!$B$5:$AI$24,26,FALSE)=" ",0,VLOOKUP($B12,'JR B-Calf Tying'!$B$5:$AI$24,26,FALSE)),0)+IFERROR(IF(VLOOKUP($B12,'JR B-Breakaway'!$B$5:$AI$24,26,FALSE)=" ",0,VLOOKUP($B12,'JR B-Breakaway'!$B$5:$AI$24,26,FALSE)),0)</f>
        <v>0</v>
      </c>
      <c r="S12" s="95" t="str">
        <f t="shared" si="10"/>
        <v xml:space="preserve"> </v>
      </c>
      <c r="T12" s="122" t="str">
        <f t="shared" si="11"/>
        <v xml:space="preserve"> </v>
      </c>
      <c r="U12" s="121">
        <f>IFERROR(IF(VLOOKUP($B12,'JR-Team Roping-Header'!$B$5:$N$24,9,FALSE)=" ",0,VLOOKUP($B12,'JR-Team Roping-Header'!$B$5:$N$24,9,FALSE)),0)+IFERROR(IF(VLOOKUP($B12,'JR-Team Roping-Heeler'!$B$5:$N$24,9,FALSE)=" ",0,VLOOKUP($B12,'JR-Team Roping-Heeler'!$B$5:$N$24,9,FALSE)),0)+IFERROR(IF(VLOOKUP($B12,'JR B-Steer Riding'!$B$5:$AI$24,30,FALSE)=" ",0,VLOOKUP($B12,'JR B-Steer Riding'!$B$5:$AI$24,30,FALSE)),0)+IFERROR(IF(VLOOKUP($B12,'JR B-Goats'!$B$5:$AI$24,30,FALSE)=" ",0,VLOOKUP($B12,'JR B-Goats'!$B$5:$AI$24,30,FALSE)),0)+IFERROR(IF(VLOOKUP($B12,'JR B-Calf Tying'!$B$5:$AI$24,30,FALSE)=" ",0,VLOOKUP($B12,'JR B-Calf Tying'!$B$5:$AI$24,30,FALSE)),0)+IFERROR(IF(VLOOKUP($B12,'JR B-Breakaway'!$B$5:$AI$24,30,FALSE)=" ",0,VLOOKUP($B12,'JR B-Breakaway'!$B$5:$AI$24,30,FALSE)),0)</f>
        <v>12</v>
      </c>
      <c r="V12" s="95">
        <f t="shared" si="12"/>
        <v>12</v>
      </c>
      <c r="W12" s="122">
        <f t="shared" si="13"/>
        <v>7</v>
      </c>
      <c r="X12" s="121">
        <f>IFERROR(IF(VLOOKUP($B12,'JR-Team Roping-Header'!$B$5:$N$24,10,FALSE)=" ",0,VLOOKUP($B12,'JR-Team Roping-Header'!$B$5:$N$24,10,FALSE)),0)+IFERROR(IF(VLOOKUP($B12,'JR-Team Roping-Heeler'!$B$5:$N$24,10,FALSE)=" ",0,VLOOKUP($B12,'JR-Team Roping-Heeler'!$B$5:$N$24,10,FALSE)),0)+IFERROR(IF(VLOOKUP($B12,'JR B-Steer Riding'!$B$5:$AI$24,34,FALSE)=" ",0,VLOOKUP($B12,'JR B-Steer Riding'!$B$5:$AI$24,34,FALSE)),0)+IFERROR(IF(VLOOKUP($B12,'JR B-Goats'!$B$5:$AI$24,34,FALSE)=" ",0,VLOOKUP($B12,'JR B-Goats'!$B$5:$AI$24,34,FALSE)),0)+IFERROR(IF(VLOOKUP($B12,'JR B-Calf Tying'!$B$5:$AI$24,34,FALSE)=" ",0,VLOOKUP($B12,'JR B-Calf Tying'!$B$5:$AI$24,34,FALSE)),0)+IFERROR(IF(VLOOKUP($B12,'JR B-Breakaway'!$B$5:$AI$24,34,FALSE)=" ",0,VLOOKUP($B12,'JR B-Breakaway'!$B$5:$AI$24,34,FALSE)),0)</f>
        <v>12</v>
      </c>
      <c r="Y12" s="95">
        <f t="shared" si="14"/>
        <v>12</v>
      </c>
      <c r="Z12" s="122">
        <f t="shared" si="15"/>
        <v>6</v>
      </c>
      <c r="AA12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66</v>
      </c>
      <c r="AB12" s="95">
        <f t="shared" si="16"/>
        <v>66</v>
      </c>
      <c r="AC12" s="122">
        <f t="shared" si="17"/>
        <v>8</v>
      </c>
    </row>
    <row r="13" spans="2:29" x14ac:dyDescent="0.25">
      <c r="B13" s="154" t="s">
        <v>153</v>
      </c>
      <c r="C13" s="120">
        <f>IFERROR(IF(VLOOKUP($B13,'JR-Team Roping-Header'!$B$5:$N$24,3,FALSE)=" ",0,VLOOKUP($B13,'JR-Team Roping-Header'!$B$5:$N$24,3,FALSE)),0)+IFERROR(IF(VLOOKUP($B13,'JR-Team Roping-Heeler'!$B$5:$N$24,3,FALSE)=" ",0,VLOOKUP($B13,'JR-Team Roping-Heeler'!$B$5:$N$24,3,FALSE)),0)+IFERROR(IF(VLOOKUP($B13,'JR B-Steer Riding'!$B$5:$AI$24,6,FALSE)=" ",0,VLOOKUP($B13,'JR B-Steer Riding'!$B$5:$AI$24,6,FALSE)),0)+IFERROR(IF(VLOOKUP($B13,'JR B-Goats'!$B$5:$AI$24,6,FALSE)=" ",0,VLOOKUP($B13,'JR B-Goats'!$B$5:$AI$24,6,FALSE)),0)+IFERROR(IF(VLOOKUP($B13,'JR B-Calf Tying'!$B$5:$AI$24,6,FALSE)=" ",0,VLOOKUP($B13,'JR B-Calf Tying'!$B$5:$AI$24,6,FALSE)),0)+IFERROR(IF(VLOOKUP($B13,'JR B-Breakaway'!$B$5:$AI$24,6,FALSE)=" ",0,VLOOKUP($B13,'JR B-Breakaway'!$B$5:$AI$24,6,FALSE)),0)</f>
        <v>30</v>
      </c>
      <c r="D13" s="95">
        <f t="shared" si="0"/>
        <v>30</v>
      </c>
      <c r="E13" s="91">
        <f t="shared" si="1"/>
        <v>5</v>
      </c>
      <c r="F13" s="121">
        <f>IFERROR(IF(VLOOKUP($B13,'JR-Team Roping-Header'!$B$5:$N$24,4,FALSE)=" ",0,VLOOKUP($B13,'JR-Team Roping-Header'!$B$5:$N$24,4,FALSE)),0)+IFERROR(IF(VLOOKUP($B13,'JR-Team Roping-Heeler'!$B$5:$N$24,4,FALSE)=" ",0,VLOOKUP($B13,'JR-Team Roping-Heeler'!$B$5:$N$24,4,FALSE)),0)+IFERROR(IF(VLOOKUP($B13,'JR B-Steer Riding'!$B$5:$AI$24,10,FALSE)=" ",0,VLOOKUP($B13,'JR B-Steer Riding'!$B$5:$AI$24,10,FALSE)),0)+IFERROR(IF(VLOOKUP($B13,'JR B-Goats'!$B$5:$AI$24,10,FALSE)=" ",0,VLOOKUP($B13,'JR B-Goats'!$B$5:$AI$24,10,FALSE)),0)+IFERROR(IF(VLOOKUP($B13,'JR B-Calf Tying'!$B$5:$AI$24,10,FALSE)=" ",0,VLOOKUP($B13,'JR B-Calf Tying'!$B$5:$AI$24,10,FALSE)),0)+IFERROR(IF(VLOOKUP($B13,'JR B-Breakaway'!$B$5:$AI$24,10,FALSE)=" ",0,VLOOKUP($B13,'JR B-Breakaway'!$B$5:$AI$24,10,FALSE)),0)</f>
        <v>6</v>
      </c>
      <c r="G13" s="95">
        <f t="shared" si="2"/>
        <v>6</v>
      </c>
      <c r="H13" s="91">
        <f t="shared" si="3"/>
        <v>8</v>
      </c>
      <c r="I13" s="121">
        <f>IFERROR(IF(VLOOKUP($B13,'JR-Team Roping-Header'!$B$5:$N$24,5,FALSE)=" ",0,VLOOKUP($B13,'JR-Team Roping-Header'!$B$5:$N$24,5,FALSE)),0)+IFERROR(IF(VLOOKUP($B13,'JR-Team Roping-Heeler'!$B$5:$N$24,5,FALSE)=" ",0,VLOOKUP($B13,'JR-Team Roping-Heeler'!$B$5:$N$24,5,FALSE)),0)+IFERROR(IF(VLOOKUP($B13,'JR B-Steer Riding'!$B$5:$AI$24,14,FALSE)=" ",0,VLOOKUP($B13,'JR B-Steer Riding'!$B$5:$AI$24,14,FALSE)),0)+IFERROR(IF(VLOOKUP($B13,'JR B-Goats'!$B$5:$AI$24,14,FALSE)=" ",0,VLOOKUP($B13,'JR B-Goats'!$B$5:$AI$24,14,FALSE)),0)+IFERROR(IF(VLOOKUP($B13,'JR B-Calf Tying'!$B$5:$AI$24,14,FALSE)=" ",0,VLOOKUP($B13,'JR B-Calf Tying'!$B$5:$AI$24,14,FALSE)),0)+IFERROR(IF(VLOOKUP($B13,'JR B-Breakaway'!$B$5:$AI$24,14,FALSE)=" ",0,VLOOKUP($B13,'JR B-Breakaway'!$B$5:$AI$24,14,FALSE)),0)</f>
        <v>12</v>
      </c>
      <c r="J13" s="95">
        <f t="shared" si="4"/>
        <v>12</v>
      </c>
      <c r="K13" s="91">
        <f t="shared" si="5"/>
        <v>6</v>
      </c>
      <c r="L13" s="121">
        <f>IFERROR(IF(VLOOKUP($B13,'JR-Team Roping-Header'!$B$5:$N$24,6,FALSE)=" ",0,VLOOKUP($B13,'JR-Team Roping-Header'!$B$5:$N$24,6,FALSE)),0)+IFERROR(IF(VLOOKUP($B13,'JR-Team Roping-Heeler'!$B$5:$N$24,6,FALSE)=" ",0,VLOOKUP($B13,'JR-Team Roping-Heeler'!$B$5:$N$24,6,FALSE)),0)+IFERROR(IF(VLOOKUP($B13,'JR B-Steer Riding'!$B$5:$AI$24,18,FALSE)=" ",0,VLOOKUP($B13,'JR B-Steer Riding'!$B$5:$AI$24,18,FALSE)),0)+IFERROR(IF(VLOOKUP($B13,'JR B-Goats'!$B$5:$AI$24,18,FALSE)=" ",0,VLOOKUP($B13,'JR B-Goats'!$B$5:$AI$24,18,FALSE)),0)+IFERROR(IF(VLOOKUP($B13,'JR B-Calf Tying'!$B$5:$AI$24,18,FALSE)=" ",0,VLOOKUP($B13,'JR B-Calf Tying'!$B$5:$AI$24,18,FALSE)),0)+IFERROR(IF(VLOOKUP($B13,'JR B-Breakaway'!$B$5:$AI$24,18,FALSE)=" ",0,VLOOKUP($B13,'JR B-Breakaway'!$B$5:$AI$24,18,FALSE)),0)</f>
        <v>15</v>
      </c>
      <c r="M13" s="95">
        <f t="shared" si="6"/>
        <v>15</v>
      </c>
      <c r="N13" s="91">
        <f t="shared" si="7"/>
        <v>6</v>
      </c>
      <c r="O13" s="121">
        <f>IFERROR(IF(VLOOKUP($B13,'JR-Team Roping-Header'!$B$5:$N$24,7,FALSE)=" ",0,VLOOKUP($B13,'JR-Team Roping-Header'!$B$5:$N$24,7,FALSE)),0)+IFERROR(IF(VLOOKUP($B13,'JR-Team Roping-Heeler'!$B$5:$N$24,7,FALSE)=" ",0,VLOOKUP($B13,'JR-Team Roping-Heeler'!$B$5:$N$24,7,FALSE)),0)+IFERROR(IF(VLOOKUP($B13,'JR B-Steer Riding'!$B$5:$AI$24,22,FALSE)=" ",0,VLOOKUP($B13,'JR B-Steer Riding'!$B$5:$AI$24,22,FALSE)),0)+IFERROR(IF(VLOOKUP($B13,'JR B-Goats'!$B$5:$AI$24,22,FALSE)=" ",0,VLOOKUP($B13,'JR B-Goats'!$B$5:$AI$24,22,FALSE)),0)+IFERROR(IF(VLOOKUP($B13,'JR B-Calf Tying'!$B$5:$AI$24,22,FALSE)=" ",0,VLOOKUP($B13,'JR B-Calf Tying'!$B$5:$AI$24,22,FALSE)),0)+IFERROR(IF(VLOOKUP($B13,'JR B-Breakaway'!$B$5:$AI$24,22,FALSE)=" ",0,VLOOKUP($B13,'JR B-Breakaway'!$B$5:$AI$24,22,FALSE)),0)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IFERROR(IF(VLOOKUP($B13,'JR-Team Roping-Header'!$B$5:$N$24,8,FALSE)=" ",0,VLOOKUP($B13,'JR-Team Roping-Header'!$B$5:$N$24,8,FALSE)),0)+IFERROR(IF(VLOOKUP($B13,'JR-Team Roping-Heeler'!$B$5:$N$24,8,FALSE)=" ",0,VLOOKUP($B13,'JR-Team Roping-Heeler'!$B$5:$N$24,8,FALSE)),0)+IFERROR(IF(VLOOKUP($B13,'JR B-Steer Riding'!$B$5:$AI$24,26,FALSE)=" ",0,VLOOKUP($B13,'JR B-Steer Riding'!$B$5:$AI$24,26,FALSE)),0)+IFERROR(IF(VLOOKUP($B13,'JR B-Goats'!$B$5:$AI$24,26,FALSE)=" ",0,VLOOKUP($B13,'JR B-Goats'!$B$5:$AI$24,26,FALSE)),0)+IFERROR(IF(VLOOKUP($B13,'JR B-Calf Tying'!$B$5:$AI$24,26,FALSE)=" ",0,VLOOKUP($B13,'JR B-Calf Tying'!$B$5:$AI$24,26,FALSE)),0)+IFERROR(IF(VLOOKUP($B13,'JR B-Breakaway'!$B$5:$AI$24,26,FALSE)=" ",0,VLOOKUP($B13,'JR B-Breakaway'!$B$5:$AI$24,26,FALSE)),0)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IFERROR(IF(VLOOKUP($B13,'JR-Team Roping-Header'!$B$5:$N$24,9,FALSE)=" ",0,VLOOKUP($B13,'JR-Team Roping-Header'!$B$5:$N$24,9,FALSE)),0)+IFERROR(IF(VLOOKUP($B13,'JR-Team Roping-Heeler'!$B$5:$N$24,9,FALSE)=" ",0,VLOOKUP($B13,'JR-Team Roping-Heeler'!$B$5:$N$24,9,FALSE)),0)+IFERROR(IF(VLOOKUP($B13,'JR B-Steer Riding'!$B$5:$AI$24,30,FALSE)=" ",0,VLOOKUP($B13,'JR B-Steer Riding'!$B$5:$AI$24,30,FALSE)),0)+IFERROR(IF(VLOOKUP($B13,'JR B-Goats'!$B$5:$AI$24,30,FALSE)=" ",0,VLOOKUP($B13,'JR B-Goats'!$B$5:$AI$24,30,FALSE)),0)+IFERROR(IF(VLOOKUP($B13,'JR B-Calf Tying'!$B$5:$AI$24,30,FALSE)=" ",0,VLOOKUP($B13,'JR B-Calf Tying'!$B$5:$AI$24,30,FALSE)),0)+IFERROR(IF(VLOOKUP($B13,'JR B-Breakaway'!$B$5:$AI$24,30,FALSE)=" ",0,VLOOKUP($B13,'JR B-Breakaway'!$B$5:$AI$24,30,FALSE)),0)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IFERROR(IF(VLOOKUP($B13,'JR-Team Roping-Header'!$B$5:$N$24,10,FALSE)=" ",0,VLOOKUP($B13,'JR-Team Roping-Header'!$B$5:$N$24,10,FALSE)),0)+IFERROR(IF(VLOOKUP($B13,'JR-Team Roping-Heeler'!$B$5:$N$24,10,FALSE)=" ",0,VLOOKUP($B13,'JR-Team Roping-Heeler'!$B$5:$N$24,10,FALSE)),0)+IFERROR(IF(VLOOKUP($B13,'JR B-Steer Riding'!$B$5:$AI$24,34,FALSE)=" ",0,VLOOKUP($B13,'JR B-Steer Riding'!$B$5:$AI$24,34,FALSE)),0)+IFERROR(IF(VLOOKUP($B13,'JR B-Goats'!$B$5:$AI$24,34,FALSE)=" ",0,VLOOKUP($B13,'JR B-Goats'!$B$5:$AI$24,34,FALSE)),0)+IFERROR(IF(VLOOKUP($B13,'JR B-Calf Tying'!$B$5:$AI$24,34,FALSE)=" ",0,VLOOKUP($B13,'JR B-Calf Tying'!$B$5:$AI$24,34,FALSE)),0)+IFERROR(IF(VLOOKUP($B13,'JR B-Breakaway'!$B$5:$AI$24,34,FALSE)=" ",0,VLOOKUP($B13,'JR B-Breakaway'!$B$5:$AI$24,34,FALSE)),0)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63</v>
      </c>
      <c r="AB13" s="95">
        <f t="shared" si="16"/>
        <v>63</v>
      </c>
      <c r="AC13" s="91">
        <f t="shared" si="17"/>
        <v>9</v>
      </c>
    </row>
    <row r="14" spans="2:29" x14ac:dyDescent="0.25">
      <c r="B14" s="154" t="s">
        <v>134</v>
      </c>
      <c r="C14" s="120">
        <f>IFERROR(IF(VLOOKUP($B14,'JR-Team Roping-Header'!$B$5:$N$24,3,FALSE)=" ",0,VLOOKUP($B14,'JR-Team Roping-Header'!$B$5:$N$24,3,FALSE)),0)+IFERROR(IF(VLOOKUP($B14,'JR-Team Roping-Heeler'!$B$5:$N$24,3,FALSE)=" ",0,VLOOKUP($B14,'JR-Team Roping-Heeler'!$B$5:$N$24,3,FALSE)),0)+IFERROR(IF(VLOOKUP($B14,'JR B-Steer Riding'!$B$5:$AI$24,6,FALSE)=" ",0,VLOOKUP($B14,'JR B-Steer Riding'!$B$5:$AI$24,6,FALSE)),0)+IFERROR(IF(VLOOKUP($B14,'JR B-Goats'!$B$5:$AI$24,6,FALSE)=" ",0,VLOOKUP($B14,'JR B-Goats'!$B$5:$AI$24,6,FALSE)),0)+IFERROR(IF(VLOOKUP($B14,'JR B-Calf Tying'!$B$5:$AI$24,6,FALSE)=" ",0,VLOOKUP($B14,'JR B-Calf Tying'!$B$5:$AI$24,6,FALSE)),0)+IFERROR(IF(VLOOKUP($B14,'JR B-Breakaway'!$B$5:$AI$24,6,FALSE)=" ",0,VLOOKUP($B14,'JR B-Breakaway'!$B$5:$AI$24,6,FALSE)),0)</f>
        <v>24</v>
      </c>
      <c r="D14" s="95">
        <f t="shared" si="0"/>
        <v>24</v>
      </c>
      <c r="E14" s="91">
        <f t="shared" si="1"/>
        <v>6</v>
      </c>
      <c r="F14" s="121">
        <f>IFERROR(IF(VLOOKUP($B14,'JR-Team Roping-Header'!$B$5:$N$24,4,FALSE)=" ",0,VLOOKUP($B14,'JR-Team Roping-Header'!$B$5:$N$24,4,FALSE)),0)+IFERROR(IF(VLOOKUP($B14,'JR-Team Roping-Heeler'!$B$5:$N$24,4,FALSE)=" ",0,VLOOKUP($B14,'JR-Team Roping-Heeler'!$B$5:$N$24,4,FALSE)),0)+IFERROR(IF(VLOOKUP($B14,'JR B-Steer Riding'!$B$5:$AI$24,10,FALSE)=" ",0,VLOOKUP($B14,'JR B-Steer Riding'!$B$5:$AI$24,10,FALSE)),0)+IFERROR(IF(VLOOKUP($B14,'JR B-Goats'!$B$5:$AI$24,10,FALSE)=" ",0,VLOOKUP($B14,'JR B-Goats'!$B$5:$AI$24,10,FALSE)),0)+IFERROR(IF(VLOOKUP($B14,'JR B-Calf Tying'!$B$5:$AI$24,10,FALSE)=" ",0,VLOOKUP($B14,'JR B-Calf Tying'!$B$5:$AI$24,10,FALSE)),0)+IFERROR(IF(VLOOKUP($B14,'JR B-Breakaway'!$B$5:$AI$24,10,FALSE)=" ",0,VLOOKUP($B14,'JR B-Breakaway'!$B$5:$AI$24,10,FALSE)),0)</f>
        <v>0</v>
      </c>
      <c r="G14" s="95" t="str">
        <f t="shared" si="2"/>
        <v xml:space="preserve"> </v>
      </c>
      <c r="H14" s="91" t="str">
        <f t="shared" si="3"/>
        <v xml:space="preserve"> </v>
      </c>
      <c r="I14" s="121">
        <f>IFERROR(IF(VLOOKUP($B14,'JR-Team Roping-Header'!$B$5:$N$24,5,FALSE)=" ",0,VLOOKUP($B14,'JR-Team Roping-Header'!$B$5:$N$24,5,FALSE)),0)+IFERROR(IF(VLOOKUP($B14,'JR-Team Roping-Heeler'!$B$5:$N$24,5,FALSE)=" ",0,VLOOKUP($B14,'JR-Team Roping-Heeler'!$B$5:$N$24,5,FALSE)),0)+IFERROR(IF(VLOOKUP($B14,'JR B-Steer Riding'!$B$5:$AI$24,14,FALSE)=" ",0,VLOOKUP($B14,'JR B-Steer Riding'!$B$5:$AI$24,14,FALSE)),0)+IFERROR(IF(VLOOKUP($B14,'JR B-Goats'!$B$5:$AI$24,14,FALSE)=" ",0,VLOOKUP($B14,'JR B-Goats'!$B$5:$AI$24,14,FALSE)),0)+IFERROR(IF(VLOOKUP($B14,'JR B-Calf Tying'!$B$5:$AI$24,14,FALSE)=" ",0,VLOOKUP($B14,'JR B-Calf Tying'!$B$5:$AI$24,14,FALSE)),0)+IFERROR(IF(VLOOKUP($B14,'JR B-Breakaway'!$B$5:$AI$24,14,FALSE)=" ",0,VLOOKUP($B14,'JR B-Breakaway'!$B$5:$AI$24,14,FALSE)),0)</f>
        <v>0</v>
      </c>
      <c r="J14" s="95" t="str">
        <f t="shared" si="4"/>
        <v xml:space="preserve"> </v>
      </c>
      <c r="K14" s="91" t="str">
        <f t="shared" si="5"/>
        <v xml:space="preserve"> </v>
      </c>
      <c r="L14" s="121">
        <f>IFERROR(IF(VLOOKUP($B14,'JR-Team Roping-Header'!$B$5:$N$24,6,FALSE)=" ",0,VLOOKUP($B14,'JR-Team Roping-Header'!$B$5:$N$24,6,FALSE)),0)+IFERROR(IF(VLOOKUP($B14,'JR-Team Roping-Heeler'!$B$5:$N$24,6,FALSE)=" ",0,VLOOKUP($B14,'JR-Team Roping-Heeler'!$B$5:$N$24,6,FALSE)),0)+IFERROR(IF(VLOOKUP($B14,'JR B-Steer Riding'!$B$5:$AI$24,18,FALSE)=" ",0,VLOOKUP($B14,'JR B-Steer Riding'!$B$5:$AI$24,18,FALSE)),0)+IFERROR(IF(VLOOKUP($B14,'JR B-Goats'!$B$5:$AI$24,18,FALSE)=" ",0,VLOOKUP($B14,'JR B-Goats'!$B$5:$AI$24,18,FALSE)),0)+IFERROR(IF(VLOOKUP($B14,'JR B-Calf Tying'!$B$5:$AI$24,18,FALSE)=" ",0,VLOOKUP($B14,'JR B-Calf Tying'!$B$5:$AI$24,18,FALSE)),0)+IFERROR(IF(VLOOKUP($B14,'JR B-Breakaway'!$B$5:$AI$24,18,FALSE)=" ",0,VLOOKUP($B14,'JR B-Breakaway'!$B$5:$AI$24,18,FALSE)),0)</f>
        <v>0</v>
      </c>
      <c r="M14" s="95" t="str">
        <f t="shared" si="6"/>
        <v xml:space="preserve"> </v>
      </c>
      <c r="N14" s="91" t="str">
        <f t="shared" si="7"/>
        <v xml:space="preserve"> </v>
      </c>
      <c r="O14" s="121">
        <f>IFERROR(IF(VLOOKUP($B14,'JR-Team Roping-Header'!$B$5:$N$24,7,FALSE)=" ",0,VLOOKUP($B14,'JR-Team Roping-Header'!$B$5:$N$24,7,FALSE)),0)+IFERROR(IF(VLOOKUP($B14,'JR-Team Roping-Heeler'!$B$5:$N$24,7,FALSE)=" ",0,VLOOKUP($B14,'JR-Team Roping-Heeler'!$B$5:$N$24,7,FALSE)),0)+IFERROR(IF(VLOOKUP($B14,'JR B-Steer Riding'!$B$5:$AI$24,22,FALSE)=" ",0,VLOOKUP($B14,'JR B-Steer Riding'!$B$5:$AI$24,22,FALSE)),0)+IFERROR(IF(VLOOKUP($B14,'JR B-Goats'!$B$5:$AI$24,22,FALSE)=" ",0,VLOOKUP($B14,'JR B-Goats'!$B$5:$AI$24,22,FALSE)),0)+IFERROR(IF(VLOOKUP($B14,'JR B-Calf Tying'!$B$5:$AI$24,22,FALSE)=" ",0,VLOOKUP($B14,'JR B-Calf Tying'!$B$5:$AI$24,22,FALSE)),0)+IFERROR(IF(VLOOKUP($B14,'JR B-Breakaway'!$B$5:$AI$24,22,FALSE)=" ",0,VLOOKUP($B14,'JR B-Breakaway'!$B$5:$AI$24,22,FALSE)),0)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IFERROR(IF(VLOOKUP($B14,'JR-Team Roping-Header'!$B$5:$N$24,8,FALSE)=" ",0,VLOOKUP($B14,'JR-Team Roping-Header'!$B$5:$N$24,8,FALSE)),0)+IFERROR(IF(VLOOKUP($B14,'JR-Team Roping-Heeler'!$B$5:$N$24,8,FALSE)=" ",0,VLOOKUP($B14,'JR-Team Roping-Heeler'!$B$5:$N$24,8,FALSE)),0)+IFERROR(IF(VLOOKUP($B14,'JR B-Steer Riding'!$B$5:$AI$24,26,FALSE)=" ",0,VLOOKUP($B14,'JR B-Steer Riding'!$B$5:$AI$24,26,FALSE)),0)+IFERROR(IF(VLOOKUP($B14,'JR B-Goats'!$B$5:$AI$24,26,FALSE)=" ",0,VLOOKUP($B14,'JR B-Goats'!$B$5:$AI$24,26,FALSE)),0)+IFERROR(IF(VLOOKUP($B14,'JR B-Calf Tying'!$B$5:$AI$24,26,FALSE)=" ",0,VLOOKUP($B14,'JR B-Calf Tying'!$B$5:$AI$24,26,FALSE)),0)+IFERROR(IF(VLOOKUP($B14,'JR B-Breakaway'!$B$5:$AI$24,26,FALSE)=" ",0,VLOOKUP($B14,'JR B-Breakaway'!$B$5:$AI$24,26,FALSE)),0)</f>
        <v>12</v>
      </c>
      <c r="S14" s="95">
        <f t="shared" si="10"/>
        <v>12</v>
      </c>
      <c r="T14" s="91">
        <f t="shared" si="11"/>
        <v>6</v>
      </c>
      <c r="U14" s="121">
        <f>IFERROR(IF(VLOOKUP($B14,'JR-Team Roping-Header'!$B$5:$N$24,9,FALSE)=" ",0,VLOOKUP($B14,'JR-Team Roping-Header'!$B$5:$N$24,9,FALSE)),0)+IFERROR(IF(VLOOKUP($B14,'JR-Team Roping-Heeler'!$B$5:$N$24,9,FALSE)=" ",0,VLOOKUP($B14,'JR-Team Roping-Heeler'!$B$5:$N$24,9,FALSE)),0)+IFERROR(IF(VLOOKUP($B14,'JR B-Steer Riding'!$B$5:$AI$24,30,FALSE)=" ",0,VLOOKUP($B14,'JR B-Steer Riding'!$B$5:$AI$24,30,FALSE)),0)+IFERROR(IF(VLOOKUP($B14,'JR B-Goats'!$B$5:$AI$24,30,FALSE)=" ",0,VLOOKUP($B14,'JR B-Goats'!$B$5:$AI$24,30,FALSE)),0)+IFERROR(IF(VLOOKUP($B14,'JR B-Calf Tying'!$B$5:$AI$24,30,FALSE)=" ",0,VLOOKUP($B14,'JR B-Calf Tying'!$B$5:$AI$24,30,FALSE)),0)+IFERROR(IF(VLOOKUP($B14,'JR B-Breakaway'!$B$5:$AI$24,30,FALSE)=" ",0,VLOOKUP($B14,'JR B-Breakaway'!$B$5:$AI$24,30,FALSE)),0)</f>
        <v>9</v>
      </c>
      <c r="V14" s="95">
        <f t="shared" si="12"/>
        <v>9</v>
      </c>
      <c r="W14" s="91">
        <f t="shared" si="13"/>
        <v>8</v>
      </c>
      <c r="X14" s="121">
        <f>IFERROR(IF(VLOOKUP($B14,'JR-Team Roping-Header'!$B$5:$N$24,10,FALSE)=" ",0,VLOOKUP($B14,'JR-Team Roping-Header'!$B$5:$N$24,10,FALSE)),0)+IFERROR(IF(VLOOKUP($B14,'JR-Team Roping-Heeler'!$B$5:$N$24,10,FALSE)=" ",0,VLOOKUP($B14,'JR-Team Roping-Heeler'!$B$5:$N$24,10,FALSE)),0)+IFERROR(IF(VLOOKUP($B14,'JR B-Steer Riding'!$B$5:$AI$24,34,FALSE)=" ",0,VLOOKUP($B14,'JR B-Steer Riding'!$B$5:$AI$24,34,FALSE)),0)+IFERROR(IF(VLOOKUP($B14,'JR B-Goats'!$B$5:$AI$24,34,FALSE)=" ",0,VLOOKUP($B14,'JR B-Goats'!$B$5:$AI$24,34,FALSE)),0)+IFERROR(IF(VLOOKUP($B14,'JR B-Calf Tying'!$B$5:$AI$24,34,FALSE)=" ",0,VLOOKUP($B14,'JR B-Calf Tying'!$B$5:$AI$24,34,FALSE)),0)+IFERROR(IF(VLOOKUP($B14,'JR B-Breakaway'!$B$5:$AI$24,34,FALSE)=" ",0,VLOOKUP($B14,'JR B-Breakaway'!$B$5:$AI$24,34,FALSE)),0)</f>
        <v>12</v>
      </c>
      <c r="Y14" s="95">
        <f t="shared" si="14"/>
        <v>12</v>
      </c>
      <c r="Z14" s="91">
        <f t="shared" si="15"/>
        <v>6</v>
      </c>
      <c r="AA14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57</v>
      </c>
      <c r="AB14" s="95">
        <f t="shared" si="16"/>
        <v>57</v>
      </c>
      <c r="AC14" s="91">
        <f t="shared" si="17"/>
        <v>10</v>
      </c>
    </row>
    <row r="15" spans="2:29" x14ac:dyDescent="0.25">
      <c r="B15" s="141" t="s">
        <v>154</v>
      </c>
      <c r="C15" s="120">
        <f>IFERROR(IF(VLOOKUP($B15,'JR-Team Roping-Header'!$B$5:$N$24,3,FALSE)=" ",0,VLOOKUP($B15,'JR-Team Roping-Header'!$B$5:$N$24,3,FALSE)),0)+IFERROR(IF(VLOOKUP($B15,'JR-Team Roping-Heeler'!$B$5:$N$24,3,FALSE)=" ",0,VLOOKUP($B15,'JR-Team Roping-Heeler'!$B$5:$N$24,3,FALSE)),0)+IFERROR(IF(VLOOKUP($B15,'JR B-Steer Riding'!$B$5:$AI$24,6,FALSE)=" ",0,VLOOKUP($B15,'JR B-Steer Riding'!$B$5:$AI$24,6,FALSE)),0)+IFERROR(IF(VLOOKUP($B15,'JR B-Goats'!$B$5:$AI$24,6,FALSE)=" ",0,VLOOKUP($B15,'JR B-Goats'!$B$5:$AI$24,6,FALSE)),0)+IFERROR(IF(VLOOKUP($B15,'JR B-Calf Tying'!$B$5:$AI$24,6,FALSE)=" ",0,VLOOKUP($B15,'JR B-Calf Tying'!$B$5:$AI$24,6,FALSE)),0)+IFERROR(IF(VLOOKUP($B15,'JR B-Breakaway'!$B$5:$AI$24,6,FALSE)=" ",0,VLOOKUP($B15,'JR B-Breakaway'!$B$5:$AI$24,6,FALSE)),0)</f>
        <v>15</v>
      </c>
      <c r="D15" s="95">
        <f t="shared" si="0"/>
        <v>15</v>
      </c>
      <c r="E15" s="91">
        <f t="shared" si="1"/>
        <v>8</v>
      </c>
      <c r="F15" s="121">
        <f>IFERROR(IF(VLOOKUP($B15,'JR-Team Roping-Header'!$B$5:$N$24,4,FALSE)=" ",0,VLOOKUP($B15,'JR-Team Roping-Header'!$B$5:$N$24,4,FALSE)),0)+IFERROR(IF(VLOOKUP($B15,'JR-Team Roping-Heeler'!$B$5:$N$24,4,FALSE)=" ",0,VLOOKUP($B15,'JR-Team Roping-Heeler'!$B$5:$N$24,4,FALSE)),0)+IFERROR(IF(VLOOKUP($B15,'JR B-Steer Riding'!$B$5:$AI$24,10,FALSE)=" ",0,VLOOKUP($B15,'JR B-Steer Riding'!$B$5:$AI$24,10,FALSE)),0)+IFERROR(IF(VLOOKUP($B15,'JR B-Goats'!$B$5:$AI$24,10,FALSE)=" ",0,VLOOKUP($B15,'JR B-Goats'!$B$5:$AI$24,10,FALSE)),0)+IFERROR(IF(VLOOKUP($B15,'JR B-Calf Tying'!$B$5:$AI$24,10,FALSE)=" ",0,VLOOKUP($B15,'JR B-Calf Tying'!$B$5:$AI$24,10,FALSE)),0)+IFERROR(IF(VLOOKUP($B15,'JR B-Breakaway'!$B$5:$AI$24,10,FALSE)=" ",0,VLOOKUP($B15,'JR B-Breakaway'!$B$5:$AI$24,10,FALSE)),0)</f>
        <v>3</v>
      </c>
      <c r="G15" s="95">
        <f t="shared" si="2"/>
        <v>3</v>
      </c>
      <c r="H15" s="91">
        <f t="shared" si="3"/>
        <v>9</v>
      </c>
      <c r="I15" s="121">
        <f>IFERROR(IF(VLOOKUP($B15,'JR-Team Roping-Header'!$B$5:$N$24,5,FALSE)=" ",0,VLOOKUP($B15,'JR-Team Roping-Header'!$B$5:$N$24,5,FALSE)),0)+IFERROR(IF(VLOOKUP($B15,'JR-Team Roping-Heeler'!$B$5:$N$24,5,FALSE)=" ",0,VLOOKUP($B15,'JR-Team Roping-Heeler'!$B$5:$N$24,5,FALSE)),0)+IFERROR(IF(VLOOKUP($B15,'JR B-Steer Riding'!$B$5:$AI$24,14,FALSE)=" ",0,VLOOKUP($B15,'JR B-Steer Riding'!$B$5:$AI$24,14,FALSE)),0)+IFERROR(IF(VLOOKUP($B15,'JR B-Goats'!$B$5:$AI$24,14,FALSE)=" ",0,VLOOKUP($B15,'JR B-Goats'!$B$5:$AI$24,14,FALSE)),0)+IFERROR(IF(VLOOKUP($B15,'JR B-Calf Tying'!$B$5:$AI$24,14,FALSE)=" ",0,VLOOKUP($B15,'JR B-Calf Tying'!$B$5:$AI$24,14,FALSE)),0)+IFERROR(IF(VLOOKUP($B15,'JR B-Breakaway'!$B$5:$AI$24,14,FALSE)=" ",0,VLOOKUP($B15,'JR B-Breakaway'!$B$5:$AI$24,14,FALSE)),0)</f>
        <v>9</v>
      </c>
      <c r="J15" s="95">
        <f t="shared" si="4"/>
        <v>9</v>
      </c>
      <c r="K15" s="91">
        <f t="shared" si="5"/>
        <v>8</v>
      </c>
      <c r="L15" s="121">
        <f>IFERROR(IF(VLOOKUP($B15,'JR-Team Roping-Header'!$B$5:$N$24,6,FALSE)=" ",0,VLOOKUP($B15,'JR-Team Roping-Header'!$B$5:$N$24,6,FALSE)),0)+IFERROR(IF(VLOOKUP($B15,'JR-Team Roping-Heeler'!$B$5:$N$24,6,FALSE)=" ",0,VLOOKUP($B15,'JR-Team Roping-Heeler'!$B$5:$N$24,6,FALSE)),0)+IFERROR(IF(VLOOKUP($B15,'JR B-Steer Riding'!$B$5:$AI$24,18,FALSE)=" ",0,VLOOKUP($B15,'JR B-Steer Riding'!$B$5:$AI$24,18,FALSE)),0)+IFERROR(IF(VLOOKUP($B15,'JR B-Goats'!$B$5:$AI$24,18,FALSE)=" ",0,VLOOKUP($B15,'JR B-Goats'!$B$5:$AI$24,18,FALSE)),0)+IFERROR(IF(VLOOKUP($B15,'JR B-Calf Tying'!$B$5:$AI$24,18,FALSE)=" ",0,VLOOKUP($B15,'JR B-Calf Tying'!$B$5:$AI$24,18,FALSE)),0)+IFERROR(IF(VLOOKUP($B15,'JR B-Breakaway'!$B$5:$AI$24,18,FALSE)=" ",0,VLOOKUP($B15,'JR B-Breakaway'!$B$5:$AI$24,18,FALSE)),0)</f>
        <v>9</v>
      </c>
      <c r="M15" s="95">
        <f t="shared" si="6"/>
        <v>9</v>
      </c>
      <c r="N15" s="91">
        <f t="shared" si="7"/>
        <v>10</v>
      </c>
      <c r="O15" s="121">
        <f>IFERROR(IF(VLOOKUP($B15,'JR-Team Roping-Header'!$B$5:$N$24,7,FALSE)=" ",0,VLOOKUP($B15,'JR-Team Roping-Header'!$B$5:$N$24,7,FALSE)),0)+IFERROR(IF(VLOOKUP($B15,'JR-Team Roping-Heeler'!$B$5:$N$24,7,FALSE)=" ",0,VLOOKUP($B15,'JR-Team Roping-Heeler'!$B$5:$N$24,7,FALSE)),0)+IFERROR(IF(VLOOKUP($B15,'JR B-Steer Riding'!$B$5:$AI$24,22,FALSE)=" ",0,VLOOKUP($B15,'JR B-Steer Riding'!$B$5:$AI$24,22,FALSE)),0)+IFERROR(IF(VLOOKUP($B15,'JR B-Goats'!$B$5:$AI$24,22,FALSE)=" ",0,VLOOKUP($B15,'JR B-Goats'!$B$5:$AI$24,22,FALSE)),0)+IFERROR(IF(VLOOKUP($B15,'JR B-Calf Tying'!$B$5:$AI$24,22,FALSE)=" ",0,VLOOKUP($B15,'JR B-Calf Tying'!$B$5:$AI$24,22,FALSE)),0)+IFERROR(IF(VLOOKUP($B15,'JR B-Breakaway'!$B$5:$AI$24,22,FALSE)=" ",0,VLOOKUP($B15,'JR B-Breakaway'!$B$5:$AI$24,22,FALSE)),0)</f>
        <v>15</v>
      </c>
      <c r="P15" s="95">
        <f t="shared" si="8"/>
        <v>15</v>
      </c>
      <c r="Q15" s="91">
        <f t="shared" si="9"/>
        <v>8</v>
      </c>
      <c r="R15" s="121">
        <f>IFERROR(IF(VLOOKUP($B15,'JR-Team Roping-Header'!$B$5:$N$24,8,FALSE)=" ",0,VLOOKUP($B15,'JR-Team Roping-Header'!$B$5:$N$24,8,FALSE)),0)+IFERROR(IF(VLOOKUP($B15,'JR-Team Roping-Heeler'!$B$5:$N$24,8,FALSE)=" ",0,VLOOKUP($B15,'JR-Team Roping-Heeler'!$B$5:$N$24,8,FALSE)),0)+IFERROR(IF(VLOOKUP($B15,'JR B-Steer Riding'!$B$5:$AI$24,26,FALSE)=" ",0,VLOOKUP($B15,'JR B-Steer Riding'!$B$5:$AI$24,26,FALSE)),0)+IFERROR(IF(VLOOKUP($B15,'JR B-Goats'!$B$5:$AI$24,26,FALSE)=" ",0,VLOOKUP($B15,'JR B-Goats'!$B$5:$AI$24,26,FALSE)),0)+IFERROR(IF(VLOOKUP($B15,'JR B-Calf Tying'!$B$5:$AI$24,26,FALSE)=" ",0,VLOOKUP($B15,'JR B-Calf Tying'!$B$5:$AI$24,26,FALSE)),0)+IFERROR(IF(VLOOKUP($B15,'JR B-Breakaway'!$B$5:$AI$24,26,FALSE)=" ",0,VLOOKUP($B15,'JR B-Breakaway'!$B$5:$AI$24,26,FALSE)),0)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IFERROR(IF(VLOOKUP($B15,'JR-Team Roping-Header'!$B$5:$N$24,9,FALSE)=" ",0,VLOOKUP($B15,'JR-Team Roping-Header'!$B$5:$N$24,9,FALSE)),0)+IFERROR(IF(VLOOKUP($B15,'JR-Team Roping-Heeler'!$B$5:$N$24,9,FALSE)=" ",0,VLOOKUP($B15,'JR-Team Roping-Heeler'!$B$5:$N$24,9,FALSE)),0)+IFERROR(IF(VLOOKUP($B15,'JR B-Steer Riding'!$B$5:$AI$24,30,FALSE)=" ",0,VLOOKUP($B15,'JR B-Steer Riding'!$B$5:$AI$24,30,FALSE)),0)+IFERROR(IF(VLOOKUP($B15,'JR B-Goats'!$B$5:$AI$24,30,FALSE)=" ",0,VLOOKUP($B15,'JR B-Goats'!$B$5:$AI$24,30,FALSE)),0)+IFERROR(IF(VLOOKUP($B15,'JR B-Calf Tying'!$B$5:$AI$24,30,FALSE)=" ",0,VLOOKUP($B15,'JR B-Calf Tying'!$B$5:$AI$24,30,FALSE)),0)+IFERROR(IF(VLOOKUP($B15,'JR B-Breakaway'!$B$5:$AI$24,30,FALSE)=" ",0,VLOOKUP($B15,'JR B-Breakaway'!$B$5:$AI$24,30,FALSE)),0)</f>
        <v>0</v>
      </c>
      <c r="V15" s="95" t="str">
        <f t="shared" si="12"/>
        <v xml:space="preserve"> </v>
      </c>
      <c r="W15" s="91" t="str">
        <f t="shared" si="13"/>
        <v xml:space="preserve"> </v>
      </c>
      <c r="X15" s="121">
        <f>IFERROR(IF(VLOOKUP($B15,'JR-Team Roping-Header'!$B$5:$N$24,10,FALSE)=" ",0,VLOOKUP($B15,'JR-Team Roping-Header'!$B$5:$N$24,10,FALSE)),0)+IFERROR(IF(VLOOKUP($B15,'JR-Team Roping-Heeler'!$B$5:$N$24,10,FALSE)=" ",0,VLOOKUP($B15,'JR-Team Roping-Heeler'!$B$5:$N$24,10,FALSE)),0)+IFERROR(IF(VLOOKUP($B15,'JR B-Steer Riding'!$B$5:$AI$24,34,FALSE)=" ",0,VLOOKUP($B15,'JR B-Steer Riding'!$B$5:$AI$24,34,FALSE)),0)+IFERROR(IF(VLOOKUP($B15,'JR B-Goats'!$B$5:$AI$24,34,FALSE)=" ",0,VLOOKUP($B15,'JR B-Goats'!$B$5:$AI$24,34,FALSE)),0)+IFERROR(IF(VLOOKUP($B15,'JR B-Calf Tying'!$B$5:$AI$24,34,FALSE)=" ",0,VLOOKUP($B15,'JR B-Calf Tying'!$B$5:$AI$24,34,FALSE)),0)+IFERROR(IF(VLOOKUP($B15,'JR B-Breakaway'!$B$5:$AI$24,34,FALSE)=" ",0,VLOOKUP($B15,'JR B-Breakaway'!$B$5:$AI$24,34,FALSE)),0)</f>
        <v>0</v>
      </c>
      <c r="Y15" s="95" t="str">
        <f t="shared" si="14"/>
        <v xml:space="preserve"> </v>
      </c>
      <c r="Z15" s="91" t="str">
        <f t="shared" si="15"/>
        <v xml:space="preserve"> </v>
      </c>
      <c r="AA15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51</v>
      </c>
      <c r="AB15" s="95">
        <f t="shared" si="16"/>
        <v>51</v>
      </c>
      <c r="AC15" s="91">
        <f t="shared" si="17"/>
        <v>11</v>
      </c>
    </row>
    <row r="16" spans="2:29" x14ac:dyDescent="0.25">
      <c r="B16" s="154" t="s">
        <v>151</v>
      </c>
      <c r="C16" s="120">
        <f>IFERROR(IF(VLOOKUP($B16,'JR-Team Roping-Header'!$B$5:$N$24,3,FALSE)=" ",0,VLOOKUP($B16,'JR-Team Roping-Header'!$B$5:$N$24,3,FALSE)),0)+IFERROR(IF(VLOOKUP($B16,'JR-Team Roping-Heeler'!$B$5:$N$24,3,FALSE)=" ",0,VLOOKUP($B16,'JR-Team Roping-Heeler'!$B$5:$N$24,3,FALSE)),0)+IFERROR(IF(VLOOKUP($B16,'JR B-Steer Riding'!$B$5:$AI$24,6,FALSE)=" ",0,VLOOKUP($B16,'JR B-Steer Riding'!$B$5:$AI$24,6,FALSE)),0)+IFERROR(IF(VLOOKUP($B16,'JR B-Goats'!$B$5:$AI$24,6,FALSE)=" ",0,VLOOKUP($B16,'JR B-Goats'!$B$5:$AI$24,6,FALSE)),0)+IFERROR(IF(VLOOKUP($B16,'JR B-Calf Tying'!$B$5:$AI$24,6,FALSE)=" ",0,VLOOKUP($B16,'JR B-Calf Tying'!$B$5:$AI$24,6,FALSE)),0)+IFERROR(IF(VLOOKUP($B16,'JR B-Breakaway'!$B$5:$AI$24,6,FALSE)=" ",0,VLOOKUP($B16,'JR B-Breakaway'!$B$5:$AI$24,6,FALSE)),0)</f>
        <v>15</v>
      </c>
      <c r="D16" s="95">
        <f t="shared" si="0"/>
        <v>15</v>
      </c>
      <c r="E16" s="91">
        <f t="shared" si="1"/>
        <v>8</v>
      </c>
      <c r="F16" s="121">
        <f>IFERROR(IF(VLOOKUP($B16,'JR-Team Roping-Header'!$B$5:$N$24,4,FALSE)=" ",0,VLOOKUP($B16,'JR-Team Roping-Header'!$B$5:$N$24,4,FALSE)),0)+IFERROR(IF(VLOOKUP($B16,'JR-Team Roping-Heeler'!$B$5:$N$24,4,FALSE)=" ",0,VLOOKUP($B16,'JR-Team Roping-Heeler'!$B$5:$N$24,4,FALSE)),0)+IFERROR(IF(VLOOKUP($B16,'JR B-Steer Riding'!$B$5:$AI$24,10,FALSE)=" ",0,VLOOKUP($B16,'JR B-Steer Riding'!$B$5:$AI$24,10,FALSE)),0)+IFERROR(IF(VLOOKUP($B16,'JR B-Goats'!$B$5:$AI$24,10,FALSE)=" ",0,VLOOKUP($B16,'JR B-Goats'!$B$5:$AI$24,10,FALSE)),0)+IFERROR(IF(VLOOKUP($B16,'JR B-Calf Tying'!$B$5:$AI$24,10,FALSE)=" ",0,VLOOKUP($B16,'JR B-Calf Tying'!$B$5:$AI$24,10,FALSE)),0)+IFERROR(IF(VLOOKUP($B16,'JR B-Breakaway'!$B$5:$AI$24,10,FALSE)=" ",0,VLOOKUP($B16,'JR B-Breakaway'!$B$5:$AI$24,10,FALSE)),0)</f>
        <v>3</v>
      </c>
      <c r="G16" s="95">
        <f t="shared" si="2"/>
        <v>3</v>
      </c>
      <c r="H16" s="91">
        <f t="shared" si="3"/>
        <v>9</v>
      </c>
      <c r="I16" s="121">
        <f>IFERROR(IF(VLOOKUP($B16,'JR-Team Roping-Header'!$B$5:$N$24,5,FALSE)=" ",0,VLOOKUP($B16,'JR-Team Roping-Header'!$B$5:$N$24,5,FALSE)),0)+IFERROR(IF(VLOOKUP($B16,'JR-Team Roping-Heeler'!$B$5:$N$24,5,FALSE)=" ",0,VLOOKUP($B16,'JR-Team Roping-Heeler'!$B$5:$N$24,5,FALSE)),0)+IFERROR(IF(VLOOKUP($B16,'JR B-Steer Riding'!$B$5:$AI$24,14,FALSE)=" ",0,VLOOKUP($B16,'JR B-Steer Riding'!$B$5:$AI$24,14,FALSE)),0)+IFERROR(IF(VLOOKUP($B16,'JR B-Goats'!$B$5:$AI$24,14,FALSE)=" ",0,VLOOKUP($B16,'JR B-Goats'!$B$5:$AI$24,14,FALSE)),0)+IFERROR(IF(VLOOKUP($B16,'JR B-Calf Tying'!$B$5:$AI$24,14,FALSE)=" ",0,VLOOKUP($B16,'JR B-Calf Tying'!$B$5:$AI$24,14,FALSE)),0)+IFERROR(IF(VLOOKUP($B16,'JR B-Breakaway'!$B$5:$AI$24,14,FALSE)=" ",0,VLOOKUP($B16,'JR B-Breakaway'!$B$5:$AI$24,14,FALSE)),0)</f>
        <v>9</v>
      </c>
      <c r="J16" s="95">
        <f t="shared" si="4"/>
        <v>9</v>
      </c>
      <c r="K16" s="91">
        <f t="shared" si="5"/>
        <v>8</v>
      </c>
      <c r="L16" s="121">
        <f>IFERROR(IF(VLOOKUP($B16,'JR-Team Roping-Header'!$B$5:$N$24,6,FALSE)=" ",0,VLOOKUP($B16,'JR-Team Roping-Header'!$B$5:$N$24,6,FALSE)),0)+IFERROR(IF(VLOOKUP($B16,'JR-Team Roping-Heeler'!$B$5:$N$24,6,FALSE)=" ",0,VLOOKUP($B16,'JR-Team Roping-Heeler'!$B$5:$N$24,6,FALSE)),0)+IFERROR(IF(VLOOKUP($B16,'JR B-Steer Riding'!$B$5:$AI$24,18,FALSE)=" ",0,VLOOKUP($B16,'JR B-Steer Riding'!$B$5:$AI$24,18,FALSE)),0)+IFERROR(IF(VLOOKUP($B16,'JR B-Goats'!$B$5:$AI$24,18,FALSE)=" ",0,VLOOKUP($B16,'JR B-Goats'!$B$5:$AI$24,18,FALSE)),0)+IFERROR(IF(VLOOKUP($B16,'JR B-Calf Tying'!$B$5:$AI$24,18,FALSE)=" ",0,VLOOKUP($B16,'JR B-Calf Tying'!$B$5:$AI$24,18,FALSE)),0)+IFERROR(IF(VLOOKUP($B16,'JR B-Breakaway'!$B$5:$AI$24,18,FALSE)=" ",0,VLOOKUP($B16,'JR B-Breakaway'!$B$5:$AI$24,18,FALSE)),0)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IFERROR(IF(VLOOKUP($B16,'JR-Team Roping-Header'!$B$5:$N$24,7,FALSE)=" ",0,VLOOKUP($B16,'JR-Team Roping-Header'!$B$5:$N$24,7,FALSE)),0)+IFERROR(IF(VLOOKUP($B16,'JR-Team Roping-Heeler'!$B$5:$N$24,7,FALSE)=" ",0,VLOOKUP($B16,'JR-Team Roping-Heeler'!$B$5:$N$24,7,FALSE)),0)+IFERROR(IF(VLOOKUP($B16,'JR B-Steer Riding'!$B$5:$AI$24,22,FALSE)=" ",0,VLOOKUP($B16,'JR B-Steer Riding'!$B$5:$AI$24,22,FALSE)),0)+IFERROR(IF(VLOOKUP($B16,'JR B-Goats'!$B$5:$AI$24,22,FALSE)=" ",0,VLOOKUP($B16,'JR B-Goats'!$B$5:$AI$24,22,FALSE)),0)+IFERROR(IF(VLOOKUP($B16,'JR B-Calf Tying'!$B$5:$AI$24,22,FALSE)=" ",0,VLOOKUP($B16,'JR B-Calf Tying'!$B$5:$AI$24,22,FALSE)),0)+IFERROR(IF(VLOOKUP($B16,'JR B-Breakaway'!$B$5:$AI$24,22,FALSE)=" ",0,VLOOKUP($B16,'JR B-Breakaway'!$B$5:$AI$24,22,FALSE)),0)</f>
        <v>3</v>
      </c>
      <c r="P16" s="95">
        <f t="shared" si="8"/>
        <v>3</v>
      </c>
      <c r="Q16" s="91">
        <f t="shared" si="9"/>
        <v>10</v>
      </c>
      <c r="R16" s="121">
        <f>IFERROR(IF(VLOOKUP($B16,'JR-Team Roping-Header'!$B$5:$N$24,8,FALSE)=" ",0,VLOOKUP($B16,'JR-Team Roping-Header'!$B$5:$N$24,8,FALSE)),0)+IFERROR(IF(VLOOKUP($B16,'JR-Team Roping-Heeler'!$B$5:$N$24,8,FALSE)=" ",0,VLOOKUP($B16,'JR-Team Roping-Heeler'!$B$5:$N$24,8,FALSE)),0)+IFERROR(IF(VLOOKUP($B16,'JR B-Steer Riding'!$B$5:$AI$24,26,FALSE)=" ",0,VLOOKUP($B16,'JR B-Steer Riding'!$B$5:$AI$24,26,FALSE)),0)+IFERROR(IF(VLOOKUP($B16,'JR B-Goats'!$B$5:$AI$24,26,FALSE)=" ",0,VLOOKUP($B16,'JR B-Goats'!$B$5:$AI$24,26,FALSE)),0)+IFERROR(IF(VLOOKUP($B16,'JR B-Calf Tying'!$B$5:$AI$24,26,FALSE)=" ",0,VLOOKUP($B16,'JR B-Calf Tying'!$B$5:$AI$24,26,FALSE)),0)+IFERROR(IF(VLOOKUP($B16,'JR B-Breakaway'!$B$5:$AI$24,26,FALSE)=" ",0,VLOOKUP($B16,'JR B-Breakaway'!$B$5:$AI$24,26,FALSE)),0)</f>
        <v>3</v>
      </c>
      <c r="S16" s="95">
        <f t="shared" si="10"/>
        <v>3</v>
      </c>
      <c r="T16" s="91">
        <f t="shared" si="11"/>
        <v>9</v>
      </c>
      <c r="U16" s="121">
        <f>IFERROR(IF(VLOOKUP($B16,'JR-Team Roping-Header'!$B$5:$N$24,9,FALSE)=" ",0,VLOOKUP($B16,'JR-Team Roping-Header'!$B$5:$N$24,9,FALSE)),0)+IFERROR(IF(VLOOKUP($B16,'JR-Team Roping-Heeler'!$B$5:$N$24,9,FALSE)=" ",0,VLOOKUP($B16,'JR-Team Roping-Heeler'!$B$5:$N$24,9,FALSE)),0)+IFERROR(IF(VLOOKUP($B16,'JR B-Steer Riding'!$B$5:$AI$24,30,FALSE)=" ",0,VLOOKUP($B16,'JR B-Steer Riding'!$B$5:$AI$24,30,FALSE)),0)+IFERROR(IF(VLOOKUP($B16,'JR B-Goats'!$B$5:$AI$24,30,FALSE)=" ",0,VLOOKUP($B16,'JR B-Goats'!$B$5:$AI$24,30,FALSE)),0)+IFERROR(IF(VLOOKUP($B16,'JR B-Calf Tying'!$B$5:$AI$24,30,FALSE)=" ",0,VLOOKUP($B16,'JR B-Calf Tying'!$B$5:$AI$24,30,FALSE)),0)+IFERROR(IF(VLOOKUP($B16,'JR B-Breakaway'!$B$5:$AI$24,30,FALSE)=" ",0,VLOOKUP($B16,'JR B-Breakaway'!$B$5:$AI$24,30,FALSE)),0)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IFERROR(IF(VLOOKUP($B16,'JR-Team Roping-Header'!$B$5:$N$24,10,FALSE)=" ",0,VLOOKUP($B16,'JR-Team Roping-Header'!$B$5:$N$24,10,FALSE)),0)+IFERROR(IF(VLOOKUP($B16,'JR-Team Roping-Heeler'!$B$5:$N$24,10,FALSE)=" ",0,VLOOKUP($B16,'JR-Team Roping-Heeler'!$B$5:$N$24,10,FALSE)),0)+IFERROR(IF(VLOOKUP($B16,'JR B-Steer Riding'!$B$5:$AI$24,34,FALSE)=" ",0,VLOOKUP($B16,'JR B-Steer Riding'!$B$5:$AI$24,34,FALSE)),0)+IFERROR(IF(VLOOKUP($B16,'JR B-Goats'!$B$5:$AI$24,34,FALSE)=" ",0,VLOOKUP($B16,'JR B-Goats'!$B$5:$AI$24,34,FALSE)),0)+IFERROR(IF(VLOOKUP($B16,'JR B-Calf Tying'!$B$5:$AI$24,34,FALSE)=" ",0,VLOOKUP($B16,'JR B-Calf Tying'!$B$5:$AI$24,34,FALSE)),0)+IFERROR(IF(VLOOKUP($B16,'JR B-Breakaway'!$B$5:$AI$24,34,FALSE)=" ",0,VLOOKUP($B16,'JR B-Breakaway'!$B$5:$AI$24,34,FALSE)),0)</f>
        <v>6</v>
      </c>
      <c r="Y16" s="95">
        <f t="shared" si="14"/>
        <v>6</v>
      </c>
      <c r="Z16" s="91">
        <f t="shared" si="15"/>
        <v>10</v>
      </c>
      <c r="AA16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39</v>
      </c>
      <c r="AB16" s="95">
        <f t="shared" si="16"/>
        <v>39</v>
      </c>
      <c r="AC16" s="91">
        <f t="shared" si="17"/>
        <v>12</v>
      </c>
    </row>
    <row r="17" spans="2:29" x14ac:dyDescent="0.25">
      <c r="B17" s="142" t="s">
        <v>271</v>
      </c>
      <c r="C17" s="120">
        <f>IFERROR(IF(VLOOKUP($B17,'JR-Team Roping-Header'!$B$5:$N$24,3,FALSE)=" ",0,VLOOKUP($B17,'JR-Team Roping-Header'!$B$5:$N$24,3,FALSE)),0)+IFERROR(IF(VLOOKUP($B17,'JR-Team Roping-Heeler'!$B$5:$N$24,3,FALSE)=" ",0,VLOOKUP($B17,'JR-Team Roping-Heeler'!$B$5:$N$24,3,FALSE)),0)+IFERROR(IF(VLOOKUP($B17,'JR B-Steer Riding'!$B$5:$AI$24,6,FALSE)=" ",0,VLOOKUP($B17,'JR B-Steer Riding'!$B$5:$AI$24,6,FALSE)),0)+IFERROR(IF(VLOOKUP($B17,'JR B-Goats'!$B$5:$AI$24,6,FALSE)=" ",0,VLOOKUP($B17,'JR B-Goats'!$B$5:$AI$24,6,FALSE)),0)+IFERROR(IF(VLOOKUP($B17,'JR B-Calf Tying'!$B$5:$AI$24,6,FALSE)=" ",0,VLOOKUP($B17,'JR B-Calf Tying'!$B$5:$AI$24,6,FALSE)),0)+IFERROR(IF(VLOOKUP($B17,'JR B-Breakaway'!$B$5:$AI$24,6,FALSE)=" ",0,VLOOKUP($B17,'JR B-Breakaway'!$B$5:$AI$24,6,FALSE)),0)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IFERROR(IF(VLOOKUP($B17,'JR-Team Roping-Header'!$B$5:$N$24,4,FALSE)=" ",0,VLOOKUP($B17,'JR-Team Roping-Header'!$B$5:$N$24,4,FALSE)),0)+IFERROR(IF(VLOOKUP($B17,'JR-Team Roping-Heeler'!$B$5:$N$24,4,FALSE)=" ",0,VLOOKUP($B17,'JR-Team Roping-Heeler'!$B$5:$N$24,4,FALSE)),0)+IFERROR(IF(VLOOKUP($B17,'JR B-Steer Riding'!$B$5:$AI$24,10,FALSE)=" ",0,VLOOKUP($B17,'JR B-Steer Riding'!$B$5:$AI$24,10,FALSE)),0)+IFERROR(IF(VLOOKUP($B17,'JR B-Goats'!$B$5:$AI$24,10,FALSE)=" ",0,VLOOKUP($B17,'JR B-Goats'!$B$5:$AI$24,10,FALSE)),0)+IFERROR(IF(VLOOKUP($B17,'JR B-Calf Tying'!$B$5:$AI$24,10,FALSE)=" ",0,VLOOKUP($B17,'JR B-Calf Tying'!$B$5:$AI$24,10,FALSE)),0)+IFERROR(IF(VLOOKUP($B17,'JR B-Breakaway'!$B$5:$AI$24,10,FALSE)=" ",0,VLOOKUP($B17,'JR B-Breakaway'!$B$5:$AI$24,10,FALSE)),0)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IFERROR(IF(VLOOKUP($B17,'JR-Team Roping-Header'!$B$5:$N$24,5,FALSE)=" ",0,VLOOKUP($B17,'JR-Team Roping-Header'!$B$5:$N$24,5,FALSE)),0)+IFERROR(IF(VLOOKUP($B17,'JR-Team Roping-Heeler'!$B$5:$N$24,5,FALSE)=" ",0,VLOOKUP($B17,'JR-Team Roping-Heeler'!$B$5:$N$24,5,FALSE)),0)+IFERROR(IF(VLOOKUP($B17,'JR B-Steer Riding'!$B$5:$AI$24,14,FALSE)=" ",0,VLOOKUP($B17,'JR B-Steer Riding'!$B$5:$AI$24,14,FALSE)),0)+IFERROR(IF(VLOOKUP($B17,'JR B-Goats'!$B$5:$AI$24,14,FALSE)=" ",0,VLOOKUP($B17,'JR B-Goats'!$B$5:$AI$24,14,FALSE)),0)+IFERROR(IF(VLOOKUP($B17,'JR B-Calf Tying'!$B$5:$AI$24,14,FALSE)=" ",0,VLOOKUP($B17,'JR B-Calf Tying'!$B$5:$AI$24,14,FALSE)),0)+IFERROR(IF(VLOOKUP($B17,'JR B-Breakaway'!$B$5:$AI$24,14,FALSE)=" ",0,VLOOKUP($B17,'JR B-Breakaway'!$B$5:$AI$24,14,FALSE)),0)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IFERROR(IF(VLOOKUP($B17,'JR-Team Roping-Header'!$B$5:$N$24,6,FALSE)=" ",0,VLOOKUP($B17,'JR-Team Roping-Header'!$B$5:$N$24,6,FALSE)),0)+IFERROR(IF(VLOOKUP($B17,'JR-Team Roping-Heeler'!$B$5:$N$24,6,FALSE)=" ",0,VLOOKUP($B17,'JR-Team Roping-Heeler'!$B$5:$N$24,6,FALSE)),0)+IFERROR(IF(VLOOKUP($B17,'JR B-Steer Riding'!$B$5:$AI$24,18,FALSE)=" ",0,VLOOKUP($B17,'JR B-Steer Riding'!$B$5:$AI$24,18,FALSE)),0)+IFERROR(IF(VLOOKUP($B17,'JR B-Goats'!$B$5:$AI$24,18,FALSE)=" ",0,VLOOKUP($B17,'JR B-Goats'!$B$5:$AI$24,18,FALSE)),0)+IFERROR(IF(VLOOKUP($B17,'JR B-Calf Tying'!$B$5:$AI$24,18,FALSE)=" ",0,VLOOKUP($B17,'JR B-Calf Tying'!$B$5:$AI$24,18,FALSE)),0)+IFERROR(IF(VLOOKUP($B17,'JR B-Breakaway'!$B$5:$AI$24,18,FALSE)=" ",0,VLOOKUP($B17,'JR B-Breakaway'!$B$5:$AI$24,18,FALSE)),0)</f>
        <v>15</v>
      </c>
      <c r="M17" s="95">
        <f t="shared" si="6"/>
        <v>15</v>
      </c>
      <c r="N17" s="91">
        <f t="shared" si="7"/>
        <v>6</v>
      </c>
      <c r="O17" s="121">
        <f>IFERROR(IF(VLOOKUP($B17,'JR-Team Roping-Header'!$B$5:$N$24,7,FALSE)=" ",0,VLOOKUP($B17,'JR-Team Roping-Header'!$B$5:$N$24,7,FALSE)),0)+IFERROR(IF(VLOOKUP($B17,'JR-Team Roping-Heeler'!$B$5:$N$24,7,FALSE)=" ",0,VLOOKUP($B17,'JR-Team Roping-Heeler'!$B$5:$N$24,7,FALSE)),0)+IFERROR(IF(VLOOKUP($B17,'JR B-Steer Riding'!$B$5:$AI$24,22,FALSE)=" ",0,VLOOKUP($B17,'JR B-Steer Riding'!$B$5:$AI$24,22,FALSE)),0)+IFERROR(IF(VLOOKUP($B17,'JR B-Goats'!$B$5:$AI$24,22,FALSE)=" ",0,VLOOKUP($B17,'JR B-Goats'!$B$5:$AI$24,22,FALSE)),0)+IFERROR(IF(VLOOKUP($B17,'JR B-Calf Tying'!$B$5:$AI$24,22,FALSE)=" ",0,VLOOKUP($B17,'JR B-Calf Tying'!$B$5:$AI$24,22,FALSE)),0)+IFERROR(IF(VLOOKUP($B17,'JR B-Breakaway'!$B$5:$AI$24,22,FALSE)=" ",0,VLOOKUP($B17,'JR B-Breakaway'!$B$5:$AI$24,22,FALSE)),0)</f>
        <v>12</v>
      </c>
      <c r="P17" s="95">
        <f t="shared" si="8"/>
        <v>12</v>
      </c>
      <c r="Q17" s="91">
        <f t="shared" si="9"/>
        <v>9</v>
      </c>
      <c r="R17" s="121">
        <f>IFERROR(IF(VLOOKUP($B17,'JR-Team Roping-Header'!$B$5:$N$24,8,FALSE)=" ",0,VLOOKUP($B17,'JR-Team Roping-Header'!$B$5:$N$24,8,FALSE)),0)+IFERROR(IF(VLOOKUP($B17,'JR-Team Roping-Heeler'!$B$5:$N$24,8,FALSE)=" ",0,VLOOKUP($B17,'JR-Team Roping-Heeler'!$B$5:$N$24,8,FALSE)),0)+IFERROR(IF(VLOOKUP($B17,'JR B-Steer Riding'!$B$5:$AI$24,26,FALSE)=" ",0,VLOOKUP($B17,'JR B-Steer Riding'!$B$5:$AI$24,26,FALSE)),0)+IFERROR(IF(VLOOKUP($B17,'JR B-Goats'!$B$5:$AI$24,26,FALSE)=" ",0,VLOOKUP($B17,'JR B-Goats'!$B$5:$AI$24,26,FALSE)),0)+IFERROR(IF(VLOOKUP($B17,'JR B-Calf Tying'!$B$5:$AI$24,26,FALSE)=" ",0,VLOOKUP($B17,'JR B-Calf Tying'!$B$5:$AI$24,26,FALSE)),0)+IFERROR(IF(VLOOKUP($B17,'JR B-Breakaway'!$B$5:$AI$24,26,FALSE)=" ",0,VLOOKUP($B17,'JR B-Breakaway'!$B$5:$AI$24,26,FALSE)),0)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IFERROR(IF(VLOOKUP($B17,'JR-Team Roping-Header'!$B$5:$N$24,9,FALSE)=" ",0,VLOOKUP($B17,'JR-Team Roping-Header'!$B$5:$N$24,9,FALSE)),0)+IFERROR(IF(VLOOKUP($B17,'JR-Team Roping-Heeler'!$B$5:$N$24,9,FALSE)=" ",0,VLOOKUP($B17,'JR-Team Roping-Heeler'!$B$5:$N$24,9,FALSE)),0)+IFERROR(IF(VLOOKUP($B17,'JR B-Steer Riding'!$B$5:$AI$24,30,FALSE)=" ",0,VLOOKUP($B17,'JR B-Steer Riding'!$B$5:$AI$24,30,FALSE)),0)+IFERROR(IF(VLOOKUP($B17,'JR B-Goats'!$B$5:$AI$24,30,FALSE)=" ",0,VLOOKUP($B17,'JR B-Goats'!$B$5:$AI$24,30,FALSE)),0)+IFERROR(IF(VLOOKUP($B17,'JR B-Calf Tying'!$B$5:$AI$24,30,FALSE)=" ",0,VLOOKUP($B17,'JR B-Calf Tying'!$B$5:$AI$24,30,FALSE)),0)+IFERROR(IF(VLOOKUP($B17,'JR B-Breakaway'!$B$5:$AI$24,30,FALSE)=" ",0,VLOOKUP($B17,'JR B-Breakaway'!$B$5:$AI$24,30,FALSE)),0)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IFERROR(IF(VLOOKUP($B17,'JR-Team Roping-Header'!$B$5:$N$24,10,FALSE)=" ",0,VLOOKUP($B17,'JR-Team Roping-Header'!$B$5:$N$24,10,FALSE)),0)+IFERROR(IF(VLOOKUP($B17,'JR-Team Roping-Heeler'!$B$5:$N$24,10,FALSE)=" ",0,VLOOKUP($B17,'JR-Team Roping-Heeler'!$B$5:$N$24,10,FALSE)),0)+IFERROR(IF(VLOOKUP($B17,'JR B-Steer Riding'!$B$5:$AI$24,34,FALSE)=" ",0,VLOOKUP($B17,'JR B-Steer Riding'!$B$5:$AI$24,34,FALSE)),0)+IFERROR(IF(VLOOKUP($B17,'JR B-Goats'!$B$5:$AI$24,34,FALSE)=" ",0,VLOOKUP($B17,'JR B-Goats'!$B$5:$AI$24,34,FALSE)),0)+IFERROR(IF(VLOOKUP($B17,'JR B-Calf Tying'!$B$5:$AI$24,34,FALSE)=" ",0,VLOOKUP($B17,'JR B-Calf Tying'!$B$5:$AI$24,34,FALSE)),0)+IFERROR(IF(VLOOKUP($B17,'JR B-Breakaway'!$B$5:$AI$24,34,FALSE)=" ",0,VLOOKUP($B17,'JR B-Breakaway'!$B$5:$AI$24,34,FALSE)),0)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27</v>
      </c>
      <c r="AB17" s="95">
        <f t="shared" si="16"/>
        <v>27</v>
      </c>
      <c r="AC17" s="91">
        <f t="shared" si="17"/>
        <v>13</v>
      </c>
    </row>
    <row r="18" spans="2:29" x14ac:dyDescent="0.25">
      <c r="B18" s="142" t="s">
        <v>138</v>
      </c>
      <c r="C18" s="120">
        <f>IFERROR(IF(VLOOKUP($B18,'JR-Team Roping-Header'!$B$5:$N$24,3,FALSE)=" ",0,VLOOKUP($B18,'JR-Team Roping-Header'!$B$5:$N$24,3,FALSE)),0)+IFERROR(IF(VLOOKUP($B18,'JR-Team Roping-Heeler'!$B$5:$N$24,3,FALSE)=" ",0,VLOOKUP($B18,'JR-Team Roping-Heeler'!$B$5:$N$24,3,FALSE)),0)+IFERROR(IF(VLOOKUP($B18,'JR B-Steer Riding'!$B$5:$AI$24,6,FALSE)=" ",0,VLOOKUP($B18,'JR B-Steer Riding'!$B$5:$AI$24,6,FALSE)),0)+IFERROR(IF(VLOOKUP($B18,'JR B-Goats'!$B$5:$AI$24,6,FALSE)=" ",0,VLOOKUP($B18,'JR B-Goats'!$B$5:$AI$24,6,FALSE)),0)+IFERROR(IF(VLOOKUP($B18,'JR B-Calf Tying'!$B$5:$AI$24,6,FALSE)=" ",0,VLOOKUP($B18,'JR B-Calf Tying'!$B$5:$AI$24,6,FALSE)),0)+IFERROR(IF(VLOOKUP($B18,'JR B-Breakaway'!$B$5:$AI$24,6,FALSE)=" ",0,VLOOKUP($B18,'JR B-Breakaway'!$B$5:$AI$24,6,FALSE)),0)</f>
        <v>6</v>
      </c>
      <c r="D18" s="95">
        <f t="shared" si="0"/>
        <v>6</v>
      </c>
      <c r="E18" s="91">
        <f t="shared" si="1"/>
        <v>11</v>
      </c>
      <c r="F18" s="121">
        <f>IFERROR(IF(VLOOKUP($B18,'JR-Team Roping-Header'!$B$5:$N$24,4,FALSE)=" ",0,VLOOKUP($B18,'JR-Team Roping-Header'!$B$5:$N$24,4,FALSE)),0)+IFERROR(IF(VLOOKUP($B18,'JR-Team Roping-Heeler'!$B$5:$N$24,4,FALSE)=" ",0,VLOOKUP($B18,'JR-Team Roping-Heeler'!$B$5:$N$24,4,FALSE)),0)+IFERROR(IF(VLOOKUP($B18,'JR B-Steer Riding'!$B$5:$AI$24,10,FALSE)=" ",0,VLOOKUP($B18,'JR B-Steer Riding'!$B$5:$AI$24,10,FALSE)),0)+IFERROR(IF(VLOOKUP($B18,'JR B-Goats'!$B$5:$AI$24,10,FALSE)=" ",0,VLOOKUP($B18,'JR B-Goats'!$B$5:$AI$24,10,FALSE)),0)+IFERROR(IF(VLOOKUP($B18,'JR B-Calf Tying'!$B$5:$AI$24,10,FALSE)=" ",0,VLOOKUP($B18,'JR B-Calf Tying'!$B$5:$AI$24,10,FALSE)),0)+IFERROR(IF(VLOOKUP($B18,'JR B-Breakaway'!$B$5:$AI$24,10,FALSE)=" ",0,VLOOKUP($B18,'JR B-Breakaway'!$B$5:$AI$24,10,FALSE)),0)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IFERROR(IF(VLOOKUP($B18,'JR-Team Roping-Header'!$B$5:$N$24,5,FALSE)=" ",0,VLOOKUP($B18,'JR-Team Roping-Header'!$B$5:$N$24,5,FALSE)),0)+IFERROR(IF(VLOOKUP($B18,'JR-Team Roping-Heeler'!$B$5:$N$24,5,FALSE)=" ",0,VLOOKUP($B18,'JR-Team Roping-Heeler'!$B$5:$N$24,5,FALSE)),0)+IFERROR(IF(VLOOKUP($B18,'JR B-Steer Riding'!$B$5:$AI$24,14,FALSE)=" ",0,VLOOKUP($B18,'JR B-Steer Riding'!$B$5:$AI$24,14,FALSE)),0)+IFERROR(IF(VLOOKUP($B18,'JR B-Goats'!$B$5:$AI$24,14,FALSE)=" ",0,VLOOKUP($B18,'JR B-Goats'!$B$5:$AI$24,14,FALSE)),0)+IFERROR(IF(VLOOKUP($B18,'JR B-Calf Tying'!$B$5:$AI$24,14,FALSE)=" ",0,VLOOKUP($B18,'JR B-Calf Tying'!$B$5:$AI$24,14,FALSE)),0)+IFERROR(IF(VLOOKUP($B18,'JR B-Breakaway'!$B$5:$AI$24,14,FALSE)=" ",0,VLOOKUP($B18,'JR B-Breakaway'!$B$5:$AI$24,14,FALSE)),0)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IFERROR(IF(VLOOKUP($B18,'JR-Team Roping-Header'!$B$5:$N$24,6,FALSE)=" ",0,VLOOKUP($B18,'JR-Team Roping-Header'!$B$5:$N$24,6,FALSE)),0)+IFERROR(IF(VLOOKUP($B18,'JR-Team Roping-Heeler'!$B$5:$N$24,6,FALSE)=" ",0,VLOOKUP($B18,'JR-Team Roping-Heeler'!$B$5:$N$24,6,FALSE)),0)+IFERROR(IF(VLOOKUP($B18,'JR B-Steer Riding'!$B$5:$AI$24,18,FALSE)=" ",0,VLOOKUP($B18,'JR B-Steer Riding'!$B$5:$AI$24,18,FALSE)),0)+IFERROR(IF(VLOOKUP($B18,'JR B-Goats'!$B$5:$AI$24,18,FALSE)=" ",0,VLOOKUP($B18,'JR B-Goats'!$B$5:$AI$24,18,FALSE)),0)+IFERROR(IF(VLOOKUP($B18,'JR B-Calf Tying'!$B$5:$AI$24,18,FALSE)=" ",0,VLOOKUP($B18,'JR B-Calf Tying'!$B$5:$AI$24,18,FALSE)),0)+IFERROR(IF(VLOOKUP($B18,'JR B-Breakaway'!$B$5:$AI$24,18,FALSE)=" ",0,VLOOKUP($B18,'JR B-Breakaway'!$B$5:$AI$24,18,FALSE)),0)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IFERROR(IF(VLOOKUP($B18,'JR-Team Roping-Header'!$B$5:$N$24,7,FALSE)=" ",0,VLOOKUP($B18,'JR-Team Roping-Header'!$B$5:$N$24,7,FALSE)),0)+IFERROR(IF(VLOOKUP($B18,'JR-Team Roping-Heeler'!$B$5:$N$24,7,FALSE)=" ",0,VLOOKUP($B18,'JR-Team Roping-Heeler'!$B$5:$N$24,7,FALSE)),0)+IFERROR(IF(VLOOKUP($B18,'JR B-Steer Riding'!$B$5:$AI$24,22,FALSE)=" ",0,VLOOKUP($B18,'JR B-Steer Riding'!$B$5:$AI$24,22,FALSE)),0)+IFERROR(IF(VLOOKUP($B18,'JR B-Goats'!$B$5:$AI$24,22,FALSE)=" ",0,VLOOKUP($B18,'JR B-Goats'!$B$5:$AI$24,22,FALSE)),0)+IFERROR(IF(VLOOKUP($B18,'JR B-Calf Tying'!$B$5:$AI$24,22,FALSE)=" ",0,VLOOKUP($B18,'JR B-Calf Tying'!$B$5:$AI$24,22,FALSE)),0)+IFERROR(IF(VLOOKUP($B18,'JR B-Breakaway'!$B$5:$AI$24,22,FALSE)=" ",0,VLOOKUP($B18,'JR B-Breakaway'!$B$5:$AI$24,22,FALSE)),0)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IFERROR(IF(VLOOKUP($B18,'JR-Team Roping-Header'!$B$5:$N$24,8,FALSE)=" ",0,VLOOKUP($B18,'JR-Team Roping-Header'!$B$5:$N$24,8,FALSE)),0)+IFERROR(IF(VLOOKUP($B18,'JR-Team Roping-Heeler'!$B$5:$N$24,8,FALSE)=" ",0,VLOOKUP($B18,'JR-Team Roping-Heeler'!$B$5:$N$24,8,FALSE)),0)+IFERROR(IF(VLOOKUP($B18,'JR B-Steer Riding'!$B$5:$AI$24,26,FALSE)=" ",0,VLOOKUP($B18,'JR B-Steer Riding'!$B$5:$AI$24,26,FALSE)),0)+IFERROR(IF(VLOOKUP($B18,'JR B-Goats'!$B$5:$AI$24,26,FALSE)=" ",0,VLOOKUP($B18,'JR B-Goats'!$B$5:$AI$24,26,FALSE)),0)+IFERROR(IF(VLOOKUP($B18,'JR B-Calf Tying'!$B$5:$AI$24,26,FALSE)=" ",0,VLOOKUP($B18,'JR B-Calf Tying'!$B$5:$AI$24,26,FALSE)),0)+IFERROR(IF(VLOOKUP($B18,'JR B-Breakaway'!$B$5:$AI$24,26,FALSE)=" ",0,VLOOKUP($B18,'JR B-Breakaway'!$B$5:$AI$24,26,FALSE)),0)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IFERROR(IF(VLOOKUP($B18,'JR-Team Roping-Header'!$B$5:$N$24,9,FALSE)=" ",0,VLOOKUP($B18,'JR-Team Roping-Header'!$B$5:$N$24,9,FALSE)),0)+IFERROR(IF(VLOOKUP($B18,'JR-Team Roping-Heeler'!$B$5:$N$24,9,FALSE)=" ",0,VLOOKUP($B18,'JR-Team Roping-Heeler'!$B$5:$N$24,9,FALSE)),0)+IFERROR(IF(VLOOKUP($B18,'JR B-Steer Riding'!$B$5:$AI$24,30,FALSE)=" ",0,VLOOKUP($B18,'JR B-Steer Riding'!$B$5:$AI$24,30,FALSE)),0)+IFERROR(IF(VLOOKUP($B18,'JR B-Goats'!$B$5:$AI$24,30,FALSE)=" ",0,VLOOKUP($B18,'JR B-Goats'!$B$5:$AI$24,30,FALSE)),0)+IFERROR(IF(VLOOKUP($B18,'JR B-Calf Tying'!$B$5:$AI$24,30,FALSE)=" ",0,VLOOKUP($B18,'JR B-Calf Tying'!$B$5:$AI$24,30,FALSE)),0)+IFERROR(IF(VLOOKUP($B18,'JR B-Breakaway'!$B$5:$AI$24,30,FALSE)=" ",0,VLOOKUP($B18,'JR B-Breakaway'!$B$5:$AI$24,30,FALSE)),0)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IFERROR(IF(VLOOKUP($B18,'JR-Team Roping-Header'!$B$5:$N$24,10,FALSE)=" ",0,VLOOKUP($B18,'JR-Team Roping-Header'!$B$5:$N$24,10,FALSE)),0)+IFERROR(IF(VLOOKUP($B18,'JR-Team Roping-Heeler'!$B$5:$N$24,10,FALSE)=" ",0,VLOOKUP($B18,'JR-Team Roping-Heeler'!$B$5:$N$24,10,FALSE)),0)+IFERROR(IF(VLOOKUP($B18,'JR B-Steer Riding'!$B$5:$AI$24,34,FALSE)=" ",0,VLOOKUP($B18,'JR B-Steer Riding'!$B$5:$AI$24,34,FALSE)),0)+IFERROR(IF(VLOOKUP($B18,'JR B-Goats'!$B$5:$AI$24,34,FALSE)=" ",0,VLOOKUP($B18,'JR B-Goats'!$B$5:$AI$24,34,FALSE)),0)+IFERROR(IF(VLOOKUP($B18,'JR B-Calf Tying'!$B$5:$AI$24,34,FALSE)=" ",0,VLOOKUP($B18,'JR B-Calf Tying'!$B$5:$AI$24,34,FALSE)),0)+IFERROR(IF(VLOOKUP($B18,'JR B-Breakaway'!$B$5:$AI$24,34,FALSE)=" ",0,VLOOKUP($B18,'JR B-Breakaway'!$B$5:$AI$24,34,FALSE)),0)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6</v>
      </c>
      <c r="AB18" s="95">
        <f t="shared" si="16"/>
        <v>6</v>
      </c>
      <c r="AC18" s="91">
        <f t="shared" si="17"/>
        <v>14</v>
      </c>
    </row>
    <row r="19" spans="2:29" x14ac:dyDescent="0.25">
      <c r="B19" s="142" t="s">
        <v>255</v>
      </c>
      <c r="C19" s="120">
        <f>IFERROR(IF(VLOOKUP($B19,'JR-Team Roping-Header'!$B$5:$N$24,3,FALSE)=" ",0,VLOOKUP($B19,'JR-Team Roping-Header'!$B$5:$N$24,3,FALSE)),0)+IFERROR(IF(VLOOKUP($B19,'JR-Team Roping-Heeler'!$B$5:$N$24,3,FALSE)=" ",0,VLOOKUP($B19,'JR-Team Roping-Heeler'!$B$5:$N$24,3,FALSE)),0)+IFERROR(IF(VLOOKUP($B19,'JR B-Steer Riding'!$B$5:$AI$24,6,FALSE)=" ",0,VLOOKUP($B19,'JR B-Steer Riding'!$B$5:$AI$24,6,FALSE)),0)+IFERROR(IF(VLOOKUP($B19,'JR B-Goats'!$B$5:$AI$24,6,FALSE)=" ",0,VLOOKUP($B19,'JR B-Goats'!$B$5:$AI$24,6,FALSE)),0)+IFERROR(IF(VLOOKUP($B19,'JR B-Calf Tying'!$B$5:$AI$24,6,FALSE)=" ",0,VLOOKUP($B19,'JR B-Calf Tying'!$B$5:$AI$24,6,FALSE)),0)+IFERROR(IF(VLOOKUP($B19,'JR B-Breakaway'!$B$5:$AI$24,6,FALSE)=" ",0,VLOOKUP($B19,'JR B-Breakaway'!$B$5:$AI$24,6,FALSE)),0)</f>
        <v>0</v>
      </c>
      <c r="D19" s="95" t="str">
        <f t="shared" si="0"/>
        <v xml:space="preserve"> </v>
      </c>
      <c r="E19" s="122" t="str">
        <f t="shared" si="1"/>
        <v xml:space="preserve"> </v>
      </c>
      <c r="F19" s="121">
        <f>IFERROR(IF(VLOOKUP($B19,'JR-Team Roping-Header'!$B$5:$N$24,4,FALSE)=" ",0,VLOOKUP($B19,'JR-Team Roping-Header'!$B$5:$N$24,4,FALSE)),0)+IFERROR(IF(VLOOKUP($B19,'JR-Team Roping-Heeler'!$B$5:$N$24,4,FALSE)=" ",0,VLOOKUP($B19,'JR-Team Roping-Heeler'!$B$5:$N$24,4,FALSE)),0)+IFERROR(IF(VLOOKUP($B19,'JR B-Steer Riding'!$B$5:$AI$24,10,FALSE)=" ",0,VLOOKUP($B19,'JR B-Steer Riding'!$B$5:$AI$24,10,FALSE)),0)+IFERROR(IF(VLOOKUP($B19,'JR B-Goats'!$B$5:$AI$24,10,FALSE)=" ",0,VLOOKUP($B19,'JR B-Goats'!$B$5:$AI$24,10,FALSE)),0)+IFERROR(IF(VLOOKUP($B19,'JR B-Calf Tying'!$B$5:$AI$24,10,FALSE)=" ",0,VLOOKUP($B19,'JR B-Calf Tying'!$B$5:$AI$24,10,FALSE)),0)+IFERROR(IF(VLOOKUP($B19,'JR B-Breakaway'!$B$5:$AI$24,10,FALSE)=" ",0,VLOOKUP($B19,'JR B-Breakaway'!$B$5:$AI$24,10,FALSE)),0)</f>
        <v>0</v>
      </c>
      <c r="G19" s="95" t="str">
        <f t="shared" si="2"/>
        <v xml:space="preserve"> </v>
      </c>
      <c r="H19" s="122" t="str">
        <f t="shared" si="3"/>
        <v xml:space="preserve"> </v>
      </c>
      <c r="I19" s="121">
        <f>IFERROR(IF(VLOOKUP($B19,'JR-Team Roping-Header'!$B$5:$N$24,5,FALSE)=" ",0,VLOOKUP($B19,'JR-Team Roping-Header'!$B$5:$N$24,5,FALSE)),0)+IFERROR(IF(VLOOKUP($B19,'JR-Team Roping-Heeler'!$B$5:$N$24,5,FALSE)=" ",0,VLOOKUP($B19,'JR-Team Roping-Heeler'!$B$5:$N$24,5,FALSE)),0)+IFERROR(IF(VLOOKUP($B19,'JR B-Steer Riding'!$B$5:$AI$24,14,FALSE)=" ",0,VLOOKUP($B19,'JR B-Steer Riding'!$B$5:$AI$24,14,FALSE)),0)+IFERROR(IF(VLOOKUP($B19,'JR B-Goats'!$B$5:$AI$24,14,FALSE)=" ",0,VLOOKUP($B19,'JR B-Goats'!$B$5:$AI$24,14,FALSE)),0)+IFERROR(IF(VLOOKUP($B19,'JR B-Calf Tying'!$B$5:$AI$24,14,FALSE)=" ",0,VLOOKUP($B19,'JR B-Calf Tying'!$B$5:$AI$24,14,FALSE)),0)+IFERROR(IF(VLOOKUP($B19,'JR B-Breakaway'!$B$5:$AI$24,14,FALSE)=" ",0,VLOOKUP($B19,'JR B-Breakaway'!$B$5:$AI$24,14,FALSE)),0)</f>
        <v>0</v>
      </c>
      <c r="J19" s="95" t="str">
        <f t="shared" si="4"/>
        <v xml:space="preserve"> </v>
      </c>
      <c r="K19" s="122" t="str">
        <f t="shared" si="5"/>
        <v xml:space="preserve"> </v>
      </c>
      <c r="L19" s="121">
        <f>IFERROR(IF(VLOOKUP($B19,'JR-Team Roping-Header'!$B$5:$N$24,6,FALSE)=" ",0,VLOOKUP($B19,'JR-Team Roping-Header'!$B$5:$N$24,6,FALSE)),0)+IFERROR(IF(VLOOKUP($B19,'JR-Team Roping-Heeler'!$B$5:$N$24,6,FALSE)=" ",0,VLOOKUP($B19,'JR-Team Roping-Heeler'!$B$5:$N$24,6,FALSE)),0)+IFERROR(IF(VLOOKUP($B19,'JR B-Steer Riding'!$B$5:$AI$24,18,FALSE)=" ",0,VLOOKUP($B19,'JR B-Steer Riding'!$B$5:$AI$24,18,FALSE)),0)+IFERROR(IF(VLOOKUP($B19,'JR B-Goats'!$B$5:$AI$24,18,FALSE)=" ",0,VLOOKUP($B19,'JR B-Goats'!$B$5:$AI$24,18,FALSE)),0)+IFERROR(IF(VLOOKUP($B19,'JR B-Calf Tying'!$B$5:$AI$24,18,FALSE)=" ",0,VLOOKUP($B19,'JR B-Calf Tying'!$B$5:$AI$24,18,FALSE)),0)+IFERROR(IF(VLOOKUP($B19,'JR B-Breakaway'!$B$5:$AI$24,18,FALSE)=" ",0,VLOOKUP($B19,'JR B-Breakaway'!$B$5:$AI$24,18,FALSE)),0)</f>
        <v>0</v>
      </c>
      <c r="M19" s="95" t="str">
        <f t="shared" si="6"/>
        <v xml:space="preserve"> </v>
      </c>
      <c r="N19" s="122" t="str">
        <f t="shared" si="7"/>
        <v xml:space="preserve"> </v>
      </c>
      <c r="O19" s="121">
        <f>IFERROR(IF(VLOOKUP($B19,'JR-Team Roping-Header'!$B$5:$N$24,7,FALSE)=" ",0,VLOOKUP($B19,'JR-Team Roping-Header'!$B$5:$N$24,7,FALSE)),0)+IFERROR(IF(VLOOKUP($B19,'JR-Team Roping-Heeler'!$B$5:$N$24,7,FALSE)=" ",0,VLOOKUP($B19,'JR-Team Roping-Heeler'!$B$5:$N$24,7,FALSE)),0)+IFERROR(IF(VLOOKUP($B19,'JR B-Steer Riding'!$B$5:$AI$24,22,FALSE)=" ",0,VLOOKUP($B19,'JR B-Steer Riding'!$B$5:$AI$24,22,FALSE)),0)+IFERROR(IF(VLOOKUP($B19,'JR B-Goats'!$B$5:$AI$24,22,FALSE)=" ",0,VLOOKUP($B19,'JR B-Goats'!$B$5:$AI$24,22,FALSE)),0)+IFERROR(IF(VLOOKUP($B19,'JR B-Calf Tying'!$B$5:$AI$24,22,FALSE)=" ",0,VLOOKUP($B19,'JR B-Calf Tying'!$B$5:$AI$24,22,FALSE)),0)+IFERROR(IF(VLOOKUP($B19,'JR B-Breakaway'!$B$5:$AI$24,22,FALSE)=" ",0,VLOOKUP($B19,'JR B-Breakaway'!$B$5:$AI$24,22,FALSE)),0)</f>
        <v>0</v>
      </c>
      <c r="P19" s="95" t="str">
        <f t="shared" si="8"/>
        <v xml:space="preserve"> </v>
      </c>
      <c r="Q19" s="122" t="str">
        <f t="shared" si="9"/>
        <v xml:space="preserve"> </v>
      </c>
      <c r="R19" s="121">
        <f>IFERROR(IF(VLOOKUP($B19,'JR-Team Roping-Header'!$B$5:$N$24,8,FALSE)=" ",0,VLOOKUP($B19,'JR-Team Roping-Header'!$B$5:$N$24,8,FALSE)),0)+IFERROR(IF(VLOOKUP($B19,'JR-Team Roping-Heeler'!$B$5:$N$24,8,FALSE)=" ",0,VLOOKUP($B19,'JR-Team Roping-Heeler'!$B$5:$N$24,8,FALSE)),0)+IFERROR(IF(VLOOKUP($B19,'JR B-Steer Riding'!$B$5:$AI$24,26,FALSE)=" ",0,VLOOKUP($B19,'JR B-Steer Riding'!$B$5:$AI$24,26,FALSE)),0)+IFERROR(IF(VLOOKUP($B19,'JR B-Goats'!$B$5:$AI$24,26,FALSE)=" ",0,VLOOKUP($B19,'JR B-Goats'!$B$5:$AI$24,26,FALSE)),0)+IFERROR(IF(VLOOKUP($B19,'JR B-Calf Tying'!$B$5:$AI$24,26,FALSE)=" ",0,VLOOKUP($B19,'JR B-Calf Tying'!$B$5:$AI$24,26,FALSE)),0)+IFERROR(IF(VLOOKUP($B19,'JR B-Breakaway'!$B$5:$AI$24,26,FALSE)=" ",0,VLOOKUP($B19,'JR B-Breakaway'!$B$5:$AI$24,26,FALSE)),0)</f>
        <v>0</v>
      </c>
      <c r="S19" s="95" t="str">
        <f t="shared" si="10"/>
        <v xml:space="preserve"> </v>
      </c>
      <c r="T19" s="122" t="str">
        <f t="shared" si="11"/>
        <v xml:space="preserve"> </v>
      </c>
      <c r="U19" s="121">
        <f>IFERROR(IF(VLOOKUP($B19,'JR-Team Roping-Header'!$B$5:$N$24,9,FALSE)=" ",0,VLOOKUP($B19,'JR-Team Roping-Header'!$B$5:$N$24,9,FALSE)),0)+IFERROR(IF(VLOOKUP($B19,'JR-Team Roping-Heeler'!$B$5:$N$24,9,FALSE)=" ",0,VLOOKUP($B19,'JR-Team Roping-Heeler'!$B$5:$N$24,9,FALSE)),0)+IFERROR(IF(VLOOKUP($B19,'JR B-Steer Riding'!$B$5:$AI$24,30,FALSE)=" ",0,VLOOKUP($B19,'JR B-Steer Riding'!$B$5:$AI$24,30,FALSE)),0)+IFERROR(IF(VLOOKUP($B19,'JR B-Goats'!$B$5:$AI$24,30,FALSE)=" ",0,VLOOKUP($B19,'JR B-Goats'!$B$5:$AI$24,30,FALSE)),0)+IFERROR(IF(VLOOKUP($B19,'JR B-Calf Tying'!$B$5:$AI$24,30,FALSE)=" ",0,VLOOKUP($B19,'JR B-Calf Tying'!$B$5:$AI$24,30,FALSE)),0)+IFERROR(IF(VLOOKUP($B19,'JR B-Breakaway'!$B$5:$AI$24,30,FALSE)=" ",0,VLOOKUP($B19,'JR B-Breakaway'!$B$5:$AI$24,30,FALSE)),0)</f>
        <v>0</v>
      </c>
      <c r="V19" s="95" t="str">
        <f t="shared" si="12"/>
        <v xml:space="preserve"> </v>
      </c>
      <c r="W19" s="122" t="str">
        <f t="shared" si="13"/>
        <v xml:space="preserve"> </v>
      </c>
      <c r="X19" s="121">
        <f>IFERROR(IF(VLOOKUP($B19,'JR-Team Roping-Header'!$B$5:$N$24,10,FALSE)=" ",0,VLOOKUP($B19,'JR-Team Roping-Header'!$B$5:$N$24,10,FALSE)),0)+IFERROR(IF(VLOOKUP($B19,'JR-Team Roping-Heeler'!$B$5:$N$24,10,FALSE)=" ",0,VLOOKUP($B19,'JR-Team Roping-Heeler'!$B$5:$N$24,10,FALSE)),0)+IFERROR(IF(VLOOKUP($B19,'JR B-Steer Riding'!$B$5:$AI$24,34,FALSE)=" ",0,VLOOKUP($B19,'JR B-Steer Riding'!$B$5:$AI$24,34,FALSE)),0)+IFERROR(IF(VLOOKUP($B19,'JR B-Goats'!$B$5:$AI$24,34,FALSE)=" ",0,VLOOKUP($B19,'JR B-Goats'!$B$5:$AI$24,34,FALSE)),0)+IFERROR(IF(VLOOKUP($B19,'JR B-Calf Tying'!$B$5:$AI$24,34,FALSE)=" ",0,VLOOKUP($B19,'JR B-Calf Tying'!$B$5:$AI$24,34,FALSE)),0)+IFERROR(IF(VLOOKUP($B19,'JR B-Breakaway'!$B$5:$AI$24,34,FALSE)=" ",0,VLOOKUP($B19,'JR B-Breakaway'!$B$5:$AI$24,34,FALSE)),0)</f>
        <v>0</v>
      </c>
      <c r="Y19" s="95" t="str">
        <f t="shared" si="14"/>
        <v xml:space="preserve"> </v>
      </c>
      <c r="Z19" s="122" t="str">
        <f t="shared" si="15"/>
        <v xml:space="preserve"> </v>
      </c>
      <c r="AA19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19" s="95" t="str">
        <f t="shared" si="16"/>
        <v xml:space="preserve"> </v>
      </c>
      <c r="AC19" s="122" t="str">
        <f t="shared" si="17"/>
        <v xml:space="preserve"> </v>
      </c>
    </row>
    <row r="20" spans="2:29" x14ac:dyDescent="0.25">
      <c r="B20" s="141"/>
      <c r="C20" s="120">
        <f>IFERROR(IF(VLOOKUP($B20,'JR-Team Roping-Header'!$B$5:$N$24,3,FALSE)=" ",0,VLOOKUP($B20,'JR-Team Roping-Header'!$B$5:$N$24,3,FALSE)),0)+IFERROR(IF(VLOOKUP($B20,'JR-Team Roping-Heeler'!$B$5:$N$24,3,FALSE)=" ",0,VLOOKUP($B20,'JR-Team Roping-Heeler'!$B$5:$N$24,3,FALSE)),0)+IFERROR(IF(VLOOKUP($B20,'JR B-Steer Riding'!$B$5:$AI$24,6,FALSE)=" ",0,VLOOKUP($B20,'JR B-Steer Riding'!$B$5:$AI$24,6,FALSE)),0)+IFERROR(IF(VLOOKUP($B20,'JR B-Goats'!$B$5:$AI$24,6,FALSE)=" ",0,VLOOKUP($B20,'JR B-Goats'!$B$5:$AI$24,6,FALSE)),0)+IFERROR(IF(VLOOKUP($B20,'JR B-Calf Tying'!$B$5:$AI$24,6,FALSE)=" ",0,VLOOKUP($B20,'JR B-Calf Tying'!$B$5:$AI$24,6,FALSE)),0)+IFERROR(IF(VLOOKUP($B20,'JR B-Breakaway'!$B$5:$AI$24,6,FALSE)=" ",0,VLOOKUP($B20,'JR B-Breakaway'!$B$5:$AI$24,6,FALSE)),0)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IFERROR(IF(VLOOKUP($B20,'JR-Team Roping-Header'!$B$5:$N$24,4,FALSE)=" ",0,VLOOKUP($B20,'JR-Team Roping-Header'!$B$5:$N$24,4,FALSE)),0)+IFERROR(IF(VLOOKUP($B20,'JR-Team Roping-Heeler'!$B$5:$N$24,4,FALSE)=" ",0,VLOOKUP($B20,'JR-Team Roping-Heeler'!$B$5:$N$24,4,FALSE)),0)+IFERROR(IF(VLOOKUP($B20,'JR B-Steer Riding'!$B$5:$AI$24,10,FALSE)=" ",0,VLOOKUP($B20,'JR B-Steer Riding'!$B$5:$AI$24,10,FALSE)),0)+IFERROR(IF(VLOOKUP($B20,'JR B-Goats'!$B$5:$AI$24,10,FALSE)=" ",0,VLOOKUP($B20,'JR B-Goats'!$B$5:$AI$24,10,FALSE)),0)+IFERROR(IF(VLOOKUP($B20,'JR B-Calf Tying'!$B$5:$AI$24,10,FALSE)=" ",0,VLOOKUP($B20,'JR B-Calf Tying'!$B$5:$AI$24,10,FALSE)),0)+IFERROR(IF(VLOOKUP($B20,'JR B-Breakaway'!$B$5:$AI$24,10,FALSE)=" ",0,VLOOKUP($B20,'JR B-Breakaway'!$B$5:$AI$24,10,FALSE)),0)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IFERROR(IF(VLOOKUP($B20,'JR-Team Roping-Header'!$B$5:$N$24,5,FALSE)=" ",0,VLOOKUP($B20,'JR-Team Roping-Header'!$B$5:$N$24,5,FALSE)),0)+IFERROR(IF(VLOOKUP($B20,'JR-Team Roping-Heeler'!$B$5:$N$24,5,FALSE)=" ",0,VLOOKUP($B20,'JR-Team Roping-Heeler'!$B$5:$N$24,5,FALSE)),0)+IFERROR(IF(VLOOKUP($B20,'JR B-Steer Riding'!$B$5:$AI$24,14,FALSE)=" ",0,VLOOKUP($B20,'JR B-Steer Riding'!$B$5:$AI$24,14,FALSE)),0)+IFERROR(IF(VLOOKUP($B20,'JR B-Goats'!$B$5:$AI$24,14,FALSE)=" ",0,VLOOKUP($B20,'JR B-Goats'!$B$5:$AI$24,14,FALSE)),0)+IFERROR(IF(VLOOKUP($B20,'JR B-Calf Tying'!$B$5:$AI$24,14,FALSE)=" ",0,VLOOKUP($B20,'JR B-Calf Tying'!$B$5:$AI$24,14,FALSE)),0)+IFERROR(IF(VLOOKUP($B20,'JR B-Breakaway'!$B$5:$AI$24,14,FALSE)=" ",0,VLOOKUP($B20,'JR B-Breakaway'!$B$5:$AI$24,14,FALSE)),0)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IFERROR(IF(VLOOKUP($B20,'JR-Team Roping-Header'!$B$5:$N$24,6,FALSE)=" ",0,VLOOKUP($B20,'JR-Team Roping-Header'!$B$5:$N$24,6,FALSE)),0)+IFERROR(IF(VLOOKUP($B20,'JR-Team Roping-Heeler'!$B$5:$N$24,6,FALSE)=" ",0,VLOOKUP($B20,'JR-Team Roping-Heeler'!$B$5:$N$24,6,FALSE)),0)+IFERROR(IF(VLOOKUP($B20,'JR B-Steer Riding'!$B$5:$AI$24,18,FALSE)=" ",0,VLOOKUP($B20,'JR B-Steer Riding'!$B$5:$AI$24,18,FALSE)),0)+IFERROR(IF(VLOOKUP($B20,'JR B-Goats'!$B$5:$AI$24,18,FALSE)=" ",0,VLOOKUP($B20,'JR B-Goats'!$B$5:$AI$24,18,FALSE)),0)+IFERROR(IF(VLOOKUP($B20,'JR B-Calf Tying'!$B$5:$AI$24,18,FALSE)=" ",0,VLOOKUP($B20,'JR B-Calf Tying'!$B$5:$AI$24,18,FALSE)),0)+IFERROR(IF(VLOOKUP($B20,'JR B-Breakaway'!$B$5:$AI$24,18,FALSE)=" ",0,VLOOKUP($B20,'JR B-Breakaway'!$B$5:$AI$24,18,FALSE)),0)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IFERROR(IF(VLOOKUP($B20,'JR-Team Roping-Header'!$B$5:$N$24,7,FALSE)=" ",0,VLOOKUP($B20,'JR-Team Roping-Header'!$B$5:$N$24,7,FALSE)),0)+IFERROR(IF(VLOOKUP($B20,'JR-Team Roping-Heeler'!$B$5:$N$24,7,FALSE)=" ",0,VLOOKUP($B20,'JR-Team Roping-Heeler'!$B$5:$N$24,7,FALSE)),0)+IFERROR(IF(VLOOKUP($B20,'JR B-Steer Riding'!$B$5:$AI$24,22,FALSE)=" ",0,VLOOKUP($B20,'JR B-Steer Riding'!$B$5:$AI$24,22,FALSE)),0)+IFERROR(IF(VLOOKUP($B20,'JR B-Goats'!$B$5:$AI$24,22,FALSE)=" ",0,VLOOKUP($B20,'JR B-Goats'!$B$5:$AI$24,22,FALSE)),0)+IFERROR(IF(VLOOKUP($B20,'JR B-Calf Tying'!$B$5:$AI$24,22,FALSE)=" ",0,VLOOKUP($B20,'JR B-Calf Tying'!$B$5:$AI$24,22,FALSE)),0)+IFERROR(IF(VLOOKUP($B20,'JR B-Breakaway'!$B$5:$AI$24,22,FALSE)=" ",0,VLOOKUP($B20,'JR B-Breakaway'!$B$5:$AI$24,22,FALSE)),0)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IFERROR(IF(VLOOKUP($B20,'JR-Team Roping-Header'!$B$5:$N$24,8,FALSE)=" ",0,VLOOKUP($B20,'JR-Team Roping-Header'!$B$5:$N$24,8,FALSE)),0)+IFERROR(IF(VLOOKUP($B20,'JR-Team Roping-Heeler'!$B$5:$N$24,8,FALSE)=" ",0,VLOOKUP($B20,'JR-Team Roping-Heeler'!$B$5:$N$24,8,FALSE)),0)+IFERROR(IF(VLOOKUP($B20,'JR B-Steer Riding'!$B$5:$AI$24,26,FALSE)=" ",0,VLOOKUP($B20,'JR B-Steer Riding'!$B$5:$AI$24,26,FALSE)),0)+IFERROR(IF(VLOOKUP($B20,'JR B-Goats'!$B$5:$AI$24,26,FALSE)=" ",0,VLOOKUP($B20,'JR B-Goats'!$B$5:$AI$24,26,FALSE)),0)+IFERROR(IF(VLOOKUP($B20,'JR B-Calf Tying'!$B$5:$AI$24,26,FALSE)=" ",0,VLOOKUP($B20,'JR B-Calf Tying'!$B$5:$AI$24,26,FALSE)),0)+IFERROR(IF(VLOOKUP($B20,'JR B-Breakaway'!$B$5:$AI$24,26,FALSE)=" ",0,VLOOKUP($B20,'JR B-Breakaway'!$B$5:$AI$24,26,FALSE)),0)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IFERROR(IF(VLOOKUP($B20,'JR-Team Roping-Header'!$B$5:$N$24,9,FALSE)=" ",0,VLOOKUP($B20,'JR-Team Roping-Header'!$B$5:$N$24,9,FALSE)),0)+IFERROR(IF(VLOOKUP($B20,'JR-Team Roping-Heeler'!$B$5:$N$24,9,FALSE)=" ",0,VLOOKUP($B20,'JR-Team Roping-Heeler'!$B$5:$N$24,9,FALSE)),0)+IFERROR(IF(VLOOKUP($B20,'JR B-Steer Riding'!$B$5:$AI$24,30,FALSE)=" ",0,VLOOKUP($B20,'JR B-Steer Riding'!$B$5:$AI$24,30,FALSE)),0)+IFERROR(IF(VLOOKUP($B20,'JR B-Goats'!$B$5:$AI$24,30,FALSE)=" ",0,VLOOKUP($B20,'JR B-Goats'!$B$5:$AI$24,30,FALSE)),0)+IFERROR(IF(VLOOKUP($B20,'JR B-Calf Tying'!$B$5:$AI$24,30,FALSE)=" ",0,VLOOKUP($B20,'JR B-Calf Tying'!$B$5:$AI$24,30,FALSE)),0)+IFERROR(IF(VLOOKUP($B20,'JR B-Breakaway'!$B$5:$AI$24,30,FALSE)=" ",0,VLOOKUP($B20,'JR B-Breakaway'!$B$5:$AI$24,30,FALSE)),0)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IFERROR(IF(VLOOKUP($B20,'JR-Team Roping-Header'!$B$5:$N$24,10,FALSE)=" ",0,VLOOKUP($B20,'JR-Team Roping-Header'!$B$5:$N$24,10,FALSE)),0)+IFERROR(IF(VLOOKUP($B20,'JR-Team Roping-Heeler'!$B$5:$N$24,10,FALSE)=" ",0,VLOOKUP($B20,'JR-Team Roping-Heeler'!$B$5:$N$24,10,FALSE)),0)+IFERROR(IF(VLOOKUP($B20,'JR B-Steer Riding'!$B$5:$AI$24,34,FALSE)=" ",0,VLOOKUP($B20,'JR B-Steer Riding'!$B$5:$AI$24,34,FALSE)),0)+IFERROR(IF(VLOOKUP($B20,'JR B-Goats'!$B$5:$AI$24,34,FALSE)=" ",0,VLOOKUP($B20,'JR B-Goats'!$B$5:$AI$24,34,FALSE)),0)+IFERROR(IF(VLOOKUP($B20,'JR B-Calf Tying'!$B$5:$AI$24,34,FALSE)=" ",0,VLOOKUP($B20,'JR B-Calf Tying'!$B$5:$AI$24,34,FALSE)),0)+IFERROR(IF(VLOOKUP($B20,'JR B-Breakaway'!$B$5:$AI$24,34,FALSE)=" ",0,VLOOKUP($B20,'JR B-Breakaway'!$B$5:$AI$24,34,FALSE)),0)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25">
      <c r="B21" s="141"/>
      <c r="C21" s="120">
        <f>IFERROR(IF(VLOOKUP($B21,'JR-Team Roping-Header'!$B$5:$N$24,3,FALSE)=" ",0,VLOOKUP($B21,'JR-Team Roping-Header'!$B$5:$N$24,3,FALSE)),0)+IFERROR(IF(VLOOKUP($B21,'JR-Team Roping-Heeler'!$B$5:$N$24,3,FALSE)=" ",0,VLOOKUP($B21,'JR-Team Roping-Heeler'!$B$5:$N$24,3,FALSE)),0)+IFERROR(IF(VLOOKUP($B21,'JR B-Steer Riding'!$B$5:$AI$24,6,FALSE)=" ",0,VLOOKUP($B21,'JR B-Steer Riding'!$B$5:$AI$24,6,FALSE)),0)+IFERROR(IF(VLOOKUP($B21,'JR B-Goats'!$B$5:$AI$24,6,FALSE)=" ",0,VLOOKUP($B21,'JR B-Goats'!$B$5:$AI$24,6,FALSE)),0)+IFERROR(IF(VLOOKUP($B21,'JR B-Calf Tying'!$B$5:$AI$24,6,FALSE)=" ",0,VLOOKUP($B21,'JR B-Calf Tying'!$B$5:$AI$24,6,FALSE)),0)+IFERROR(IF(VLOOKUP($B21,'JR B-Breakaway'!$B$5:$AI$24,6,FALSE)=" ",0,VLOOKUP($B21,'JR B-Breakaway'!$B$5:$AI$24,6,FALSE)),0)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IFERROR(IF(VLOOKUP($B21,'JR-Team Roping-Header'!$B$5:$N$24,4,FALSE)=" ",0,VLOOKUP($B21,'JR-Team Roping-Header'!$B$5:$N$24,4,FALSE)),0)+IFERROR(IF(VLOOKUP($B21,'JR-Team Roping-Heeler'!$B$5:$N$24,4,FALSE)=" ",0,VLOOKUP($B21,'JR-Team Roping-Heeler'!$B$5:$N$24,4,FALSE)),0)+IFERROR(IF(VLOOKUP($B21,'JR B-Steer Riding'!$B$5:$AI$24,10,FALSE)=" ",0,VLOOKUP($B21,'JR B-Steer Riding'!$B$5:$AI$24,10,FALSE)),0)+IFERROR(IF(VLOOKUP($B21,'JR B-Goats'!$B$5:$AI$24,10,FALSE)=" ",0,VLOOKUP($B21,'JR B-Goats'!$B$5:$AI$24,10,FALSE)),0)+IFERROR(IF(VLOOKUP($B21,'JR B-Calf Tying'!$B$5:$AI$24,10,FALSE)=" ",0,VLOOKUP($B21,'JR B-Calf Tying'!$B$5:$AI$24,10,FALSE)),0)+IFERROR(IF(VLOOKUP($B21,'JR B-Breakaway'!$B$5:$AI$24,10,FALSE)=" ",0,VLOOKUP($B21,'JR B-Breakaway'!$B$5:$AI$24,10,FALSE)),0)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IFERROR(IF(VLOOKUP($B21,'JR-Team Roping-Header'!$B$5:$N$24,5,FALSE)=" ",0,VLOOKUP($B21,'JR-Team Roping-Header'!$B$5:$N$24,5,FALSE)),0)+IFERROR(IF(VLOOKUP($B21,'JR-Team Roping-Heeler'!$B$5:$N$24,5,FALSE)=" ",0,VLOOKUP($B21,'JR-Team Roping-Heeler'!$B$5:$N$24,5,FALSE)),0)+IFERROR(IF(VLOOKUP($B21,'JR B-Steer Riding'!$B$5:$AI$24,14,FALSE)=" ",0,VLOOKUP($B21,'JR B-Steer Riding'!$B$5:$AI$24,14,FALSE)),0)+IFERROR(IF(VLOOKUP($B21,'JR B-Goats'!$B$5:$AI$24,14,FALSE)=" ",0,VLOOKUP($B21,'JR B-Goats'!$B$5:$AI$24,14,FALSE)),0)+IFERROR(IF(VLOOKUP($B21,'JR B-Calf Tying'!$B$5:$AI$24,14,FALSE)=" ",0,VLOOKUP($B21,'JR B-Calf Tying'!$B$5:$AI$24,14,FALSE)),0)+IFERROR(IF(VLOOKUP($B21,'JR B-Breakaway'!$B$5:$AI$24,14,FALSE)=" ",0,VLOOKUP($B21,'JR B-Breakaway'!$B$5:$AI$24,14,FALSE)),0)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IFERROR(IF(VLOOKUP($B21,'JR-Team Roping-Header'!$B$5:$N$24,6,FALSE)=" ",0,VLOOKUP($B21,'JR-Team Roping-Header'!$B$5:$N$24,6,FALSE)),0)+IFERROR(IF(VLOOKUP($B21,'JR-Team Roping-Heeler'!$B$5:$N$24,6,FALSE)=" ",0,VLOOKUP($B21,'JR-Team Roping-Heeler'!$B$5:$N$24,6,FALSE)),0)+IFERROR(IF(VLOOKUP($B21,'JR B-Steer Riding'!$B$5:$AI$24,18,FALSE)=" ",0,VLOOKUP($B21,'JR B-Steer Riding'!$B$5:$AI$24,18,FALSE)),0)+IFERROR(IF(VLOOKUP($B21,'JR B-Goats'!$B$5:$AI$24,18,FALSE)=" ",0,VLOOKUP($B21,'JR B-Goats'!$B$5:$AI$24,18,FALSE)),0)+IFERROR(IF(VLOOKUP($B21,'JR B-Calf Tying'!$B$5:$AI$24,18,FALSE)=" ",0,VLOOKUP($B21,'JR B-Calf Tying'!$B$5:$AI$24,18,FALSE)),0)+IFERROR(IF(VLOOKUP($B21,'JR B-Breakaway'!$B$5:$AI$24,18,FALSE)=" ",0,VLOOKUP($B21,'JR B-Breakaway'!$B$5:$AI$24,18,FALSE)),0)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IFERROR(IF(VLOOKUP($B21,'JR-Team Roping-Header'!$B$5:$N$24,7,FALSE)=" ",0,VLOOKUP($B21,'JR-Team Roping-Header'!$B$5:$N$24,7,FALSE)),0)+IFERROR(IF(VLOOKUP($B21,'JR-Team Roping-Heeler'!$B$5:$N$24,7,FALSE)=" ",0,VLOOKUP($B21,'JR-Team Roping-Heeler'!$B$5:$N$24,7,FALSE)),0)+IFERROR(IF(VLOOKUP($B21,'JR B-Steer Riding'!$B$5:$AI$24,22,FALSE)=" ",0,VLOOKUP($B21,'JR B-Steer Riding'!$B$5:$AI$24,22,FALSE)),0)+IFERROR(IF(VLOOKUP($B21,'JR B-Goats'!$B$5:$AI$24,22,FALSE)=" ",0,VLOOKUP($B21,'JR B-Goats'!$B$5:$AI$24,22,FALSE)),0)+IFERROR(IF(VLOOKUP($B21,'JR B-Calf Tying'!$B$5:$AI$24,22,FALSE)=" ",0,VLOOKUP($B21,'JR B-Calf Tying'!$B$5:$AI$24,22,FALSE)),0)+IFERROR(IF(VLOOKUP($B21,'JR B-Breakaway'!$B$5:$AI$24,22,FALSE)=" ",0,VLOOKUP($B21,'JR B-Breakaway'!$B$5:$AI$24,22,FALSE)),0)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IFERROR(IF(VLOOKUP($B21,'JR-Team Roping-Header'!$B$5:$N$24,8,FALSE)=" ",0,VLOOKUP($B21,'JR-Team Roping-Header'!$B$5:$N$24,8,FALSE)),0)+IFERROR(IF(VLOOKUP($B21,'JR-Team Roping-Heeler'!$B$5:$N$24,8,FALSE)=" ",0,VLOOKUP($B21,'JR-Team Roping-Heeler'!$B$5:$N$24,8,FALSE)),0)+IFERROR(IF(VLOOKUP($B21,'JR B-Steer Riding'!$B$5:$AI$24,26,FALSE)=" ",0,VLOOKUP($B21,'JR B-Steer Riding'!$B$5:$AI$24,26,FALSE)),0)+IFERROR(IF(VLOOKUP($B21,'JR B-Goats'!$B$5:$AI$24,26,FALSE)=" ",0,VLOOKUP($B21,'JR B-Goats'!$B$5:$AI$24,26,FALSE)),0)+IFERROR(IF(VLOOKUP($B21,'JR B-Calf Tying'!$B$5:$AI$24,26,FALSE)=" ",0,VLOOKUP($B21,'JR B-Calf Tying'!$B$5:$AI$24,26,FALSE)),0)+IFERROR(IF(VLOOKUP($B21,'JR B-Breakaway'!$B$5:$AI$24,26,FALSE)=" ",0,VLOOKUP($B21,'JR B-Breakaway'!$B$5:$AI$24,26,FALSE)),0)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IFERROR(IF(VLOOKUP($B21,'JR-Team Roping-Header'!$B$5:$N$24,9,FALSE)=" ",0,VLOOKUP($B21,'JR-Team Roping-Header'!$B$5:$N$24,9,FALSE)),0)+IFERROR(IF(VLOOKUP($B21,'JR-Team Roping-Heeler'!$B$5:$N$24,9,FALSE)=" ",0,VLOOKUP($B21,'JR-Team Roping-Heeler'!$B$5:$N$24,9,FALSE)),0)+IFERROR(IF(VLOOKUP($B21,'JR B-Steer Riding'!$B$5:$AI$24,30,FALSE)=" ",0,VLOOKUP($B21,'JR B-Steer Riding'!$B$5:$AI$24,30,FALSE)),0)+IFERROR(IF(VLOOKUP($B21,'JR B-Goats'!$B$5:$AI$24,30,FALSE)=" ",0,VLOOKUP($B21,'JR B-Goats'!$B$5:$AI$24,30,FALSE)),0)+IFERROR(IF(VLOOKUP($B21,'JR B-Calf Tying'!$B$5:$AI$24,30,FALSE)=" ",0,VLOOKUP($B21,'JR B-Calf Tying'!$B$5:$AI$24,30,FALSE)),0)+IFERROR(IF(VLOOKUP($B21,'JR B-Breakaway'!$B$5:$AI$24,30,FALSE)=" ",0,VLOOKUP($B21,'JR B-Breakaway'!$B$5:$AI$24,30,FALSE)),0)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IFERROR(IF(VLOOKUP($B21,'JR-Team Roping-Header'!$B$5:$N$24,10,FALSE)=" ",0,VLOOKUP($B21,'JR-Team Roping-Header'!$B$5:$N$24,10,FALSE)),0)+IFERROR(IF(VLOOKUP($B21,'JR-Team Roping-Heeler'!$B$5:$N$24,10,FALSE)=" ",0,VLOOKUP($B21,'JR-Team Roping-Heeler'!$B$5:$N$24,10,FALSE)),0)+IFERROR(IF(VLOOKUP($B21,'JR B-Steer Riding'!$B$5:$AI$24,34,FALSE)=" ",0,VLOOKUP($B21,'JR B-Steer Riding'!$B$5:$AI$24,34,FALSE)),0)+IFERROR(IF(VLOOKUP($B21,'JR B-Goats'!$B$5:$AI$24,34,FALSE)=" ",0,VLOOKUP($B21,'JR B-Goats'!$B$5:$AI$24,34,FALSE)),0)+IFERROR(IF(VLOOKUP($B21,'JR B-Calf Tying'!$B$5:$AI$24,34,FALSE)=" ",0,VLOOKUP($B21,'JR B-Calf Tying'!$B$5:$AI$24,34,FALSE)),0)+IFERROR(IF(VLOOKUP($B21,'JR B-Breakaway'!$B$5:$AI$24,34,FALSE)=" ",0,VLOOKUP($B21,'JR B-Breakaway'!$B$5:$AI$24,34,FALSE)),0)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25">
      <c r="B22" s="141"/>
      <c r="C22" s="120">
        <f>IFERROR(IF(VLOOKUP($B22,'JR-Team Roping-Header'!$B$5:$N$24,3,FALSE)=" ",0,VLOOKUP($B22,'JR-Team Roping-Header'!$B$5:$N$24,3,FALSE)),0)+IFERROR(IF(VLOOKUP($B22,'JR-Team Roping-Heeler'!$B$5:$N$24,3,FALSE)=" ",0,VLOOKUP($B22,'JR-Team Roping-Heeler'!$B$5:$N$24,3,FALSE)),0)+IFERROR(IF(VLOOKUP($B22,'JR B-Steer Riding'!$B$5:$AI$24,6,FALSE)=" ",0,VLOOKUP($B22,'JR B-Steer Riding'!$B$5:$AI$24,6,FALSE)),0)+IFERROR(IF(VLOOKUP($B22,'JR B-Goats'!$B$5:$AI$24,6,FALSE)=" ",0,VLOOKUP($B22,'JR B-Goats'!$B$5:$AI$24,6,FALSE)),0)+IFERROR(IF(VLOOKUP($B22,'JR B-Calf Tying'!$B$5:$AI$24,6,FALSE)=" ",0,VLOOKUP($B22,'JR B-Calf Tying'!$B$5:$AI$24,6,FALSE)),0)+IFERROR(IF(VLOOKUP($B22,'JR B-Breakaway'!$B$5:$AI$24,6,FALSE)=" ",0,VLOOKUP($B22,'JR B-Breakaway'!$B$5:$AI$24,6,FALSE)),0)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IFERROR(IF(VLOOKUP($B22,'JR-Team Roping-Header'!$B$5:$N$24,4,FALSE)=" ",0,VLOOKUP($B22,'JR-Team Roping-Header'!$B$5:$N$24,4,FALSE)),0)+IFERROR(IF(VLOOKUP($B22,'JR-Team Roping-Heeler'!$B$5:$N$24,4,FALSE)=" ",0,VLOOKUP($B22,'JR-Team Roping-Heeler'!$B$5:$N$24,4,FALSE)),0)+IFERROR(IF(VLOOKUP($B22,'JR B-Steer Riding'!$B$5:$AI$24,10,FALSE)=" ",0,VLOOKUP($B22,'JR B-Steer Riding'!$B$5:$AI$24,10,FALSE)),0)+IFERROR(IF(VLOOKUP($B22,'JR B-Goats'!$B$5:$AI$24,10,FALSE)=" ",0,VLOOKUP($B22,'JR B-Goats'!$B$5:$AI$24,10,FALSE)),0)+IFERROR(IF(VLOOKUP($B22,'JR B-Calf Tying'!$B$5:$AI$24,10,FALSE)=" ",0,VLOOKUP($B22,'JR B-Calf Tying'!$B$5:$AI$24,10,FALSE)),0)+IFERROR(IF(VLOOKUP($B22,'JR B-Breakaway'!$B$5:$AI$24,10,FALSE)=" ",0,VLOOKUP($B22,'JR B-Breakaway'!$B$5:$AI$24,10,FALSE)),0)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IFERROR(IF(VLOOKUP($B22,'JR-Team Roping-Header'!$B$5:$N$24,5,FALSE)=" ",0,VLOOKUP($B22,'JR-Team Roping-Header'!$B$5:$N$24,5,FALSE)),0)+IFERROR(IF(VLOOKUP($B22,'JR-Team Roping-Heeler'!$B$5:$N$24,5,FALSE)=" ",0,VLOOKUP($B22,'JR-Team Roping-Heeler'!$B$5:$N$24,5,FALSE)),0)+IFERROR(IF(VLOOKUP($B22,'JR B-Steer Riding'!$B$5:$AI$24,14,FALSE)=" ",0,VLOOKUP($B22,'JR B-Steer Riding'!$B$5:$AI$24,14,FALSE)),0)+IFERROR(IF(VLOOKUP($B22,'JR B-Goats'!$B$5:$AI$24,14,FALSE)=" ",0,VLOOKUP($B22,'JR B-Goats'!$B$5:$AI$24,14,FALSE)),0)+IFERROR(IF(VLOOKUP($B22,'JR B-Calf Tying'!$B$5:$AI$24,14,FALSE)=" ",0,VLOOKUP($B22,'JR B-Calf Tying'!$B$5:$AI$24,14,FALSE)),0)+IFERROR(IF(VLOOKUP($B22,'JR B-Breakaway'!$B$5:$AI$24,14,FALSE)=" ",0,VLOOKUP($B22,'JR B-Breakaway'!$B$5:$AI$24,14,FALSE)),0)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IFERROR(IF(VLOOKUP($B22,'JR-Team Roping-Header'!$B$5:$N$24,6,FALSE)=" ",0,VLOOKUP($B22,'JR-Team Roping-Header'!$B$5:$N$24,6,FALSE)),0)+IFERROR(IF(VLOOKUP($B22,'JR-Team Roping-Heeler'!$B$5:$N$24,6,FALSE)=" ",0,VLOOKUP($B22,'JR-Team Roping-Heeler'!$B$5:$N$24,6,FALSE)),0)+IFERROR(IF(VLOOKUP($B22,'JR B-Steer Riding'!$B$5:$AI$24,18,FALSE)=" ",0,VLOOKUP($B22,'JR B-Steer Riding'!$B$5:$AI$24,18,FALSE)),0)+IFERROR(IF(VLOOKUP($B22,'JR B-Goats'!$B$5:$AI$24,18,FALSE)=" ",0,VLOOKUP($B22,'JR B-Goats'!$B$5:$AI$24,18,FALSE)),0)+IFERROR(IF(VLOOKUP($B22,'JR B-Calf Tying'!$B$5:$AI$24,18,FALSE)=" ",0,VLOOKUP($B22,'JR B-Calf Tying'!$B$5:$AI$24,18,FALSE)),0)+IFERROR(IF(VLOOKUP($B22,'JR B-Breakaway'!$B$5:$AI$24,18,FALSE)=" ",0,VLOOKUP($B22,'JR B-Breakaway'!$B$5:$AI$24,18,FALSE)),0)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IFERROR(IF(VLOOKUP($B22,'JR-Team Roping-Header'!$B$5:$N$24,7,FALSE)=" ",0,VLOOKUP($B22,'JR-Team Roping-Header'!$B$5:$N$24,7,FALSE)),0)+IFERROR(IF(VLOOKUP($B22,'JR-Team Roping-Heeler'!$B$5:$N$24,7,FALSE)=" ",0,VLOOKUP($B22,'JR-Team Roping-Heeler'!$B$5:$N$24,7,FALSE)),0)+IFERROR(IF(VLOOKUP($B22,'JR B-Steer Riding'!$B$5:$AI$24,22,FALSE)=" ",0,VLOOKUP($B22,'JR B-Steer Riding'!$B$5:$AI$24,22,FALSE)),0)+IFERROR(IF(VLOOKUP($B22,'JR B-Goats'!$B$5:$AI$24,22,FALSE)=" ",0,VLOOKUP($B22,'JR B-Goats'!$B$5:$AI$24,22,FALSE)),0)+IFERROR(IF(VLOOKUP($B22,'JR B-Calf Tying'!$B$5:$AI$24,22,FALSE)=" ",0,VLOOKUP($B22,'JR B-Calf Tying'!$B$5:$AI$24,22,FALSE)),0)+IFERROR(IF(VLOOKUP($B22,'JR B-Breakaway'!$B$5:$AI$24,22,FALSE)=" ",0,VLOOKUP($B22,'JR B-Breakaway'!$B$5:$AI$24,22,FALSE)),0)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IFERROR(IF(VLOOKUP($B22,'JR-Team Roping-Header'!$B$5:$N$24,8,FALSE)=" ",0,VLOOKUP($B22,'JR-Team Roping-Header'!$B$5:$N$24,8,FALSE)),0)+IFERROR(IF(VLOOKUP($B22,'JR-Team Roping-Heeler'!$B$5:$N$24,8,FALSE)=" ",0,VLOOKUP($B22,'JR-Team Roping-Heeler'!$B$5:$N$24,8,FALSE)),0)+IFERROR(IF(VLOOKUP($B22,'JR B-Steer Riding'!$B$5:$AI$24,26,FALSE)=" ",0,VLOOKUP($B22,'JR B-Steer Riding'!$B$5:$AI$24,26,FALSE)),0)+IFERROR(IF(VLOOKUP($B22,'JR B-Goats'!$B$5:$AI$24,26,FALSE)=" ",0,VLOOKUP($B22,'JR B-Goats'!$B$5:$AI$24,26,FALSE)),0)+IFERROR(IF(VLOOKUP($B22,'JR B-Calf Tying'!$B$5:$AI$24,26,FALSE)=" ",0,VLOOKUP($B22,'JR B-Calf Tying'!$B$5:$AI$24,26,FALSE)),0)+IFERROR(IF(VLOOKUP($B22,'JR B-Breakaway'!$B$5:$AI$24,26,FALSE)=" ",0,VLOOKUP($B22,'JR B-Breakaway'!$B$5:$AI$24,26,FALSE)),0)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IFERROR(IF(VLOOKUP($B22,'JR-Team Roping-Header'!$B$5:$N$24,9,FALSE)=" ",0,VLOOKUP($B22,'JR-Team Roping-Header'!$B$5:$N$24,9,FALSE)),0)+IFERROR(IF(VLOOKUP($B22,'JR-Team Roping-Heeler'!$B$5:$N$24,9,FALSE)=" ",0,VLOOKUP($B22,'JR-Team Roping-Heeler'!$B$5:$N$24,9,FALSE)),0)+IFERROR(IF(VLOOKUP($B22,'JR B-Steer Riding'!$B$5:$AI$24,30,FALSE)=" ",0,VLOOKUP($B22,'JR B-Steer Riding'!$B$5:$AI$24,30,FALSE)),0)+IFERROR(IF(VLOOKUP($B22,'JR B-Goats'!$B$5:$AI$24,30,FALSE)=" ",0,VLOOKUP($B22,'JR B-Goats'!$B$5:$AI$24,30,FALSE)),0)+IFERROR(IF(VLOOKUP($B22,'JR B-Calf Tying'!$B$5:$AI$24,30,FALSE)=" ",0,VLOOKUP($B22,'JR B-Calf Tying'!$B$5:$AI$24,30,FALSE)),0)+IFERROR(IF(VLOOKUP($B22,'JR B-Breakaway'!$B$5:$AI$24,30,FALSE)=" ",0,VLOOKUP($B22,'JR B-Breakaway'!$B$5:$AI$24,30,FALSE)),0)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IFERROR(IF(VLOOKUP($B22,'JR-Team Roping-Header'!$B$5:$N$24,10,FALSE)=" ",0,VLOOKUP($B22,'JR-Team Roping-Header'!$B$5:$N$24,10,FALSE)),0)+IFERROR(IF(VLOOKUP($B22,'JR-Team Roping-Heeler'!$B$5:$N$24,10,FALSE)=" ",0,VLOOKUP($B22,'JR-Team Roping-Heeler'!$B$5:$N$24,10,FALSE)),0)+IFERROR(IF(VLOOKUP($B22,'JR B-Steer Riding'!$B$5:$AI$24,34,FALSE)=" ",0,VLOOKUP($B22,'JR B-Steer Riding'!$B$5:$AI$24,34,FALSE)),0)+IFERROR(IF(VLOOKUP($B22,'JR B-Goats'!$B$5:$AI$24,34,FALSE)=" ",0,VLOOKUP($B22,'JR B-Goats'!$B$5:$AI$24,34,FALSE)),0)+IFERROR(IF(VLOOKUP($B22,'JR B-Calf Tying'!$B$5:$AI$24,34,FALSE)=" ",0,VLOOKUP($B22,'JR B-Calf Tying'!$B$5:$AI$24,34,FALSE)),0)+IFERROR(IF(VLOOKUP($B22,'JR B-Breakaway'!$B$5:$AI$24,34,FALSE)=" ",0,VLOOKUP($B22,'JR B-Breakaway'!$B$5:$AI$24,34,FALSE)),0)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25">
      <c r="B23" s="141"/>
      <c r="C23" s="120">
        <f>IFERROR(IF(VLOOKUP($B23,'JR-Team Roping-Header'!$B$5:$N$24,3,FALSE)=" ",0,VLOOKUP($B23,'JR-Team Roping-Header'!$B$5:$N$24,3,FALSE)),0)+IFERROR(IF(VLOOKUP($B23,'JR-Team Roping-Heeler'!$B$5:$N$24,3,FALSE)=" ",0,VLOOKUP($B23,'JR-Team Roping-Heeler'!$B$5:$N$24,3,FALSE)),0)+IFERROR(IF(VLOOKUP($B23,'JR B-Steer Riding'!$B$5:$AI$24,6,FALSE)=" ",0,VLOOKUP($B23,'JR B-Steer Riding'!$B$5:$AI$24,6,FALSE)),0)+IFERROR(IF(VLOOKUP($B23,'JR B-Goats'!$B$5:$AI$24,6,FALSE)=" ",0,VLOOKUP($B23,'JR B-Goats'!$B$5:$AI$24,6,FALSE)),0)+IFERROR(IF(VLOOKUP($B23,'JR B-Calf Tying'!$B$5:$AI$24,6,FALSE)=" ",0,VLOOKUP($B23,'JR B-Calf Tying'!$B$5:$AI$24,6,FALSE)),0)+IFERROR(IF(VLOOKUP($B23,'JR B-Breakaway'!$B$5:$AI$24,6,FALSE)=" ",0,VLOOKUP($B23,'JR B-Breakaway'!$B$5:$AI$24,6,FALSE)),0)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IFERROR(IF(VLOOKUP($B23,'JR-Team Roping-Header'!$B$5:$N$24,4,FALSE)=" ",0,VLOOKUP($B23,'JR-Team Roping-Header'!$B$5:$N$24,4,FALSE)),0)+IFERROR(IF(VLOOKUP($B23,'JR-Team Roping-Heeler'!$B$5:$N$24,4,FALSE)=" ",0,VLOOKUP($B23,'JR-Team Roping-Heeler'!$B$5:$N$24,4,FALSE)),0)+IFERROR(IF(VLOOKUP($B23,'JR B-Steer Riding'!$B$5:$AI$24,10,FALSE)=" ",0,VLOOKUP($B23,'JR B-Steer Riding'!$B$5:$AI$24,10,FALSE)),0)+IFERROR(IF(VLOOKUP($B23,'JR B-Goats'!$B$5:$AI$24,10,FALSE)=" ",0,VLOOKUP($B23,'JR B-Goats'!$B$5:$AI$24,10,FALSE)),0)+IFERROR(IF(VLOOKUP($B23,'JR B-Calf Tying'!$B$5:$AI$24,10,FALSE)=" ",0,VLOOKUP($B23,'JR B-Calf Tying'!$B$5:$AI$24,10,FALSE)),0)+IFERROR(IF(VLOOKUP($B23,'JR B-Breakaway'!$B$5:$AI$24,10,FALSE)=" ",0,VLOOKUP($B23,'JR B-Breakaway'!$B$5:$AI$24,10,FALSE)),0)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IFERROR(IF(VLOOKUP($B23,'JR-Team Roping-Header'!$B$5:$N$24,5,FALSE)=" ",0,VLOOKUP($B23,'JR-Team Roping-Header'!$B$5:$N$24,5,FALSE)),0)+IFERROR(IF(VLOOKUP($B23,'JR-Team Roping-Heeler'!$B$5:$N$24,5,FALSE)=" ",0,VLOOKUP($B23,'JR-Team Roping-Heeler'!$B$5:$N$24,5,FALSE)),0)+IFERROR(IF(VLOOKUP($B23,'JR B-Steer Riding'!$B$5:$AI$24,14,FALSE)=" ",0,VLOOKUP($B23,'JR B-Steer Riding'!$B$5:$AI$24,14,FALSE)),0)+IFERROR(IF(VLOOKUP($B23,'JR B-Goats'!$B$5:$AI$24,14,FALSE)=" ",0,VLOOKUP($B23,'JR B-Goats'!$B$5:$AI$24,14,FALSE)),0)+IFERROR(IF(VLOOKUP($B23,'JR B-Calf Tying'!$B$5:$AI$24,14,FALSE)=" ",0,VLOOKUP($B23,'JR B-Calf Tying'!$B$5:$AI$24,14,FALSE)),0)+IFERROR(IF(VLOOKUP($B23,'JR B-Breakaway'!$B$5:$AI$24,14,FALSE)=" ",0,VLOOKUP($B23,'JR B-Breakaway'!$B$5:$AI$24,14,FALSE)),0)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IFERROR(IF(VLOOKUP($B23,'JR-Team Roping-Header'!$B$5:$N$24,6,FALSE)=" ",0,VLOOKUP($B23,'JR-Team Roping-Header'!$B$5:$N$24,6,FALSE)),0)+IFERROR(IF(VLOOKUP($B23,'JR-Team Roping-Heeler'!$B$5:$N$24,6,FALSE)=" ",0,VLOOKUP($B23,'JR-Team Roping-Heeler'!$B$5:$N$24,6,FALSE)),0)+IFERROR(IF(VLOOKUP($B23,'JR B-Steer Riding'!$B$5:$AI$24,18,FALSE)=" ",0,VLOOKUP($B23,'JR B-Steer Riding'!$B$5:$AI$24,18,FALSE)),0)+IFERROR(IF(VLOOKUP($B23,'JR B-Goats'!$B$5:$AI$24,18,FALSE)=" ",0,VLOOKUP($B23,'JR B-Goats'!$B$5:$AI$24,18,FALSE)),0)+IFERROR(IF(VLOOKUP($B23,'JR B-Calf Tying'!$B$5:$AI$24,18,FALSE)=" ",0,VLOOKUP($B23,'JR B-Calf Tying'!$B$5:$AI$24,18,FALSE)),0)+IFERROR(IF(VLOOKUP($B23,'JR B-Breakaway'!$B$5:$AI$24,18,FALSE)=" ",0,VLOOKUP($B23,'JR B-Breakaway'!$B$5:$AI$24,18,FALSE)),0)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IFERROR(IF(VLOOKUP($B23,'JR-Team Roping-Header'!$B$5:$N$24,7,FALSE)=" ",0,VLOOKUP($B23,'JR-Team Roping-Header'!$B$5:$N$24,7,FALSE)),0)+IFERROR(IF(VLOOKUP($B23,'JR-Team Roping-Heeler'!$B$5:$N$24,7,FALSE)=" ",0,VLOOKUP($B23,'JR-Team Roping-Heeler'!$B$5:$N$24,7,FALSE)),0)+IFERROR(IF(VLOOKUP($B23,'JR B-Steer Riding'!$B$5:$AI$24,22,FALSE)=" ",0,VLOOKUP($B23,'JR B-Steer Riding'!$B$5:$AI$24,22,FALSE)),0)+IFERROR(IF(VLOOKUP($B23,'JR B-Goats'!$B$5:$AI$24,22,FALSE)=" ",0,VLOOKUP($B23,'JR B-Goats'!$B$5:$AI$24,22,FALSE)),0)+IFERROR(IF(VLOOKUP($B23,'JR B-Calf Tying'!$B$5:$AI$24,22,FALSE)=" ",0,VLOOKUP($B23,'JR B-Calf Tying'!$B$5:$AI$24,22,FALSE)),0)+IFERROR(IF(VLOOKUP($B23,'JR B-Breakaway'!$B$5:$AI$24,22,FALSE)=" ",0,VLOOKUP($B23,'JR B-Breakaway'!$B$5:$AI$24,22,FALSE)),0)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IFERROR(IF(VLOOKUP($B23,'JR-Team Roping-Header'!$B$5:$N$24,8,FALSE)=" ",0,VLOOKUP($B23,'JR-Team Roping-Header'!$B$5:$N$24,8,FALSE)),0)+IFERROR(IF(VLOOKUP($B23,'JR-Team Roping-Heeler'!$B$5:$N$24,8,FALSE)=" ",0,VLOOKUP($B23,'JR-Team Roping-Heeler'!$B$5:$N$24,8,FALSE)),0)+IFERROR(IF(VLOOKUP($B23,'JR B-Steer Riding'!$B$5:$AI$24,26,FALSE)=" ",0,VLOOKUP($B23,'JR B-Steer Riding'!$B$5:$AI$24,26,FALSE)),0)+IFERROR(IF(VLOOKUP($B23,'JR B-Goats'!$B$5:$AI$24,26,FALSE)=" ",0,VLOOKUP($B23,'JR B-Goats'!$B$5:$AI$24,26,FALSE)),0)+IFERROR(IF(VLOOKUP($B23,'JR B-Calf Tying'!$B$5:$AI$24,26,FALSE)=" ",0,VLOOKUP($B23,'JR B-Calf Tying'!$B$5:$AI$24,26,FALSE)),0)+IFERROR(IF(VLOOKUP($B23,'JR B-Breakaway'!$B$5:$AI$24,26,FALSE)=" ",0,VLOOKUP($B23,'JR B-Breakaway'!$B$5:$AI$24,26,FALSE)),0)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IFERROR(IF(VLOOKUP($B23,'JR-Team Roping-Header'!$B$5:$N$24,9,FALSE)=" ",0,VLOOKUP($B23,'JR-Team Roping-Header'!$B$5:$N$24,9,FALSE)),0)+IFERROR(IF(VLOOKUP($B23,'JR-Team Roping-Heeler'!$B$5:$N$24,9,FALSE)=" ",0,VLOOKUP($B23,'JR-Team Roping-Heeler'!$B$5:$N$24,9,FALSE)),0)+IFERROR(IF(VLOOKUP($B23,'JR B-Steer Riding'!$B$5:$AI$24,30,FALSE)=" ",0,VLOOKUP($B23,'JR B-Steer Riding'!$B$5:$AI$24,30,FALSE)),0)+IFERROR(IF(VLOOKUP($B23,'JR B-Goats'!$B$5:$AI$24,30,FALSE)=" ",0,VLOOKUP($B23,'JR B-Goats'!$B$5:$AI$24,30,FALSE)),0)+IFERROR(IF(VLOOKUP($B23,'JR B-Calf Tying'!$B$5:$AI$24,30,FALSE)=" ",0,VLOOKUP($B23,'JR B-Calf Tying'!$B$5:$AI$24,30,FALSE)),0)+IFERROR(IF(VLOOKUP($B23,'JR B-Breakaway'!$B$5:$AI$24,30,FALSE)=" ",0,VLOOKUP($B23,'JR B-Breakaway'!$B$5:$AI$24,30,FALSE)),0)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IFERROR(IF(VLOOKUP($B23,'JR-Team Roping-Header'!$B$5:$N$24,10,FALSE)=" ",0,VLOOKUP($B23,'JR-Team Roping-Header'!$B$5:$N$24,10,FALSE)),0)+IFERROR(IF(VLOOKUP($B23,'JR-Team Roping-Heeler'!$B$5:$N$24,10,FALSE)=" ",0,VLOOKUP($B23,'JR-Team Roping-Heeler'!$B$5:$N$24,10,FALSE)),0)+IFERROR(IF(VLOOKUP($B23,'JR B-Steer Riding'!$B$5:$AI$24,34,FALSE)=" ",0,VLOOKUP($B23,'JR B-Steer Riding'!$B$5:$AI$24,34,FALSE)),0)+IFERROR(IF(VLOOKUP($B23,'JR B-Goats'!$B$5:$AI$24,34,FALSE)=" ",0,VLOOKUP($B23,'JR B-Goats'!$B$5:$AI$24,34,FALSE)),0)+IFERROR(IF(VLOOKUP($B23,'JR B-Calf Tying'!$B$5:$AI$24,34,FALSE)=" ",0,VLOOKUP($B23,'JR B-Calf Tying'!$B$5:$AI$24,34,FALSE)),0)+IFERROR(IF(VLOOKUP($B23,'JR B-Breakaway'!$B$5:$AI$24,34,FALSE)=" ",0,VLOOKUP($B23,'JR B-Breakaway'!$B$5:$AI$24,34,FALSE)),0)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4" thickBot="1" x14ac:dyDescent="0.3">
      <c r="B24" s="143"/>
      <c r="C24" s="123">
        <f>IFERROR(IF(VLOOKUP($B24,'JR-Team Roping-Header'!$B$5:$N$24,3,FALSE)=" ",0,VLOOKUP($B24,'JR-Team Roping-Header'!$B$5:$N$24,3,FALSE)),0)+IFERROR(IF(VLOOKUP($B24,'JR-Team Roping-Heeler'!$B$5:$N$24,3,FALSE)=" ",0,VLOOKUP($B24,'JR-Team Roping-Heeler'!$B$5:$N$24,3,FALSE)),0)+IFERROR(IF(VLOOKUP($B24,'JR B-Steer Riding'!$B$5:$AI$24,6,FALSE)=" ",0,VLOOKUP($B24,'JR B-Steer Riding'!$B$5:$AI$24,6,FALSE)),0)+IFERROR(IF(VLOOKUP($B24,'JR B-Goats'!$B$5:$AI$24,6,FALSE)=" ",0,VLOOKUP($B24,'JR B-Goats'!$B$5:$AI$24,6,FALSE)),0)+IFERROR(IF(VLOOKUP($B24,'JR B-Calf Tying'!$B$5:$AI$24,6,FALSE)=" ",0,VLOOKUP($B24,'JR B-Calf Tying'!$B$5:$AI$24,6,FALSE)),0)+IFERROR(IF(VLOOKUP($B24,'JR B-Breakaway'!$B$5:$AI$24,6,FALSE)=" ",0,VLOOKUP($B24,'JR B-Breakaway'!$B$5:$AI$24,6,FALSE)),0)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IFERROR(IF(VLOOKUP($B24,'JR-Team Roping-Header'!$B$5:$N$24,4,FALSE)=" ",0,VLOOKUP($B24,'JR-Team Roping-Header'!$B$5:$N$24,4,FALSE)),0)+IFERROR(IF(VLOOKUP($B24,'JR-Team Roping-Heeler'!$B$5:$N$24,4,FALSE)=" ",0,VLOOKUP($B24,'JR-Team Roping-Heeler'!$B$5:$N$24,4,FALSE)),0)+IFERROR(IF(VLOOKUP($B24,'JR B-Steer Riding'!$B$5:$AI$24,10,FALSE)=" ",0,VLOOKUP($B24,'JR B-Steer Riding'!$B$5:$AI$24,10,FALSE)),0)+IFERROR(IF(VLOOKUP($B24,'JR B-Goats'!$B$5:$AI$24,10,FALSE)=" ",0,VLOOKUP($B24,'JR B-Goats'!$B$5:$AI$24,10,FALSE)),0)+IFERROR(IF(VLOOKUP($B24,'JR B-Calf Tying'!$B$5:$AI$24,10,FALSE)=" ",0,VLOOKUP($B24,'JR B-Calf Tying'!$B$5:$AI$24,10,FALSE)),0)+IFERROR(IF(VLOOKUP($B24,'JR B-Breakaway'!$B$5:$AI$24,10,FALSE)=" ",0,VLOOKUP($B24,'JR B-Breakaway'!$B$5:$AI$24,10,FALSE)),0)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IFERROR(IF(VLOOKUP($B24,'JR-Team Roping-Header'!$B$5:$N$24,5,FALSE)=" ",0,VLOOKUP($B24,'JR-Team Roping-Header'!$B$5:$N$24,5,FALSE)),0)+IFERROR(IF(VLOOKUP($B24,'JR-Team Roping-Heeler'!$B$5:$N$24,5,FALSE)=" ",0,VLOOKUP($B24,'JR-Team Roping-Heeler'!$B$5:$N$24,5,FALSE)),0)+IFERROR(IF(VLOOKUP($B24,'JR B-Steer Riding'!$B$5:$AI$24,14,FALSE)=" ",0,VLOOKUP($B24,'JR B-Steer Riding'!$B$5:$AI$24,14,FALSE)),0)+IFERROR(IF(VLOOKUP($B24,'JR B-Goats'!$B$5:$AI$24,14,FALSE)=" ",0,VLOOKUP($B24,'JR B-Goats'!$B$5:$AI$24,14,FALSE)),0)+IFERROR(IF(VLOOKUP($B24,'JR B-Calf Tying'!$B$5:$AI$24,14,FALSE)=" ",0,VLOOKUP($B24,'JR B-Calf Tying'!$B$5:$AI$24,14,FALSE)),0)+IFERROR(IF(VLOOKUP($B24,'JR B-Breakaway'!$B$5:$AI$24,14,FALSE)=" ",0,VLOOKUP($B24,'JR B-Breakaway'!$B$5:$AI$24,14,FALSE)),0)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IFERROR(IF(VLOOKUP($B24,'JR-Team Roping-Header'!$B$5:$N$24,6,FALSE)=" ",0,VLOOKUP($B24,'JR-Team Roping-Header'!$B$5:$N$24,6,FALSE)),0)+IFERROR(IF(VLOOKUP($B24,'JR-Team Roping-Heeler'!$B$5:$N$24,6,FALSE)=" ",0,VLOOKUP($B24,'JR-Team Roping-Heeler'!$B$5:$N$24,6,FALSE)),0)+IFERROR(IF(VLOOKUP($B24,'JR B-Steer Riding'!$B$5:$AI$24,18,FALSE)=" ",0,VLOOKUP($B24,'JR B-Steer Riding'!$B$5:$AI$24,18,FALSE)),0)+IFERROR(IF(VLOOKUP($B24,'JR B-Goats'!$B$5:$AI$24,18,FALSE)=" ",0,VLOOKUP($B24,'JR B-Goats'!$B$5:$AI$24,18,FALSE)),0)+IFERROR(IF(VLOOKUP($B24,'JR B-Calf Tying'!$B$5:$AI$24,18,FALSE)=" ",0,VLOOKUP($B24,'JR B-Calf Tying'!$B$5:$AI$24,18,FALSE)),0)+IFERROR(IF(VLOOKUP($B24,'JR B-Breakaway'!$B$5:$AI$24,18,FALSE)=" ",0,VLOOKUP($B24,'JR B-Breakaway'!$B$5:$AI$24,18,FALSE)),0)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IFERROR(IF(VLOOKUP($B24,'JR-Team Roping-Header'!$B$5:$N$24,7,FALSE)=" ",0,VLOOKUP($B24,'JR-Team Roping-Header'!$B$5:$N$24,7,FALSE)),0)+IFERROR(IF(VLOOKUP($B24,'JR-Team Roping-Heeler'!$B$5:$N$24,7,FALSE)=" ",0,VLOOKUP($B24,'JR-Team Roping-Heeler'!$B$5:$N$24,7,FALSE)),0)+IFERROR(IF(VLOOKUP($B24,'JR B-Steer Riding'!$B$5:$AI$24,22,FALSE)=" ",0,VLOOKUP($B24,'JR B-Steer Riding'!$B$5:$AI$24,22,FALSE)),0)+IFERROR(IF(VLOOKUP($B24,'JR B-Goats'!$B$5:$AI$24,22,FALSE)=" ",0,VLOOKUP($B24,'JR B-Goats'!$B$5:$AI$24,22,FALSE)),0)+IFERROR(IF(VLOOKUP($B24,'JR B-Calf Tying'!$B$5:$AI$24,22,FALSE)=" ",0,VLOOKUP($B24,'JR B-Calf Tying'!$B$5:$AI$24,22,FALSE)),0)+IFERROR(IF(VLOOKUP($B24,'JR B-Breakaway'!$B$5:$AI$24,22,FALSE)=" ",0,VLOOKUP($B24,'JR B-Breakaway'!$B$5:$AI$24,22,FALSE)),0)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IFERROR(IF(VLOOKUP($B24,'JR-Team Roping-Header'!$B$5:$N$24,8,FALSE)=" ",0,VLOOKUP($B24,'JR-Team Roping-Header'!$B$5:$N$24,8,FALSE)),0)+IFERROR(IF(VLOOKUP($B24,'JR-Team Roping-Heeler'!$B$5:$N$24,8,FALSE)=" ",0,VLOOKUP($B24,'JR-Team Roping-Heeler'!$B$5:$N$24,8,FALSE)),0)+IFERROR(IF(VLOOKUP($B24,'JR B-Steer Riding'!$B$5:$AI$24,26,FALSE)=" ",0,VLOOKUP($B24,'JR B-Steer Riding'!$B$5:$AI$24,26,FALSE)),0)+IFERROR(IF(VLOOKUP($B24,'JR B-Goats'!$B$5:$AI$24,26,FALSE)=" ",0,VLOOKUP($B24,'JR B-Goats'!$B$5:$AI$24,26,FALSE)),0)+IFERROR(IF(VLOOKUP($B24,'JR B-Calf Tying'!$B$5:$AI$24,26,FALSE)=" ",0,VLOOKUP($B24,'JR B-Calf Tying'!$B$5:$AI$24,26,FALSE)),0)+IFERROR(IF(VLOOKUP($B24,'JR B-Breakaway'!$B$5:$AI$24,26,FALSE)=" ",0,VLOOKUP($B24,'JR B-Breakaway'!$B$5:$AI$24,26,FALSE)),0)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IFERROR(IF(VLOOKUP($B24,'JR-Team Roping-Header'!$B$5:$N$24,9,FALSE)=" ",0,VLOOKUP($B24,'JR-Team Roping-Header'!$B$5:$N$24,9,FALSE)),0)+IFERROR(IF(VLOOKUP($B24,'JR-Team Roping-Heeler'!$B$5:$N$24,9,FALSE)=" ",0,VLOOKUP($B24,'JR-Team Roping-Heeler'!$B$5:$N$24,9,FALSE)),0)+IFERROR(IF(VLOOKUP($B24,'JR B-Steer Riding'!$B$5:$AI$24,30,FALSE)=" ",0,VLOOKUP($B24,'JR B-Steer Riding'!$B$5:$AI$24,30,FALSE)),0)+IFERROR(IF(VLOOKUP($B24,'JR B-Goats'!$B$5:$AI$24,30,FALSE)=" ",0,VLOOKUP($B24,'JR B-Goats'!$B$5:$AI$24,30,FALSE)),0)+IFERROR(IF(VLOOKUP($B24,'JR B-Calf Tying'!$B$5:$AI$24,30,FALSE)=" ",0,VLOOKUP($B24,'JR B-Calf Tying'!$B$5:$AI$24,30,FALSE)),0)+IFERROR(IF(VLOOKUP($B24,'JR B-Breakaway'!$B$5:$AI$24,30,FALSE)=" ",0,VLOOKUP($B24,'JR B-Breakaway'!$B$5:$AI$24,30,FALSE)),0)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IFERROR(IF(VLOOKUP($B24,'JR-Team Roping-Header'!$B$5:$N$24,10,FALSE)=" ",0,VLOOKUP($B24,'JR-Team Roping-Header'!$B$5:$N$24,10,FALSE)),0)+IFERROR(IF(VLOOKUP($B24,'JR-Team Roping-Heeler'!$B$5:$N$24,10,FALSE)=" ",0,VLOOKUP($B24,'JR-Team Roping-Heeler'!$B$5:$N$24,10,FALSE)),0)+IFERROR(IF(VLOOKUP($B24,'JR B-Steer Riding'!$B$5:$AI$24,34,FALSE)=" ",0,VLOOKUP($B24,'JR B-Steer Riding'!$B$5:$AI$24,34,FALSE)),0)+IFERROR(IF(VLOOKUP($B24,'JR B-Goats'!$B$5:$AI$24,34,FALSE)=" ",0,VLOOKUP($B24,'JR B-Goats'!$B$5:$AI$24,34,FALSE)),0)+IFERROR(IF(VLOOKUP($B24,'JR B-Calf Tying'!$B$5:$AI$24,34,FALSE)=" ",0,VLOOKUP($B24,'JR B-Calf Tying'!$B$5:$AI$24,34,FALSE)),0)+IFERROR(IF(VLOOKUP($B24,'JR B-Breakaway'!$B$5:$AI$24,34,FALSE)=" ",0,VLOOKUP($B24,'JR B-Breakaway'!$B$5:$AI$24,34,FALSE)),0)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Table63456891011233444402031[[#This Row],[Points]]+Table63456891011233444402031[[#This Row],[Points4]]+Table63456891011233444402031[[#This Row],[Points43]]+Table63456891011233444402031[[#This Row],[Points44]]+Table63456891011233444402031[[#This Row],[Points45]]+Table63456891011233444402031[[#This Row],[Points46]]+Table63456891011233444402031[[#This Row],[Points47]]+Table63456891011233444402031[[#This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4" thickBot="1" x14ac:dyDescent="0.3">
      <c r="B25" s="125" t="s">
        <v>236</v>
      </c>
    </row>
    <row r="27" spans="2:29" x14ac:dyDescent="0.25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25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VTWd0eV96RNmDrXpPvvhPDFpU1/ZFIo4hEkYR3ItKQl+H25l/LUGWbOiTbWF4o2QDvBtbV+YRb6KCSVI4yuteA==" saltValue="l+BZVnGAxyqf9m9KcIx4aQ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38E00-7D4B-408D-BC14-874B70B5FD68}">
  <sheetPr codeName="Sheet62">
    <tabColor theme="5" tint="0.79998168889431442"/>
  </sheetPr>
  <dimension ref="B1:AL30"/>
  <sheetViews>
    <sheetView showGridLines="0" zoomScaleNormal="100" workbookViewId="0">
      <pane xSplit="2" topLeftCell="C1" activePane="topRight" state="frozen"/>
      <selection activeCell="J35" sqref="J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98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146</v>
      </c>
      <c r="C5" s="84"/>
      <c r="D5" s="85">
        <v>18.835999999999999</v>
      </c>
      <c r="E5" s="86">
        <f t="shared" ref="E5:E25" si="0">IF(D5=0," ",_xlfn.RANK.AVG(D5,D$5:D$25,1)-COUNTIF(D$5:D$25,0))</f>
        <v>3</v>
      </c>
      <c r="F5" s="86">
        <f t="shared" ref="F5:F25" si="1">IF(D5=0," ",IF((RANK(D5,D$5:D$25,1)-COUNTIF(D$5:D$25,0)&gt;6)," ",RANK(D5,D$5:D$25,1)-COUNTIF(D$5:D$25,0)))</f>
        <v>3</v>
      </c>
      <c r="G5" s="87">
        <f>IF(Table62202732333721[[#This Row],[Non-Member]]="X"," ",IF(F5=" "," ",IFERROR(VLOOKUP(E5,Points!$A$2:$B$14,2,FALSE)," ")))</f>
        <v>12</v>
      </c>
      <c r="H5" s="85">
        <v>19.341000000000001</v>
      </c>
      <c r="I5" s="86">
        <f t="shared" ref="I5:I25" si="2">IF(H5=0," ",_xlfn.RANK.AVG(H5,H$5:H$25,1)-COUNTIF(H$5:H$25,0))</f>
        <v>2</v>
      </c>
      <c r="J5" s="89">
        <f t="shared" ref="J5:J25" si="3">IF(H5=0," ",IF((RANK(H5,H$5:H$25,1)-COUNTIF(H$5:H$25,0)&gt;6)," ",RANK(H5,H$5:H$25,1)-COUNTIF(H$5:H$25,0)))</f>
        <v>2</v>
      </c>
      <c r="K5" s="87">
        <f>IF(Table62202732333721[[#This Row],[Non-Member]]="X"," ",IF(J5=" "," ",IFERROR(VLOOKUP(I5,Points!$A$2:$B$14,2,FALSE)," ")))</f>
        <v>15</v>
      </c>
      <c r="L5" s="85">
        <v>17.788</v>
      </c>
      <c r="M5" s="86">
        <f t="shared" ref="M5:M25" si="4">IF(L5=0," ",_xlfn.RANK.AVG(L5,L$5:L$25,1)-COUNTIF(L$5:L$25,0))</f>
        <v>2</v>
      </c>
      <c r="N5" s="86">
        <f t="shared" ref="N5:N25" si="5">IF(L5=0," ",IF((RANK(L5,L$5:L$25,1)-COUNTIF(L$5:L$25,0)&gt;6)," ",RANK(L5,L$5:L$25,1)-COUNTIF(L$5:L$25,0)))</f>
        <v>2</v>
      </c>
      <c r="O5" s="87">
        <f>IF(Table62202732333721[[#This Row],[Non-Member]]="X"," ",IF(N5=" "," ",IFERROR(VLOOKUP(M5,Points!$A$2:$B$14,2,FALSE)," ")))</f>
        <v>15</v>
      </c>
      <c r="P5" s="85">
        <v>22.844999999999999</v>
      </c>
      <c r="Q5" s="86">
        <f t="shared" ref="Q5:Q25" si="6">IF(P5=0," ",_xlfn.RANK.AVG(P5,P$5:P$25,1)-COUNTIF(P$5:P$25,0))</f>
        <v>10</v>
      </c>
      <c r="R5" s="86" t="str">
        <f t="shared" ref="R5:R25" si="7">IF(P5=0," ",IF((RANK(P5,P$5:P$25,1)-COUNTIF(P$5:P$25,0)&gt;6)," ",RANK(P5,P$5:P$25,1)-COUNTIF(P$5:P$25,0)))</f>
        <v xml:space="preserve"> </v>
      </c>
      <c r="S5" s="87" t="str">
        <f>IF(Table62202732333721[[#This Row],[Non-Member]]="X"," ",IF(R5=" "," ",IFERROR(VLOOKUP(Q5,Points!$A$2:$B$14,2,FALSE)," ")))</f>
        <v xml:space="preserve"> </v>
      </c>
      <c r="T5" s="85">
        <v>22.652000000000001</v>
      </c>
      <c r="U5" s="86">
        <f t="shared" ref="U5:U25" si="8">IF(T5=0," ",_xlfn.RANK.AVG(T5,T$5:T$25,1)-COUNTIF(T$5:T$25,0))</f>
        <v>11</v>
      </c>
      <c r="V5" s="86" t="str">
        <f t="shared" ref="V5:V25" si="9">IF(T5=0," ",IF((RANK(T5,T$5:T$25,1)-COUNTIF(T$5:T$25,0)&gt;6)," ",RANK(T5,T$5:T$25,1)-COUNTIF(T$5:T$25,0)))</f>
        <v xml:space="preserve"> </v>
      </c>
      <c r="W5" s="87" t="str">
        <f>IF(Table62202732333721[[#This Row],[Non-Member]]="X"," ",IF(V5=" "," ",IFERROR(VLOOKUP(U5,Points!$A$2:$B$14,2,FALSE)," ")))</f>
        <v xml:space="preserve"> </v>
      </c>
      <c r="X5" s="85">
        <v>18.170000000000002</v>
      </c>
      <c r="Y5" s="86">
        <f t="shared" ref="Y5:Y25" si="10">IF(X5=0," ",_xlfn.RANK.AVG(X5,X$5:X$25,1)-COUNTIF(X$5:X$25,0))</f>
        <v>1</v>
      </c>
      <c r="Z5" s="86">
        <f t="shared" ref="Z5:Z25" si="11">IF(X5=0," ",IF((RANK(X5,X$5:X$25,1)-COUNTIF(X$5:X$25,0)&gt;6)," ",RANK(X5,X$5:X$25,1)-COUNTIF(X$5:X$25,0)))</f>
        <v>1</v>
      </c>
      <c r="AA5" s="87">
        <f>IF(Table62202732333721[[#This Row],[Non-Member]]="X"," ",IF(Z5=" "," ",IFERROR(VLOOKUP(Y5,Points!$A$2:$B$14,2,FALSE)," ")))</f>
        <v>18</v>
      </c>
      <c r="AB5" s="85">
        <v>18.084</v>
      </c>
      <c r="AC5" s="86">
        <f t="shared" ref="AC5:AC25" si="12">IF(AB5=0," ",_xlfn.RANK.AVG(AB5,AB$5:AB$25,1)-COUNTIF(AB$5:AB$25,0))</f>
        <v>1</v>
      </c>
      <c r="AD5" s="86">
        <f t="shared" ref="AD5:AD25" si="13">IF(AB5=0," ",IF((RANK(AB5,AB$5:AB$25,1)-COUNTIF(AB$5:AB$25,0)&gt;6)," ",RANK(AB5,AB$5:AB$25,1)-COUNTIF(AB$5:AB$25,0)))</f>
        <v>1</v>
      </c>
      <c r="AE5" s="87">
        <f>IF(Table62202732333721[[#This Row],[Non-Member]]="X"," ",IF(AD5=" "," ",IFERROR(VLOOKUP(AC5,Points!$A$2:$B$14,2,FALSE)," ")))</f>
        <v>18</v>
      </c>
      <c r="AF5" s="85">
        <f t="shared" ref="AF5:AF25" si="14">IF(OR(X5=0,AB5=0)," ",X5+AB5)</f>
        <v>36.254000000000005</v>
      </c>
      <c r="AG5" s="86">
        <f t="shared" ref="AG5:AG25" si="15">IF(OR(AF5=0,AF5=" ")," ",_xlfn.RANK.AVG(AF5,AF$5:AF$25,1)-COUNTIF(AF$5:AF$25,0))</f>
        <v>1</v>
      </c>
      <c r="AH5" s="86">
        <f t="shared" ref="AH5:AH25" si="16">IF(OR(AF5=0,AF5=" ")," ",IF((RANK(AF5,AF$5:AF$25,1)-COUNTIF(AF$5:AF$25,0)&gt;6)," ",RANK(AF5,AF$5:AF$25,1)-COUNTIF(AF$5:AF$25,0)))</f>
        <v>1</v>
      </c>
      <c r="AI5" s="87">
        <f>IF(Table62202732333721[[#This Row],[Non-Member]]="X"," ",IF(AH5=" "," ",IFERROR(VLOOKUP(AG5,Points!$A$2:$B$14,2,FALSE)," ")))</f>
        <v>18</v>
      </c>
      <c r="AJ5" s="86">
        <f>IF(Table62202732333721[[#This Row],[Non-Member]]="X"," ",((IF(G5=" ",0,G5))+(IF(K5=" ",0,K5))+(IF(O5=" ",0,O5))+(IF(S5=" ",0,S5))+(IF(W5=" ",0,W5))+(IF(AA5=" ",0,AA5))+(IF(AE5=" ",0,AE5))+(IF(AI5=" ",0,AI5))))</f>
        <v>96</v>
      </c>
      <c r="AK5" s="88">
        <f t="shared" ref="AK5:AK25" si="17">IF(AJ5=0," ",AJ5)</f>
        <v>96</v>
      </c>
      <c r="AL5" s="89">
        <f t="shared" ref="AL5:AL25" si="18">IF(AK5=" "," ",RANK(AK5,$AK$5:$AK$25))</f>
        <v>1</v>
      </c>
    </row>
    <row r="6" spans="2:38" x14ac:dyDescent="0.25">
      <c r="B6" s="90" t="s">
        <v>233</v>
      </c>
      <c r="C6" s="91"/>
      <c r="D6" s="92">
        <v>23.158000000000001</v>
      </c>
      <c r="E6" s="93">
        <f t="shared" si="0"/>
        <v>11</v>
      </c>
      <c r="F6" s="93" t="str">
        <f t="shared" si="1"/>
        <v xml:space="preserve"> </v>
      </c>
      <c r="G6" s="94" t="str">
        <f>IF(Table62202732333721[[#This Row],[Non-Member]]="X"," ",IF(F6=" "," ",IFERROR(VLOOKUP(E6,Points!$A$2:$B$14,2,FALSE)," ")))</f>
        <v xml:space="preserve"> </v>
      </c>
      <c r="H6" s="92">
        <v>0</v>
      </c>
      <c r="I6" s="93" t="str">
        <f t="shared" si="2"/>
        <v xml:space="preserve"> </v>
      </c>
      <c r="J6" s="96" t="str">
        <f t="shared" si="3"/>
        <v xml:space="preserve"> </v>
      </c>
      <c r="K6" s="94" t="str">
        <f>IF(Table62202732333721[[#This Row],[Non-Member]]="X"," ",IF(J6=" "," ",IFERROR(VLOOKUP(I6,Points!$A$2:$B$14,2,FALSE)," ")))</f>
        <v xml:space="preserve"> </v>
      </c>
      <c r="L6" s="92">
        <v>17.297999999999998</v>
      </c>
      <c r="M6" s="93">
        <f t="shared" si="4"/>
        <v>1</v>
      </c>
      <c r="N6" s="93">
        <f t="shared" si="5"/>
        <v>1</v>
      </c>
      <c r="O6" s="94">
        <f>IF(Table62202732333721[[#This Row],[Non-Member]]="X"," ",IF(N6=" "," ",IFERROR(VLOOKUP(M6,Points!$A$2:$B$14,2,FALSE)," ")))</f>
        <v>18</v>
      </c>
      <c r="P6" s="92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IF(Table62202732333721[[#This Row],[Non-Member]]="X"," ",IF(R6=" "," ",IFERROR(VLOOKUP(Q6,Points!$A$2:$B$14,2,FALSE)," ")))</f>
        <v xml:space="preserve"> </v>
      </c>
      <c r="T6" s="92">
        <v>17.896999999999998</v>
      </c>
      <c r="U6" s="93">
        <f t="shared" si="8"/>
        <v>1</v>
      </c>
      <c r="V6" s="93">
        <f t="shared" si="9"/>
        <v>1</v>
      </c>
      <c r="W6" s="94">
        <f>IF(Table62202732333721[[#This Row],[Non-Member]]="X"," ",IF(V6=" "," ",IFERROR(VLOOKUP(U6,Points!$A$2:$B$14,2,FALSE)," ")))</f>
        <v>18</v>
      </c>
      <c r="X6" s="92">
        <v>18.577000000000002</v>
      </c>
      <c r="Y6" s="93">
        <f t="shared" si="10"/>
        <v>3</v>
      </c>
      <c r="Z6" s="93">
        <f t="shared" si="11"/>
        <v>3</v>
      </c>
      <c r="AA6" s="94">
        <f>IF(Table62202732333721[[#This Row],[Non-Member]]="X"," ",IF(Z6=" "," ",IFERROR(VLOOKUP(Y6,Points!$A$2:$B$14,2,FALSE)," ")))</f>
        <v>12</v>
      </c>
      <c r="AB6" s="92">
        <v>18.355</v>
      </c>
      <c r="AC6" s="93">
        <f t="shared" si="12"/>
        <v>2</v>
      </c>
      <c r="AD6" s="93">
        <f t="shared" si="13"/>
        <v>2</v>
      </c>
      <c r="AE6" s="94">
        <f>IF(Table62202732333721[[#This Row],[Non-Member]]="X"," ",IF(AD6=" "," ",IFERROR(VLOOKUP(AC6,Points!$A$2:$B$14,2,FALSE)," ")))</f>
        <v>15</v>
      </c>
      <c r="AF6" s="92">
        <f t="shared" si="14"/>
        <v>36.932000000000002</v>
      </c>
      <c r="AG6" s="93">
        <f t="shared" si="15"/>
        <v>2</v>
      </c>
      <c r="AH6" s="93">
        <f t="shared" si="16"/>
        <v>2</v>
      </c>
      <c r="AI6" s="94">
        <f>IF(Table62202732333721[[#This Row],[Non-Member]]="X"," ",IF(AH6=" "," ",IFERROR(VLOOKUP(AG6,Points!$A$2:$B$14,2,FALSE)," ")))</f>
        <v>15</v>
      </c>
      <c r="AJ6" s="93">
        <f>IF(Table62202732333721[[#This Row],[Non-Member]]="X"," ",((IF(G6=" ",0,G6))+(IF(K6=" ",0,K6))+(IF(O6=" ",0,O6))+(IF(S6=" ",0,S6))+(IF(W6=" ",0,W6))+(IF(AA6=" ",0,AA6))+(IF(AE6=" ",0,AE6))+(IF(AI6=" ",0,AI6))))</f>
        <v>78</v>
      </c>
      <c r="AK6" s="95">
        <f t="shared" si="17"/>
        <v>78</v>
      </c>
      <c r="AL6" s="96">
        <f t="shared" si="18"/>
        <v>2</v>
      </c>
    </row>
    <row r="7" spans="2:38" x14ac:dyDescent="0.25">
      <c r="B7" s="90" t="s">
        <v>144</v>
      </c>
      <c r="C7" s="91"/>
      <c r="D7" s="92">
        <v>19.405000000000001</v>
      </c>
      <c r="E7" s="93">
        <f t="shared" si="0"/>
        <v>4</v>
      </c>
      <c r="F7" s="93">
        <f t="shared" si="1"/>
        <v>4</v>
      </c>
      <c r="G7" s="94">
        <f>IF(Table62202732333721[[#This Row],[Non-Member]]="X"," ",IF(F7=" "," ",IFERROR(VLOOKUP(E7,Points!$A$2:$B$14,2,FALSE)," ")))</f>
        <v>9</v>
      </c>
      <c r="H7" s="92">
        <v>24.923999999999999</v>
      </c>
      <c r="I7" s="93">
        <f t="shared" si="2"/>
        <v>14</v>
      </c>
      <c r="J7" s="96" t="str">
        <f t="shared" si="3"/>
        <v xml:space="preserve"> </v>
      </c>
      <c r="K7" s="94" t="str">
        <f>IF(Table62202732333721[[#This Row],[Non-Member]]="X"," ",IF(J7=" "," ",IFERROR(VLOOKUP(I7,Points!$A$2:$B$14,2,FALSE)," ")))</f>
        <v xml:space="preserve"> </v>
      </c>
      <c r="L7" s="92">
        <v>17.959</v>
      </c>
      <c r="M7" s="93">
        <f t="shared" si="4"/>
        <v>3</v>
      </c>
      <c r="N7" s="93">
        <f t="shared" si="5"/>
        <v>3</v>
      </c>
      <c r="O7" s="94">
        <f>IF(Table62202732333721[[#This Row],[Non-Member]]="X"," ",IF(N7=" "," ",IFERROR(VLOOKUP(M7,Points!$A$2:$B$14,2,FALSE)," ")))</f>
        <v>12</v>
      </c>
      <c r="P7" s="92">
        <v>18.097000000000001</v>
      </c>
      <c r="Q7" s="93">
        <f t="shared" si="6"/>
        <v>1</v>
      </c>
      <c r="R7" s="93">
        <f t="shared" si="7"/>
        <v>1</v>
      </c>
      <c r="S7" s="94">
        <f>IF(Table62202732333721[[#This Row],[Non-Member]]="X"," ",IF(R7=" "," ",IFERROR(VLOOKUP(Q7,Points!$A$2:$B$14,2,FALSE)," ")))</f>
        <v>18</v>
      </c>
      <c r="T7" s="92">
        <v>18.413</v>
      </c>
      <c r="U7" s="93">
        <f t="shared" si="8"/>
        <v>2</v>
      </c>
      <c r="V7" s="93">
        <f t="shared" si="9"/>
        <v>2</v>
      </c>
      <c r="W7" s="94">
        <f>IF(Table62202732333721[[#This Row],[Non-Member]]="X"," ",IF(V7=" "," ",IFERROR(VLOOKUP(U7,Points!$A$2:$B$14,2,FALSE)," ")))</f>
        <v>15</v>
      </c>
      <c r="X7" s="92">
        <v>19.289000000000001</v>
      </c>
      <c r="Y7" s="93">
        <f t="shared" si="10"/>
        <v>6</v>
      </c>
      <c r="Z7" s="93">
        <f t="shared" si="11"/>
        <v>6</v>
      </c>
      <c r="AA7" s="94">
        <f>IF(Table62202732333721[[#This Row],[Non-Member]]="X"," ",IF(Z7=" "," ",IFERROR(VLOOKUP(Y7,Points!$A$2:$B$14,2,FALSE)," ")))</f>
        <v>3</v>
      </c>
      <c r="AB7" s="92">
        <v>18.745000000000001</v>
      </c>
      <c r="AC7" s="93">
        <f t="shared" si="12"/>
        <v>4</v>
      </c>
      <c r="AD7" s="93">
        <f t="shared" si="13"/>
        <v>4</v>
      </c>
      <c r="AE7" s="94">
        <f>IF(Table62202732333721[[#This Row],[Non-Member]]="X"," ",IF(AD7=" "," ",IFERROR(VLOOKUP(AC7,Points!$A$2:$B$14,2,FALSE)," ")))</f>
        <v>9</v>
      </c>
      <c r="AF7" s="92">
        <f t="shared" si="14"/>
        <v>38.034000000000006</v>
      </c>
      <c r="AG7" s="93">
        <f t="shared" si="15"/>
        <v>5</v>
      </c>
      <c r="AH7" s="93">
        <f t="shared" si="16"/>
        <v>5</v>
      </c>
      <c r="AI7" s="94">
        <f>IF(Table62202732333721[[#This Row],[Non-Member]]="X"," ",IF(AH7=" "," ",IFERROR(VLOOKUP(AG7,Points!$A$2:$B$14,2,FALSE)," ")))</f>
        <v>6</v>
      </c>
      <c r="AJ7" s="93">
        <f>IF(Table62202732333721[[#This Row],[Non-Member]]="X"," ",((IF(G7=" ",0,G7))+(IF(K7=" ",0,K7))+(IF(O7=" ",0,O7))+(IF(S7=" ",0,S7))+(IF(W7=" ",0,W7))+(IF(AA7=" ",0,AA7))+(IF(AE7=" ",0,AE7))+(IF(AI7=" ",0,AI7))))</f>
        <v>72</v>
      </c>
      <c r="AK7" s="95">
        <f t="shared" si="17"/>
        <v>72</v>
      </c>
      <c r="AL7" s="96">
        <f t="shared" si="18"/>
        <v>3</v>
      </c>
    </row>
    <row r="8" spans="2:38" x14ac:dyDescent="0.25">
      <c r="B8" s="90" t="s">
        <v>83</v>
      </c>
      <c r="C8" s="91"/>
      <c r="D8" s="92">
        <v>19.678999999999998</v>
      </c>
      <c r="E8" s="93">
        <f t="shared" si="0"/>
        <v>5</v>
      </c>
      <c r="F8" s="93">
        <f t="shared" si="1"/>
        <v>5</v>
      </c>
      <c r="G8" s="94">
        <f>IF(Table62202732333721[[#This Row],[Non-Member]]="X"," ",IF(F8=" "," ",IFERROR(VLOOKUP(E8,Points!$A$2:$B$14,2,FALSE)," ")))</f>
        <v>6</v>
      </c>
      <c r="H8" s="92">
        <v>20.004999999999999</v>
      </c>
      <c r="I8" s="93">
        <f t="shared" si="2"/>
        <v>6</v>
      </c>
      <c r="J8" s="96">
        <f t="shared" si="3"/>
        <v>6</v>
      </c>
      <c r="K8" s="94">
        <f>IF(Table62202732333721[[#This Row],[Non-Member]]="X"," ",IF(J8=" "," ",IFERROR(VLOOKUP(I8,Points!$A$2:$B$14,2,FALSE)," ")))</f>
        <v>3</v>
      </c>
      <c r="L8" s="92">
        <v>18.254999999999999</v>
      </c>
      <c r="M8" s="93">
        <f t="shared" si="4"/>
        <v>4</v>
      </c>
      <c r="N8" s="93">
        <f t="shared" si="5"/>
        <v>4</v>
      </c>
      <c r="O8" s="94">
        <f>IF(Table62202732333721[[#This Row],[Non-Member]]="X"," ",IF(N8=" "," ",IFERROR(VLOOKUP(M8,Points!$A$2:$B$14,2,FALSE)," ")))</f>
        <v>9</v>
      </c>
      <c r="P8" s="92">
        <v>18.138999999999999</v>
      </c>
      <c r="Q8" s="93">
        <f t="shared" si="6"/>
        <v>2</v>
      </c>
      <c r="R8" s="93">
        <f t="shared" si="7"/>
        <v>2</v>
      </c>
      <c r="S8" s="94">
        <f>IF(Table62202732333721[[#This Row],[Non-Member]]="X"," ",IF(R8=" "," ",IFERROR(VLOOKUP(Q8,Points!$A$2:$B$14,2,FALSE)," ")))</f>
        <v>15</v>
      </c>
      <c r="T8" s="92">
        <v>18.684999999999999</v>
      </c>
      <c r="U8" s="93">
        <f t="shared" si="8"/>
        <v>3</v>
      </c>
      <c r="V8" s="93">
        <f t="shared" si="9"/>
        <v>3</v>
      </c>
      <c r="W8" s="94">
        <f>IF(Table62202732333721[[#This Row],[Non-Member]]="X"," ",IF(V8=" "," ",IFERROR(VLOOKUP(U8,Points!$A$2:$B$14,2,FALSE)," ")))</f>
        <v>12</v>
      </c>
      <c r="X8" s="92">
        <v>18.686</v>
      </c>
      <c r="Y8" s="93">
        <f t="shared" si="10"/>
        <v>4</v>
      </c>
      <c r="Z8" s="93">
        <f t="shared" si="11"/>
        <v>4</v>
      </c>
      <c r="AA8" s="94">
        <f>IF(Table62202732333721[[#This Row],[Non-Member]]="X"," ",IF(Z8=" "," ",IFERROR(VLOOKUP(Y8,Points!$A$2:$B$14,2,FALSE)," ")))</f>
        <v>9</v>
      </c>
      <c r="AB8" s="92">
        <v>18.975000000000001</v>
      </c>
      <c r="AC8" s="93">
        <f t="shared" si="12"/>
        <v>5</v>
      </c>
      <c r="AD8" s="93">
        <f t="shared" si="13"/>
        <v>5</v>
      </c>
      <c r="AE8" s="94">
        <f>IF(Table62202732333721[[#This Row],[Non-Member]]="X"," ",IF(AD8=" "," ",IFERROR(VLOOKUP(AC8,Points!$A$2:$B$14,2,FALSE)," ")))</f>
        <v>6</v>
      </c>
      <c r="AF8" s="92">
        <f t="shared" si="14"/>
        <v>37.661000000000001</v>
      </c>
      <c r="AG8" s="93">
        <f t="shared" si="15"/>
        <v>3</v>
      </c>
      <c r="AH8" s="93">
        <f t="shared" si="16"/>
        <v>3</v>
      </c>
      <c r="AI8" s="94">
        <f>IF(Table62202732333721[[#This Row],[Non-Member]]="X"," ",IF(AH8=" "," ",IFERROR(VLOOKUP(AG8,Points!$A$2:$B$14,2,FALSE)," ")))</f>
        <v>12</v>
      </c>
      <c r="AJ8" s="93">
        <f>IF(Table62202732333721[[#This Row],[Non-Member]]="X"," ",((IF(G8=" ",0,G8))+(IF(K8=" ",0,K8))+(IF(O8=" ",0,O8))+(IF(S8=" ",0,S8))+(IF(W8=" ",0,W8))+(IF(AA8=" ",0,AA8))+(IF(AE8=" ",0,AE8))+(IF(AI8=" ",0,AI8))))</f>
        <v>72</v>
      </c>
      <c r="AK8" s="95">
        <f t="shared" si="17"/>
        <v>72</v>
      </c>
      <c r="AL8" s="96">
        <f t="shared" si="18"/>
        <v>3</v>
      </c>
    </row>
    <row r="9" spans="2:38" x14ac:dyDescent="0.25">
      <c r="B9" s="90" t="s">
        <v>143</v>
      </c>
      <c r="C9" s="91"/>
      <c r="D9" s="92">
        <v>23.643000000000001</v>
      </c>
      <c r="E9" s="93">
        <f t="shared" si="0"/>
        <v>12</v>
      </c>
      <c r="F9" s="93" t="str">
        <f t="shared" si="1"/>
        <v xml:space="preserve"> </v>
      </c>
      <c r="G9" s="94" t="str">
        <f>IF(Table62202732333721[[#This Row],[Non-Member]]="X"," ",IF(F9=" "," ",IFERROR(VLOOKUP(E9,Points!$A$2:$B$14,2,FALSE)," ")))</f>
        <v xml:space="preserve"> </v>
      </c>
      <c r="H9" s="92">
        <v>19.359000000000002</v>
      </c>
      <c r="I9" s="93">
        <f t="shared" si="2"/>
        <v>3</v>
      </c>
      <c r="J9" s="96">
        <f t="shared" si="3"/>
        <v>3</v>
      </c>
      <c r="K9" s="94">
        <f>IF(Table62202732333721[[#This Row],[Non-Member]]="X"," ",IF(J9=" "," ",IFERROR(VLOOKUP(I9,Points!$A$2:$B$14,2,FALSE)," ")))</f>
        <v>12</v>
      </c>
      <c r="L9" s="92">
        <v>18.524999999999999</v>
      </c>
      <c r="M9" s="93">
        <f t="shared" si="4"/>
        <v>5</v>
      </c>
      <c r="N9" s="93">
        <f t="shared" si="5"/>
        <v>5</v>
      </c>
      <c r="O9" s="94">
        <f>IF(Table62202732333721[[#This Row],[Non-Member]]="X"," ",IF(N9=" "," ",IFERROR(VLOOKUP(M9,Points!$A$2:$B$14,2,FALSE)," ")))</f>
        <v>6</v>
      </c>
      <c r="P9" s="92">
        <v>23.829000000000001</v>
      </c>
      <c r="Q9" s="93">
        <f t="shared" si="6"/>
        <v>11</v>
      </c>
      <c r="R9" s="93" t="str">
        <f t="shared" si="7"/>
        <v xml:space="preserve"> </v>
      </c>
      <c r="S9" s="94" t="str">
        <f>IF(Table62202732333721[[#This Row],[Non-Member]]="X"," ",IF(R9=" "," ",IFERROR(VLOOKUP(Q9,Points!$A$2:$B$14,2,FALSE)," ")))</f>
        <v xml:space="preserve"> </v>
      </c>
      <c r="T9" s="92">
        <v>19.446000000000002</v>
      </c>
      <c r="U9" s="93">
        <f t="shared" si="8"/>
        <v>4</v>
      </c>
      <c r="V9" s="93">
        <f t="shared" si="9"/>
        <v>4</v>
      </c>
      <c r="W9" s="94">
        <f>IF(Table62202732333721[[#This Row],[Non-Member]]="X"," ",IF(V9=" "," ",IFERROR(VLOOKUP(U9,Points!$A$2:$B$14,2,FALSE)," ")))</f>
        <v>9</v>
      </c>
      <c r="X9" s="92">
        <v>18.282</v>
      </c>
      <c r="Y9" s="93">
        <f t="shared" si="10"/>
        <v>2</v>
      </c>
      <c r="Z9" s="93">
        <f t="shared" si="11"/>
        <v>2</v>
      </c>
      <c r="AA9" s="94">
        <f>IF(Table62202732333721[[#This Row],[Non-Member]]="X"," ",IF(Z9=" "," ",IFERROR(VLOOKUP(Y9,Points!$A$2:$B$14,2,FALSE)," ")))</f>
        <v>15</v>
      </c>
      <c r="AB9" s="92">
        <v>19.587</v>
      </c>
      <c r="AC9" s="93">
        <f t="shared" si="12"/>
        <v>6</v>
      </c>
      <c r="AD9" s="93">
        <f t="shared" si="13"/>
        <v>6</v>
      </c>
      <c r="AE9" s="94">
        <f>IF(Table62202732333721[[#This Row],[Non-Member]]="X"," ",IF(AD9=" "," ",IFERROR(VLOOKUP(AC9,Points!$A$2:$B$14,2,FALSE)," ")))</f>
        <v>3</v>
      </c>
      <c r="AF9" s="92">
        <f t="shared" si="14"/>
        <v>37.869</v>
      </c>
      <c r="AG9" s="93">
        <f t="shared" si="15"/>
        <v>4</v>
      </c>
      <c r="AH9" s="93">
        <f t="shared" si="16"/>
        <v>4</v>
      </c>
      <c r="AI9" s="94">
        <f>IF(Table62202732333721[[#This Row],[Non-Member]]="X"," ",IF(AH9=" "," ",IFERROR(VLOOKUP(AG9,Points!$A$2:$B$14,2,FALSE)," ")))</f>
        <v>9</v>
      </c>
      <c r="AJ9" s="93">
        <f>IF(Table62202732333721[[#This Row],[Non-Member]]="X"," ",((IF(G9=" ",0,G9))+(IF(K9=" ",0,K9))+(IF(O9=" ",0,O9))+(IF(S9=" ",0,S9))+(IF(W9=" ",0,W9))+(IF(AA9=" ",0,AA9))+(IF(AE9=" ",0,AE9))+(IF(AI9=" ",0,AI9))))</f>
        <v>54</v>
      </c>
      <c r="AK9" s="95">
        <f t="shared" si="17"/>
        <v>54</v>
      </c>
      <c r="AL9" s="96">
        <f t="shared" si="18"/>
        <v>5</v>
      </c>
    </row>
    <row r="10" spans="2:38" x14ac:dyDescent="0.25">
      <c r="B10" s="90" t="s">
        <v>86</v>
      </c>
      <c r="C10" s="91"/>
      <c r="D10" s="92">
        <v>18.789000000000001</v>
      </c>
      <c r="E10" s="93">
        <f t="shared" si="0"/>
        <v>2</v>
      </c>
      <c r="F10" s="93">
        <f t="shared" si="1"/>
        <v>2</v>
      </c>
      <c r="G10" s="94">
        <f>IF(Table62202732333721[[#This Row],[Non-Member]]="X"," ",IF(F10=" "," ",IFERROR(VLOOKUP(E10,Points!$A$2:$B$14,2,FALSE)," ")))</f>
        <v>15</v>
      </c>
      <c r="H10" s="92">
        <v>19.481000000000002</v>
      </c>
      <c r="I10" s="93">
        <f t="shared" si="2"/>
        <v>4</v>
      </c>
      <c r="J10" s="96">
        <f t="shared" si="3"/>
        <v>4</v>
      </c>
      <c r="K10" s="94">
        <f>IF(Table62202732333721[[#This Row],[Non-Member]]="X"," ",IF(J10=" "," ",IFERROR(VLOOKUP(I10,Points!$A$2:$B$14,2,FALSE)," ")))</f>
        <v>9</v>
      </c>
      <c r="L10" s="92">
        <v>21.440999999999999</v>
      </c>
      <c r="M10" s="93">
        <f t="shared" si="4"/>
        <v>14</v>
      </c>
      <c r="N10" s="93" t="str">
        <f t="shared" si="5"/>
        <v xml:space="preserve"> </v>
      </c>
      <c r="O10" s="94" t="str">
        <f>IF(Table62202732333721[[#This Row],[Non-Member]]="X"," ",IF(N10=" "," ",IFERROR(VLOOKUP(M10,Points!$A$2:$B$14,2,FALSE)," ")))</f>
        <v xml:space="preserve"> </v>
      </c>
      <c r="P10" s="92">
        <v>18.282</v>
      </c>
      <c r="Q10" s="93">
        <f t="shared" si="6"/>
        <v>3</v>
      </c>
      <c r="R10" s="93">
        <f t="shared" si="7"/>
        <v>3</v>
      </c>
      <c r="S10" s="94">
        <f>IF(Table62202732333721[[#This Row],[Non-Member]]="X"," ",IF(R10=" "," ",IFERROR(VLOOKUP(Q10,Points!$A$2:$B$14,2,FALSE)," ")))</f>
        <v>12</v>
      </c>
      <c r="T10" s="92">
        <v>28.756</v>
      </c>
      <c r="U10" s="93">
        <f t="shared" si="8"/>
        <v>13</v>
      </c>
      <c r="V10" s="93" t="str">
        <f t="shared" si="9"/>
        <v xml:space="preserve"> </v>
      </c>
      <c r="W10" s="94" t="str">
        <f>IF(Table62202732333721[[#This Row],[Non-Member]]="X"," ",IF(V10=" "," ",IFERROR(VLOOKUP(U10,Points!$A$2:$B$14,2,FALSE)," ")))</f>
        <v xml:space="preserve"> </v>
      </c>
      <c r="X10" s="92">
        <v>19.518999999999998</v>
      </c>
      <c r="Y10" s="93">
        <f t="shared" si="10"/>
        <v>9</v>
      </c>
      <c r="Z10" s="93" t="str">
        <f t="shared" si="11"/>
        <v xml:space="preserve"> </v>
      </c>
      <c r="AA10" s="94" t="str">
        <f>IF(Table62202732333721[[#This Row],[Non-Member]]="X"," ",IF(Z10=" "," ",IFERROR(VLOOKUP(Y10,Points!$A$2:$B$14,2,FALSE)," ")))</f>
        <v xml:space="preserve"> </v>
      </c>
      <c r="AB10" s="92">
        <v>18.655999999999999</v>
      </c>
      <c r="AC10" s="93">
        <f t="shared" si="12"/>
        <v>3</v>
      </c>
      <c r="AD10" s="93">
        <f t="shared" si="13"/>
        <v>3</v>
      </c>
      <c r="AE10" s="94">
        <f>IF(Table62202732333721[[#This Row],[Non-Member]]="X"," ",IF(AD10=" "," ",IFERROR(VLOOKUP(AC10,Points!$A$2:$B$14,2,FALSE)," ")))</f>
        <v>12</v>
      </c>
      <c r="AF10" s="92">
        <f t="shared" si="14"/>
        <v>38.174999999999997</v>
      </c>
      <c r="AG10" s="93">
        <f t="shared" si="15"/>
        <v>6</v>
      </c>
      <c r="AH10" s="93">
        <f t="shared" si="16"/>
        <v>6</v>
      </c>
      <c r="AI10" s="94">
        <f>IF(Table62202732333721[[#This Row],[Non-Member]]="X"," ",IF(AH10=" "," ",IFERROR(VLOOKUP(AG10,Points!$A$2:$B$14,2,FALSE)," ")))</f>
        <v>3</v>
      </c>
      <c r="AJ10" s="93">
        <f>IF(Table62202732333721[[#This Row],[Non-Member]]="X"," ",((IF(G10=" ",0,G10))+(IF(K10=" ",0,K10))+(IF(O10=" ",0,O10))+(IF(S10=" ",0,S10))+(IF(W10=" ",0,W10))+(IF(AA10=" ",0,AA10))+(IF(AE10=" ",0,AE10))+(IF(AI10=" ",0,AI10))))</f>
        <v>51</v>
      </c>
      <c r="AK10" s="95">
        <f t="shared" si="17"/>
        <v>51</v>
      </c>
      <c r="AL10" s="96">
        <f t="shared" si="18"/>
        <v>6</v>
      </c>
    </row>
    <row r="11" spans="2:38" x14ac:dyDescent="0.25">
      <c r="B11" s="90" t="s">
        <v>91</v>
      </c>
      <c r="C11" s="91"/>
      <c r="D11" s="92">
        <v>24.989000000000001</v>
      </c>
      <c r="E11" s="93">
        <f t="shared" si="0"/>
        <v>13</v>
      </c>
      <c r="F11" s="93" t="str">
        <f t="shared" si="1"/>
        <v xml:space="preserve"> </v>
      </c>
      <c r="G11" s="94" t="str">
        <f>IF(Table62202732333721[[#This Row],[Non-Member]]="X"," ",IF(F11=" "," ",IFERROR(VLOOKUP(E11,Points!$A$2:$B$14,2,FALSE)," ")))</f>
        <v xml:space="preserve"> </v>
      </c>
      <c r="H11" s="92">
        <v>18.936</v>
      </c>
      <c r="I11" s="93">
        <f t="shared" si="2"/>
        <v>1</v>
      </c>
      <c r="J11" s="96">
        <f t="shared" si="3"/>
        <v>1</v>
      </c>
      <c r="K11" s="94">
        <f>IF(Table62202732333721[[#This Row],[Non-Member]]="X"," ",IF(J11=" "," ",IFERROR(VLOOKUP(I11,Points!$A$2:$B$14,2,FALSE)," ")))</f>
        <v>18</v>
      </c>
      <c r="L11" s="92">
        <v>18.536000000000001</v>
      </c>
      <c r="M11" s="93">
        <f t="shared" si="4"/>
        <v>6</v>
      </c>
      <c r="N11" s="93">
        <f t="shared" si="5"/>
        <v>6</v>
      </c>
      <c r="O11" s="94">
        <f>IF(Table62202732333721[[#This Row],[Non-Member]]="X"," ",IF(N11=" "," ",IFERROR(VLOOKUP(M11,Points!$A$2:$B$14,2,FALSE)," ")))</f>
        <v>3</v>
      </c>
      <c r="P11" s="92">
        <v>18.54</v>
      </c>
      <c r="Q11" s="93">
        <f t="shared" si="6"/>
        <v>4</v>
      </c>
      <c r="R11" s="93">
        <f t="shared" si="7"/>
        <v>4</v>
      </c>
      <c r="S11" s="94">
        <f>IF(Table62202732333721[[#This Row],[Non-Member]]="X"," ",IF(R11=" "," ",IFERROR(VLOOKUP(Q11,Points!$A$2:$B$14,2,FALSE)," ")))</f>
        <v>9</v>
      </c>
      <c r="T11" s="92">
        <v>19.606000000000002</v>
      </c>
      <c r="U11" s="93">
        <f t="shared" si="8"/>
        <v>5</v>
      </c>
      <c r="V11" s="93">
        <f t="shared" si="9"/>
        <v>5</v>
      </c>
      <c r="W11" s="94">
        <f>IF(Table62202732333721[[#This Row],[Non-Member]]="X"," ",IF(V11=" "," ",IFERROR(VLOOKUP(U11,Points!$A$2:$B$14,2,FALSE)," ")))</f>
        <v>6</v>
      </c>
      <c r="X11" s="92">
        <v>19.263999999999999</v>
      </c>
      <c r="Y11" s="93">
        <f t="shared" si="10"/>
        <v>5</v>
      </c>
      <c r="Z11" s="93">
        <f t="shared" si="11"/>
        <v>5</v>
      </c>
      <c r="AA11" s="94">
        <f>IF(Table62202732333721[[#This Row],[Non-Member]]="X"," ",IF(Z11=" "," ",IFERROR(VLOOKUP(Y11,Points!$A$2:$B$14,2,FALSE)," ")))</f>
        <v>6</v>
      </c>
      <c r="AB11" s="92">
        <v>25.247</v>
      </c>
      <c r="AC11" s="93">
        <f t="shared" si="12"/>
        <v>13</v>
      </c>
      <c r="AD11" s="93" t="str">
        <f t="shared" si="13"/>
        <v xml:space="preserve"> </v>
      </c>
      <c r="AE11" s="94" t="str">
        <f>IF(Table62202732333721[[#This Row],[Non-Member]]="X"," ",IF(AD11=" "," ",IFERROR(VLOOKUP(AC11,Points!$A$2:$B$14,2,FALSE)," ")))</f>
        <v xml:space="preserve"> </v>
      </c>
      <c r="AF11" s="92">
        <f t="shared" si="14"/>
        <v>44.510999999999996</v>
      </c>
      <c r="AG11" s="93">
        <f t="shared" si="15"/>
        <v>10</v>
      </c>
      <c r="AH11" s="93" t="str">
        <f t="shared" si="16"/>
        <v xml:space="preserve"> </v>
      </c>
      <c r="AI11" s="94" t="str">
        <f>IF(Table62202732333721[[#This Row],[Non-Member]]="X"," ",IF(AH11=" "," ",IFERROR(VLOOKUP(AG11,Points!$A$2:$B$14,2,FALSE)," ")))</f>
        <v xml:space="preserve"> </v>
      </c>
      <c r="AJ11" s="93">
        <f>IF(Table62202732333721[[#This Row],[Non-Member]]="X"," ",((IF(G11=" ",0,G11))+(IF(K11=" ",0,K11))+(IF(O11=" ",0,O11))+(IF(S11=" ",0,S11))+(IF(W11=" ",0,W11))+(IF(AA11=" ",0,AA11))+(IF(AE11=" ",0,AE11))+(IF(AI11=" ",0,AI11))))</f>
        <v>42</v>
      </c>
      <c r="AK11" s="95">
        <f t="shared" si="17"/>
        <v>42</v>
      </c>
      <c r="AL11" s="96">
        <f t="shared" si="18"/>
        <v>7</v>
      </c>
    </row>
    <row r="12" spans="2:38" x14ac:dyDescent="0.25">
      <c r="B12" s="90" t="s">
        <v>147</v>
      </c>
      <c r="C12" s="91"/>
      <c r="D12" s="92">
        <v>18.448</v>
      </c>
      <c r="E12" s="93">
        <f t="shared" si="0"/>
        <v>1</v>
      </c>
      <c r="F12" s="93">
        <f t="shared" si="1"/>
        <v>1</v>
      </c>
      <c r="G12" s="94">
        <f>IF(Table62202732333721[[#This Row],[Non-Member]]="X"," ",IF(F12=" "," ",IFERROR(VLOOKUP(E12,Points!$A$2:$B$14,2,FALSE)," ")))</f>
        <v>18</v>
      </c>
      <c r="H12" s="92">
        <v>19.655999999999999</v>
      </c>
      <c r="I12" s="93">
        <f t="shared" si="2"/>
        <v>5</v>
      </c>
      <c r="J12" s="96">
        <f t="shared" si="3"/>
        <v>5</v>
      </c>
      <c r="K12" s="94">
        <f>IF(Table62202732333721[[#This Row],[Non-Member]]="X"," ",IF(J12=" "," ",IFERROR(VLOOKUP(I12,Points!$A$2:$B$14,2,FALSE)," ")))</f>
        <v>6</v>
      </c>
      <c r="L12" s="92">
        <v>20.361999999999998</v>
      </c>
      <c r="M12" s="93">
        <f t="shared" si="4"/>
        <v>12</v>
      </c>
      <c r="N12" s="93" t="str">
        <f t="shared" si="5"/>
        <v xml:space="preserve"> </v>
      </c>
      <c r="O12" s="94" t="str">
        <f>IF(Table62202732333721[[#This Row],[Non-Member]]="X"," ",IF(N12=" "," ",IFERROR(VLOOKUP(M12,Points!$A$2:$B$14,2,FALSE)," ")))</f>
        <v xml:space="preserve"> </v>
      </c>
      <c r="P12" s="92">
        <v>22.748999999999999</v>
      </c>
      <c r="Q12" s="93">
        <f t="shared" si="6"/>
        <v>9</v>
      </c>
      <c r="R12" s="93" t="str">
        <f t="shared" si="7"/>
        <v xml:space="preserve"> </v>
      </c>
      <c r="S12" s="94" t="str">
        <f>IF(Table62202732333721[[#This Row],[Non-Member]]="X"," ",IF(R12=" "," ",IFERROR(VLOOKUP(Q12,Points!$A$2:$B$14,2,FALSE)," ")))</f>
        <v xml:space="preserve"> </v>
      </c>
      <c r="T12" s="138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IF(Table62202732333721[[#This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IF(Table62202732333721[[#This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IF(Table62202732333721[[#This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IF(Table62202732333721[[#This Row],[Non-Member]]="X"," ",IF(AH12=" "," ",IFERROR(VLOOKUP(AG12,Points!$A$2:$B$14,2,FALSE)," ")))</f>
        <v xml:space="preserve"> </v>
      </c>
      <c r="AJ12" s="93">
        <f>IF(Table62202732333721[[#This Row],[Non-Member]]="X"," ",((IF(G12=" ",0,G12))+(IF(K12=" ",0,K12))+(IF(O12=" ",0,O12))+(IF(S12=" ",0,S12))+(IF(W12=" ",0,W12))+(IF(AA12=" ",0,AA12))+(IF(AE12=" ",0,AE12))+(IF(AI12=" ",0,AI12))))</f>
        <v>24</v>
      </c>
      <c r="AK12" s="95">
        <f t="shared" si="17"/>
        <v>24</v>
      </c>
      <c r="AL12" s="96">
        <f t="shared" si="18"/>
        <v>8</v>
      </c>
    </row>
    <row r="13" spans="2:38" x14ac:dyDescent="0.25">
      <c r="B13" s="90" t="s">
        <v>213</v>
      </c>
      <c r="C13" s="91"/>
      <c r="D13" s="92">
        <v>20.102</v>
      </c>
      <c r="E13" s="93">
        <f t="shared" si="0"/>
        <v>7</v>
      </c>
      <c r="F13" s="93" t="str">
        <f t="shared" si="1"/>
        <v xml:space="preserve"> </v>
      </c>
      <c r="G13" s="94" t="str">
        <f>IF(Table62202732333721[[#This Row],[Non-Member]]="X"," ",IF(F13=" "," ",IFERROR(VLOOKUP(E13,Points!$A$2:$B$14,2,FALSE)," ")))</f>
        <v xml:space="preserve"> </v>
      </c>
      <c r="H13" s="92">
        <v>22.565000000000001</v>
      </c>
      <c r="I13" s="93">
        <f t="shared" si="2"/>
        <v>13</v>
      </c>
      <c r="J13" s="96" t="str">
        <f t="shared" si="3"/>
        <v xml:space="preserve"> </v>
      </c>
      <c r="K13" s="94" t="str">
        <f>IF(Table62202732333721[[#This Row],[Non-Member]]="X"," ",IF(J13=" "," ",IFERROR(VLOOKUP(I13,Points!$A$2:$B$14,2,FALSE)," ")))</f>
        <v xml:space="preserve"> </v>
      </c>
      <c r="L13" s="92">
        <v>21.346</v>
      </c>
      <c r="M13" s="93">
        <f t="shared" si="4"/>
        <v>13</v>
      </c>
      <c r="N13" s="93" t="str">
        <f t="shared" si="5"/>
        <v xml:space="preserve"> </v>
      </c>
      <c r="O13" s="94" t="str">
        <f>IF(Table62202732333721[[#This Row],[Non-Member]]="X"," ",IF(N13=" "," ",IFERROR(VLOOKUP(M13,Points!$A$2:$B$14,2,FALSE)," ")))</f>
        <v xml:space="preserve"> </v>
      </c>
      <c r="P13" s="92">
        <v>18.795000000000002</v>
      </c>
      <c r="Q13" s="93">
        <f t="shared" si="6"/>
        <v>5</v>
      </c>
      <c r="R13" s="93">
        <f t="shared" si="7"/>
        <v>5</v>
      </c>
      <c r="S13" s="94">
        <f>IF(Table62202732333721[[#This Row],[Non-Member]]="X"," ",IF(R13=" "," ",IFERROR(VLOOKUP(Q13,Points!$A$2:$B$14,2,FALSE)," ")))</f>
        <v>6</v>
      </c>
      <c r="T13" s="92">
        <v>19.754999999999999</v>
      </c>
      <c r="U13" s="93">
        <f t="shared" si="8"/>
        <v>6</v>
      </c>
      <c r="V13" s="93">
        <f t="shared" si="9"/>
        <v>6</v>
      </c>
      <c r="W13" s="94">
        <f>IF(Table62202732333721[[#This Row],[Non-Member]]="X"," ",IF(V13=" "," ",IFERROR(VLOOKUP(U13,Points!$A$2:$B$14,2,FALSE)," ")))</f>
        <v>3</v>
      </c>
      <c r="X13" s="92">
        <v>20.446000000000002</v>
      </c>
      <c r="Y13" s="93">
        <f t="shared" si="10"/>
        <v>10</v>
      </c>
      <c r="Z13" s="93" t="str">
        <f t="shared" si="11"/>
        <v xml:space="preserve"> </v>
      </c>
      <c r="AA13" s="94" t="str">
        <f>IF(Table62202732333721[[#This Row],[Non-Member]]="X"," ",IF(Z13=" "," ",IFERROR(VLOOKUP(Y13,Points!$A$2:$B$14,2,FALSE)," ")))</f>
        <v xml:space="preserve"> </v>
      </c>
      <c r="AB13" s="92">
        <v>20.071999999999999</v>
      </c>
      <c r="AC13" s="93">
        <f t="shared" si="12"/>
        <v>9</v>
      </c>
      <c r="AD13" s="93" t="str">
        <f t="shared" si="13"/>
        <v xml:space="preserve"> </v>
      </c>
      <c r="AE13" s="94" t="str">
        <f>IF(Table62202732333721[[#This Row],[Non-Member]]="X"," ",IF(AD13=" "," ",IFERROR(VLOOKUP(AC13,Points!$A$2:$B$14,2,FALSE)," ")))</f>
        <v xml:space="preserve"> </v>
      </c>
      <c r="AF13" s="92">
        <f t="shared" si="14"/>
        <v>40.518000000000001</v>
      </c>
      <c r="AG13" s="93">
        <f t="shared" si="15"/>
        <v>8</v>
      </c>
      <c r="AH13" s="93" t="str">
        <f t="shared" si="16"/>
        <v xml:space="preserve"> </v>
      </c>
      <c r="AI13" s="94" t="str">
        <f>IF(Table62202732333721[[#This Row],[Non-Member]]="X"," ",IF(AH13=" "," ",IFERROR(VLOOKUP(AG13,Points!$A$2:$B$14,2,FALSE)," ")))</f>
        <v xml:space="preserve"> </v>
      </c>
      <c r="AJ13" s="93">
        <f>IF(Table62202732333721[[#This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7"/>
        <v>9</v>
      </c>
      <c r="AL13" s="96">
        <f t="shared" si="18"/>
        <v>9</v>
      </c>
    </row>
    <row r="14" spans="2:38" x14ac:dyDescent="0.25">
      <c r="B14" s="90" t="s">
        <v>88</v>
      </c>
      <c r="C14" s="91"/>
      <c r="D14" s="92">
        <v>22.576000000000001</v>
      </c>
      <c r="E14" s="93">
        <f t="shared" si="0"/>
        <v>10</v>
      </c>
      <c r="F14" s="93" t="str">
        <f t="shared" si="1"/>
        <v xml:space="preserve"> </v>
      </c>
      <c r="G14" s="94" t="str">
        <f>IF(Table62202732333721[[#This Row],[Non-Member]]="X"," ",IF(F14=" "," ",IFERROR(VLOOKUP(E14,Points!$A$2:$B$14,2,FALSE)," ")))</f>
        <v xml:space="preserve"> </v>
      </c>
      <c r="H14" s="92">
        <v>22.207000000000001</v>
      </c>
      <c r="I14" s="93">
        <f t="shared" si="2"/>
        <v>12</v>
      </c>
      <c r="J14" s="96" t="str">
        <f t="shared" si="3"/>
        <v xml:space="preserve"> </v>
      </c>
      <c r="K14" s="94" t="str">
        <f>IF(Table62202732333721[[#This Row],[Non-Member]]="X"," ",IF(J14=" "," ",IFERROR(VLOOKUP(I14,Points!$A$2:$B$14,2,FALSE)," ")))</f>
        <v xml:space="preserve"> </v>
      </c>
      <c r="L14" s="92">
        <v>19.675000000000001</v>
      </c>
      <c r="M14" s="93">
        <f t="shared" si="4"/>
        <v>11</v>
      </c>
      <c r="N14" s="93" t="str">
        <f t="shared" si="5"/>
        <v xml:space="preserve"> </v>
      </c>
      <c r="O14" s="94" t="str">
        <f>IF(Table62202732333721[[#This Row],[Non-Member]]="X"," ",IF(N14=" "," ",IFERROR(VLOOKUP(M14,Points!$A$2:$B$14,2,FALSE)," ")))</f>
        <v xml:space="preserve"> </v>
      </c>
      <c r="P14" s="92">
        <v>18.934000000000001</v>
      </c>
      <c r="Q14" s="93">
        <f t="shared" si="6"/>
        <v>6</v>
      </c>
      <c r="R14" s="93">
        <f t="shared" si="7"/>
        <v>6</v>
      </c>
      <c r="S14" s="94">
        <f>IF(Table62202732333721[[#This Row],[Non-Member]]="X"," ",IF(R14=" "," ",IFERROR(VLOOKUP(Q14,Points!$A$2:$B$14,2,FALSE)," ")))</f>
        <v>3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IF(Table62202732333721[[#This Row],[Non-Member]]="X"," ",IF(V14=" "," ",IFERROR(VLOOKUP(U14,Points!$A$2:$B$14,2,FALSE)," ")))</f>
        <v xml:space="preserve"> </v>
      </c>
      <c r="X14" s="92">
        <v>24.565999999999999</v>
      </c>
      <c r="Y14" s="93">
        <f t="shared" si="10"/>
        <v>13</v>
      </c>
      <c r="Z14" s="93" t="str">
        <f t="shared" si="11"/>
        <v xml:space="preserve"> </v>
      </c>
      <c r="AA14" s="94" t="str">
        <f>IF(Table62202732333721[[#This Row],[Non-Member]]="X"," ",IF(Z14=" "," ",IFERROR(VLOOKUP(Y14,Points!$A$2:$B$14,2,FALSE)," ")))</f>
        <v xml:space="preserve"> </v>
      </c>
      <c r="AB14" s="92">
        <v>0</v>
      </c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IF(Table62202732333721[[#This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IF(Table62202732333721[[#This Row],[Non-Member]]="X"," ",IF(AH14=" "," ",IFERROR(VLOOKUP(AG14,Points!$A$2:$B$14,2,FALSE)," ")))</f>
        <v xml:space="preserve"> </v>
      </c>
      <c r="AJ14" s="93">
        <f>IF(Table62202732333721[[#This Row],[Non-Member]]="X"," ",((IF(G14=" ",0,G14))+(IF(K14=" ",0,K14))+(IF(O14=" ",0,O14))+(IF(S14=" ",0,S14))+(IF(W14=" ",0,W14))+(IF(AA14=" ",0,AA14))+(IF(AE14=" ",0,AE14))+(IF(AI14=" ",0,AI14))))</f>
        <v>3</v>
      </c>
      <c r="AK14" s="95">
        <f t="shared" si="17"/>
        <v>3</v>
      </c>
      <c r="AL14" s="96">
        <f t="shared" si="18"/>
        <v>10</v>
      </c>
    </row>
    <row r="15" spans="2:38" x14ac:dyDescent="0.25">
      <c r="B15" s="90" t="s">
        <v>217</v>
      </c>
      <c r="C15" s="91"/>
      <c r="D15" s="92">
        <v>19.957000000000001</v>
      </c>
      <c r="E15" s="93">
        <f t="shared" si="0"/>
        <v>6</v>
      </c>
      <c r="F15" s="93">
        <f t="shared" si="1"/>
        <v>6</v>
      </c>
      <c r="G15" s="94">
        <f>IF(Table62202732333721[[#This Row],[Non-Member]]="X"," ",IF(F15=" "," ",IFERROR(VLOOKUP(E15,Points!$A$2:$B$14,2,FALSE)," ")))</f>
        <v>3</v>
      </c>
      <c r="H15" s="92">
        <v>25.431999999999999</v>
      </c>
      <c r="I15" s="93">
        <f t="shared" si="2"/>
        <v>15</v>
      </c>
      <c r="J15" s="96" t="str">
        <f t="shared" si="3"/>
        <v xml:space="preserve"> </v>
      </c>
      <c r="K15" s="94" t="str">
        <f>IF(Table62202732333721[[#This Row],[Non-Member]]="X"," ",IF(J15=" "," ",IFERROR(VLOOKUP(I15,Points!$A$2:$B$14,2,FALSE)," ")))</f>
        <v xml:space="preserve"> </v>
      </c>
      <c r="L15" s="92">
        <v>19.373999999999999</v>
      </c>
      <c r="M15" s="93">
        <f t="shared" si="4"/>
        <v>8</v>
      </c>
      <c r="N15" s="93" t="str">
        <f t="shared" si="5"/>
        <v xml:space="preserve"> </v>
      </c>
      <c r="O15" s="94" t="str">
        <f>IF(Table62202732333721[[#This Row],[Non-Member]]="X"," ",IF(N15=" "," ",IFERROR(VLOOKUP(M15,Points!$A$2:$B$14,2,FALSE)," ")))</f>
        <v xml:space="preserve"> </v>
      </c>
      <c r="P15" s="92">
        <v>0</v>
      </c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IF(Table62202732333721[[#This Row],[Non-Member]]="X"," ",IF(R15=" "," ",IFERROR(VLOOKUP(Q15,Points!$A$2:$B$14,2,FALSE)," ")))</f>
        <v xml:space="preserve"> </v>
      </c>
      <c r="T15" s="92">
        <v>24.379000000000001</v>
      </c>
      <c r="U15" s="93">
        <f t="shared" si="8"/>
        <v>12</v>
      </c>
      <c r="V15" s="93" t="str">
        <f t="shared" si="9"/>
        <v xml:space="preserve"> </v>
      </c>
      <c r="W15" s="94" t="str">
        <f>IF(Table62202732333721[[#This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IF(Table62202732333721[[#This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IF(Table62202732333721[[#This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IF(Table62202732333721[[#This Row],[Non-Member]]="X"," ",IF(AH15=" "," ",IFERROR(VLOOKUP(AG15,Points!$A$2:$B$14,2,FALSE)," ")))</f>
        <v xml:space="preserve"> </v>
      </c>
      <c r="AJ15" s="93">
        <f>IF(Table62202732333721[[#This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7"/>
        <v>3</v>
      </c>
      <c r="AL15" s="96">
        <f t="shared" si="18"/>
        <v>10</v>
      </c>
    </row>
    <row r="16" spans="2:38" x14ac:dyDescent="0.25">
      <c r="B16" s="90" t="s">
        <v>281</v>
      </c>
      <c r="C16" s="91" t="s">
        <v>95</v>
      </c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IF(Table62202732333721[[#This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8" t="str">
        <f t="shared" si="3"/>
        <v xml:space="preserve"> </v>
      </c>
      <c r="K16" s="94" t="str">
        <f>IF(Table62202732333721[[#This Row],[Non-Member]]="X"," ",IF(J16=" "," ",IFERROR(VLOOKUP(I16,Points!$A$2:$B$14,2,FALSE)," ")))</f>
        <v xml:space="preserve"> </v>
      </c>
      <c r="L16" s="92">
        <v>19.273</v>
      </c>
      <c r="M16" s="97">
        <f t="shared" si="4"/>
        <v>7</v>
      </c>
      <c r="N16" s="97" t="str">
        <f t="shared" si="5"/>
        <v xml:space="preserve"> </v>
      </c>
      <c r="O16" s="94" t="str">
        <f>IF(Table62202732333721[[#This Row],[Non-Member]]="X"," ",IF(N16=" "," ",IFERROR(VLOOKUP(M16,Points!$A$2:$B$14,2,FALSE)," ")))</f>
        <v xml:space="preserve"> </v>
      </c>
      <c r="P16" s="92">
        <v>19.236999999999998</v>
      </c>
      <c r="Q16" s="97">
        <f t="shared" si="6"/>
        <v>7</v>
      </c>
      <c r="R16" s="97" t="str">
        <f t="shared" si="7"/>
        <v xml:space="preserve"> </v>
      </c>
      <c r="S16" s="94" t="str">
        <f>IF(Table62202732333721[[#This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IF(Table62202732333721[[#This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IF(Table62202732333721[[#This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IF(Table62202732333721[[#This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8" t="str">
        <f t="shared" si="15"/>
        <v xml:space="preserve"> </v>
      </c>
      <c r="AH16" s="97" t="str">
        <f t="shared" si="16"/>
        <v xml:space="preserve"> </v>
      </c>
      <c r="AI16" s="94" t="str">
        <f>IF(Table62202732333721[[#This Row],[Non-Member]]="X"," ",IF(AH16=" "," ",IFERROR(VLOOKUP(AG16,Points!$A$2:$B$14,2,FALSE)," ")))</f>
        <v xml:space="preserve"> </v>
      </c>
      <c r="AJ16" s="97" t="str">
        <f>IF(Table62202732333721[[#This Row],[Non-Member]]="X"," ",((IF(G16=" ",0,G16))+(IF(K16=" ",0,K16))+(IF(O16=" ",0,O16))+(IF(S16=" ",0,S16))+(IF(W16=" ",0,W16))+(IF(AA16=" ",0,AA16))+(IF(AE16=" ",0,AE16))+(IF(AI16=" ",0,AI16))))</f>
        <v xml:space="preserve"> </v>
      </c>
      <c r="AK16" s="153" t="str">
        <f t="shared" si="17"/>
        <v xml:space="preserve"> </v>
      </c>
      <c r="AL16" s="98" t="str">
        <f t="shared" si="18"/>
        <v xml:space="preserve"> </v>
      </c>
    </row>
    <row r="17" spans="2:38" x14ac:dyDescent="0.25">
      <c r="B17" s="90" t="s">
        <v>97</v>
      </c>
      <c r="C17" s="91"/>
      <c r="D17" s="92">
        <v>35.351999999999997</v>
      </c>
      <c r="E17" s="93">
        <f t="shared" si="0"/>
        <v>17</v>
      </c>
      <c r="F17" s="93" t="str">
        <f t="shared" si="1"/>
        <v xml:space="preserve"> </v>
      </c>
      <c r="G17" s="94" t="str">
        <f>IF(Table62202732333721[[#This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6" t="str">
        <f t="shared" si="3"/>
        <v xml:space="preserve"> </v>
      </c>
      <c r="K17" s="94" t="str">
        <f>IF(Table62202732333721[[#This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IF(Table62202732333721[[#This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IF(Table62202732333721[[#This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IF(Table62202732333721[[#This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IF(Table62202732333721[[#This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IF(Table62202732333721[[#This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IF(Table62202732333721[[#This Row],[Non-Member]]="X"," ",IF(AH17=" "," ",IFERROR(VLOOKUP(AG17,Points!$A$2:$B$14,2,FALSE)," ")))</f>
        <v xml:space="preserve"> </v>
      </c>
      <c r="AJ17" s="93">
        <f>IF(Table62202732333721[[#This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25">
      <c r="B18" s="90" t="s">
        <v>215</v>
      </c>
      <c r="C18" s="91"/>
      <c r="D18" s="92">
        <v>0</v>
      </c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IF(Table62202732333721[[#This Row],[Non-Member]]="X"," ",IF(F18=" "," ",IFERROR(VLOOKUP(E18,Points!$A$2:$B$14,2,FALSE)," ")))</f>
        <v xml:space="preserve"> </v>
      </c>
      <c r="H18" s="92">
        <v>22.126000000000001</v>
      </c>
      <c r="I18" s="97">
        <f t="shared" si="2"/>
        <v>11</v>
      </c>
      <c r="J18" s="98" t="str">
        <f t="shared" si="3"/>
        <v xml:space="preserve"> </v>
      </c>
      <c r="K18" s="94" t="str">
        <f>IF(Table62202732333721[[#This Row],[Non-Member]]="X"," ",IF(J18=" "," ",IFERROR(VLOOKUP(I18,Points!$A$2:$B$14,2,FALSE)," ")))</f>
        <v xml:space="preserve"> </v>
      </c>
      <c r="L18" s="92">
        <v>22.611000000000001</v>
      </c>
      <c r="M18" s="97">
        <f t="shared" si="4"/>
        <v>16</v>
      </c>
      <c r="N18" s="97" t="str">
        <f t="shared" si="5"/>
        <v xml:space="preserve"> </v>
      </c>
      <c r="O18" s="94" t="str">
        <f>IF(Table62202732333721[[#This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IF(Table62202732333721[[#This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IF(Table62202732333721[[#This Row],[Non-Member]]="X"," ",IF(V18=" "," ",IFERROR(VLOOKUP(U18,Points!$A$2:$B$14,2,FALSE)," ")))</f>
        <v xml:space="preserve"> </v>
      </c>
      <c r="X18" s="92">
        <v>22.454000000000001</v>
      </c>
      <c r="Y18" s="97">
        <f t="shared" si="10"/>
        <v>11</v>
      </c>
      <c r="Z18" s="97" t="str">
        <f t="shared" si="11"/>
        <v xml:space="preserve"> </v>
      </c>
      <c r="AA18" s="94" t="str">
        <f>IF(Table62202732333721[[#This Row],[Non-Member]]="X"," ",IF(Z18=" "," ",IFERROR(VLOOKUP(Y18,Points!$A$2:$B$14,2,FALSE)," ")))</f>
        <v xml:space="preserve"> </v>
      </c>
      <c r="AB18" s="92">
        <v>25.013000000000002</v>
      </c>
      <c r="AC18" s="97">
        <f t="shared" si="12"/>
        <v>12</v>
      </c>
      <c r="AD18" s="97" t="str">
        <f t="shared" si="13"/>
        <v xml:space="preserve"> </v>
      </c>
      <c r="AE18" s="94" t="str">
        <f>IF(Table62202732333721[[#This Row],[Non-Member]]="X"," ",IF(AD18=" "," ",IFERROR(VLOOKUP(AC18,Points!$A$2:$B$14,2,FALSE)," ")))</f>
        <v xml:space="preserve"> </v>
      </c>
      <c r="AF18" s="92">
        <f t="shared" si="14"/>
        <v>47.466999999999999</v>
      </c>
      <c r="AG18" s="97">
        <f t="shared" si="15"/>
        <v>13</v>
      </c>
      <c r="AH18" s="97" t="str">
        <f t="shared" si="16"/>
        <v xml:space="preserve"> </v>
      </c>
      <c r="AI18" s="94" t="str">
        <f>IF(Table62202732333721[[#This Row],[Non-Member]]="X"," ",IF(AH18=" "," ",IFERROR(VLOOKUP(AG18,Points!$A$2:$B$14,2,FALSE)," ")))</f>
        <v xml:space="preserve"> </v>
      </c>
      <c r="AJ18" s="97">
        <f>IF(Table62202732333721[[#This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 t="s">
        <v>246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IF(Table62202732333721[[#This Row],[Non-Member]]="X"," ",IF(F19=" "," ",IFERROR(VLOOKUP(E19,Points!$A$2:$B$14,2,FALSE)," ")))</f>
        <v xml:space="preserve"> </v>
      </c>
      <c r="H19" s="92">
        <v>28.163</v>
      </c>
      <c r="I19" s="93">
        <f t="shared" si="2"/>
        <v>16</v>
      </c>
      <c r="J19" s="96" t="str">
        <f t="shared" si="3"/>
        <v xml:space="preserve"> </v>
      </c>
      <c r="K19" s="94" t="str">
        <f>IF(Table62202732333721[[#This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IF(Table62202732333721[[#This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IF(Table62202732333721[[#This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IF(Table62202732333721[[#This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IF(Table62202732333721[[#This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IF(Table62202732333721[[#This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IF(Table62202732333721[[#This Row],[Non-Member]]="X"," ",IF(AH19=" "," ",IFERROR(VLOOKUP(AG19,Points!$A$2:$B$14,2,FALSE)," ")))</f>
        <v xml:space="preserve"> </v>
      </c>
      <c r="AJ19" s="93">
        <f>IF(Table62202732333721[[#This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 t="s">
        <v>245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IF(Table62202732333721[[#This Row],[Non-Member]]="X"," ",IF(F20=" "," ",IFERROR(VLOOKUP(E20,Points!$A$2:$B$14,2,FALSE)," ")))</f>
        <v xml:space="preserve"> </v>
      </c>
      <c r="H20" s="92">
        <v>29.699000000000002</v>
      </c>
      <c r="I20" s="93">
        <f t="shared" si="2"/>
        <v>17</v>
      </c>
      <c r="J20" s="96" t="str">
        <f t="shared" si="3"/>
        <v xml:space="preserve"> </v>
      </c>
      <c r="K20" s="94" t="str">
        <f>IF(Table62202732333721[[#This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IF(Table62202732333721[[#This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IF(Table62202732333721[[#This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IF(Table62202732333721[[#This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IF(Table62202732333721[[#This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IF(Table62202732333721[[#This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IF(Table62202732333721[[#This Row],[Non-Member]]="X"," ",IF(AH20=" "," ",IFERROR(VLOOKUP(AG20,Points!$A$2:$B$14,2,FALSE)," ")))</f>
        <v xml:space="preserve"> </v>
      </c>
      <c r="AJ20" s="93">
        <f>IF(Table62202732333721[[#This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 t="s">
        <v>142</v>
      </c>
      <c r="C21" s="91"/>
      <c r="D21" s="92">
        <v>32.173999999999999</v>
      </c>
      <c r="E21" s="93">
        <f t="shared" si="0"/>
        <v>16</v>
      </c>
      <c r="F21" s="93" t="str">
        <f t="shared" si="1"/>
        <v xml:space="preserve"> </v>
      </c>
      <c r="G21" s="94" t="str">
        <f>IF(Table62202732333721[[#This Row],[Non-Member]]="X"," ",IF(F21=" "," ",IFERROR(VLOOKUP(E21,Points!$A$2:$B$14,2,FALSE)," ")))</f>
        <v xml:space="preserve"> </v>
      </c>
      <c r="H21" s="92">
        <v>21.452000000000002</v>
      </c>
      <c r="I21" s="93">
        <f t="shared" si="2"/>
        <v>8</v>
      </c>
      <c r="J21" s="96" t="str">
        <f t="shared" si="3"/>
        <v xml:space="preserve"> </v>
      </c>
      <c r="K21" s="94" t="str">
        <f>IF(Table62202732333721[[#This Row],[Non-Member]]="X"," ",IF(J21=" "," ",IFERROR(VLOOKUP(I21,Points!$A$2:$B$14,2,FALSE)," ")))</f>
        <v xml:space="preserve"> </v>
      </c>
      <c r="L21" s="92">
        <v>19.465</v>
      </c>
      <c r="M21" s="93">
        <f t="shared" si="4"/>
        <v>9</v>
      </c>
      <c r="N21" s="93" t="str">
        <f t="shared" si="5"/>
        <v xml:space="preserve"> </v>
      </c>
      <c r="O21" s="94" t="str">
        <f>IF(Table62202732333721[[#This Row],[Non-Member]]="X"," ",IF(N21=" "," ",IFERROR(VLOOKUP(M21,Points!$A$2:$B$14,2,FALSE)," ")))</f>
        <v xml:space="preserve"> </v>
      </c>
      <c r="P21" s="92">
        <v>24.372</v>
      </c>
      <c r="Q21" s="93">
        <f t="shared" si="6"/>
        <v>13</v>
      </c>
      <c r="R21" s="93" t="str">
        <f t="shared" si="7"/>
        <v xml:space="preserve"> </v>
      </c>
      <c r="S21" s="94" t="str">
        <f>IF(Table62202732333721[[#This Row],[Non-Member]]="X"," ",IF(R21=" "," ",IFERROR(VLOOKUP(Q21,Points!$A$2:$B$14,2,FALSE)," ")))</f>
        <v xml:space="preserve"> </v>
      </c>
      <c r="T21" s="92">
        <v>19.91</v>
      </c>
      <c r="U21" s="93">
        <f t="shared" si="8"/>
        <v>7</v>
      </c>
      <c r="V21" s="93" t="str">
        <f t="shared" si="9"/>
        <v xml:space="preserve"> </v>
      </c>
      <c r="W21" s="94" t="str">
        <f>IF(Table62202732333721[[#This Row],[Non-Member]]="X"," ",IF(V21=" "," ",IFERROR(VLOOKUP(U21,Points!$A$2:$B$14,2,FALSE)," ")))</f>
        <v xml:space="preserve"> </v>
      </c>
      <c r="X21" s="92">
        <v>19.513999999999999</v>
      </c>
      <c r="Y21" s="93">
        <f t="shared" si="10"/>
        <v>8</v>
      </c>
      <c r="Z21" s="93" t="str">
        <f t="shared" si="11"/>
        <v xml:space="preserve"> </v>
      </c>
      <c r="AA21" s="94" t="str">
        <f>IF(Table62202732333721[[#This Row],[Non-Member]]="X"," ",IF(Z21=" "," ",IFERROR(VLOOKUP(Y21,Points!$A$2:$B$14,2,FALSE)," ")))</f>
        <v xml:space="preserve"> </v>
      </c>
      <c r="AB21" s="92">
        <v>24.652999999999999</v>
      </c>
      <c r="AC21" s="93">
        <f t="shared" si="12"/>
        <v>11</v>
      </c>
      <c r="AD21" s="93" t="str">
        <f t="shared" si="13"/>
        <v xml:space="preserve"> </v>
      </c>
      <c r="AE21" s="94" t="str">
        <f>IF(Table62202732333721[[#This Row],[Non-Member]]="X"," ",IF(AD21=" "," ",IFERROR(VLOOKUP(AC21,Points!$A$2:$B$14,2,FALSE)," ")))</f>
        <v xml:space="preserve"> </v>
      </c>
      <c r="AF21" s="92">
        <f t="shared" si="14"/>
        <v>44.167000000000002</v>
      </c>
      <c r="AG21" s="93">
        <f t="shared" si="15"/>
        <v>9</v>
      </c>
      <c r="AH21" s="93" t="str">
        <f t="shared" si="16"/>
        <v xml:space="preserve"> </v>
      </c>
      <c r="AI21" s="94" t="str">
        <f>IF(Table62202732333721[[#This Row],[Non-Member]]="X"," ",IF(AH21=" "," ",IFERROR(VLOOKUP(AG21,Points!$A$2:$B$14,2,FALSE)," ")))</f>
        <v xml:space="preserve"> </v>
      </c>
      <c r="AJ21" s="93">
        <f>IF(Table62202732333721[[#This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 t="s">
        <v>141</v>
      </c>
      <c r="C22" s="91"/>
      <c r="D22" s="92">
        <v>22.032</v>
      </c>
      <c r="E22" s="97">
        <f t="shared" si="0"/>
        <v>9</v>
      </c>
      <c r="F22" s="97" t="str">
        <f t="shared" si="1"/>
        <v xml:space="preserve"> </v>
      </c>
      <c r="G22" s="94" t="str">
        <f>IF(Table62202732333721[[#This Row],[Non-Member]]="X"," ",IF(F22=" "," ",IFERROR(VLOOKUP(E22,Points!$A$2:$B$14,2,FALSE)," ")))</f>
        <v xml:space="preserve"> </v>
      </c>
      <c r="H22" s="92">
        <v>20.050999999999998</v>
      </c>
      <c r="I22" s="97">
        <f t="shared" si="2"/>
        <v>7</v>
      </c>
      <c r="J22" s="98" t="str">
        <f t="shared" si="3"/>
        <v xml:space="preserve"> </v>
      </c>
      <c r="K22" s="94" t="str">
        <f>IF(Table62202732333721[[#This Row],[Non-Member]]="X"," ",IF(J22=" "," ",IFERROR(VLOOKUP(I22,Points!$A$2:$B$14,2,FALSE)," ")))</f>
        <v xml:space="preserve"> </v>
      </c>
      <c r="L22" s="92">
        <v>22.088999999999999</v>
      </c>
      <c r="M22" s="97">
        <f t="shared" si="4"/>
        <v>15</v>
      </c>
      <c r="N22" s="97" t="str">
        <f t="shared" si="5"/>
        <v xml:space="preserve"> </v>
      </c>
      <c r="O22" s="94" t="str">
        <f>IF(Table62202732333721[[#This Row],[Non-Member]]="X"," ",IF(N22=" "," ",IFERROR(VLOOKUP(M22,Points!$A$2:$B$14,2,FALSE)," ")))</f>
        <v xml:space="preserve"> </v>
      </c>
      <c r="P22" s="92">
        <v>19.693999999999999</v>
      </c>
      <c r="Q22" s="97">
        <f t="shared" si="6"/>
        <v>8</v>
      </c>
      <c r="R22" s="97" t="str">
        <f t="shared" si="7"/>
        <v xml:space="preserve"> </v>
      </c>
      <c r="S22" s="94" t="str">
        <f>IF(Table62202732333721[[#This Row],[Non-Member]]="X"," ",IF(R22=" "," ",IFERROR(VLOOKUP(Q22,Points!$A$2:$B$14,2,FALSE)," ")))</f>
        <v xml:space="preserve"> </v>
      </c>
      <c r="T22" s="92">
        <v>19.952000000000002</v>
      </c>
      <c r="U22" s="97">
        <f t="shared" si="8"/>
        <v>8</v>
      </c>
      <c r="V22" s="97" t="str">
        <f t="shared" si="9"/>
        <v xml:space="preserve"> </v>
      </c>
      <c r="W22" s="94" t="str">
        <f>IF(Table62202732333721[[#This Row],[Non-Member]]="X"," ",IF(V22=" "," ",IFERROR(VLOOKUP(U22,Points!$A$2:$B$14,2,FALSE)," ")))</f>
        <v xml:space="preserve"> </v>
      </c>
      <c r="X22" s="92">
        <v>19.457999999999998</v>
      </c>
      <c r="Y22" s="97">
        <f t="shared" si="10"/>
        <v>7</v>
      </c>
      <c r="Z22" s="97" t="str">
        <f t="shared" si="11"/>
        <v xml:space="preserve"> </v>
      </c>
      <c r="AA22" s="94" t="str">
        <f>IF(Table62202732333721[[#This Row],[Non-Member]]="X"," ",IF(Z22=" "," ",IFERROR(VLOOKUP(Y22,Points!$A$2:$B$14,2,FALSE)," ")))</f>
        <v xml:space="preserve"> </v>
      </c>
      <c r="AB22" s="92">
        <v>19.759</v>
      </c>
      <c r="AC22" s="97">
        <f t="shared" si="12"/>
        <v>7</v>
      </c>
      <c r="AD22" s="97" t="str">
        <f t="shared" si="13"/>
        <v xml:space="preserve"> </v>
      </c>
      <c r="AE22" s="94" t="str">
        <f>IF(Table62202732333721[[#This Row],[Non-Member]]="X"," ",IF(AD22=" "," ",IFERROR(VLOOKUP(AC22,Points!$A$2:$B$14,2,FALSE)," ")))</f>
        <v xml:space="preserve"> </v>
      </c>
      <c r="AF22" s="92">
        <f t="shared" si="14"/>
        <v>39.216999999999999</v>
      </c>
      <c r="AG22" s="97">
        <f t="shared" si="15"/>
        <v>7</v>
      </c>
      <c r="AH22" s="97" t="str">
        <f t="shared" si="16"/>
        <v xml:space="preserve"> </v>
      </c>
      <c r="AI22" s="94" t="str">
        <f>IF(Table62202732333721[[#This Row],[Non-Member]]="X"," ",IF(AH22=" "," ",IFERROR(VLOOKUP(AG22,Points!$A$2:$B$14,2,FALSE)," ")))</f>
        <v xml:space="preserve"> </v>
      </c>
      <c r="AJ22" s="97">
        <f>IF(Table62202732333721[[#This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8" t="str">
        <f t="shared" si="18"/>
        <v xml:space="preserve"> </v>
      </c>
    </row>
    <row r="23" spans="2:38" x14ac:dyDescent="0.25">
      <c r="B23" s="90" t="s">
        <v>145</v>
      </c>
      <c r="C23" s="91"/>
      <c r="D23" s="92">
        <v>21.271000000000001</v>
      </c>
      <c r="E23" s="97">
        <f t="shared" si="0"/>
        <v>8</v>
      </c>
      <c r="F23" s="97" t="str">
        <f t="shared" si="1"/>
        <v xml:space="preserve"> </v>
      </c>
      <c r="G23" s="94" t="str">
        <f>IF(Table62202732333721[[#This Row],[Non-Member]]="X"," ",IF(F23=" "," ",IFERROR(VLOOKUP(E23,Points!$A$2:$B$14,2,FALSE)," ")))</f>
        <v xml:space="preserve"> </v>
      </c>
      <c r="H23" s="92">
        <v>21.468</v>
      </c>
      <c r="I23" s="97">
        <f t="shared" si="2"/>
        <v>9</v>
      </c>
      <c r="J23" s="98" t="str">
        <f t="shared" si="3"/>
        <v xml:space="preserve"> </v>
      </c>
      <c r="K23" s="94" t="str">
        <f>IF(Table62202732333721[[#This Row],[Non-Member]]="X"," ",IF(J23=" "," ",IFERROR(VLOOKUP(I23,Points!$A$2:$B$14,2,FALSE)," ")))</f>
        <v xml:space="preserve"> </v>
      </c>
      <c r="L23" s="92">
        <v>23.75</v>
      </c>
      <c r="M23" s="97">
        <f t="shared" si="4"/>
        <v>17</v>
      </c>
      <c r="N23" s="97" t="str">
        <f t="shared" si="5"/>
        <v xml:space="preserve"> </v>
      </c>
      <c r="O23" s="94" t="str">
        <f>IF(Table62202732333721[[#This Row],[Non-Member]]="X"," ",IF(N23=" "," ",IFERROR(VLOOKUP(M23,Points!$A$2:$B$14,2,FALSE)," ")))</f>
        <v xml:space="preserve"> </v>
      </c>
      <c r="P23" s="92">
        <v>24.253</v>
      </c>
      <c r="Q23" s="97">
        <f t="shared" si="6"/>
        <v>12</v>
      </c>
      <c r="R23" s="97" t="str">
        <f t="shared" si="7"/>
        <v xml:space="preserve"> </v>
      </c>
      <c r="S23" s="94" t="str">
        <f>IF(Table62202732333721[[#This Row],[Non-Member]]="X"," ",IF(R23=" "," ",IFERROR(VLOOKUP(Q23,Points!$A$2:$B$14,2,FALSE)," ")))</f>
        <v xml:space="preserve"> </v>
      </c>
      <c r="T23" s="92">
        <v>20.053999999999998</v>
      </c>
      <c r="U23" s="97">
        <f t="shared" si="8"/>
        <v>9</v>
      </c>
      <c r="V23" s="97" t="str">
        <f t="shared" si="9"/>
        <v xml:space="preserve"> </v>
      </c>
      <c r="W23" s="94" t="str">
        <f>IF(Table62202732333721[[#This Row],[Non-Member]]="X"," ",IF(V23=" "," ",IFERROR(VLOOKUP(U23,Points!$A$2:$B$14,2,FALSE)," ")))</f>
        <v xml:space="preserve"> </v>
      </c>
      <c r="X23" s="92">
        <v>22.867000000000001</v>
      </c>
      <c r="Y23" s="97">
        <f t="shared" si="10"/>
        <v>12</v>
      </c>
      <c r="Z23" s="97" t="str">
        <f t="shared" si="11"/>
        <v xml:space="preserve"> </v>
      </c>
      <c r="AA23" s="94" t="str">
        <f>IF(Table62202732333721[[#This Row],[Non-Member]]="X"," ",IF(Z23=" "," ",IFERROR(VLOOKUP(Y23,Points!$A$2:$B$14,2,FALSE)," ")))</f>
        <v xml:space="preserve"> </v>
      </c>
      <c r="AB23" s="92">
        <v>22.016999999999999</v>
      </c>
      <c r="AC23" s="97">
        <f t="shared" si="12"/>
        <v>10</v>
      </c>
      <c r="AD23" s="97" t="str">
        <f t="shared" si="13"/>
        <v xml:space="preserve"> </v>
      </c>
      <c r="AE23" s="94" t="str">
        <f>IF(Table62202732333721[[#This Row],[Non-Member]]="X"," ",IF(AD23=" "," ",IFERROR(VLOOKUP(AC23,Points!$A$2:$B$14,2,FALSE)," ")))</f>
        <v xml:space="preserve"> </v>
      </c>
      <c r="AF23" s="92">
        <f t="shared" si="14"/>
        <v>44.884</v>
      </c>
      <c r="AG23" s="97">
        <f t="shared" si="15"/>
        <v>11</v>
      </c>
      <c r="AH23" s="97" t="str">
        <f t="shared" si="16"/>
        <v xml:space="preserve"> </v>
      </c>
      <c r="AI23" s="94" t="str">
        <f>IF(Table62202732333721[[#This Row],[Non-Member]]="X"," ",IF(AH23=" "," ",IFERROR(VLOOKUP(AG23,Points!$A$2:$B$14,2,FALSE)," ")))</f>
        <v xml:space="preserve"> </v>
      </c>
      <c r="AJ23" s="97">
        <f>IF(Table62202732333721[[#This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8" t="str">
        <f t="shared" si="18"/>
        <v xml:space="preserve"> </v>
      </c>
    </row>
    <row r="24" spans="2:38" x14ac:dyDescent="0.25">
      <c r="B24" s="90" t="s">
        <v>216</v>
      </c>
      <c r="C24" s="91"/>
      <c r="D24" s="92">
        <v>26.187999999999999</v>
      </c>
      <c r="E24" s="93">
        <f t="shared" si="0"/>
        <v>14</v>
      </c>
      <c r="F24" s="93" t="str">
        <f t="shared" si="1"/>
        <v xml:space="preserve"> </v>
      </c>
      <c r="G24" s="94" t="str">
        <f>IF(Table62202732333721[[#This Row],[Non-Member]]="X"," ",IF(F24=" "," ",IFERROR(VLOOKUP(E24,Points!$A$2:$B$14,2,FALSE)," ")))</f>
        <v xml:space="preserve"> </v>
      </c>
      <c r="H24" s="92">
        <v>21.613</v>
      </c>
      <c r="I24" s="93">
        <f t="shared" si="2"/>
        <v>10</v>
      </c>
      <c r="J24" s="96" t="str">
        <f t="shared" si="3"/>
        <v xml:space="preserve"> </v>
      </c>
      <c r="K24" s="94" t="str">
        <f>IF(Table62202732333721[[#This Row],[Non-Member]]="X"," ",IF(J24=" "," ",IFERROR(VLOOKUP(I24,Points!$A$2:$B$14,2,FALSE)," ")))</f>
        <v xml:space="preserve"> </v>
      </c>
      <c r="L24" s="92">
        <v>19.516999999999999</v>
      </c>
      <c r="M24" s="93">
        <f t="shared" si="4"/>
        <v>10</v>
      </c>
      <c r="N24" s="93" t="str">
        <f t="shared" si="5"/>
        <v xml:space="preserve"> </v>
      </c>
      <c r="O24" s="94" t="str">
        <f>IF(Table62202732333721[[#This Row],[Non-Member]]="X"," ",IF(N24=" "," ",IFERROR(VLOOKUP(M24,Points!$A$2:$B$14,2,FALSE)," ")))</f>
        <v xml:space="preserve"> </v>
      </c>
      <c r="P24" s="92">
        <v>25.5</v>
      </c>
      <c r="Q24" s="93">
        <f t="shared" si="6"/>
        <v>14</v>
      </c>
      <c r="R24" s="93" t="str">
        <f t="shared" si="7"/>
        <v xml:space="preserve"> </v>
      </c>
      <c r="S24" s="94" t="str">
        <f>IF(Table62202732333721[[#This Row],[Non-Member]]="X"," ",IF(R24=" "," ",IFERROR(VLOOKUP(Q24,Points!$A$2:$B$14,2,FALSE)," ")))</f>
        <v xml:space="preserve"> </v>
      </c>
      <c r="T24" s="92">
        <v>21.234999999999999</v>
      </c>
      <c r="U24" s="93">
        <f t="shared" si="8"/>
        <v>10</v>
      </c>
      <c r="V24" s="93" t="str">
        <f t="shared" si="9"/>
        <v xml:space="preserve"> </v>
      </c>
      <c r="W24" s="94" t="str">
        <f>IF(Table62202732333721[[#This Row],[Non-Member]]="X"," ",IF(V24=" "," ",IFERROR(VLOOKUP(U24,Points!$A$2:$B$14,2,FALSE)," ")))</f>
        <v xml:space="preserve"> </v>
      </c>
      <c r="X24" s="92">
        <v>25.43</v>
      </c>
      <c r="Y24" s="93">
        <f t="shared" si="10"/>
        <v>14</v>
      </c>
      <c r="Z24" s="93" t="str">
        <f t="shared" si="11"/>
        <v xml:space="preserve"> </v>
      </c>
      <c r="AA24" s="94" t="str">
        <f>IF(Table62202732333721[[#This Row],[Non-Member]]="X"," ",IF(Z24=" "," ",IFERROR(VLOOKUP(Y24,Points!$A$2:$B$14,2,FALSE)," ")))</f>
        <v xml:space="preserve"> </v>
      </c>
      <c r="AB24" s="92">
        <v>19.872</v>
      </c>
      <c r="AC24" s="93">
        <f t="shared" si="12"/>
        <v>8</v>
      </c>
      <c r="AD24" s="93" t="str">
        <f t="shared" si="13"/>
        <v xml:space="preserve"> </v>
      </c>
      <c r="AE24" s="94" t="str">
        <f>IF(Table62202732333721[[#This Row],[Non-Member]]="X"," ",IF(AD24=" "," ",IFERROR(VLOOKUP(AC24,Points!$A$2:$B$14,2,FALSE)," ")))</f>
        <v xml:space="preserve"> </v>
      </c>
      <c r="AF24" s="92">
        <f t="shared" si="14"/>
        <v>45.302</v>
      </c>
      <c r="AG24" s="93">
        <f t="shared" si="15"/>
        <v>12</v>
      </c>
      <c r="AH24" s="93" t="str">
        <f t="shared" si="16"/>
        <v xml:space="preserve"> </v>
      </c>
      <c r="AI24" s="94" t="str">
        <f>IF(Table62202732333721[[#This Row],[Non-Member]]="X"," ",IF(AH24=" "," ",IFERROR(VLOOKUP(AG24,Points!$A$2:$B$14,2,FALSE)," ")))</f>
        <v xml:space="preserve"> </v>
      </c>
      <c r="AJ24" s="93">
        <f>IF(Table62202732333721[[#This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0" t="s">
        <v>214</v>
      </c>
      <c r="C25" s="101"/>
      <c r="D25" s="102">
        <v>29.192</v>
      </c>
      <c r="E25" s="103">
        <f t="shared" si="0"/>
        <v>15</v>
      </c>
      <c r="F25" s="103" t="str">
        <f t="shared" si="1"/>
        <v xml:space="preserve"> </v>
      </c>
      <c r="G25" s="104" t="str">
        <f>IF(Table62202732333721[[#This Row],[Non-Member]]="X"," ",IF(F25=" "," ",IFERROR(VLOOKUP(E25,Points!$A$2:$B$14,2,FALSE)," ")))</f>
        <v xml:space="preserve"> </v>
      </c>
      <c r="H25" s="159">
        <v>0</v>
      </c>
      <c r="I25" s="103" t="str">
        <f t="shared" si="2"/>
        <v xml:space="preserve"> </v>
      </c>
      <c r="J25" s="149" t="str">
        <f t="shared" si="3"/>
        <v xml:space="preserve"> </v>
      </c>
      <c r="K25" s="104" t="str">
        <f>IF(Table62202732333721[[#This Row],[Non-Member]]="X"," ",IF(J25=" "," ",IFERROR(VLOOKUP(I25,Points!$A$2:$B$14,2,FALSE)," ")))</f>
        <v xml:space="preserve"> </v>
      </c>
      <c r="L25" s="102">
        <v>27.5</v>
      </c>
      <c r="M25" s="103">
        <f t="shared" si="4"/>
        <v>18</v>
      </c>
      <c r="N25" s="103" t="str">
        <f t="shared" si="5"/>
        <v xml:space="preserve"> </v>
      </c>
      <c r="O25" s="104" t="str">
        <f>IF(Table62202732333721[[#This Row],[Non-Member]]="X"," ",IF(N25=" "," ",IFERROR(VLOOKUP(M25,Points!$A$2:$B$14,2,FALSE)," ")))</f>
        <v xml:space="preserve"> </v>
      </c>
      <c r="P25" s="102">
        <v>0</v>
      </c>
      <c r="Q25" s="103" t="str">
        <f t="shared" si="6"/>
        <v xml:space="preserve"> </v>
      </c>
      <c r="R25" s="103" t="str">
        <f t="shared" si="7"/>
        <v xml:space="preserve"> </v>
      </c>
      <c r="S25" s="104" t="str">
        <f>IF(Table62202732333721[[#This Row],[Non-Member]]="X"," ",IF(R25=" "," ",IFERROR(VLOOKUP(Q25,Points!$A$2:$B$14,2,FALSE)," ")))</f>
        <v xml:space="preserve"> </v>
      </c>
      <c r="T25" s="102">
        <v>0</v>
      </c>
      <c r="U25" s="103" t="str">
        <f t="shared" si="8"/>
        <v xml:space="preserve"> </v>
      </c>
      <c r="V25" s="103" t="str">
        <f t="shared" si="9"/>
        <v xml:space="preserve"> </v>
      </c>
      <c r="W25" s="104" t="str">
        <f>IF(Table62202732333721[[#This Row],[Non-Member]]="X"," ",IF(V25=" "," ",IFERROR(VLOOKUP(U25,Points!$A$2:$B$14,2,FALSE)," ")))</f>
        <v xml:space="preserve"> </v>
      </c>
      <c r="X25" s="102">
        <v>28.413</v>
      </c>
      <c r="Y25" s="103">
        <f t="shared" si="10"/>
        <v>15</v>
      </c>
      <c r="Z25" s="103" t="str">
        <f t="shared" si="11"/>
        <v xml:space="preserve"> </v>
      </c>
      <c r="AA25" s="104" t="str">
        <f>IF(Table62202732333721[[#This Row],[Non-Member]]="X"," ",IF(Z25=" "," ",IFERROR(VLOOKUP(Y25,Points!$A$2:$B$14,2,FALSE)," ")))</f>
        <v xml:space="preserve"> </v>
      </c>
      <c r="AB25" s="102">
        <v>29.968</v>
      </c>
      <c r="AC25" s="103">
        <f t="shared" si="12"/>
        <v>14</v>
      </c>
      <c r="AD25" s="103" t="str">
        <f t="shared" si="13"/>
        <v xml:space="preserve"> </v>
      </c>
      <c r="AE25" s="104" t="str">
        <f>IF(Table62202732333721[[#This Row],[Non-Member]]="X"," ",IF(AD25=" "," ",IFERROR(VLOOKUP(AC25,Points!$A$2:$B$14,2,FALSE)," ")))</f>
        <v xml:space="preserve"> </v>
      </c>
      <c r="AF25" s="102">
        <f t="shared" si="14"/>
        <v>58.381</v>
      </c>
      <c r="AG25" s="103">
        <f t="shared" si="15"/>
        <v>14</v>
      </c>
      <c r="AH25" s="103" t="str">
        <f t="shared" si="16"/>
        <v xml:space="preserve"> </v>
      </c>
      <c r="AI25" s="104" t="str">
        <f>IF(Table62202732333721[[#This Row],[Non-Member]]="X"," ",IF(AH25=" "," ",IFERROR(VLOOKUP(AG25,Points!$A$2:$B$14,2,FALSE)," ")))</f>
        <v xml:space="preserve"> </v>
      </c>
      <c r="AJ25" s="93">
        <f>IF(Table62202732333721[[#This Row],[Non-Member]]="X"," ",((IF(G25=" ",0,G25))+(IF(K25=" ",0,K25))+(IF(O25=" ",0,O25))+(IF(S25=" ",0,S25))+(IF(W25=" ",0,W25))+(IF(AA25=" ",0,AA25))+(IF(AE25=" ",0,AE25))+(IF(AI25=" ",0,AI25))))</f>
        <v>0</v>
      </c>
      <c r="AK25" s="105" t="str">
        <f t="shared" si="17"/>
        <v xml:space="preserve"> </v>
      </c>
      <c r="AL25" s="96" t="str">
        <f t="shared" si="18"/>
        <v xml:space="preserve"> </v>
      </c>
    </row>
    <row r="26" spans="2:38" ht="14.4" thickBot="1" x14ac:dyDescent="0.3">
      <c r="B26" s="106" t="s">
        <v>235</v>
      </c>
      <c r="AG26" s="107"/>
    </row>
    <row r="28" spans="2:38" x14ac:dyDescent="0.25">
      <c r="F28" s="107"/>
    </row>
    <row r="29" spans="2:38" x14ac:dyDescent="0.25">
      <c r="F29" s="107"/>
    </row>
    <row r="30" spans="2:38" x14ac:dyDescent="0.25">
      <c r="H30" s="108"/>
    </row>
  </sheetData>
  <sheetProtection algorithmName="SHA-512" hashValue="Pml2qgmcH5ei1M26rXtImP3TT61CsYKChCgYttYGHqEo1GNykHawWu18jgq98Hh2ZHxETDMQZPiMBHS2UJ8r8A==" saltValue="3ElQmGFzFBmHVTK3HKsv+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426F-5579-470C-8F93-C1B7C6FF7F48}">
  <sheetPr codeName="Sheet63">
    <tabColor theme="5" tint="0.79998168889431442"/>
  </sheetPr>
  <dimension ref="B1:AL30"/>
  <sheetViews>
    <sheetView showGridLines="0" zoomScaleNormal="100" workbookViewId="0">
      <pane xSplit="2" topLeftCell="C1" activePane="topRight" state="frozen"/>
      <selection activeCell="H35" sqref="H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99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146</v>
      </c>
      <c r="C5" s="84"/>
      <c r="D5" s="85">
        <v>22.067</v>
      </c>
      <c r="E5" s="86">
        <f t="shared" ref="E5:E25" si="0">IF(D5=0," ",_xlfn.RANK.AVG(D5,D$5:D$25,1)-COUNTIF(D$5:D$25,0))</f>
        <v>1</v>
      </c>
      <c r="F5" s="86">
        <f t="shared" ref="F5:F25" si="1">IF(D5=0," ",IF((RANK(D5,D$5:D$25,1)-COUNTIF(D$5:D$25,0)&gt;6)," ",RANK(D5,D$5:D$25,1)-COUNTIF(D$5:D$25,0)))</f>
        <v>1</v>
      </c>
      <c r="G5" s="87">
        <f>IF(Table6220273233373822[[#This Row],[Non-Member]]="X"," ",IF(F5=" "," ",IFERROR(VLOOKUP(E5,Points!$A$2:$B$14,2,FALSE)," ")))</f>
        <v>18</v>
      </c>
      <c r="H5" s="85">
        <v>22.388000000000002</v>
      </c>
      <c r="I5" s="86">
        <f t="shared" ref="I5:I25" si="2">IF(H5=0," ",_xlfn.RANK.AVG(H5,H$5:H$25,1)-COUNTIF(H$5:H$25,0))</f>
        <v>2</v>
      </c>
      <c r="J5" s="86">
        <f t="shared" ref="J5:J25" si="3">IF(H5=0," ",IF((RANK(H5,H$5:H$25,1)-COUNTIF(H$5:H$25,0)&gt;6)," ",RANK(H5,H$5:H$25,1)-COUNTIF(H$5:H$25,0)))</f>
        <v>2</v>
      </c>
      <c r="K5" s="87">
        <f>IF(Table6220273233373822[[#This Row],[Non-Member]]="X"," ",IF(J5=" "," ",IFERROR(VLOOKUP(I5,Points!$A$2:$B$14,2,FALSE)," ")))</f>
        <v>15</v>
      </c>
      <c r="L5" s="85">
        <v>26.934000000000001</v>
      </c>
      <c r="M5" s="86">
        <f t="shared" ref="M5:M25" si="4">IF(L5=0," ",_xlfn.RANK.AVG(L5,L$5:L$25,1)-COUNTIF(L$5:L$25,0))</f>
        <v>8</v>
      </c>
      <c r="N5" s="86" t="str">
        <f t="shared" ref="N5:N25" si="5">IF(L5=0," ",IF((RANK(L5,L$5:L$25,1)-COUNTIF(L$5:L$25,0)&gt;6)," ",RANK(L5,L$5:L$25,1)-COUNTIF(L$5:L$25,0)))</f>
        <v xml:space="preserve"> </v>
      </c>
      <c r="O5" s="87" t="str">
        <f>IF(Table6220273233373822[[#This Row],[Non-Member]]="X"," ",IF(N5=" "," ",IFERROR(VLOOKUP(M5,Points!$A$2:$B$14,2,FALSE)," ")))</f>
        <v xml:space="preserve"> </v>
      </c>
      <c r="P5" s="85">
        <v>20.800999999999998</v>
      </c>
      <c r="Q5" s="86">
        <f t="shared" ref="Q5:Q25" si="6">IF(P5=0," ",_xlfn.RANK.AVG(P5,P$5:P$25,1)-COUNTIF(P$5:P$25,0))</f>
        <v>1</v>
      </c>
      <c r="R5" s="86">
        <f t="shared" ref="R5:R25" si="7">IF(P5=0," ",IF((RANK(P5,P$5:P$25,1)-COUNTIF(P$5:P$25,0)&gt;6)," ",RANK(P5,P$5:P$25,1)-COUNTIF(P$5:P$25,0)))</f>
        <v>1</v>
      </c>
      <c r="S5" s="87">
        <f>IF(Table6220273233373822[[#This Row],[Non-Member]]="X"," ",IF(R5=" "," ",IFERROR(VLOOKUP(Q5,Points!$A$2:$B$14,2,FALSE)," ")))</f>
        <v>18</v>
      </c>
      <c r="T5" s="85">
        <v>32.576000000000001</v>
      </c>
      <c r="U5" s="86">
        <f t="shared" ref="U5:U25" si="8">IF(T5=0," ",_xlfn.RANK.AVG(T5,T$5:T$25,1)-COUNTIF(T$5:T$25,0))</f>
        <v>10</v>
      </c>
      <c r="V5" s="86" t="str">
        <f t="shared" ref="V5:V25" si="9">IF(T5=0," ",IF((RANK(T5,T$5:T$25,1)-COUNTIF(T$5:T$25,0)&gt;6)," ",RANK(T5,T$5:T$25,1)-COUNTIF(T$5:T$25,0)))</f>
        <v xml:space="preserve"> </v>
      </c>
      <c r="W5" s="87" t="str">
        <f>IF(Table6220273233373822[[#This Row],[Non-Member]]="X"," ",IF(V5=" "," ",IFERROR(VLOOKUP(U5,Points!$A$2:$B$14,2,FALSE)," ")))</f>
        <v xml:space="preserve"> </v>
      </c>
      <c r="X5" s="85">
        <v>21.56</v>
      </c>
      <c r="Y5" s="86">
        <f t="shared" ref="Y5:Y25" si="10">IF(X5=0," ",_xlfn.RANK.AVG(X5,X$5:X$25,1)-COUNTIF(X$5:X$25,0))</f>
        <v>1</v>
      </c>
      <c r="Z5" s="86">
        <f t="shared" ref="Z5:Z25" si="11">IF(X5=0," ",IF((RANK(X5,X$5:X$25,1)-COUNTIF(X$5:X$25,0)&gt;6)," ",RANK(X5,X$5:X$25,1)-COUNTIF(X$5:X$25,0)))</f>
        <v>1</v>
      </c>
      <c r="AA5" s="87">
        <f>IF(Table6220273233373822[[#This Row],[Non-Member]]="X"," ",IF(Z5=" "," ",IFERROR(VLOOKUP(Y5,Points!$A$2:$B$14,2,FALSE)," ")))</f>
        <v>18</v>
      </c>
      <c r="AB5" s="85">
        <v>21.457999999999998</v>
      </c>
      <c r="AC5" s="86">
        <f t="shared" ref="AC5:AC25" si="12">IF(AB5=0," ",_xlfn.RANK.AVG(AB5,AB$5:AB$25,1)-COUNTIF(AB$5:AB$25,0))</f>
        <v>1</v>
      </c>
      <c r="AD5" s="86">
        <f t="shared" ref="AD5:AD25" si="13">IF(AB5=0," ",IF((RANK(AB5,AB$5:AB$25,1)-COUNTIF(AB$5:AB$25,0)&gt;6)," ",RANK(AB5,AB$5:AB$25,1)-COUNTIF(AB$5:AB$25,0)))</f>
        <v>1</v>
      </c>
      <c r="AE5" s="87">
        <f>IF(Table6220273233373822[[#This Row],[Non-Member]]="X"," ",IF(AD5=" "," ",IFERROR(VLOOKUP(AC5,Points!$A$2:$B$14,2,FALSE)," ")))</f>
        <v>18</v>
      </c>
      <c r="AF5" s="85">
        <f t="shared" ref="AF5:AF25" si="14">IF(OR(X5=0,AB5=0)," ",X5+AB5)</f>
        <v>43.018000000000001</v>
      </c>
      <c r="AG5" s="86">
        <f t="shared" ref="AG5:AG25" si="15">IF(OR(AF5=0,AF5=" ")," ",_xlfn.RANK.AVG(AF5,AF$5:AF$25,1)-COUNTIF(AF$5:AF$25,0))</f>
        <v>1</v>
      </c>
      <c r="AH5" s="86">
        <f t="shared" ref="AH5:AH25" si="16">IF(OR(AF5=0,AF5=" ")," ",IF((RANK(AF5,AF$5:AF$25,1)-COUNTIF(AF$5:AF$25,0)&gt;6)," ",RANK(AF5,AF$5:AF$25,1)-COUNTIF(AF$5:AF$25,0)))</f>
        <v>1</v>
      </c>
      <c r="AI5" s="87">
        <f>IF(Table6220273233373822[[#This Row],[Non-Member]]="X"," ",IF(AH5=" "," ",IFERROR(VLOOKUP(AG5,Points!$A$2:$B$14,2,FALSE)," ")))</f>
        <v>18</v>
      </c>
      <c r="AJ5" s="86">
        <f>IF(Table6220273233373822[[#This Row],[Non-Member]]="X"," ",((IF(G5=" ",0,G5))+(IF(K5=" ",0,K5))+(IF(O5=" ",0,O5))+(IF(S5=" ",0,S5))+(IF(W5=" ",0,W5))+(IF(AA5=" ",0,AA5))+(IF(AE5=" ",0,AE5))+(IF(AI5=" ",0,AI5))))</f>
        <v>105</v>
      </c>
      <c r="AK5" s="88">
        <f t="shared" ref="AK5:AK25" si="17">IF(AJ5=0," ",AJ5)</f>
        <v>105</v>
      </c>
      <c r="AL5" s="89">
        <f t="shared" ref="AL5:AL25" si="18">IF(AK5=" "," ",RANK(AK5,$AK$5:$AK$25))</f>
        <v>1</v>
      </c>
    </row>
    <row r="6" spans="2:38" x14ac:dyDescent="0.25">
      <c r="B6" s="90" t="s">
        <v>144</v>
      </c>
      <c r="C6" s="91"/>
      <c r="D6" s="92">
        <v>22.827000000000002</v>
      </c>
      <c r="E6" s="93">
        <f t="shared" si="0"/>
        <v>3</v>
      </c>
      <c r="F6" s="93">
        <f t="shared" si="1"/>
        <v>3</v>
      </c>
      <c r="G6" s="94">
        <f>IF(Table6220273233373822[[#This Row],[Non-Member]]="X"," ",IF(F6=" "," ",IFERROR(VLOOKUP(E6,Points!$A$2:$B$14,2,FALSE)," ")))</f>
        <v>12</v>
      </c>
      <c r="H6" s="92">
        <v>42.472999999999999</v>
      </c>
      <c r="I6" s="93">
        <f t="shared" si="2"/>
        <v>13</v>
      </c>
      <c r="J6" s="93" t="str">
        <f t="shared" si="3"/>
        <v xml:space="preserve"> </v>
      </c>
      <c r="K6" s="94" t="str">
        <f>IF(Table6220273233373822[[#This Row],[Non-Member]]="X"," ",IF(J6=" "," ",IFERROR(VLOOKUP(I6,Points!$A$2:$B$14,2,FALSE)," ")))</f>
        <v xml:space="preserve"> </v>
      </c>
      <c r="L6" s="92">
        <v>23.225999999999999</v>
      </c>
      <c r="M6" s="93">
        <f t="shared" si="4"/>
        <v>2</v>
      </c>
      <c r="N6" s="93">
        <f t="shared" si="5"/>
        <v>2</v>
      </c>
      <c r="O6" s="94">
        <f>IF(Table6220273233373822[[#This Row],[Non-Member]]="X"," ",IF(N6=" "," ",IFERROR(VLOOKUP(M6,Points!$A$2:$B$14,2,FALSE)," ")))</f>
        <v>15</v>
      </c>
      <c r="P6" s="92">
        <v>23.236999999999998</v>
      </c>
      <c r="Q6" s="93">
        <f t="shared" si="6"/>
        <v>3</v>
      </c>
      <c r="R6" s="93">
        <f t="shared" si="7"/>
        <v>3</v>
      </c>
      <c r="S6" s="94">
        <f>IF(Table6220273233373822[[#This Row],[Non-Member]]="X"," ",IF(R6=" "," ",IFERROR(VLOOKUP(Q6,Points!$A$2:$B$14,2,FALSE)," ")))</f>
        <v>12</v>
      </c>
      <c r="T6" s="92">
        <v>22.419</v>
      </c>
      <c r="U6" s="93">
        <f t="shared" si="8"/>
        <v>1</v>
      </c>
      <c r="V6" s="93">
        <f t="shared" si="9"/>
        <v>1</v>
      </c>
      <c r="W6" s="94">
        <f>IF(Table6220273233373822[[#This Row],[Non-Member]]="X"," ",IF(V6=" "," ",IFERROR(VLOOKUP(U6,Points!$A$2:$B$14,2,FALSE)," ")))</f>
        <v>18</v>
      </c>
      <c r="X6" s="92">
        <v>22.686</v>
      </c>
      <c r="Y6" s="93">
        <f t="shared" si="10"/>
        <v>2</v>
      </c>
      <c r="Z6" s="93">
        <f t="shared" si="11"/>
        <v>2</v>
      </c>
      <c r="AA6" s="94">
        <f>IF(Table6220273233373822[[#This Row],[Non-Member]]="X"," ",IF(Z6=" "," ",IFERROR(VLOOKUP(Y6,Points!$A$2:$B$14,2,FALSE)," ")))</f>
        <v>15</v>
      </c>
      <c r="AB6" s="92">
        <v>27.341000000000001</v>
      </c>
      <c r="AC6" s="93">
        <f t="shared" si="12"/>
        <v>7</v>
      </c>
      <c r="AD6" s="93" t="str">
        <f t="shared" si="13"/>
        <v xml:space="preserve"> </v>
      </c>
      <c r="AE6" s="94" t="str">
        <f>IF(Table6220273233373822[[#This Row],[Non-Member]]="X"," ",IF(AD6=" "," ",IFERROR(VLOOKUP(AC6,Points!$A$2:$B$14,2,FALSE)," ")))</f>
        <v xml:space="preserve"> </v>
      </c>
      <c r="AF6" s="92">
        <f t="shared" si="14"/>
        <v>50.027000000000001</v>
      </c>
      <c r="AG6" s="93">
        <f t="shared" si="15"/>
        <v>6</v>
      </c>
      <c r="AH6" s="93">
        <f t="shared" si="16"/>
        <v>6</v>
      </c>
      <c r="AI6" s="94">
        <f>IF(Table6220273233373822[[#This Row],[Non-Member]]="X"," ",IF(AH6=" "," ",IFERROR(VLOOKUP(AG6,Points!$A$2:$B$14,2,FALSE)," ")))</f>
        <v>3</v>
      </c>
      <c r="AJ6" s="93">
        <f>IF(Table6220273233373822[[#This Row],[Non-Member]]="X"," ",((IF(G6=" ",0,G6))+(IF(K6=" ",0,K6))+(IF(O6=" ",0,O6))+(IF(S6=" ",0,S6))+(IF(W6=" ",0,W6))+(IF(AA6=" ",0,AA6))+(IF(AE6=" ",0,AE6))+(IF(AI6=" ",0,AI6))))</f>
        <v>75</v>
      </c>
      <c r="AK6" s="95">
        <f t="shared" si="17"/>
        <v>75</v>
      </c>
      <c r="AL6" s="96">
        <f t="shared" si="18"/>
        <v>2</v>
      </c>
    </row>
    <row r="7" spans="2:38" x14ac:dyDescent="0.25">
      <c r="B7" s="90" t="s">
        <v>86</v>
      </c>
      <c r="C7" s="91"/>
      <c r="D7" s="92">
        <v>23.408000000000001</v>
      </c>
      <c r="E7" s="93">
        <f t="shared" si="0"/>
        <v>4</v>
      </c>
      <c r="F7" s="93">
        <f t="shared" si="1"/>
        <v>4</v>
      </c>
      <c r="G7" s="94">
        <f>IF(Table6220273233373822[[#This Row],[Non-Member]]="X"," ",IF(F7=" "," ",IFERROR(VLOOKUP(E7,Points!$A$2:$B$14,2,FALSE)," ")))</f>
        <v>9</v>
      </c>
      <c r="H7" s="92">
        <v>28.684000000000001</v>
      </c>
      <c r="I7" s="93">
        <f t="shared" si="2"/>
        <v>10</v>
      </c>
      <c r="J7" s="93" t="str">
        <f t="shared" si="3"/>
        <v xml:space="preserve"> </v>
      </c>
      <c r="K7" s="94" t="str">
        <f>IF(Table6220273233373822[[#This Row],[Non-Member]]="X"," ",IF(J7=" "," ",IFERROR(VLOOKUP(I7,Points!$A$2:$B$14,2,FALSE)," ")))</f>
        <v xml:space="preserve"> </v>
      </c>
      <c r="L7" s="92">
        <v>24.056999999999999</v>
      </c>
      <c r="M7" s="93">
        <f t="shared" si="4"/>
        <v>4</v>
      </c>
      <c r="N7" s="93">
        <f t="shared" si="5"/>
        <v>4</v>
      </c>
      <c r="O7" s="94">
        <f>IF(Table6220273233373822[[#This Row],[Non-Member]]="X"," ",IF(N7=" "," ",IFERROR(VLOOKUP(M7,Points!$A$2:$B$14,2,FALSE)," ")))</f>
        <v>9</v>
      </c>
      <c r="P7" s="92">
        <v>23.327000000000002</v>
      </c>
      <c r="Q7" s="93">
        <f t="shared" si="6"/>
        <v>4</v>
      </c>
      <c r="R7" s="93">
        <f t="shared" si="7"/>
        <v>4</v>
      </c>
      <c r="S7" s="94">
        <f>IF(Table6220273233373822[[#This Row],[Non-Member]]="X"," ",IF(R7=" "," ",IFERROR(VLOOKUP(Q7,Points!$A$2:$B$14,2,FALSE)," ")))</f>
        <v>9</v>
      </c>
      <c r="T7" s="92">
        <v>32.415999999999997</v>
      </c>
      <c r="U7" s="93">
        <f t="shared" si="8"/>
        <v>9</v>
      </c>
      <c r="V7" s="93" t="str">
        <f t="shared" si="9"/>
        <v xml:space="preserve"> </v>
      </c>
      <c r="W7" s="94" t="str">
        <f>IF(Table6220273233373822[[#This Row],[Non-Member]]="X"," ",IF(V7=" "," ",IFERROR(VLOOKUP(U7,Points!$A$2:$B$14,2,FALSE)," ")))</f>
        <v xml:space="preserve"> </v>
      </c>
      <c r="X7" s="92">
        <v>23.655999999999999</v>
      </c>
      <c r="Y7" s="93">
        <f t="shared" si="10"/>
        <v>4</v>
      </c>
      <c r="Z7" s="93">
        <f t="shared" si="11"/>
        <v>4</v>
      </c>
      <c r="AA7" s="94">
        <f>IF(Table6220273233373822[[#This Row],[Non-Member]]="X"," ",IF(Z7=" "," ",IFERROR(VLOOKUP(Y7,Points!$A$2:$B$14,2,FALSE)," ")))</f>
        <v>9</v>
      </c>
      <c r="AB7" s="92">
        <v>22.867999999999999</v>
      </c>
      <c r="AC7" s="93">
        <f t="shared" si="12"/>
        <v>2</v>
      </c>
      <c r="AD7" s="93">
        <f t="shared" si="13"/>
        <v>2</v>
      </c>
      <c r="AE7" s="94">
        <f>IF(Table6220273233373822[[#This Row],[Non-Member]]="X"," ",IF(AD7=" "," ",IFERROR(VLOOKUP(AC7,Points!$A$2:$B$14,2,FALSE)," ")))</f>
        <v>15</v>
      </c>
      <c r="AF7" s="92">
        <f t="shared" si="14"/>
        <v>46.524000000000001</v>
      </c>
      <c r="AG7" s="93">
        <f t="shared" si="15"/>
        <v>2</v>
      </c>
      <c r="AH7" s="93">
        <f t="shared" si="16"/>
        <v>2</v>
      </c>
      <c r="AI7" s="94">
        <f>IF(Table6220273233373822[[#This Row],[Non-Member]]="X"," ",IF(AH7=" "," ",IFERROR(VLOOKUP(AG7,Points!$A$2:$B$14,2,FALSE)," ")))</f>
        <v>15</v>
      </c>
      <c r="AJ7" s="93">
        <f>IF(Table6220273233373822[[#This Row],[Non-Member]]="X"," ",((IF(G7=" ",0,G7))+(IF(K7=" ",0,K7))+(IF(O7=" ",0,O7))+(IF(S7=" ",0,S7))+(IF(W7=" ",0,W7))+(IF(AA7=" ",0,AA7))+(IF(AE7=" ",0,AE7))+(IF(AI7=" ",0,AI7))))</f>
        <v>66</v>
      </c>
      <c r="AK7" s="95">
        <f t="shared" si="17"/>
        <v>66</v>
      </c>
      <c r="AL7" s="96">
        <f t="shared" si="18"/>
        <v>3</v>
      </c>
    </row>
    <row r="8" spans="2:38" x14ac:dyDescent="0.25">
      <c r="B8" s="90" t="s">
        <v>213</v>
      </c>
      <c r="C8" s="91"/>
      <c r="D8" s="92">
        <v>23.599</v>
      </c>
      <c r="E8" s="93">
        <f t="shared" si="0"/>
        <v>5</v>
      </c>
      <c r="F8" s="93">
        <f t="shared" si="1"/>
        <v>5</v>
      </c>
      <c r="G8" s="94">
        <f>IF(Table6220273233373822[[#This Row],[Non-Member]]="X"," ",IF(F8=" "," ",IFERROR(VLOOKUP(E8,Points!$A$2:$B$14,2,FALSE)," ")))</f>
        <v>6</v>
      </c>
      <c r="H8" s="92">
        <v>24.055</v>
      </c>
      <c r="I8" s="93">
        <f t="shared" si="2"/>
        <v>4</v>
      </c>
      <c r="J8" s="93">
        <f t="shared" si="3"/>
        <v>4</v>
      </c>
      <c r="K8" s="94">
        <f>IF(Table6220273233373822[[#This Row],[Non-Member]]="X"," ",IF(J8=" "," ",IFERROR(VLOOKUP(I8,Points!$A$2:$B$14,2,FALSE)," ")))</f>
        <v>9</v>
      </c>
      <c r="L8" s="92">
        <v>23.64</v>
      </c>
      <c r="M8" s="93">
        <f t="shared" si="4"/>
        <v>3</v>
      </c>
      <c r="N8" s="93">
        <f t="shared" si="5"/>
        <v>3</v>
      </c>
      <c r="O8" s="94">
        <f>IF(Table6220273233373822[[#This Row],[Non-Member]]="X"," ",IF(N8=" "," ",IFERROR(VLOOKUP(M8,Points!$A$2:$B$14,2,FALSE)," ")))</f>
        <v>12</v>
      </c>
      <c r="P8" s="92">
        <v>23.198</v>
      </c>
      <c r="Q8" s="93">
        <f t="shared" si="6"/>
        <v>2</v>
      </c>
      <c r="R8" s="93">
        <f t="shared" si="7"/>
        <v>2</v>
      </c>
      <c r="S8" s="94">
        <f>IF(Table6220273233373822[[#This Row],[Non-Member]]="X"," ",IF(R8=" "," ",IFERROR(VLOOKUP(Q8,Points!$A$2:$B$14,2,FALSE)," ")))</f>
        <v>15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IF(Table6220273233373822[[#This Row],[Non-Member]]="X"," ",IF(V8=" "," ",IFERROR(VLOOKUP(U8,Points!$A$2:$B$14,2,FALSE)," ")))</f>
        <v xml:space="preserve"> </v>
      </c>
      <c r="X8" s="92">
        <v>24.045000000000002</v>
      </c>
      <c r="Y8" s="93">
        <f t="shared" si="10"/>
        <v>6</v>
      </c>
      <c r="Z8" s="93">
        <f t="shared" si="11"/>
        <v>6</v>
      </c>
      <c r="AA8" s="94">
        <f>IF(Table6220273233373822[[#This Row],[Non-Member]]="X"," ",IF(Z8=" "," ",IFERROR(VLOOKUP(Y8,Points!$A$2:$B$14,2,FALSE)," ")))</f>
        <v>3</v>
      </c>
      <c r="AB8" s="92">
        <v>24.280999999999999</v>
      </c>
      <c r="AC8" s="93">
        <f t="shared" si="12"/>
        <v>5</v>
      </c>
      <c r="AD8" s="93">
        <f t="shared" si="13"/>
        <v>5</v>
      </c>
      <c r="AE8" s="94">
        <f>IF(Table6220273233373822[[#This Row],[Non-Member]]="X"," ",IF(AD8=" "," ",IFERROR(VLOOKUP(AC8,Points!$A$2:$B$14,2,FALSE)," ")))</f>
        <v>6</v>
      </c>
      <c r="AF8" s="92">
        <f t="shared" si="14"/>
        <v>48.326000000000001</v>
      </c>
      <c r="AG8" s="93">
        <f t="shared" si="15"/>
        <v>5</v>
      </c>
      <c r="AH8" s="93">
        <f t="shared" si="16"/>
        <v>5</v>
      </c>
      <c r="AI8" s="94">
        <f>IF(Table6220273233373822[[#This Row],[Non-Member]]="X"," ",IF(AH8=" "," ",IFERROR(VLOOKUP(AG8,Points!$A$2:$B$14,2,FALSE)," ")))</f>
        <v>6</v>
      </c>
      <c r="AJ8" s="93">
        <f>IF(Table6220273233373822[[#This Row],[Non-Member]]="X"," ",((IF(G8=" ",0,G8))+(IF(K8=" ",0,K8))+(IF(O8=" ",0,O8))+(IF(S8=" ",0,S8))+(IF(W8=" ",0,W8))+(IF(AA8=" ",0,AA8))+(IF(AE8=" ",0,AE8))+(IF(AI8=" ",0,AI8))))</f>
        <v>57</v>
      </c>
      <c r="AK8" s="95">
        <f t="shared" si="17"/>
        <v>57</v>
      </c>
      <c r="AL8" s="96">
        <f t="shared" si="18"/>
        <v>4</v>
      </c>
    </row>
    <row r="9" spans="2:38" x14ac:dyDescent="0.25">
      <c r="B9" s="90" t="s">
        <v>233</v>
      </c>
      <c r="C9" s="91"/>
      <c r="D9" s="92">
        <v>22.809000000000001</v>
      </c>
      <c r="E9" s="93">
        <f t="shared" si="0"/>
        <v>2</v>
      </c>
      <c r="F9" s="93">
        <f t="shared" si="1"/>
        <v>2</v>
      </c>
      <c r="G9" s="94">
        <f>IF(Table6220273233373822[[#This Row],[Non-Member]]="X"," ",IF(F9=" "," ",IFERROR(VLOOKUP(E9,Points!$A$2:$B$14,2,FALSE)," ")))</f>
        <v>15</v>
      </c>
      <c r="H9" s="92">
        <v>24.206</v>
      </c>
      <c r="I9" s="93">
        <f t="shared" si="2"/>
        <v>5</v>
      </c>
      <c r="J9" s="93">
        <f t="shared" si="3"/>
        <v>5</v>
      </c>
      <c r="K9" s="94">
        <f>IF(Table6220273233373822[[#This Row],[Non-Member]]="X"," ",IF(J9=" "," ",IFERROR(VLOOKUP(I9,Points!$A$2:$B$14,2,FALSE)," ")))</f>
        <v>6</v>
      </c>
      <c r="L9" s="92">
        <v>24.803999999999998</v>
      </c>
      <c r="M9" s="93">
        <f t="shared" si="4"/>
        <v>6</v>
      </c>
      <c r="N9" s="93">
        <f t="shared" si="5"/>
        <v>6</v>
      </c>
      <c r="O9" s="94">
        <f>IF(Table6220273233373822[[#This Row],[Non-Member]]="X"," ",IF(N9=" "," ",IFERROR(VLOOKUP(M9,Points!$A$2:$B$14,2,FALSE)," ")))</f>
        <v>3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IF(Table6220273233373822[[#This Row],[Non-Member]]="X"," ",IF(R9=" "," ",IFERROR(VLOOKUP(Q9,Points!$A$2:$B$14,2,FALSE)," ")))</f>
        <v xml:space="preserve"> </v>
      </c>
      <c r="T9" s="92">
        <v>23.562000000000001</v>
      </c>
      <c r="U9" s="93">
        <f t="shared" si="8"/>
        <v>2</v>
      </c>
      <c r="V9" s="93">
        <f t="shared" si="9"/>
        <v>2</v>
      </c>
      <c r="W9" s="94">
        <f>IF(Table6220273233373822[[#This Row],[Non-Member]]="X"," ",IF(V9=" "," ",IFERROR(VLOOKUP(U9,Points!$A$2:$B$14,2,FALSE)," ")))</f>
        <v>15</v>
      </c>
      <c r="X9" s="92">
        <v>23.231000000000002</v>
      </c>
      <c r="Y9" s="93">
        <f t="shared" si="10"/>
        <v>3</v>
      </c>
      <c r="Z9" s="93">
        <f t="shared" si="11"/>
        <v>3</v>
      </c>
      <c r="AA9" s="94">
        <f>IF(Table6220273233373822[[#This Row],[Non-Member]]="X"," ",IF(Z9=" "," ",IFERROR(VLOOKUP(Y9,Points!$A$2:$B$14,2,FALSE)," ")))</f>
        <v>12</v>
      </c>
      <c r="AB9" s="92">
        <v>0</v>
      </c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IF(Table6220273233373822[[#This Row],[Non-Member]]="X"," ",IF(AD9=" "," ",IFERROR(VLOOKUP(AC9,Points!$A$2:$B$14,2,FALSE)," ")))</f>
        <v xml:space="preserve"> </v>
      </c>
      <c r="AF9" s="92" t="str">
        <f t="shared" si="14"/>
        <v xml:space="preserve"> </v>
      </c>
      <c r="AG9" s="93" t="str">
        <f t="shared" si="15"/>
        <v xml:space="preserve"> </v>
      </c>
      <c r="AH9" s="93" t="str">
        <f t="shared" si="16"/>
        <v xml:space="preserve"> </v>
      </c>
      <c r="AI9" s="94" t="str">
        <f>IF(Table6220273233373822[[#This Row],[Non-Member]]="X"," ",IF(AH9=" "," ",IFERROR(VLOOKUP(AG9,Points!$A$2:$B$14,2,FALSE)," ")))</f>
        <v xml:space="preserve"> </v>
      </c>
      <c r="AJ9" s="93">
        <f>IF(Table6220273233373822[[#This Row],[Non-Member]]="X"," ",((IF(G9=" ",0,G9))+(IF(K9=" ",0,K9))+(IF(O9=" ",0,O9))+(IF(S9=" ",0,S9))+(IF(W9=" ",0,W9))+(IF(AA9=" ",0,AA9))+(IF(AE9=" ",0,AE9))+(IF(AI9=" ",0,AI9))))</f>
        <v>51</v>
      </c>
      <c r="AK9" s="95">
        <f t="shared" si="17"/>
        <v>51</v>
      </c>
      <c r="AL9" s="96">
        <f t="shared" si="18"/>
        <v>5</v>
      </c>
    </row>
    <row r="10" spans="2:38" x14ac:dyDescent="0.25">
      <c r="B10" s="90" t="s">
        <v>143</v>
      </c>
      <c r="C10" s="91"/>
      <c r="D10" s="92">
        <v>0</v>
      </c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IF(Table6220273233373822[[#This Row],[Non-Member]]="X"," ",IF(F10=" "," ",IFERROR(VLOOKUP(E10,Points!$A$2:$B$14,2,FALSE)," ")))</f>
        <v xml:space="preserve"> </v>
      </c>
      <c r="H10" s="92">
        <v>22.204999999999998</v>
      </c>
      <c r="I10" s="97">
        <f t="shared" si="2"/>
        <v>1</v>
      </c>
      <c r="J10" s="97">
        <f t="shared" si="3"/>
        <v>1</v>
      </c>
      <c r="K10" s="94">
        <f>IF(Table6220273233373822[[#This Row],[Non-Member]]="X"," ",IF(J10=" "," ",IFERROR(VLOOKUP(I10,Points!$A$2:$B$14,2,FALSE)," ")))</f>
        <v>18</v>
      </c>
      <c r="L10" s="92">
        <v>22.126999999999999</v>
      </c>
      <c r="M10" s="97">
        <f t="shared" si="4"/>
        <v>1</v>
      </c>
      <c r="N10" s="97">
        <f t="shared" si="5"/>
        <v>1</v>
      </c>
      <c r="O10" s="94">
        <f>IF(Table6220273233373822[[#This Row],[Non-Member]]="X"," ",IF(N10=" "," ",IFERROR(VLOOKUP(M10,Points!$A$2:$B$14,2,FALSE)," ")))</f>
        <v>18</v>
      </c>
      <c r="P10" s="92">
        <v>0</v>
      </c>
      <c r="Q10" s="97" t="str">
        <f t="shared" si="6"/>
        <v xml:space="preserve"> </v>
      </c>
      <c r="R10" s="97" t="str">
        <f t="shared" si="7"/>
        <v xml:space="preserve"> </v>
      </c>
      <c r="S10" s="94" t="str">
        <f>IF(Table6220273233373822[[#This Row],[Non-Member]]="X"," ",IF(R10=" "," ",IFERROR(VLOOKUP(Q10,Points!$A$2:$B$14,2,FALSE)," ")))</f>
        <v xml:space="preserve"> </v>
      </c>
      <c r="T10" s="92">
        <v>29.388000000000002</v>
      </c>
      <c r="U10" s="97">
        <f t="shared" si="8"/>
        <v>6</v>
      </c>
      <c r="V10" s="97">
        <f t="shared" si="9"/>
        <v>6</v>
      </c>
      <c r="W10" s="94">
        <f>IF(Table6220273233373822[[#This Row],[Non-Member]]="X"," ",IF(V10=" "," ",IFERROR(VLOOKUP(U10,Points!$A$2:$B$14,2,FALSE)," ")))</f>
        <v>3</v>
      </c>
      <c r="X10" s="92">
        <v>28.047999999999998</v>
      </c>
      <c r="Y10" s="97">
        <f t="shared" si="10"/>
        <v>10</v>
      </c>
      <c r="Z10" s="97" t="str">
        <f t="shared" si="11"/>
        <v xml:space="preserve"> </v>
      </c>
      <c r="AA10" s="94" t="str">
        <f>IF(Table6220273233373822[[#This Row],[Non-Member]]="X"," ",IF(Z10=" "," ",IFERROR(VLOOKUP(Y10,Points!$A$2:$B$14,2,FALSE)," ")))</f>
        <v xml:space="preserve"> </v>
      </c>
      <c r="AB10" s="92">
        <v>32.81</v>
      </c>
      <c r="AC10" s="97">
        <f t="shared" si="12"/>
        <v>10</v>
      </c>
      <c r="AD10" s="97" t="str">
        <f t="shared" si="13"/>
        <v xml:space="preserve"> </v>
      </c>
      <c r="AE10" s="94" t="str">
        <f>IF(Table6220273233373822[[#This Row],[Non-Member]]="X"," ",IF(AD10=" "," ",IFERROR(VLOOKUP(AC10,Points!$A$2:$B$14,2,FALSE)," ")))</f>
        <v xml:space="preserve"> </v>
      </c>
      <c r="AF10" s="92">
        <f t="shared" si="14"/>
        <v>60.858000000000004</v>
      </c>
      <c r="AG10" s="97">
        <f t="shared" si="15"/>
        <v>10</v>
      </c>
      <c r="AH10" s="97" t="str">
        <f t="shared" si="16"/>
        <v xml:space="preserve"> </v>
      </c>
      <c r="AI10" s="94" t="str">
        <f>IF(Table6220273233373822[[#This Row],[Non-Member]]="X"," ",IF(AH10=" "," ",IFERROR(VLOOKUP(AG10,Points!$A$2:$B$14,2,FALSE)," ")))</f>
        <v xml:space="preserve"> </v>
      </c>
      <c r="AJ10" s="97">
        <f>IF(Table6220273233373822[[#This Row],[Non-Member]]="X"," ",((IF(G10=" ",0,G10))+(IF(K10=" ",0,K10))+(IF(O10=" ",0,O10))+(IF(S10=" ",0,S10))+(IF(W10=" ",0,W10))+(IF(AA10=" ",0,AA10))+(IF(AE10=" ",0,AE10))+(IF(AI10=" ",0,AI10))))</f>
        <v>39</v>
      </c>
      <c r="AK10" s="95">
        <f t="shared" si="17"/>
        <v>39</v>
      </c>
      <c r="AL10" s="98">
        <f t="shared" si="18"/>
        <v>6</v>
      </c>
    </row>
    <row r="11" spans="2:38" x14ac:dyDescent="0.25">
      <c r="B11" s="90" t="s">
        <v>83</v>
      </c>
      <c r="C11" s="91"/>
      <c r="D11" s="92">
        <v>25.907</v>
      </c>
      <c r="E11" s="93">
        <f t="shared" si="0"/>
        <v>9</v>
      </c>
      <c r="F11" s="93" t="str">
        <f t="shared" si="1"/>
        <v xml:space="preserve"> </v>
      </c>
      <c r="G11" s="94" t="str">
        <f>IF(Table6220273233373822[[#This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IF(Table6220273233373822[[#This Row],[Non-Member]]="X"," ",IF(J11=" "," ",IFERROR(VLOOKUP(I11,Points!$A$2:$B$14,2,FALSE)," ")))</f>
        <v xml:space="preserve"> </v>
      </c>
      <c r="L11" s="92">
        <v>26.798999999999999</v>
      </c>
      <c r="M11" s="93">
        <f t="shared" si="4"/>
        <v>7</v>
      </c>
      <c r="N11" s="93" t="str">
        <f t="shared" si="5"/>
        <v xml:space="preserve"> </v>
      </c>
      <c r="O11" s="94" t="str">
        <f>IF(Table6220273233373822[[#This Row],[Non-Member]]="X"," ",IF(N11=" "," ",IFERROR(VLOOKUP(M11,Points!$A$2:$B$14,2,FALSE)," ")))</f>
        <v xml:space="preserve"> </v>
      </c>
      <c r="P11" s="92">
        <v>25.338000000000001</v>
      </c>
      <c r="Q11" s="93">
        <f t="shared" si="6"/>
        <v>8</v>
      </c>
      <c r="R11" s="93" t="str">
        <f t="shared" si="7"/>
        <v xml:space="preserve"> </v>
      </c>
      <c r="S11" s="94" t="str">
        <f>IF(Table6220273233373822[[#This Row],[Non-Member]]="X"," ",IF(R11=" "," ",IFERROR(VLOOKUP(Q11,Points!$A$2:$B$14,2,FALSE)," ")))</f>
        <v xml:space="preserve"> </v>
      </c>
      <c r="T11" s="92">
        <v>25.608000000000001</v>
      </c>
      <c r="U11" s="93">
        <f t="shared" si="8"/>
        <v>4</v>
      </c>
      <c r="V11" s="93">
        <f t="shared" si="9"/>
        <v>4</v>
      </c>
      <c r="W11" s="94">
        <f>IF(Table6220273233373822[[#This Row],[Non-Member]]="X"," ",IF(V11=" "," ",IFERROR(VLOOKUP(U11,Points!$A$2:$B$14,2,FALSE)," ")))</f>
        <v>9</v>
      </c>
      <c r="X11" s="92">
        <v>23.81</v>
      </c>
      <c r="Y11" s="93">
        <f t="shared" si="10"/>
        <v>5</v>
      </c>
      <c r="Z11" s="93">
        <f t="shared" si="11"/>
        <v>5</v>
      </c>
      <c r="AA11" s="94">
        <f>IF(Table6220273233373822[[#This Row],[Non-Member]]="X"," ",IF(Z11=" "," ",IFERROR(VLOOKUP(Y11,Points!$A$2:$B$14,2,FALSE)," ")))</f>
        <v>6</v>
      </c>
      <c r="AB11" s="92">
        <v>23.353000000000002</v>
      </c>
      <c r="AC11" s="93">
        <f t="shared" si="12"/>
        <v>4</v>
      </c>
      <c r="AD11" s="93">
        <f t="shared" si="13"/>
        <v>4</v>
      </c>
      <c r="AE11" s="94">
        <f>IF(Table6220273233373822[[#This Row],[Non-Member]]="X"," ",IF(AD11=" "," ",IFERROR(VLOOKUP(AC11,Points!$A$2:$B$14,2,FALSE)," ")))</f>
        <v>9</v>
      </c>
      <c r="AF11" s="92">
        <f t="shared" si="14"/>
        <v>47.162999999999997</v>
      </c>
      <c r="AG11" s="93">
        <f t="shared" si="15"/>
        <v>3</v>
      </c>
      <c r="AH11" s="93">
        <f t="shared" si="16"/>
        <v>3</v>
      </c>
      <c r="AI11" s="94">
        <f>IF(Table6220273233373822[[#This Row],[Non-Member]]="X"," ",IF(AH11=" "," ",IFERROR(VLOOKUP(AG11,Points!$A$2:$B$14,2,FALSE)," ")))</f>
        <v>12</v>
      </c>
      <c r="AJ11" s="93">
        <f>IF(Table6220273233373822[[#This Row],[Non-Member]]="X"," ",((IF(G11=" ",0,G11))+(IF(K11=" ",0,K11))+(IF(O11=" ",0,O11))+(IF(S11=" ",0,S11))+(IF(W11=" ",0,W11))+(IF(AA11=" ",0,AA11))+(IF(AE11=" ",0,AE11))+(IF(AI11=" ",0,AI11))))</f>
        <v>36</v>
      </c>
      <c r="AK11" s="95">
        <f t="shared" si="17"/>
        <v>36</v>
      </c>
      <c r="AL11" s="96">
        <f t="shared" si="18"/>
        <v>7</v>
      </c>
    </row>
    <row r="12" spans="2:38" x14ac:dyDescent="0.25">
      <c r="B12" s="90" t="s">
        <v>142</v>
      </c>
      <c r="C12" s="91"/>
      <c r="D12" s="92">
        <v>25.318000000000001</v>
      </c>
      <c r="E12" s="93">
        <f t="shared" si="0"/>
        <v>7</v>
      </c>
      <c r="F12" s="93" t="str">
        <f t="shared" si="1"/>
        <v xml:space="preserve"> </v>
      </c>
      <c r="G12" s="94" t="str">
        <f>IF(Table6220273233373822[[#This Row],[Non-Member]]="X"," ",IF(F12=" "," ",IFERROR(VLOOKUP(E12,Points!$A$2:$B$14,2,FALSE)," ")))</f>
        <v xml:space="preserve"> </v>
      </c>
      <c r="H12" s="92">
        <v>25.81</v>
      </c>
      <c r="I12" s="93">
        <f t="shared" si="2"/>
        <v>7</v>
      </c>
      <c r="J12" s="93" t="str">
        <f t="shared" si="3"/>
        <v xml:space="preserve"> </v>
      </c>
      <c r="K12" s="94" t="str">
        <f>IF(Table6220273233373822[[#This Row],[Non-Member]]="X"," ",IF(J12=" "," ",IFERROR(VLOOKUP(I12,Points!$A$2:$B$14,2,FALSE)," ")))</f>
        <v xml:space="preserve"> </v>
      </c>
      <c r="L12" s="92">
        <v>41.164000000000001</v>
      </c>
      <c r="M12" s="93">
        <f t="shared" si="4"/>
        <v>12</v>
      </c>
      <c r="N12" s="93" t="str">
        <f t="shared" si="5"/>
        <v xml:space="preserve"> </v>
      </c>
      <c r="O12" s="94" t="str">
        <f>IF(Table6220273233373822[[#This Row],[Non-Member]]="X"," ",IF(N12=" "," ",IFERROR(VLOOKUP(M12,Points!$A$2:$B$14,2,FALSE)," ")))</f>
        <v xml:space="preserve"> </v>
      </c>
      <c r="P12" s="92">
        <v>25.558</v>
      </c>
      <c r="Q12" s="93">
        <f t="shared" si="6"/>
        <v>9</v>
      </c>
      <c r="R12" s="93" t="str">
        <f t="shared" si="7"/>
        <v xml:space="preserve"> </v>
      </c>
      <c r="S12" s="94" t="str">
        <f>IF(Table6220273233373822[[#This Row],[Non-Member]]="X"," ",IF(R12=" "," ",IFERROR(VLOOKUP(Q12,Points!$A$2:$B$14,2,FALSE)," ")))</f>
        <v xml:space="preserve"> </v>
      </c>
      <c r="T12" s="92">
        <v>30.945</v>
      </c>
      <c r="U12" s="93">
        <f t="shared" si="8"/>
        <v>8</v>
      </c>
      <c r="V12" s="93" t="str">
        <f t="shared" si="9"/>
        <v xml:space="preserve"> </v>
      </c>
      <c r="W12" s="94" t="str">
        <f>IF(Table6220273233373822[[#This Row],[Non-Member]]="X"," ",IF(V12=" "," ",IFERROR(VLOOKUP(U12,Points!$A$2:$B$14,2,FALSE)," ")))</f>
        <v xml:space="preserve"> </v>
      </c>
      <c r="X12" s="92">
        <v>24.963999999999999</v>
      </c>
      <c r="Y12" s="93">
        <f t="shared" si="10"/>
        <v>8</v>
      </c>
      <c r="Z12" s="93" t="str">
        <f t="shared" si="11"/>
        <v xml:space="preserve"> </v>
      </c>
      <c r="AA12" s="94" t="str">
        <f>IF(Table6220273233373822[[#This Row],[Non-Member]]="X"," ",IF(Z12=" "," ",IFERROR(VLOOKUP(Y12,Points!$A$2:$B$14,2,FALSE)," ")))</f>
        <v xml:space="preserve"> </v>
      </c>
      <c r="AB12" s="92">
        <v>22.88</v>
      </c>
      <c r="AC12" s="93">
        <f t="shared" si="12"/>
        <v>3</v>
      </c>
      <c r="AD12" s="93">
        <f t="shared" si="13"/>
        <v>3</v>
      </c>
      <c r="AE12" s="94">
        <f>IF(Table6220273233373822[[#This Row],[Non-Member]]="X"," ",IF(AD12=" "," ",IFERROR(VLOOKUP(AC12,Points!$A$2:$B$14,2,FALSE)," ")))</f>
        <v>12</v>
      </c>
      <c r="AF12" s="92">
        <f t="shared" si="14"/>
        <v>47.843999999999994</v>
      </c>
      <c r="AG12" s="93">
        <f t="shared" si="15"/>
        <v>4</v>
      </c>
      <c r="AH12" s="93">
        <f t="shared" si="16"/>
        <v>4</v>
      </c>
      <c r="AI12" s="94">
        <f>IF(Table6220273233373822[[#This Row],[Non-Member]]="X"," ",IF(AH12=" "," ",IFERROR(VLOOKUP(AG12,Points!$A$2:$B$14,2,FALSE)," ")))</f>
        <v>9</v>
      </c>
      <c r="AJ12" s="93">
        <f>IF(Table6220273233373822[[#This Row],[Non-Member]]="X"," ",((IF(G12=" ",0,G12))+(IF(K12=" ",0,K12))+(IF(O12=" ",0,O12))+(IF(S12=" ",0,S12))+(IF(W12=" ",0,W12))+(IF(AA12=" ",0,AA12))+(IF(AE12=" ",0,AE12))+(IF(AI12=" ",0,AI12))))</f>
        <v>21</v>
      </c>
      <c r="AK12" s="95">
        <f t="shared" si="17"/>
        <v>21</v>
      </c>
      <c r="AL12" s="96">
        <f t="shared" si="18"/>
        <v>8</v>
      </c>
    </row>
    <row r="13" spans="2:38" x14ac:dyDescent="0.25">
      <c r="B13" s="90" t="s">
        <v>141</v>
      </c>
      <c r="C13" s="91"/>
      <c r="D13" s="92">
        <v>25.149000000000001</v>
      </c>
      <c r="E13" s="93">
        <f t="shared" si="0"/>
        <v>6</v>
      </c>
      <c r="F13" s="93">
        <f t="shared" si="1"/>
        <v>6</v>
      </c>
      <c r="G13" s="94">
        <f>IF(Table6220273233373822[[#This Row],[Non-Member]]="X"," ",IF(F13=" "," ",IFERROR(VLOOKUP(E13,Points!$A$2:$B$14,2,FALSE)," ")))</f>
        <v>3</v>
      </c>
      <c r="H13" s="92">
        <v>23.693999999999999</v>
      </c>
      <c r="I13" s="93">
        <f t="shared" si="2"/>
        <v>3</v>
      </c>
      <c r="J13" s="93">
        <f t="shared" si="3"/>
        <v>3</v>
      </c>
      <c r="K13" s="94">
        <f>IF(Table6220273233373822[[#This Row],[Non-Member]]="X"," ",IF(J13=" "," ",IFERROR(VLOOKUP(I13,Points!$A$2:$B$14,2,FALSE)," ")))</f>
        <v>12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IF(Table6220273233373822[[#This Row],[Non-Member]]="X"," ",IF(N13=" "," ",IFERROR(VLOOKUP(M13,Points!$A$2:$B$14,2,FALSE)," ")))</f>
        <v xml:space="preserve"> </v>
      </c>
      <c r="P13" s="92">
        <v>23.545999999999999</v>
      </c>
      <c r="Q13" s="93">
        <f t="shared" si="6"/>
        <v>5</v>
      </c>
      <c r="R13" s="93">
        <f t="shared" si="7"/>
        <v>5</v>
      </c>
      <c r="S13" s="94">
        <f>IF(Table6220273233373822[[#This Row],[Non-Member]]="X"," ",IF(R13=" "," ",IFERROR(VLOOKUP(Q13,Points!$A$2:$B$14,2,FALSE)," ")))</f>
        <v>6</v>
      </c>
      <c r="T13" s="92">
        <v>34.078000000000003</v>
      </c>
      <c r="U13" s="93">
        <f t="shared" si="8"/>
        <v>12</v>
      </c>
      <c r="V13" s="93" t="str">
        <f t="shared" si="9"/>
        <v xml:space="preserve"> </v>
      </c>
      <c r="W13" s="94" t="str">
        <f>IF(Table6220273233373822[[#This Row],[Non-Member]]="X"," ",IF(V13=" "," ",IFERROR(VLOOKUP(U13,Points!$A$2:$B$14,2,FALSE)," ")))</f>
        <v xml:space="preserve"> </v>
      </c>
      <c r="X13" s="92">
        <v>38.515000000000001</v>
      </c>
      <c r="Y13" s="93">
        <f t="shared" si="10"/>
        <v>15</v>
      </c>
      <c r="Z13" s="93" t="str">
        <f t="shared" si="11"/>
        <v xml:space="preserve"> </v>
      </c>
      <c r="AA13" s="94" t="str">
        <f>IF(Table6220273233373822[[#This Row],[Non-Member]]="X"," ",IF(Z13=" "," ",IFERROR(VLOOKUP(Y13,Points!$A$2:$B$14,2,FALSE)," ")))</f>
        <v xml:space="preserve"> </v>
      </c>
      <c r="AB13" s="92">
        <v>34.488999999999997</v>
      </c>
      <c r="AC13" s="93">
        <f t="shared" si="12"/>
        <v>12</v>
      </c>
      <c r="AD13" s="93" t="str">
        <f t="shared" si="13"/>
        <v xml:space="preserve"> </v>
      </c>
      <c r="AE13" s="94" t="str">
        <f>IF(Table6220273233373822[[#This Row],[Non-Member]]="X"," ",IF(AD13=" "," ",IFERROR(VLOOKUP(AC13,Points!$A$2:$B$14,2,FALSE)," ")))</f>
        <v xml:space="preserve"> </v>
      </c>
      <c r="AF13" s="92">
        <f t="shared" si="14"/>
        <v>73.003999999999991</v>
      </c>
      <c r="AG13" s="93">
        <f t="shared" si="15"/>
        <v>14</v>
      </c>
      <c r="AH13" s="93" t="str">
        <f t="shared" si="16"/>
        <v xml:space="preserve"> </v>
      </c>
      <c r="AI13" s="94" t="str">
        <f>IF(Table6220273233373822[[#This Row],[Non-Member]]="X"," ",IF(AH13=" "," ",IFERROR(VLOOKUP(AG13,Points!$A$2:$B$14,2,FALSE)," ")))</f>
        <v xml:space="preserve"> </v>
      </c>
      <c r="AJ13" s="93">
        <f>IF(Table6220273233373822[[#This Row],[Non-Member]]="X"," ",((IF(G13=" ",0,G13))+(IF(K13=" ",0,K13))+(IF(O13=" ",0,O13))+(IF(S13=" ",0,S13))+(IF(W13=" ",0,W13))+(IF(AA13=" ",0,AA13))+(IF(AE13=" ",0,AE13))+(IF(AI13=" ",0,AI13))))</f>
        <v>21</v>
      </c>
      <c r="AK13" s="95">
        <f t="shared" si="17"/>
        <v>21</v>
      </c>
      <c r="AL13" s="96">
        <f t="shared" si="18"/>
        <v>8</v>
      </c>
    </row>
    <row r="14" spans="2:38" x14ac:dyDescent="0.25">
      <c r="B14" s="90" t="s">
        <v>91</v>
      </c>
      <c r="C14" s="91"/>
      <c r="D14" s="92">
        <v>0</v>
      </c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IF(Table6220273233373822[[#This Row],[Non-Member]]="X"," ",IF(F14=" "," ",IFERROR(VLOOKUP(E14,Points!$A$2:$B$14,2,FALSE)," ")))</f>
        <v xml:space="preserve"> </v>
      </c>
      <c r="H14" s="92">
        <v>26.95</v>
      </c>
      <c r="I14" s="93">
        <f t="shared" si="2"/>
        <v>8</v>
      </c>
      <c r="J14" s="93" t="str">
        <f t="shared" si="3"/>
        <v xml:space="preserve"> </v>
      </c>
      <c r="K14" s="94" t="str">
        <f>IF(Table6220273233373822[[#This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IF(Table6220273233373822[[#This Row],[Non-Member]]="X"," ",IF(N14=" "," ",IFERROR(VLOOKUP(M14,Points!$A$2:$B$14,2,FALSE)," ")))</f>
        <v xml:space="preserve"> </v>
      </c>
      <c r="P14" s="92">
        <v>25.077000000000002</v>
      </c>
      <c r="Q14" s="93">
        <f t="shared" si="6"/>
        <v>7</v>
      </c>
      <c r="R14" s="93" t="str">
        <f t="shared" si="7"/>
        <v xml:space="preserve"> </v>
      </c>
      <c r="S14" s="94" t="str">
        <f>IF(Table6220273233373822[[#This Row],[Non-Member]]="X"," ",IF(R14=" "," ",IFERROR(VLOOKUP(Q14,Points!$A$2:$B$14,2,FALSE)," ")))</f>
        <v xml:space="preserve"> </v>
      </c>
      <c r="T14" s="92">
        <v>24.177</v>
      </c>
      <c r="U14" s="93">
        <f t="shared" si="8"/>
        <v>3</v>
      </c>
      <c r="V14" s="93">
        <f t="shared" si="9"/>
        <v>3</v>
      </c>
      <c r="W14" s="94">
        <f>IF(Table6220273233373822[[#This Row],[Non-Member]]="X"," ",IF(V14=" "," ",IFERROR(VLOOKUP(U14,Points!$A$2:$B$14,2,FALSE)," ")))</f>
        <v>12</v>
      </c>
      <c r="X14" s="92">
        <v>24.678000000000001</v>
      </c>
      <c r="Y14" s="93">
        <f t="shared" si="10"/>
        <v>7</v>
      </c>
      <c r="Z14" s="93" t="str">
        <f t="shared" si="11"/>
        <v xml:space="preserve"> </v>
      </c>
      <c r="AA14" s="94" t="str">
        <f>IF(Table6220273233373822[[#This Row],[Non-Member]]="X"," ",IF(Z14=" "," ",IFERROR(VLOOKUP(Y14,Points!$A$2:$B$14,2,FALSE)," ")))</f>
        <v xml:space="preserve"> </v>
      </c>
      <c r="AB14" s="92">
        <v>25.843</v>
      </c>
      <c r="AC14" s="93">
        <f t="shared" si="12"/>
        <v>6</v>
      </c>
      <c r="AD14" s="93">
        <f t="shared" si="13"/>
        <v>6</v>
      </c>
      <c r="AE14" s="94">
        <f>IF(Table6220273233373822[[#This Row],[Non-Member]]="X"," ",IF(AD14=" "," ",IFERROR(VLOOKUP(AC14,Points!$A$2:$B$14,2,FALSE)," ")))</f>
        <v>3</v>
      </c>
      <c r="AF14" s="92">
        <f t="shared" si="14"/>
        <v>50.521000000000001</v>
      </c>
      <c r="AG14" s="93">
        <f t="shared" si="15"/>
        <v>7</v>
      </c>
      <c r="AH14" s="93" t="str">
        <f t="shared" si="16"/>
        <v xml:space="preserve"> </v>
      </c>
      <c r="AI14" s="94" t="str">
        <f>IF(Table6220273233373822[[#This Row],[Non-Member]]="X"," ",IF(AH14=" "," ",IFERROR(VLOOKUP(AG14,Points!$A$2:$B$14,2,FALSE)," ")))</f>
        <v xml:space="preserve"> </v>
      </c>
      <c r="AJ14" s="93">
        <f>IF(Table6220273233373822[[#This Row],[Non-Member]]="X"," ",((IF(G14=" ",0,G14))+(IF(K14=" ",0,K14))+(IF(O14=" ",0,O14))+(IF(S14=" ",0,S14))+(IF(W14=" ",0,W14))+(IF(AA14=" ",0,AA14))+(IF(AE14=" ",0,AE14))+(IF(AI14=" ",0,AI14))))</f>
        <v>15</v>
      </c>
      <c r="AK14" s="95">
        <f t="shared" si="17"/>
        <v>15</v>
      </c>
      <c r="AL14" s="96">
        <f t="shared" si="18"/>
        <v>10</v>
      </c>
    </row>
    <row r="15" spans="2:38" x14ac:dyDescent="0.25">
      <c r="B15" s="90" t="s">
        <v>88</v>
      </c>
      <c r="C15" s="91"/>
      <c r="D15" s="92">
        <v>26.628</v>
      </c>
      <c r="E15" s="97">
        <f t="shared" si="0"/>
        <v>10</v>
      </c>
      <c r="F15" s="97" t="str">
        <f t="shared" si="1"/>
        <v xml:space="preserve"> </v>
      </c>
      <c r="G15" s="94" t="str">
        <f>IF(Table6220273233373822[[#This Row],[Non-Member]]="X"," ",IF(F15=" "," ",IFERROR(VLOOKUP(E15,Points!$A$2:$B$14,2,FALSE)," ")))</f>
        <v xml:space="preserve"> </v>
      </c>
      <c r="H15" s="92">
        <v>24.209</v>
      </c>
      <c r="I15" s="97">
        <f t="shared" si="2"/>
        <v>6</v>
      </c>
      <c r="J15" s="97">
        <f t="shared" si="3"/>
        <v>6</v>
      </c>
      <c r="K15" s="94">
        <f>IF(Table6220273233373822[[#This Row],[Non-Member]]="X"," ",IF(J15=" "," ",IFERROR(VLOOKUP(I15,Points!$A$2:$B$14,2,FALSE)," ")))</f>
        <v>3</v>
      </c>
      <c r="L15" s="92">
        <v>24.738</v>
      </c>
      <c r="M15" s="97">
        <f t="shared" si="4"/>
        <v>5</v>
      </c>
      <c r="N15" s="97">
        <f t="shared" si="5"/>
        <v>5</v>
      </c>
      <c r="O15" s="94">
        <f>IF(Table6220273233373822[[#This Row],[Non-Member]]="X"," ",IF(N15=" "," ",IFERROR(VLOOKUP(M15,Points!$A$2:$B$14,2,FALSE)," ")))</f>
        <v>6</v>
      </c>
      <c r="P15" s="92">
        <v>28.047999999999998</v>
      </c>
      <c r="Q15" s="97">
        <f t="shared" si="6"/>
        <v>10</v>
      </c>
      <c r="R15" s="97" t="str">
        <f t="shared" si="7"/>
        <v xml:space="preserve"> </v>
      </c>
      <c r="S15" s="94" t="str">
        <f>IF(Table6220273233373822[[#This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IF(Table6220273233373822[[#This Row],[Non-Member]]="X"," ",IF(V15=" "," ",IFERROR(VLOOKUP(U15,Points!$A$2:$B$14,2,FALSE)," ")))</f>
        <v xml:space="preserve"> </v>
      </c>
      <c r="X15" s="92">
        <v>29.565000000000001</v>
      </c>
      <c r="Y15" s="97">
        <f t="shared" si="10"/>
        <v>11</v>
      </c>
      <c r="Z15" s="97" t="str">
        <f t="shared" si="11"/>
        <v xml:space="preserve"> </v>
      </c>
      <c r="AA15" s="94" t="str">
        <f>IF(Table6220273233373822[[#This Row],[Non-Member]]="X"," ",IF(Z15=" "," ",IFERROR(VLOOKUP(Y15,Points!$A$2:$B$14,2,FALSE)," ")))</f>
        <v xml:space="preserve"> </v>
      </c>
      <c r="AB15" s="92">
        <v>29.59</v>
      </c>
      <c r="AC15" s="97">
        <f t="shared" si="12"/>
        <v>9</v>
      </c>
      <c r="AD15" s="97" t="str">
        <f t="shared" si="13"/>
        <v xml:space="preserve"> </v>
      </c>
      <c r="AE15" s="94" t="str">
        <f>IF(Table6220273233373822[[#This Row],[Non-Member]]="X"," ",IF(AD15=" "," ",IFERROR(VLOOKUP(AC15,Points!$A$2:$B$14,2,FALSE)," ")))</f>
        <v xml:space="preserve"> </v>
      </c>
      <c r="AF15" s="92">
        <f t="shared" si="14"/>
        <v>59.155000000000001</v>
      </c>
      <c r="AG15" s="97">
        <f t="shared" si="15"/>
        <v>9</v>
      </c>
      <c r="AH15" s="97" t="str">
        <f t="shared" si="16"/>
        <v xml:space="preserve"> </v>
      </c>
      <c r="AI15" s="94" t="str">
        <f>IF(Table6220273233373822[[#This Row],[Non-Member]]="X"," ",IF(AH15=" "," ",IFERROR(VLOOKUP(AG15,Points!$A$2:$B$14,2,FALSE)," ")))</f>
        <v xml:space="preserve"> </v>
      </c>
      <c r="AJ15" s="97">
        <f>IF(Table6220273233373822[[#This Row],[Non-Member]]="X"," ",((IF(G15=" ",0,G15))+(IF(K15=" ",0,K15))+(IF(O15=" ",0,O15))+(IF(S15=" ",0,S15))+(IF(W15=" ",0,W15))+(IF(AA15=" ",0,AA15))+(IF(AE15=" ",0,AE15))+(IF(AI15=" ",0,AI15))))</f>
        <v>9</v>
      </c>
      <c r="AK15" s="95">
        <f t="shared" si="17"/>
        <v>9</v>
      </c>
      <c r="AL15" s="98">
        <f t="shared" si="18"/>
        <v>11</v>
      </c>
    </row>
    <row r="16" spans="2:38" x14ac:dyDescent="0.25">
      <c r="B16" s="90" t="s">
        <v>145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IF(Table6220273233373822[[#This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IF(Table6220273233373822[[#This Row],[Non-Member]]="X"," ",IF(J16=" "," ",IFERROR(VLOOKUP(I16,Points!$A$2:$B$14,2,FALSE)," ")))</f>
        <v xml:space="preserve"> </v>
      </c>
      <c r="L16" s="92">
        <v>33.622</v>
      </c>
      <c r="M16" s="93">
        <f t="shared" si="4"/>
        <v>10</v>
      </c>
      <c r="N16" s="93" t="str">
        <f t="shared" si="5"/>
        <v xml:space="preserve"> </v>
      </c>
      <c r="O16" s="94" t="str">
        <f>IF(Table6220273233373822[[#This Row],[Non-Member]]="X"," ",IF(N16=" "," ",IFERROR(VLOOKUP(M16,Points!$A$2:$B$14,2,FALSE)," ")))</f>
        <v xml:space="preserve"> </v>
      </c>
      <c r="P16" s="92">
        <v>24.72</v>
      </c>
      <c r="Q16" s="93">
        <f t="shared" si="6"/>
        <v>6</v>
      </c>
      <c r="R16" s="93">
        <f t="shared" si="7"/>
        <v>6</v>
      </c>
      <c r="S16" s="94">
        <f>IF(Table6220273233373822[[#This Row],[Non-Member]]="X"," ",IF(R16=" "," ",IFERROR(VLOOKUP(Q16,Points!$A$2:$B$14,2,FALSE)," ")))</f>
        <v>3</v>
      </c>
      <c r="T16" s="92">
        <v>27.183</v>
      </c>
      <c r="U16" s="93">
        <f t="shared" si="8"/>
        <v>5</v>
      </c>
      <c r="V16" s="93">
        <f t="shared" si="9"/>
        <v>5</v>
      </c>
      <c r="W16" s="94">
        <f>IF(Table6220273233373822[[#This Row],[Non-Member]]="X"," ",IF(V16=" "," ",IFERROR(VLOOKUP(U16,Points!$A$2:$B$14,2,FALSE)," ")))</f>
        <v>6</v>
      </c>
      <c r="X16" s="92">
        <v>30.734000000000002</v>
      </c>
      <c r="Y16" s="93">
        <f t="shared" si="10"/>
        <v>13</v>
      </c>
      <c r="Z16" s="93" t="str">
        <f t="shared" si="11"/>
        <v xml:space="preserve"> </v>
      </c>
      <c r="AA16" s="94" t="str">
        <f>IF(Table6220273233373822[[#This Row],[Non-Member]]="X"," ",IF(Z16=" "," ",IFERROR(VLOOKUP(Y16,Points!$A$2:$B$14,2,FALSE)," ")))</f>
        <v xml:space="preserve"> </v>
      </c>
      <c r="AB16" s="92">
        <v>36.145000000000003</v>
      </c>
      <c r="AC16" s="93">
        <f t="shared" si="12"/>
        <v>14</v>
      </c>
      <c r="AD16" s="93" t="str">
        <f t="shared" si="13"/>
        <v xml:space="preserve"> </v>
      </c>
      <c r="AE16" s="94" t="str">
        <f>IF(Table6220273233373822[[#This Row],[Non-Member]]="X"," ",IF(AD16=" "," ",IFERROR(VLOOKUP(AC16,Points!$A$2:$B$14,2,FALSE)," ")))</f>
        <v xml:space="preserve"> </v>
      </c>
      <c r="AF16" s="92">
        <f t="shared" si="14"/>
        <v>66.879000000000005</v>
      </c>
      <c r="AG16" s="93">
        <f t="shared" si="15"/>
        <v>12</v>
      </c>
      <c r="AH16" s="93" t="str">
        <f t="shared" si="16"/>
        <v xml:space="preserve"> </v>
      </c>
      <c r="AI16" s="94" t="str">
        <f>IF(Table6220273233373822[[#This Row],[Non-Member]]="X"," ",IF(AH16=" "," ",IFERROR(VLOOKUP(AG16,Points!$A$2:$B$14,2,FALSE)," ")))</f>
        <v xml:space="preserve"> </v>
      </c>
      <c r="AJ16" s="93">
        <f>IF(Table6220273233373822[[#This Row],[Non-Member]]="X"," ",((IF(G16=" ",0,G16))+(IF(K16=" ",0,K16))+(IF(O16=" ",0,O16))+(IF(S16=" ",0,S16))+(IF(W16=" ",0,W16))+(IF(AA16=" ",0,AA16))+(IF(AE16=" ",0,AE16))+(IF(AI16=" ",0,AI16))))</f>
        <v>9</v>
      </c>
      <c r="AK16" s="95">
        <f t="shared" si="17"/>
        <v>9</v>
      </c>
      <c r="AL16" s="96">
        <f t="shared" si="18"/>
        <v>11</v>
      </c>
    </row>
    <row r="17" spans="2:38" x14ac:dyDescent="0.25">
      <c r="B17" s="90" t="s">
        <v>281</v>
      </c>
      <c r="C17" s="91" t="s">
        <v>95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IF(Table6220273233373822[[#This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IF(Table6220273233373822[[#This Row],[Non-Member]]="X"," ",IF(J17=" "," ",IFERROR(VLOOKUP(I17,Points!$A$2:$B$14,2,FALSE)," ")))</f>
        <v xml:space="preserve"> </v>
      </c>
      <c r="L17" s="92">
        <v>39.279000000000003</v>
      </c>
      <c r="M17" s="93">
        <f t="shared" si="4"/>
        <v>11</v>
      </c>
      <c r="N17" s="93" t="str">
        <f t="shared" si="5"/>
        <v xml:space="preserve"> </v>
      </c>
      <c r="O17" s="94" t="str">
        <f>IF(Table6220273233373822[[#This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IF(Table6220273233373822[[#This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IF(Table6220273233373822[[#This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IF(Table6220273233373822[[#This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IF(Table6220273233373822[[#This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IF(Table6220273233373822[[#This Row],[Non-Member]]="X"," ",IF(AH17=" "," ",IFERROR(VLOOKUP(AG17,Points!$A$2:$B$14,2,FALSE)," ")))</f>
        <v xml:space="preserve"> </v>
      </c>
      <c r="AJ17" s="93" t="str">
        <f>IF(Table6220273233373822[[#This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25">
      <c r="B18" s="90" t="s">
        <v>97</v>
      </c>
      <c r="C18" s="91"/>
      <c r="D18" s="92">
        <v>44.069000000000003</v>
      </c>
      <c r="E18" s="93">
        <f t="shared" si="0"/>
        <v>14</v>
      </c>
      <c r="F18" s="93" t="str">
        <f t="shared" si="1"/>
        <v xml:space="preserve"> </v>
      </c>
      <c r="G18" s="94" t="str">
        <f>IF(Table6220273233373822[[#This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IF(Table6220273233373822[[#This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IF(Table6220273233373822[[#This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IF(Table6220273233373822[[#This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IF(Table6220273233373822[[#This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IF(Table6220273233373822[[#This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IF(Table6220273233373822[[#This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IF(Table6220273233373822[[#This Row],[Non-Member]]="X"," ",IF(AH18=" "," ",IFERROR(VLOOKUP(AG18,Points!$A$2:$B$14,2,FALSE)," ")))</f>
        <v xml:space="preserve"> </v>
      </c>
      <c r="AJ18" s="93">
        <f>IF(Table6220273233373822[[#This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25">
      <c r="B19" s="90" t="s">
        <v>215</v>
      </c>
      <c r="C19" s="91"/>
      <c r="D19" s="92">
        <v>30.931000000000001</v>
      </c>
      <c r="E19" s="97">
        <f t="shared" si="0"/>
        <v>12</v>
      </c>
      <c r="F19" s="97" t="str">
        <f t="shared" si="1"/>
        <v xml:space="preserve"> </v>
      </c>
      <c r="G19" s="94" t="str">
        <f>IF(Table6220273233373822[[#This Row],[Non-Member]]="X"," ",IF(F19=" "," ",IFERROR(VLOOKUP(E19,Points!$A$2:$B$14,2,FALSE)," ")))</f>
        <v xml:space="preserve"> </v>
      </c>
      <c r="H19" s="92">
        <v>27.259</v>
      </c>
      <c r="I19" s="97">
        <f t="shared" si="2"/>
        <v>9</v>
      </c>
      <c r="J19" s="97" t="str">
        <f t="shared" si="3"/>
        <v xml:space="preserve"> </v>
      </c>
      <c r="K19" s="94" t="str">
        <f>IF(Table6220273233373822[[#This Row],[Non-Member]]="X"," ",IF(J19=" "," ",IFERROR(VLOOKUP(I19,Points!$A$2:$B$14,2,FALSE)," ")))</f>
        <v xml:space="preserve"> </v>
      </c>
      <c r="L19" s="92">
        <v>0</v>
      </c>
      <c r="M19" s="97" t="str">
        <f t="shared" si="4"/>
        <v xml:space="preserve"> </v>
      </c>
      <c r="N19" s="97" t="str">
        <f t="shared" si="5"/>
        <v xml:space="preserve"> </v>
      </c>
      <c r="O19" s="94" t="str">
        <f>IF(Table6220273233373822[[#This Row],[Non-Member]]="X"," ",IF(N19=" "," ",IFERROR(VLOOKUP(M19,Points!$A$2:$B$14,2,FALSE)," ")))</f>
        <v xml:space="preserve"> </v>
      </c>
      <c r="P19" s="92"/>
      <c r="Q19" s="97" t="str">
        <f t="shared" si="6"/>
        <v xml:space="preserve"> </v>
      </c>
      <c r="R19" s="97" t="str">
        <f t="shared" si="7"/>
        <v xml:space="preserve"> </v>
      </c>
      <c r="S19" s="94" t="str">
        <f>IF(Table6220273233373822[[#This Row],[Non-Member]]="X"," ",IF(R19=" "," ",IFERROR(VLOOKUP(Q19,Points!$A$2:$B$14,2,FALSE)," ")))</f>
        <v xml:space="preserve"> </v>
      </c>
      <c r="T19" s="92"/>
      <c r="U19" s="97" t="str">
        <f t="shared" si="8"/>
        <v xml:space="preserve"> </v>
      </c>
      <c r="V19" s="97" t="str">
        <f t="shared" si="9"/>
        <v xml:space="preserve"> </v>
      </c>
      <c r="W19" s="94" t="str">
        <f>IF(Table6220273233373822[[#This Row],[Non-Member]]="X"," ",IF(V19=" "," ",IFERROR(VLOOKUP(U19,Points!$A$2:$B$14,2,FALSE)," ")))</f>
        <v xml:space="preserve"> </v>
      </c>
      <c r="X19" s="92">
        <v>25.181000000000001</v>
      </c>
      <c r="Y19" s="97">
        <f t="shared" si="10"/>
        <v>9</v>
      </c>
      <c r="Z19" s="97" t="str">
        <f t="shared" si="11"/>
        <v xml:space="preserve"> </v>
      </c>
      <c r="AA19" s="94" t="str">
        <f>IF(Table6220273233373822[[#This Row],[Non-Member]]="X"," ",IF(Z19=" "," ",IFERROR(VLOOKUP(Y19,Points!$A$2:$B$14,2,FALSE)," ")))</f>
        <v xml:space="preserve"> </v>
      </c>
      <c r="AB19" s="92">
        <v>29.541</v>
      </c>
      <c r="AC19" s="97">
        <f t="shared" si="12"/>
        <v>8</v>
      </c>
      <c r="AD19" s="97" t="str">
        <f t="shared" si="13"/>
        <v xml:space="preserve"> </v>
      </c>
      <c r="AE19" s="94" t="str">
        <f>IF(Table6220273233373822[[#This Row],[Non-Member]]="X"," ",IF(AD19=" "," ",IFERROR(VLOOKUP(AC19,Points!$A$2:$B$14,2,FALSE)," ")))</f>
        <v xml:space="preserve"> </v>
      </c>
      <c r="AF19" s="92">
        <f t="shared" si="14"/>
        <v>54.722000000000001</v>
      </c>
      <c r="AG19" s="97">
        <f t="shared" si="15"/>
        <v>8</v>
      </c>
      <c r="AH19" s="97" t="str">
        <f t="shared" si="16"/>
        <v xml:space="preserve"> </v>
      </c>
      <c r="AI19" s="94" t="str">
        <f>IF(Table6220273233373822[[#This Row],[Non-Member]]="X"," ",IF(AH19=" "," ",IFERROR(VLOOKUP(AG19,Points!$A$2:$B$14,2,FALSE)," ")))</f>
        <v xml:space="preserve"> </v>
      </c>
      <c r="AJ19" s="97">
        <f>IF(Table6220273233373822[[#This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8" t="str">
        <f t="shared" si="18"/>
        <v xml:space="preserve"> </v>
      </c>
    </row>
    <row r="20" spans="2:38" x14ac:dyDescent="0.25">
      <c r="B20" s="90" t="s">
        <v>217</v>
      </c>
      <c r="C20" s="91"/>
      <c r="D20" s="92">
        <v>26.829000000000001</v>
      </c>
      <c r="E20" s="93">
        <f t="shared" si="0"/>
        <v>11</v>
      </c>
      <c r="F20" s="93" t="str">
        <f t="shared" si="1"/>
        <v xml:space="preserve"> </v>
      </c>
      <c r="G20" s="94" t="str">
        <f>IF(Table6220273233373822[[#This Row],[Non-Member]]="X"," ",IF(F20=" "," ",IFERROR(VLOOKUP(E20,Points!$A$2:$B$14,2,FALSE)," ")))</f>
        <v xml:space="preserve"> </v>
      </c>
      <c r="H20" s="92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IF(Table6220273233373822[[#This Row],[Non-Member]]="X"," ",IF(J20=" "," ",IFERROR(VLOOKUP(I20,Points!$A$2:$B$14,2,FALSE)," ")))</f>
        <v xml:space="preserve"> </v>
      </c>
      <c r="L20" s="92">
        <v>27.795000000000002</v>
      </c>
      <c r="M20" s="93">
        <f t="shared" si="4"/>
        <v>9</v>
      </c>
      <c r="N20" s="93" t="str">
        <f t="shared" si="5"/>
        <v xml:space="preserve"> </v>
      </c>
      <c r="O20" s="94" t="str">
        <f>IF(Table6220273233373822[[#This Row],[Non-Member]]="X"," ",IF(N20=" "," ",IFERROR(VLOOKUP(M20,Points!$A$2:$B$14,2,FALSE)," ")))</f>
        <v xml:space="preserve"> </v>
      </c>
      <c r="P20" s="92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IF(Table6220273233373822[[#This Row],[Non-Member]]="X"," ",IF(R20=" "," ",IFERROR(VLOOKUP(Q20,Points!$A$2:$B$14,2,FALSE)," ")))</f>
        <v xml:space="preserve"> </v>
      </c>
      <c r="T20" s="92">
        <v>0</v>
      </c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IF(Table6220273233373822[[#This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IF(Table6220273233373822[[#This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IF(Table6220273233373822[[#This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IF(Table6220273233373822[[#This Row],[Non-Member]]="X"," ",IF(AH20=" "," ",IFERROR(VLOOKUP(AG20,Points!$A$2:$B$14,2,FALSE)," ")))</f>
        <v xml:space="preserve"> </v>
      </c>
      <c r="AJ20" s="93">
        <f>IF(Table6220273233373822[[#This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 t="s">
        <v>246</v>
      </c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IF(Table6220273233373822[[#This Row],[Non-Member]]="X"," ",IF(F21=" "," ",IFERROR(VLOOKUP(E21,Points!$A$2:$B$14,2,FALSE)," ")))</f>
        <v xml:space="preserve"> </v>
      </c>
      <c r="H21" s="92">
        <v>31.077999999999999</v>
      </c>
      <c r="I21" s="93">
        <f t="shared" si="2"/>
        <v>11</v>
      </c>
      <c r="J21" s="93" t="str">
        <f t="shared" si="3"/>
        <v xml:space="preserve"> </v>
      </c>
      <c r="K21" s="94" t="str">
        <f>IF(Table6220273233373822[[#This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IF(Table6220273233373822[[#This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IF(Table6220273233373822[[#This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IF(Table6220273233373822[[#This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IF(Table6220273233373822[[#This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IF(Table6220273233373822[[#This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IF(Table6220273233373822[[#This Row],[Non-Member]]="X"," ",IF(AH21=" "," ",IFERROR(VLOOKUP(AG21,Points!$A$2:$B$14,2,FALSE)," ")))</f>
        <v xml:space="preserve"> </v>
      </c>
      <c r="AJ21" s="93">
        <f>IF(Table6220273233373822[[#This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 t="s">
        <v>245</v>
      </c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IF(Table6220273233373822[[#This Row],[Non-Member]]="X"," ",IF(F22=" "," ",IFERROR(VLOOKUP(E22,Points!$A$2:$B$14,2,FALSE)," ")))</f>
        <v xml:space="preserve"> </v>
      </c>
      <c r="H22" s="92">
        <v>39.64</v>
      </c>
      <c r="I22" s="93">
        <f t="shared" si="2"/>
        <v>12</v>
      </c>
      <c r="J22" s="93" t="str">
        <f t="shared" si="3"/>
        <v xml:space="preserve"> </v>
      </c>
      <c r="K22" s="94" t="str">
        <f>IF(Table6220273233373822[[#This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IF(Table6220273233373822[[#This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IF(Table6220273233373822[[#This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IF(Table6220273233373822[[#This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IF(Table6220273233373822[[#This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IF(Table6220273233373822[[#This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IF(Table6220273233373822[[#This Row],[Non-Member]]="X"," ",IF(AH22=" "," ",IFERROR(VLOOKUP(AG22,Points!$A$2:$B$14,2,FALSE)," ")))</f>
        <v xml:space="preserve"> </v>
      </c>
      <c r="AJ22" s="93">
        <f>IF(Table6220273233373822[[#This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 t="s">
        <v>89</v>
      </c>
      <c r="C23" s="91"/>
      <c r="D23" s="92">
        <v>25.885999999999999</v>
      </c>
      <c r="E23" s="93">
        <f t="shared" si="0"/>
        <v>8</v>
      </c>
      <c r="F23" s="93" t="str">
        <f t="shared" si="1"/>
        <v xml:space="preserve"> </v>
      </c>
      <c r="G23" s="94" t="str">
        <f>IF(Table6220273233373822[[#This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IF(Table6220273233373822[[#This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IF(Table6220273233373822[[#This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IF(Table6220273233373822[[#This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IF(Table6220273233373822[[#This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IF(Table6220273233373822[[#This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IF(Table6220273233373822[[#This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IF(Table6220273233373822[[#This Row],[Non-Member]]="X"," ",IF(AH23=" "," ",IFERROR(VLOOKUP(AG23,Points!$A$2:$B$14,2,FALSE)," ")))</f>
        <v xml:space="preserve"> </v>
      </c>
      <c r="AJ23" s="93">
        <f>IF(Table6220273233373822[[#This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25">
      <c r="B24" s="90" t="s">
        <v>216</v>
      </c>
      <c r="C24" s="91"/>
      <c r="D24" s="92"/>
      <c r="E24" s="97" t="str">
        <f t="shared" si="0"/>
        <v xml:space="preserve"> </v>
      </c>
      <c r="F24" s="97" t="str">
        <f t="shared" si="1"/>
        <v xml:space="preserve"> </v>
      </c>
      <c r="G24" s="94" t="str">
        <f>IF(Table6220273233373822[[#This Row],[Non-Member]]="X"," ",IF(F24=" "," ",IFERROR(VLOOKUP(E24,Points!$A$2:$B$14,2,FALSE)," ")))</f>
        <v xml:space="preserve"> </v>
      </c>
      <c r="H24" s="92"/>
      <c r="I24" s="97" t="str">
        <f t="shared" si="2"/>
        <v xml:space="preserve"> </v>
      </c>
      <c r="J24" s="97" t="str">
        <f t="shared" si="3"/>
        <v xml:space="preserve"> </v>
      </c>
      <c r="K24" s="94" t="str">
        <f>IF(Table6220273233373822[[#This Row],[Non-Member]]="X"," ",IF(J24=" "," ",IFERROR(VLOOKUP(I24,Points!$A$2:$B$14,2,FALSE)," ")))</f>
        <v xml:space="preserve"> </v>
      </c>
      <c r="L24" s="92">
        <v>0</v>
      </c>
      <c r="M24" s="97" t="str">
        <f t="shared" si="4"/>
        <v xml:space="preserve"> </v>
      </c>
      <c r="N24" s="97" t="str">
        <f t="shared" si="5"/>
        <v xml:space="preserve"> </v>
      </c>
      <c r="O24" s="94" t="str">
        <f>IF(Table6220273233373822[[#This Row],[Non-Member]]="X"," ",IF(N24=" "," ",IFERROR(VLOOKUP(M24,Points!$A$2:$B$14,2,FALSE)," ")))</f>
        <v xml:space="preserve"> </v>
      </c>
      <c r="P24" s="92">
        <v>0</v>
      </c>
      <c r="Q24" s="97" t="str">
        <f t="shared" si="6"/>
        <v xml:space="preserve"> </v>
      </c>
      <c r="R24" s="97" t="str">
        <f t="shared" si="7"/>
        <v xml:space="preserve"> </v>
      </c>
      <c r="S24" s="94" t="str">
        <f>IF(Table6220273233373822[[#This Row],[Non-Member]]="X"," ",IF(R24=" "," ",IFERROR(VLOOKUP(Q24,Points!$A$2:$B$14,2,FALSE)," ")))</f>
        <v xml:space="preserve"> </v>
      </c>
      <c r="T24" s="92">
        <v>30.216999999999999</v>
      </c>
      <c r="U24" s="97">
        <f t="shared" si="8"/>
        <v>7</v>
      </c>
      <c r="V24" s="97" t="str">
        <f t="shared" si="9"/>
        <v xml:space="preserve"> </v>
      </c>
      <c r="W24" s="94" t="str">
        <f>IF(Table6220273233373822[[#This Row],[Non-Member]]="X"," ",IF(V24=" "," ",IFERROR(VLOOKUP(U24,Points!$A$2:$B$14,2,FALSE)," ")))</f>
        <v xml:space="preserve"> </v>
      </c>
      <c r="X24" s="92">
        <v>30.11</v>
      </c>
      <c r="Y24" s="97">
        <f t="shared" si="10"/>
        <v>12</v>
      </c>
      <c r="Z24" s="97" t="str">
        <f t="shared" si="11"/>
        <v xml:space="preserve"> </v>
      </c>
      <c r="AA24" s="94" t="str">
        <f>IF(Table6220273233373822[[#This Row],[Non-Member]]="X"," ",IF(Z24=" "," ",IFERROR(VLOOKUP(Y24,Points!$A$2:$B$14,2,FALSE)," ")))</f>
        <v xml:space="preserve"> </v>
      </c>
      <c r="AB24" s="92">
        <v>35.887</v>
      </c>
      <c r="AC24" s="97">
        <f t="shared" si="12"/>
        <v>13</v>
      </c>
      <c r="AD24" s="97" t="str">
        <f t="shared" si="13"/>
        <v xml:space="preserve"> </v>
      </c>
      <c r="AE24" s="94" t="str">
        <f>IF(Table6220273233373822[[#This Row],[Non-Member]]="X"," ",IF(AD24=" "," ",IFERROR(VLOOKUP(AC24,Points!$A$2:$B$14,2,FALSE)," ")))</f>
        <v xml:space="preserve"> </v>
      </c>
      <c r="AF24" s="92">
        <f t="shared" si="14"/>
        <v>65.997</v>
      </c>
      <c r="AG24" s="98">
        <f t="shared" si="15"/>
        <v>11</v>
      </c>
      <c r="AH24" s="97" t="str">
        <f t="shared" si="16"/>
        <v xml:space="preserve"> </v>
      </c>
      <c r="AI24" s="94" t="str">
        <f>IF(Table6220273233373822[[#This Row],[Non-Member]]="X"," ",IF(AH24=" "," ",IFERROR(VLOOKUP(AG24,Points!$A$2:$B$14,2,FALSE)," ")))</f>
        <v xml:space="preserve"> </v>
      </c>
      <c r="AJ24" s="97">
        <f>IF(Table6220273233373822[[#This Row],[Non-Member]]="X"," ",((IF(G24=" ",0,G24))+(IF(K24=" ",0,K24))+(IF(O24=" ",0,O24))+(IF(S24=" ",0,S24))+(IF(W24=" ",0,W24))+(IF(AA24=" ",0,AA24))+(IF(AE24=" ",0,AE24))+(IF(AI24=" ",0,AI24))))</f>
        <v>0</v>
      </c>
      <c r="AK24" s="153" t="str">
        <f t="shared" si="17"/>
        <v xml:space="preserve"> </v>
      </c>
      <c r="AL24" s="98" t="str">
        <f t="shared" si="18"/>
        <v xml:space="preserve"> </v>
      </c>
    </row>
    <row r="25" spans="2:38" ht="14.4" thickBot="1" x14ac:dyDescent="0.3">
      <c r="B25" s="100" t="s">
        <v>214</v>
      </c>
      <c r="C25" s="101"/>
      <c r="D25" s="102">
        <v>35.19</v>
      </c>
      <c r="E25" s="103">
        <f t="shared" si="0"/>
        <v>13</v>
      </c>
      <c r="F25" s="103" t="str">
        <f t="shared" si="1"/>
        <v xml:space="preserve"> </v>
      </c>
      <c r="G25" s="104" t="str">
        <f>IF(Table6220273233373822[[#This Row],[Non-Member]]="X"," ",IF(F25=" "," ",IFERROR(VLOOKUP(E25,Points!$A$2:$B$14,2,FALSE)," ")))</f>
        <v xml:space="preserve"> </v>
      </c>
      <c r="H25" s="159">
        <v>0</v>
      </c>
      <c r="I25" s="103" t="str">
        <f t="shared" si="2"/>
        <v xml:space="preserve"> </v>
      </c>
      <c r="J25" s="103" t="str">
        <f t="shared" si="3"/>
        <v xml:space="preserve"> </v>
      </c>
      <c r="K25" s="104" t="str">
        <f>IF(Table6220273233373822[[#This Row],[Non-Member]]="X"," ",IF(J25=" "," ",IFERROR(VLOOKUP(I25,Points!$A$2:$B$14,2,FALSE)," ")))</f>
        <v xml:space="preserve"> </v>
      </c>
      <c r="L25" s="102">
        <v>0</v>
      </c>
      <c r="M25" s="103" t="str">
        <f t="shared" si="4"/>
        <v xml:space="preserve"> </v>
      </c>
      <c r="N25" s="103" t="str">
        <f t="shared" si="5"/>
        <v xml:space="preserve"> </v>
      </c>
      <c r="O25" s="104" t="str">
        <f>IF(Table6220273233373822[[#This Row],[Non-Member]]="X"," ",IF(N25=" "," ",IFERROR(VLOOKUP(M25,Points!$A$2:$B$14,2,FALSE)," ")))</f>
        <v xml:space="preserve"> </v>
      </c>
      <c r="P25" s="102">
        <v>0</v>
      </c>
      <c r="Q25" s="103" t="str">
        <f t="shared" si="6"/>
        <v xml:space="preserve"> </v>
      </c>
      <c r="R25" s="103" t="str">
        <f t="shared" si="7"/>
        <v xml:space="preserve"> </v>
      </c>
      <c r="S25" s="104" t="str">
        <f>IF(Table6220273233373822[[#This Row],[Non-Member]]="X"," ",IF(R25=" "," ",IFERROR(VLOOKUP(Q25,Points!$A$2:$B$14,2,FALSE)," ")))</f>
        <v xml:space="preserve"> </v>
      </c>
      <c r="T25" s="102">
        <v>34.014000000000003</v>
      </c>
      <c r="U25" s="103">
        <f t="shared" si="8"/>
        <v>11</v>
      </c>
      <c r="V25" s="103" t="str">
        <f t="shared" si="9"/>
        <v xml:space="preserve"> </v>
      </c>
      <c r="W25" s="104" t="str">
        <f>IF(Table6220273233373822[[#This Row],[Non-Member]]="X"," ",IF(V25=" "," ",IFERROR(VLOOKUP(U25,Points!$A$2:$B$14,2,FALSE)," ")))</f>
        <v xml:space="preserve"> </v>
      </c>
      <c r="X25" s="102">
        <v>34.880000000000003</v>
      </c>
      <c r="Y25" s="103">
        <f t="shared" si="10"/>
        <v>14</v>
      </c>
      <c r="Z25" s="103" t="str">
        <f t="shared" si="11"/>
        <v xml:space="preserve"> </v>
      </c>
      <c r="AA25" s="104" t="str">
        <f>IF(Table6220273233373822[[#This Row],[Non-Member]]="X"," ",IF(Z25=" "," ",IFERROR(VLOOKUP(Y25,Points!$A$2:$B$14,2,FALSE)," ")))</f>
        <v xml:space="preserve"> </v>
      </c>
      <c r="AB25" s="102">
        <v>33.677999999999997</v>
      </c>
      <c r="AC25" s="103">
        <f t="shared" si="12"/>
        <v>11</v>
      </c>
      <c r="AD25" s="103" t="str">
        <f t="shared" si="13"/>
        <v xml:space="preserve"> </v>
      </c>
      <c r="AE25" s="104" t="str">
        <f>IF(Table6220273233373822[[#This Row],[Non-Member]]="X"," ",IF(AD25=" "," ",IFERROR(VLOOKUP(AC25,Points!$A$2:$B$14,2,FALSE)," ")))</f>
        <v xml:space="preserve"> </v>
      </c>
      <c r="AF25" s="102">
        <f t="shared" si="14"/>
        <v>68.557999999999993</v>
      </c>
      <c r="AG25" s="103">
        <f t="shared" si="15"/>
        <v>13</v>
      </c>
      <c r="AH25" s="103" t="str">
        <f t="shared" si="16"/>
        <v xml:space="preserve"> </v>
      </c>
      <c r="AI25" s="104" t="str">
        <f>IF(Table6220273233373822[[#This Row],[Non-Member]]="X"," ",IF(AH25=" "," ",IFERROR(VLOOKUP(AG25,Points!$A$2:$B$14,2,FALSE)," ")))</f>
        <v xml:space="preserve"> </v>
      </c>
      <c r="AJ25" s="93">
        <f>IF(Table6220273233373822[[#This Row],[Non-Member]]="X"," ",((IF(G25=" ",0,G25))+(IF(K25=" ",0,K25))+(IF(O25=" ",0,O25))+(IF(S25=" ",0,S25))+(IF(W25=" ",0,W25))+(IF(AA25=" ",0,AA25))+(IF(AE25=" ",0,AE25))+(IF(AI25=" ",0,AI25))))</f>
        <v>0</v>
      </c>
      <c r="AK25" s="105" t="str">
        <f t="shared" si="17"/>
        <v xml:space="preserve"> </v>
      </c>
      <c r="AL25" s="96" t="str">
        <f t="shared" si="18"/>
        <v xml:space="preserve"> </v>
      </c>
    </row>
    <row r="26" spans="2:38" ht="14.4" thickBot="1" x14ac:dyDescent="0.3">
      <c r="B26" s="106" t="s">
        <v>235</v>
      </c>
      <c r="AG26" s="107"/>
    </row>
    <row r="28" spans="2:38" x14ac:dyDescent="0.25">
      <c r="F28" s="107"/>
    </row>
    <row r="29" spans="2:38" x14ac:dyDescent="0.25">
      <c r="F29" s="107"/>
    </row>
    <row r="30" spans="2:38" x14ac:dyDescent="0.25">
      <c r="H30" s="108"/>
    </row>
  </sheetData>
  <sheetProtection algorithmName="SHA-512" hashValue="wljR+MQGFPVtY5QWEBkYQI64ASrAN+zOKPO73oA3AGKT3G5KIC8TRzZ/YUwk/fsp4FPBEIrzU6wBGJyiITliLQ==" saltValue="OVCSnoKt9ebFIfpvivy+6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9F3C-14D3-45EE-8ED2-7C0258AA72F1}">
  <sheetPr codeName="Sheet64">
    <tabColor theme="5" tint="0.79998168889431442"/>
  </sheetPr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100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143</v>
      </c>
      <c r="C5" s="84"/>
      <c r="D5" s="85">
        <v>11.52</v>
      </c>
      <c r="E5" s="109">
        <f t="shared" ref="E5:E24" si="0">IF(D5=0," ",_xlfn.RANK.AVG(D5,D$5:D$24,1)-COUNTIF(D$5:D$24,0))</f>
        <v>1</v>
      </c>
      <c r="F5" s="109">
        <f t="shared" ref="F5:F24" si="1">IF(D5=0," ",IF((RANK(D5,D$5:D$24,1)-COUNTIF(D$5:D$24,0)&gt;6)," ",RANK(D5,D$5:D$24,1)-COUNTIF(D$5:D$24,0)))</f>
        <v>1</v>
      </c>
      <c r="G5" s="87">
        <f>IF(Table622027323337383923[[#This Row],[Non-Member]]="X"," ",IF(F5=" "," ",IFERROR(VLOOKUP(E5,Points!$A$2:$B$14,2,FALSE)," ")))</f>
        <v>18</v>
      </c>
      <c r="H5" s="85">
        <v>11.68</v>
      </c>
      <c r="I5" s="109">
        <f t="shared" ref="I5:I24" si="2">IF(H5=0," ",_xlfn.RANK.AVG(H5,H$5:H$24,1)-COUNTIF(H$5:H$24,0))</f>
        <v>1</v>
      </c>
      <c r="J5" s="109">
        <f t="shared" ref="J5:J24" si="3">IF(H5=0," ",IF((RANK(H5,H$5:H$24,1)-COUNTIF(H$5:H$24,0)&gt;6)," ",RANK(H5,H$5:H$24,1)-COUNTIF(H$5:H$24,0)))</f>
        <v>1</v>
      </c>
      <c r="K5" s="87">
        <f>IF(Table622027323337383923[[#This Row],[Non-Member]]="X"," ",IF(J5=" "," ",IFERROR(VLOOKUP(I5,Points!$A$2:$B$14,2,FALSE)," ")))</f>
        <v>18</v>
      </c>
      <c r="L5" s="85">
        <v>10.68</v>
      </c>
      <c r="M5" s="109">
        <f t="shared" ref="M5:M24" si="4">IF(L5=0," ",_xlfn.RANK.AVG(L5,L$5:L$24,1)-COUNTIF(L$5:L$24,0))</f>
        <v>1</v>
      </c>
      <c r="N5" s="109">
        <f t="shared" ref="N5:N24" si="5">IF(L5=0," ",IF((RANK(L5,L$5:L$24,1)-COUNTIF(L$5:L$24,0)&gt;6)," ",RANK(L5,L$5:L$24,1)-COUNTIF(L$5:L$24,0)))</f>
        <v>1</v>
      </c>
      <c r="O5" s="87">
        <f>IF(Table622027323337383923[[#This Row],[Non-Member]]="X"," ",IF(N5=" "," ",IFERROR(VLOOKUP(M5,Points!$A$2:$B$14,2,FALSE)," ")))</f>
        <v>18</v>
      </c>
      <c r="P5" s="85">
        <v>11.01</v>
      </c>
      <c r="Q5" s="109">
        <f t="shared" ref="Q5:Q24" si="6">IF(P5=0," ",_xlfn.RANK.AVG(P5,P$5:P$24,1)-COUNTIF(P$5:P$24,0))</f>
        <v>1</v>
      </c>
      <c r="R5" s="109">
        <f t="shared" ref="R5:R24" si="7">IF(P5=0," ",IF((RANK(P5,P$5:P$24,1)-COUNTIF(P$5:P$24,0)&gt;6)," ",RANK(P5,P$5:P$24,1)-COUNTIF(P$5:P$24,0)))</f>
        <v>1</v>
      </c>
      <c r="S5" s="87">
        <f>IF(Table622027323337383923[[#This Row],[Non-Member]]="X"," ",IF(R5=" "," ",IFERROR(VLOOKUP(Q5,Points!$A$2:$B$14,2,FALSE)," ")))</f>
        <v>18</v>
      </c>
      <c r="T5" s="85">
        <v>10.31</v>
      </c>
      <c r="U5" s="109">
        <f t="shared" ref="U5:U24" si="8">IF(T5=0," ",_xlfn.RANK.AVG(T5,T$5:T$24,1)-COUNTIF(T$5:T$24,0))</f>
        <v>1</v>
      </c>
      <c r="V5" s="109">
        <f t="shared" ref="V5:V24" si="9">IF(T5=0," ",IF((RANK(T5,T$5:T$24,1)-COUNTIF(T$5:T$24,0)&gt;6)," ",RANK(T5,T$5:T$24,1)-COUNTIF(T$5:T$24,0)))</f>
        <v>1</v>
      </c>
      <c r="W5" s="87">
        <f>IF(Table622027323337383923[[#This Row],[Non-Member]]="X"," ",IF(V5=" "," ",IFERROR(VLOOKUP(U5,Points!$A$2:$B$14,2,FALSE)," ")))</f>
        <v>18</v>
      </c>
      <c r="X5" s="85">
        <v>9.6300000000000008</v>
      </c>
      <c r="Y5" s="109">
        <f t="shared" ref="Y5:Y24" si="10">IF(X5=0," ",_xlfn.RANK.AVG(X5,X$5:X$24,1)-COUNTIF(X$5:X$24,0))</f>
        <v>1</v>
      </c>
      <c r="Z5" s="109">
        <f t="shared" ref="Z5:Z24" si="11">IF(X5=0," ",IF((RANK(X5,X$5:X$24,1)-COUNTIF(X$5:X$24,0)&gt;6)," ",RANK(X5,X$5:X$24,1)-COUNTIF(X$5:X$24,0)))</f>
        <v>1</v>
      </c>
      <c r="AA5" s="87">
        <f>IF(Table622027323337383923[[#This Row],[Non-Member]]="X"," ",IF(Z5=" "," ",IFERROR(VLOOKUP(Y5,Points!$A$2:$B$14,2,FALSE)," ")))</f>
        <v>18</v>
      </c>
      <c r="AB5" s="85">
        <v>10.130000000000001</v>
      </c>
      <c r="AC5" s="109">
        <f t="shared" ref="AC5:AC24" si="12">IF(AB5=0," ",_xlfn.RANK.AVG(AB5,AB$5:AB$24,1)-COUNTIF(AB$5:AB$24,0))</f>
        <v>1</v>
      </c>
      <c r="AD5" s="109">
        <f t="shared" ref="AD5:AD24" si="13">IF(AB5=0," ",IF((RANK(AB5,AB$5:AB$24,1)-COUNTIF(AB$5:AB$24,0)&gt;6)," ",RANK(AB5,AB$5:AB$24,1)-COUNTIF(AB$5:AB$24,0)))</f>
        <v>1</v>
      </c>
      <c r="AE5" s="87">
        <f>IF(Table622027323337383923[[#This Row],[Non-Member]]="X"," ",IF(AD5=" "," ",IFERROR(VLOOKUP(AC5,Points!$A$2:$B$14,2,FALSE)," ")))</f>
        <v>18</v>
      </c>
      <c r="AF5" s="85">
        <f t="shared" ref="AF5:AF24" si="14">IF(OR(X5=0,AB5=0)," ",X5+AB5)</f>
        <v>19.760000000000002</v>
      </c>
      <c r="AG5" s="109">
        <f t="shared" ref="AG5:AG24" si="15">IF(OR(AF5=0,AF5=" ")," ",_xlfn.RANK.AVG(AF5,AF$5:AF$24,1)-COUNTIF(AF$5:AF$24,0))</f>
        <v>1</v>
      </c>
      <c r="AH5" s="109">
        <f t="shared" ref="AH5:AH24" si="16">IF(OR(AF5=0,AF5=" ")," ",IF((RANK(AF5,AF$5:AF$24,1)-COUNTIF(AF$5:AF$24,0)&gt;6)," ",RANK(AF5,AF$5:AF$24,1)-COUNTIF(AF$5:AF$24,0)))</f>
        <v>1</v>
      </c>
      <c r="AI5" s="87">
        <f>IF(Table622027323337383923[[#This Row],[Non-Member]]="X"," ",IF(AH5=" "," ",IFERROR(VLOOKUP(AG5,Points!$A$2:$B$14,2,FALSE)," ")))</f>
        <v>18</v>
      </c>
      <c r="AJ5" s="109">
        <f>IF(Table622027323337383923[[#This Row],[Non-Member]]="X"," ",((IF(G5=" ",0,G5))+(IF(K5=" ",0,K5))+(IF(O5=" ",0,O5))+(IF(S5=" ",0,S5))+(IF(W5=" ",0,W5))+(IF(AA5=" ",0,AA5))+(IF(AE5=" ",0,AE5))+(IF(AI5=" ",0,AI5))))</f>
        <v>144</v>
      </c>
      <c r="AK5" s="88">
        <f t="shared" ref="AK5:AK24" si="17">IF(AJ5=0," ",AJ5)</f>
        <v>144</v>
      </c>
      <c r="AL5" s="110">
        <f t="shared" ref="AL5:AL24" si="18">IF(AK5=" "," ",RANK(AK5,$AK$5:$AK$24))</f>
        <v>1</v>
      </c>
    </row>
    <row r="6" spans="2:38" x14ac:dyDescent="0.25">
      <c r="B6" s="90" t="s">
        <v>91</v>
      </c>
      <c r="C6" s="91"/>
      <c r="D6" s="92">
        <v>13.61</v>
      </c>
      <c r="E6" s="93">
        <f t="shared" si="0"/>
        <v>3</v>
      </c>
      <c r="F6" s="93">
        <f t="shared" si="1"/>
        <v>3</v>
      </c>
      <c r="G6" s="94">
        <f>IF(Table622027323337383923[[#This Row],[Non-Member]]="X"," ",IF(F6=" "," ",IFERROR(VLOOKUP(E6,Points!$A$2:$B$14,2,FALSE)," ")))</f>
        <v>12</v>
      </c>
      <c r="H6" s="92">
        <v>14.34</v>
      </c>
      <c r="I6" s="93">
        <f t="shared" si="2"/>
        <v>3</v>
      </c>
      <c r="J6" s="93">
        <f t="shared" si="3"/>
        <v>3</v>
      </c>
      <c r="K6" s="94">
        <f>IF(Table622027323337383923[[#This Row],[Non-Member]]="X"," ",IF(J6=" "," ",IFERROR(VLOOKUP(I6,Points!$A$2:$B$14,2,FALSE)," ")))</f>
        <v>12</v>
      </c>
      <c r="L6" s="92">
        <v>12.76</v>
      </c>
      <c r="M6" s="93">
        <f t="shared" si="4"/>
        <v>2</v>
      </c>
      <c r="N6" s="93">
        <f t="shared" si="5"/>
        <v>2</v>
      </c>
      <c r="O6" s="94">
        <f>IF(Table622027323337383923[[#This Row],[Non-Member]]="X"," ",IF(N6=" "," ",IFERROR(VLOOKUP(M6,Points!$A$2:$B$14,2,FALSE)," ")))</f>
        <v>15</v>
      </c>
      <c r="P6" s="92">
        <v>12.46</v>
      </c>
      <c r="Q6" s="93">
        <f t="shared" si="6"/>
        <v>4</v>
      </c>
      <c r="R6" s="93">
        <f t="shared" si="7"/>
        <v>4</v>
      </c>
      <c r="S6" s="94">
        <f>IF(Table622027323337383923[[#This Row],[Non-Member]]="X"," ",IF(R6=" "," ",IFERROR(VLOOKUP(Q6,Points!$A$2:$B$14,2,FALSE)," ")))</f>
        <v>9</v>
      </c>
      <c r="T6" s="92">
        <v>15.24</v>
      </c>
      <c r="U6" s="93">
        <f t="shared" si="8"/>
        <v>6</v>
      </c>
      <c r="V6" s="93">
        <f t="shared" si="9"/>
        <v>6</v>
      </c>
      <c r="W6" s="94">
        <f>IF(Table622027323337383923[[#This Row],[Non-Member]]="X"," ",IF(V6=" "," ",IFERROR(VLOOKUP(U6,Points!$A$2:$B$14,2,FALSE)," ")))</f>
        <v>3</v>
      </c>
      <c r="X6" s="92">
        <v>13.09</v>
      </c>
      <c r="Y6" s="93">
        <f t="shared" si="10"/>
        <v>5</v>
      </c>
      <c r="Z6" s="93">
        <f t="shared" si="11"/>
        <v>5</v>
      </c>
      <c r="AA6" s="94">
        <f>IF(Table622027323337383923[[#This Row],[Non-Member]]="X"," ",IF(Z6=" "," ",IFERROR(VLOOKUP(Y6,Points!$A$2:$B$14,2,FALSE)," ")))</f>
        <v>6</v>
      </c>
      <c r="AB6" s="92">
        <v>11.19</v>
      </c>
      <c r="AC6" s="93">
        <f t="shared" si="12"/>
        <v>2.5</v>
      </c>
      <c r="AD6" s="93">
        <f t="shared" si="13"/>
        <v>2</v>
      </c>
      <c r="AE6" s="94">
        <f>IF(Table622027323337383923[[#This Row],[Non-Member]]="X"," ",IF(AD6=" "," ",IFERROR(VLOOKUP(AC6,Points!$A$2:$B$14,2,FALSE)," ")))</f>
        <v>13.5</v>
      </c>
      <c r="AF6" s="92">
        <f t="shared" si="14"/>
        <v>24.28</v>
      </c>
      <c r="AG6" s="93">
        <f t="shared" si="15"/>
        <v>2</v>
      </c>
      <c r="AH6" s="93">
        <f t="shared" si="16"/>
        <v>2</v>
      </c>
      <c r="AI6" s="94">
        <f>IF(Table622027323337383923[[#This Row],[Non-Member]]="X"," ",IF(AH6=" "," ",IFERROR(VLOOKUP(AG6,Points!$A$2:$B$14,2,FALSE)," ")))</f>
        <v>15</v>
      </c>
      <c r="AJ6" s="93">
        <f>IF(Table622027323337383923[[#This Row],[Non-Member]]="X"," ",((IF(G6=" ",0,G6))+(IF(K6=" ",0,K6))+(IF(O6=" ",0,O6))+(IF(S6=" ",0,S6))+(IF(W6=" ",0,W6))+(IF(AA6=" ",0,AA6))+(IF(AE6=" ",0,AE6))+(IF(AI6=" ",0,AI6))))</f>
        <v>85.5</v>
      </c>
      <c r="AK6" s="95">
        <f t="shared" si="17"/>
        <v>85.5</v>
      </c>
      <c r="AL6" s="96">
        <f t="shared" si="18"/>
        <v>2</v>
      </c>
    </row>
    <row r="7" spans="2:38" x14ac:dyDescent="0.25">
      <c r="B7" s="90" t="s">
        <v>146</v>
      </c>
      <c r="C7" s="91"/>
      <c r="D7" s="92">
        <v>12.79</v>
      </c>
      <c r="E7" s="93">
        <f t="shared" si="0"/>
        <v>2</v>
      </c>
      <c r="F7" s="93">
        <f t="shared" si="1"/>
        <v>2</v>
      </c>
      <c r="G7" s="94">
        <f>IF(Table622027323337383923[[#This Row],[Non-Member]]="X"," ",IF(F7=" "," ",IFERROR(VLOOKUP(E7,Points!$A$2:$B$14,2,FALSE)," ")))</f>
        <v>15</v>
      </c>
      <c r="H7" s="92">
        <v>18.25</v>
      </c>
      <c r="I7" s="93">
        <f t="shared" si="2"/>
        <v>10</v>
      </c>
      <c r="J7" s="93" t="str">
        <f t="shared" si="3"/>
        <v xml:space="preserve"> </v>
      </c>
      <c r="K7" s="94" t="str">
        <f>IF(Table622027323337383923[[#This Row],[Non-Member]]="X"," ",IF(J7=" "," ",IFERROR(VLOOKUP(I7,Points!$A$2:$B$14,2,FALSE)," ")))</f>
        <v xml:space="preserve"> </v>
      </c>
      <c r="L7" s="92">
        <v>12.95</v>
      </c>
      <c r="M7" s="93">
        <f t="shared" si="4"/>
        <v>3</v>
      </c>
      <c r="N7" s="93">
        <f t="shared" si="5"/>
        <v>3</v>
      </c>
      <c r="O7" s="94">
        <f>IF(Table622027323337383923[[#This Row],[Non-Member]]="X"," ",IF(N7=" "," ",IFERROR(VLOOKUP(M7,Points!$A$2:$B$14,2,FALSE)," ")))</f>
        <v>12</v>
      </c>
      <c r="P7" s="92">
        <v>11.75</v>
      </c>
      <c r="Q7" s="93">
        <f t="shared" si="6"/>
        <v>2</v>
      </c>
      <c r="R7" s="93">
        <f t="shared" si="7"/>
        <v>2</v>
      </c>
      <c r="S7" s="94">
        <f>IF(Table622027323337383923[[#This Row],[Non-Member]]="X"," ",IF(R7=" "," ",IFERROR(VLOOKUP(Q7,Points!$A$2:$B$14,2,FALSE)," ")))</f>
        <v>15</v>
      </c>
      <c r="T7" s="92">
        <v>11.47</v>
      </c>
      <c r="U7" s="93">
        <f t="shared" si="8"/>
        <v>2</v>
      </c>
      <c r="V7" s="93">
        <f t="shared" si="9"/>
        <v>2</v>
      </c>
      <c r="W7" s="94">
        <f>IF(Table622027323337383923[[#This Row],[Non-Member]]="X"," ",IF(V7=" "," ",IFERROR(VLOOKUP(U7,Points!$A$2:$B$14,2,FALSE)," ")))</f>
        <v>15</v>
      </c>
      <c r="X7" s="92">
        <v>12.68</v>
      </c>
      <c r="Y7" s="93">
        <f t="shared" si="10"/>
        <v>4</v>
      </c>
      <c r="Z7" s="93">
        <f t="shared" si="11"/>
        <v>4</v>
      </c>
      <c r="AA7" s="94">
        <f>IF(Table622027323337383923[[#This Row],[Non-Member]]="X"," ",IF(Z7=" "," ",IFERROR(VLOOKUP(Y7,Points!$A$2:$B$14,2,FALSE)," ")))</f>
        <v>9</v>
      </c>
      <c r="AB7" s="92">
        <v>12.44</v>
      </c>
      <c r="AC7" s="93">
        <f t="shared" si="12"/>
        <v>4</v>
      </c>
      <c r="AD7" s="93">
        <f t="shared" si="13"/>
        <v>4</v>
      </c>
      <c r="AE7" s="94">
        <f>IF(Table622027323337383923[[#This Row],[Non-Member]]="X"," ",IF(AD7=" "," ",IFERROR(VLOOKUP(AC7,Points!$A$2:$B$14,2,FALSE)," ")))</f>
        <v>9</v>
      </c>
      <c r="AF7" s="92">
        <f t="shared" si="14"/>
        <v>25.119999999999997</v>
      </c>
      <c r="AG7" s="93">
        <f t="shared" si="15"/>
        <v>4</v>
      </c>
      <c r="AH7" s="93">
        <f t="shared" si="16"/>
        <v>4</v>
      </c>
      <c r="AI7" s="94">
        <f>IF(Table622027323337383923[[#This Row],[Non-Member]]="X"," ",IF(AH7=" "," ",IFERROR(VLOOKUP(AG7,Points!$A$2:$B$14,2,FALSE)," ")))</f>
        <v>9</v>
      </c>
      <c r="AJ7" s="93">
        <f>IF(Table622027323337383923[[#This Row],[Non-Member]]="X"," ",((IF(G7=" ",0,G7))+(IF(K7=" ",0,K7))+(IF(O7=" ",0,O7))+(IF(S7=" ",0,S7))+(IF(W7=" ",0,W7))+(IF(AA7=" ",0,AA7))+(IF(AE7=" ",0,AE7))+(IF(AI7=" ",0,AI7))))</f>
        <v>84</v>
      </c>
      <c r="AK7" s="95">
        <f t="shared" si="17"/>
        <v>84</v>
      </c>
      <c r="AL7" s="96">
        <f t="shared" si="18"/>
        <v>3</v>
      </c>
    </row>
    <row r="8" spans="2:38" x14ac:dyDescent="0.25">
      <c r="B8" s="90" t="s">
        <v>144</v>
      </c>
      <c r="C8" s="91"/>
      <c r="D8" s="92">
        <v>14.52</v>
      </c>
      <c r="E8" s="93">
        <f t="shared" si="0"/>
        <v>4</v>
      </c>
      <c r="F8" s="93">
        <f t="shared" si="1"/>
        <v>4</v>
      </c>
      <c r="G8" s="94">
        <f>IF(Table622027323337383923[[#This Row],[Non-Member]]="X"," ",IF(F8=" "," ",IFERROR(VLOOKUP(E8,Points!$A$2:$B$14,2,FALSE)," ")))</f>
        <v>9</v>
      </c>
      <c r="H8" s="92">
        <v>14.03</v>
      </c>
      <c r="I8" s="93">
        <f t="shared" si="2"/>
        <v>2</v>
      </c>
      <c r="J8" s="93">
        <f t="shared" si="3"/>
        <v>2</v>
      </c>
      <c r="K8" s="94">
        <f>IF(Table622027323337383923[[#This Row],[Non-Member]]="X"," ",IF(J8=" "," ",IFERROR(VLOOKUP(I8,Points!$A$2:$B$14,2,FALSE)," ")))</f>
        <v>15</v>
      </c>
      <c r="L8" s="92">
        <v>12.96</v>
      </c>
      <c r="M8" s="93">
        <f t="shared" si="4"/>
        <v>4</v>
      </c>
      <c r="N8" s="93">
        <f t="shared" si="5"/>
        <v>4</v>
      </c>
      <c r="O8" s="94">
        <f>IF(Table622027323337383923[[#This Row],[Non-Member]]="X"," ",IF(N8=" "," ",IFERROR(VLOOKUP(M8,Points!$A$2:$B$14,2,FALSE)," ")))</f>
        <v>9</v>
      </c>
      <c r="P8" s="92">
        <v>17.72</v>
      </c>
      <c r="Q8" s="93">
        <f t="shared" si="6"/>
        <v>10</v>
      </c>
      <c r="R8" s="93" t="str">
        <f t="shared" si="7"/>
        <v xml:space="preserve"> </v>
      </c>
      <c r="S8" s="94" t="str">
        <f>IF(Table622027323337383923[[#This Row],[Non-Member]]="X"," ",IF(R8=" "," ",IFERROR(VLOOKUP(Q8,Points!$A$2:$B$14,2,FALSE)," ")))</f>
        <v xml:space="preserve"> </v>
      </c>
      <c r="T8" s="92">
        <v>20.03</v>
      </c>
      <c r="U8" s="93">
        <f t="shared" si="8"/>
        <v>14</v>
      </c>
      <c r="V8" s="93" t="str">
        <f t="shared" si="9"/>
        <v xml:space="preserve"> </v>
      </c>
      <c r="W8" s="94" t="str">
        <f>IF(Table622027323337383923[[#This Row],[Non-Member]]="X"," ",IF(V8=" "," ",IFERROR(VLOOKUP(U8,Points!$A$2:$B$14,2,FALSE)," ")))</f>
        <v xml:space="preserve"> </v>
      </c>
      <c r="X8" s="92">
        <v>13.34</v>
      </c>
      <c r="Y8" s="93">
        <f t="shared" si="10"/>
        <v>6</v>
      </c>
      <c r="Z8" s="93">
        <f t="shared" si="11"/>
        <v>6</v>
      </c>
      <c r="AA8" s="94">
        <f>IF(Table622027323337383923[[#This Row],[Non-Member]]="X"," ",IF(Z8=" "," ",IFERROR(VLOOKUP(Y8,Points!$A$2:$B$14,2,FALSE)," ")))</f>
        <v>3</v>
      </c>
      <c r="AB8" s="92">
        <v>11.19</v>
      </c>
      <c r="AC8" s="93">
        <f t="shared" si="12"/>
        <v>2.5</v>
      </c>
      <c r="AD8" s="93">
        <f t="shared" si="13"/>
        <v>2</v>
      </c>
      <c r="AE8" s="94">
        <f>IF(Table622027323337383923[[#This Row],[Non-Member]]="X"," ",IF(AD8=" "," ",IFERROR(VLOOKUP(AC8,Points!$A$2:$B$14,2,FALSE)," ")))</f>
        <v>13.5</v>
      </c>
      <c r="AF8" s="92">
        <f t="shared" si="14"/>
        <v>24.53</v>
      </c>
      <c r="AG8" s="93">
        <f t="shared" si="15"/>
        <v>3</v>
      </c>
      <c r="AH8" s="93">
        <f t="shared" si="16"/>
        <v>3</v>
      </c>
      <c r="AI8" s="94">
        <f>IF(Table622027323337383923[[#This Row],[Non-Member]]="X"," ",IF(AH8=" "," ",IFERROR(VLOOKUP(AG8,Points!$A$2:$B$14,2,FALSE)," ")))</f>
        <v>12</v>
      </c>
      <c r="AJ8" s="93">
        <f>IF(Table622027323337383923[[#This Row],[Non-Member]]="X"," ",((IF(G8=" ",0,G8))+(IF(K8=" ",0,K8))+(IF(O8=" ",0,O8))+(IF(S8=" ",0,S8))+(IF(W8=" ",0,W8))+(IF(AA8=" ",0,AA8))+(IF(AE8=" ",0,AE8))+(IF(AI8=" ",0,AI8))))</f>
        <v>61.5</v>
      </c>
      <c r="AK8" s="95">
        <f t="shared" si="17"/>
        <v>61.5</v>
      </c>
      <c r="AL8" s="96">
        <f t="shared" si="18"/>
        <v>4</v>
      </c>
    </row>
    <row r="9" spans="2:38" x14ac:dyDescent="0.25">
      <c r="B9" s="90" t="s">
        <v>145</v>
      </c>
      <c r="C9" s="91"/>
      <c r="D9" s="92">
        <v>21.5</v>
      </c>
      <c r="E9" s="93">
        <f t="shared" si="0"/>
        <v>10</v>
      </c>
      <c r="F9" s="93" t="str">
        <f t="shared" si="1"/>
        <v xml:space="preserve"> </v>
      </c>
      <c r="G9" s="94" t="str">
        <f>IF(Table622027323337383923[[#This Row],[Non-Member]]="X"," ",IF(F9=" "," ",IFERROR(VLOOKUP(E9,Points!$A$2:$B$14,2,FALSE)," ")))</f>
        <v xml:space="preserve"> </v>
      </c>
      <c r="H9" s="92">
        <v>16.309999999999999</v>
      </c>
      <c r="I9" s="93">
        <f t="shared" si="2"/>
        <v>5</v>
      </c>
      <c r="J9" s="93">
        <f t="shared" si="3"/>
        <v>5</v>
      </c>
      <c r="K9" s="94">
        <f>IF(Table622027323337383923[[#This Row],[Non-Member]]="X"," ",IF(J9=" "," ",IFERROR(VLOOKUP(I9,Points!$A$2:$B$14,2,FALSE)," ")))</f>
        <v>6</v>
      </c>
      <c r="L9" s="92">
        <v>13.56</v>
      </c>
      <c r="M9" s="93">
        <f t="shared" si="4"/>
        <v>5</v>
      </c>
      <c r="N9" s="93">
        <f t="shared" si="5"/>
        <v>5</v>
      </c>
      <c r="O9" s="94">
        <f>IF(Table622027323337383923[[#This Row],[Non-Member]]="X"," ",IF(N9=" "," ",IFERROR(VLOOKUP(M9,Points!$A$2:$B$14,2,FALSE)," ")))</f>
        <v>6</v>
      </c>
      <c r="P9" s="92">
        <v>14.82</v>
      </c>
      <c r="Q9" s="93">
        <f t="shared" si="6"/>
        <v>5</v>
      </c>
      <c r="R9" s="93">
        <f t="shared" si="7"/>
        <v>5</v>
      </c>
      <c r="S9" s="94">
        <f>IF(Table622027323337383923[[#This Row],[Non-Member]]="X"," ",IF(R9=" "," ",IFERROR(VLOOKUP(Q9,Points!$A$2:$B$14,2,FALSE)," ")))</f>
        <v>6</v>
      </c>
      <c r="T9" s="92">
        <v>17.329999999999998</v>
      </c>
      <c r="U9" s="93">
        <f t="shared" si="8"/>
        <v>10</v>
      </c>
      <c r="V9" s="93" t="str">
        <f t="shared" si="9"/>
        <v xml:space="preserve"> </v>
      </c>
      <c r="W9" s="94" t="str">
        <f>IF(Table622027323337383923[[#This Row],[Non-Member]]="X"," ",IF(V9=" "," ",IFERROR(VLOOKUP(U9,Points!$A$2:$B$14,2,FALSE)," ")))</f>
        <v xml:space="preserve"> </v>
      </c>
      <c r="X9" s="92">
        <v>11.91</v>
      </c>
      <c r="Y9" s="93">
        <f t="shared" si="10"/>
        <v>2</v>
      </c>
      <c r="Z9" s="93">
        <f t="shared" si="11"/>
        <v>2</v>
      </c>
      <c r="AA9" s="94">
        <f>IF(Table622027323337383923[[#This Row],[Non-Member]]="X"," ",IF(Z9=" "," ",IFERROR(VLOOKUP(Y9,Points!$A$2:$B$14,2,FALSE)," ")))</f>
        <v>15</v>
      </c>
      <c r="AB9" s="92">
        <v>14.97</v>
      </c>
      <c r="AC9" s="93">
        <f t="shared" si="12"/>
        <v>12</v>
      </c>
      <c r="AD9" s="93" t="str">
        <f t="shared" si="13"/>
        <v xml:space="preserve"> </v>
      </c>
      <c r="AE9" s="94" t="str">
        <f>IF(Table622027323337383923[[#This Row],[Non-Member]]="X"," ",IF(AD9=" "," ",IFERROR(VLOOKUP(AC9,Points!$A$2:$B$14,2,FALSE)," ")))</f>
        <v xml:space="preserve"> </v>
      </c>
      <c r="AF9" s="92">
        <f t="shared" si="14"/>
        <v>26.880000000000003</v>
      </c>
      <c r="AG9" s="93">
        <f t="shared" si="15"/>
        <v>5.5</v>
      </c>
      <c r="AH9" s="93">
        <f t="shared" si="16"/>
        <v>5</v>
      </c>
      <c r="AI9" s="94">
        <f>IF(Table622027323337383923[[#This Row],[Non-Member]]="X"," ",IF(AH9=" "," ",IFERROR(VLOOKUP(AG9,Points!$A$2:$B$14,2,FALSE)," ")))</f>
        <v>4.5</v>
      </c>
      <c r="AJ9" s="93">
        <f>IF(Table622027323337383923[[#This Row],[Non-Member]]="X"," ",((IF(G9=" ",0,G9))+(IF(K9=" ",0,K9))+(IF(O9=" ",0,O9))+(IF(S9=" ",0,S9))+(IF(W9=" ",0,W9))+(IF(AA9=" ",0,AA9))+(IF(AE9=" ",0,AE9))+(IF(AI9=" ",0,AI9))))</f>
        <v>37.5</v>
      </c>
      <c r="AK9" s="95">
        <f t="shared" si="17"/>
        <v>37.5</v>
      </c>
      <c r="AL9" s="96">
        <f t="shared" si="18"/>
        <v>5</v>
      </c>
    </row>
    <row r="10" spans="2:38" x14ac:dyDescent="0.25">
      <c r="B10" s="90" t="s">
        <v>141</v>
      </c>
      <c r="C10" s="91"/>
      <c r="D10" s="92">
        <v>16.47</v>
      </c>
      <c r="E10" s="93">
        <f t="shared" si="0"/>
        <v>6</v>
      </c>
      <c r="F10" s="93">
        <f t="shared" si="1"/>
        <v>6</v>
      </c>
      <c r="G10" s="94">
        <f>IF(Table622027323337383923[[#This Row],[Non-Member]]="X"," ",IF(F10=" "," ",IFERROR(VLOOKUP(E10,Points!$A$2:$B$14,2,FALSE)," ")))</f>
        <v>3</v>
      </c>
      <c r="H10" s="92">
        <v>18.5</v>
      </c>
      <c r="I10" s="93">
        <f t="shared" si="2"/>
        <v>11</v>
      </c>
      <c r="J10" s="93" t="str">
        <f t="shared" si="3"/>
        <v xml:space="preserve"> </v>
      </c>
      <c r="K10" s="94" t="str">
        <f>IF(Table622027323337383923[[#This Row],[Non-Member]]="X"," ",IF(J10=" "," ",IFERROR(VLOOKUP(I10,Points!$A$2:$B$14,2,FALSE)," ")))</f>
        <v xml:space="preserve"> </v>
      </c>
      <c r="L10" s="92">
        <v>14.05</v>
      </c>
      <c r="M10" s="93">
        <f t="shared" si="4"/>
        <v>6</v>
      </c>
      <c r="N10" s="93">
        <f t="shared" si="5"/>
        <v>6</v>
      </c>
      <c r="O10" s="94">
        <f>IF(Table622027323337383923[[#This Row],[Non-Member]]="X"," ",IF(N10=" "," ",IFERROR(VLOOKUP(M10,Points!$A$2:$B$14,2,FALSE)," ")))</f>
        <v>3</v>
      </c>
      <c r="P10" s="92">
        <v>12.33</v>
      </c>
      <c r="Q10" s="93">
        <f t="shared" si="6"/>
        <v>3</v>
      </c>
      <c r="R10" s="93">
        <f t="shared" si="7"/>
        <v>3</v>
      </c>
      <c r="S10" s="94">
        <f>IF(Table622027323337383923[[#This Row],[Non-Member]]="X"," ",IF(R10=" "," ",IFERROR(VLOOKUP(Q10,Points!$A$2:$B$14,2,FALSE)," ")))</f>
        <v>12</v>
      </c>
      <c r="T10" s="92">
        <v>14.78</v>
      </c>
      <c r="U10" s="93">
        <f t="shared" si="8"/>
        <v>4</v>
      </c>
      <c r="V10" s="93">
        <f t="shared" si="9"/>
        <v>4</v>
      </c>
      <c r="W10" s="94">
        <f>IF(Table622027323337383923[[#This Row],[Non-Member]]="X"," ",IF(V10=" "," ",IFERROR(VLOOKUP(U10,Points!$A$2:$B$14,2,FALSE)," ")))</f>
        <v>9</v>
      </c>
      <c r="X10" s="92">
        <v>16.03</v>
      </c>
      <c r="Y10" s="93">
        <f t="shared" si="10"/>
        <v>9</v>
      </c>
      <c r="Z10" s="93" t="str">
        <f t="shared" si="11"/>
        <v xml:space="preserve"> </v>
      </c>
      <c r="AA10" s="94" t="str">
        <f>IF(Table622027323337383923[[#This Row],[Non-Member]]="X"," ",IF(Z10=" "," ",IFERROR(VLOOKUP(Y10,Points!$A$2:$B$14,2,FALSE)," ")))</f>
        <v xml:space="preserve"> </v>
      </c>
      <c r="AB10" s="92">
        <v>14.16</v>
      </c>
      <c r="AC10" s="93">
        <f t="shared" si="12"/>
        <v>9</v>
      </c>
      <c r="AD10" s="93" t="str">
        <f t="shared" si="13"/>
        <v xml:space="preserve"> </v>
      </c>
      <c r="AE10" s="94" t="str">
        <f>IF(Table622027323337383923[[#This Row],[Non-Member]]="X"," ",IF(AD10=" "," ",IFERROR(VLOOKUP(AC10,Points!$A$2:$B$14,2,FALSE)," ")))</f>
        <v xml:space="preserve"> </v>
      </c>
      <c r="AF10" s="92">
        <f t="shared" si="14"/>
        <v>30.19</v>
      </c>
      <c r="AG10" s="93">
        <f t="shared" si="15"/>
        <v>8</v>
      </c>
      <c r="AH10" s="93" t="str">
        <f t="shared" si="16"/>
        <v xml:space="preserve"> </v>
      </c>
      <c r="AI10" s="94" t="str">
        <f>IF(Table622027323337383923[[#This Row],[Non-Member]]="X"," ",IF(AH10=" "," ",IFERROR(VLOOKUP(AG10,Points!$A$2:$B$14,2,FALSE)," ")))</f>
        <v xml:space="preserve"> </v>
      </c>
      <c r="AJ10" s="93">
        <f>IF(Table622027323337383923[[#This Row],[Non-Member]]="X"," ",((IF(G10=" ",0,G10))+(IF(K10=" ",0,K10))+(IF(O10=" ",0,O10))+(IF(S10=" ",0,S10))+(IF(W10=" ",0,W10))+(IF(AA10=" ",0,AA10))+(IF(AE10=" ",0,AE10))+(IF(AI10=" ",0,AI10))))</f>
        <v>27</v>
      </c>
      <c r="AK10" s="95">
        <f t="shared" si="17"/>
        <v>27</v>
      </c>
      <c r="AL10" s="96">
        <f t="shared" si="18"/>
        <v>6</v>
      </c>
    </row>
    <row r="11" spans="2:38" x14ac:dyDescent="0.25">
      <c r="B11" s="90" t="s">
        <v>86</v>
      </c>
      <c r="C11" s="91"/>
      <c r="D11" s="92">
        <v>18.73</v>
      </c>
      <c r="E11" s="97">
        <f t="shared" si="0"/>
        <v>9</v>
      </c>
      <c r="F11" s="97" t="str">
        <f t="shared" si="1"/>
        <v xml:space="preserve"> </v>
      </c>
      <c r="G11" s="94" t="str">
        <f>IF(Table622027323337383923[[#This Row],[Non-Member]]="X"," ",IF(F11=" "," ",IFERROR(VLOOKUP(E11,Points!$A$2:$B$14,2,FALSE)," ")))</f>
        <v xml:space="preserve"> </v>
      </c>
      <c r="H11" s="92">
        <v>17.940000000000001</v>
      </c>
      <c r="I11" s="97">
        <f t="shared" si="2"/>
        <v>9</v>
      </c>
      <c r="J11" s="97" t="str">
        <f t="shared" si="3"/>
        <v xml:space="preserve"> </v>
      </c>
      <c r="K11" s="94" t="str">
        <f>IF(Table622027323337383923[[#This Row],[Non-Member]]="X"," ",IF(J11=" "," ",IFERROR(VLOOKUP(I11,Points!$A$2:$B$14,2,FALSE)," ")))</f>
        <v xml:space="preserve"> </v>
      </c>
      <c r="L11" s="92">
        <v>14.49</v>
      </c>
      <c r="M11" s="97">
        <f t="shared" si="4"/>
        <v>7</v>
      </c>
      <c r="N11" s="97" t="str">
        <f t="shared" si="5"/>
        <v xml:space="preserve"> </v>
      </c>
      <c r="O11" s="94" t="str">
        <f>IF(Table622027323337383923[[#This Row],[Non-Member]]="X"," ",IF(N11=" "," ",IFERROR(VLOOKUP(M11,Points!$A$2:$B$14,2,FALSE)," ")))</f>
        <v xml:space="preserve"> </v>
      </c>
      <c r="P11" s="92">
        <v>15.05</v>
      </c>
      <c r="Q11" s="97">
        <f t="shared" si="6"/>
        <v>6</v>
      </c>
      <c r="R11" s="97">
        <f t="shared" si="7"/>
        <v>6</v>
      </c>
      <c r="S11" s="94">
        <f>IF(Table622027323337383923[[#This Row],[Non-Member]]="X"," ",IF(R11=" "," ",IFERROR(VLOOKUP(Q11,Points!$A$2:$B$14,2,FALSE)," ")))</f>
        <v>3</v>
      </c>
      <c r="T11" s="92">
        <v>16.47</v>
      </c>
      <c r="U11" s="97">
        <f t="shared" si="8"/>
        <v>7</v>
      </c>
      <c r="V11" s="97" t="str">
        <f t="shared" si="9"/>
        <v xml:space="preserve"> </v>
      </c>
      <c r="W11" s="94" t="str">
        <f>IF(Table622027323337383923[[#This Row],[Non-Member]]="X"," ",IF(V11=" "," ",IFERROR(VLOOKUP(U11,Points!$A$2:$B$14,2,FALSE)," ")))</f>
        <v xml:space="preserve"> </v>
      </c>
      <c r="X11" s="92">
        <v>12.63</v>
      </c>
      <c r="Y11" s="97">
        <f t="shared" si="10"/>
        <v>3</v>
      </c>
      <c r="Z11" s="97">
        <f t="shared" si="11"/>
        <v>3</v>
      </c>
      <c r="AA11" s="94">
        <f>IF(Table622027323337383923[[#This Row],[Non-Member]]="X"," ",IF(Z11=" "," ",IFERROR(VLOOKUP(Y11,Points!$A$2:$B$14,2,FALSE)," ")))</f>
        <v>12</v>
      </c>
      <c r="AB11" s="92">
        <v>14.25</v>
      </c>
      <c r="AC11" s="97">
        <f t="shared" si="12"/>
        <v>10</v>
      </c>
      <c r="AD11" s="97" t="str">
        <f t="shared" si="13"/>
        <v xml:space="preserve"> </v>
      </c>
      <c r="AE11" s="94" t="str">
        <f>IF(Table622027323337383923[[#This Row],[Non-Member]]="X"," ",IF(AD11=" "," ",IFERROR(VLOOKUP(AC11,Points!$A$2:$B$14,2,FALSE)," ")))</f>
        <v xml:space="preserve"> </v>
      </c>
      <c r="AF11" s="92">
        <f t="shared" si="14"/>
        <v>26.880000000000003</v>
      </c>
      <c r="AG11" s="97">
        <f t="shared" si="15"/>
        <v>5.5</v>
      </c>
      <c r="AH11" s="97">
        <f t="shared" si="16"/>
        <v>5</v>
      </c>
      <c r="AI11" s="94">
        <f>IF(Table622027323337383923[[#This Row],[Non-Member]]="X"," ",IF(AH11=" "," ",IFERROR(VLOOKUP(AG11,Points!$A$2:$B$14,2,FALSE)," ")))</f>
        <v>4.5</v>
      </c>
      <c r="AJ11" s="97">
        <f>IF(Table622027323337383923[[#This Row],[Non-Member]]="X"," ",((IF(G11=" ",0,G11))+(IF(K11=" ",0,K11))+(IF(O11=" ",0,O11))+(IF(S11=" ",0,S11))+(IF(W11=" ",0,W11))+(IF(AA11=" ",0,AA11))+(IF(AE11=" ",0,AE11))+(IF(AI11=" ",0,AI11))))</f>
        <v>19.5</v>
      </c>
      <c r="AK11" s="95">
        <f t="shared" si="17"/>
        <v>19.5</v>
      </c>
      <c r="AL11" s="98">
        <f t="shared" si="18"/>
        <v>7</v>
      </c>
    </row>
    <row r="12" spans="2:38" x14ac:dyDescent="0.25">
      <c r="B12" s="90" t="s">
        <v>213</v>
      </c>
      <c r="C12" s="91"/>
      <c r="D12" s="92">
        <v>22.54</v>
      </c>
      <c r="E12" s="93">
        <f t="shared" si="0"/>
        <v>11</v>
      </c>
      <c r="F12" s="93" t="str">
        <f t="shared" si="1"/>
        <v xml:space="preserve"> </v>
      </c>
      <c r="G12" s="94" t="str">
        <f>IF(Table622027323337383923[[#This Row],[Non-Member]]="X"," ",IF(F12=" "," ",IFERROR(VLOOKUP(E12,Points!$A$2:$B$14,2,FALSE)," ")))</f>
        <v xml:space="preserve"> </v>
      </c>
      <c r="H12" s="92">
        <v>14.87</v>
      </c>
      <c r="I12" s="93">
        <f t="shared" si="2"/>
        <v>4</v>
      </c>
      <c r="J12" s="93">
        <f t="shared" si="3"/>
        <v>4</v>
      </c>
      <c r="K12" s="94">
        <f>IF(Table622027323337383923[[#This Row],[Non-Member]]="X"," ",IF(J12=" "," ",IFERROR(VLOOKUP(I12,Points!$A$2:$B$14,2,FALSE)," ")))</f>
        <v>9</v>
      </c>
      <c r="L12" s="92">
        <v>16.690000000000001</v>
      </c>
      <c r="M12" s="93">
        <f t="shared" si="4"/>
        <v>9</v>
      </c>
      <c r="N12" s="93" t="str">
        <f t="shared" si="5"/>
        <v xml:space="preserve"> </v>
      </c>
      <c r="O12" s="94" t="str">
        <f>IF(Table622027323337383923[[#This Row],[Non-Member]]="X"," ",IF(N12=" "," ",IFERROR(VLOOKUP(M12,Points!$A$2:$B$14,2,FALSE)," ")))</f>
        <v xml:space="preserve"> </v>
      </c>
      <c r="P12" s="92">
        <v>17.34</v>
      </c>
      <c r="Q12" s="93">
        <f t="shared" si="6"/>
        <v>9</v>
      </c>
      <c r="R12" s="93" t="str">
        <f t="shared" si="7"/>
        <v xml:space="preserve"> </v>
      </c>
      <c r="S12" s="94" t="str">
        <f>IF(Table622027323337383923[[#This Row],[Non-Member]]="X"," ",IF(R12=" "," ",IFERROR(VLOOKUP(Q12,Points!$A$2:$B$14,2,FALSE)," ")))</f>
        <v xml:space="preserve"> </v>
      </c>
      <c r="T12" s="92">
        <v>14.9</v>
      </c>
      <c r="U12" s="93">
        <f t="shared" si="8"/>
        <v>5</v>
      </c>
      <c r="V12" s="93">
        <f t="shared" si="9"/>
        <v>5</v>
      </c>
      <c r="W12" s="94">
        <f>IF(Table622027323337383923[[#This Row],[Non-Member]]="X"," ",IF(V12=" "," ",IFERROR(VLOOKUP(U12,Points!$A$2:$B$14,2,FALSE)," ")))</f>
        <v>6</v>
      </c>
      <c r="X12" s="92">
        <v>17.72</v>
      </c>
      <c r="Y12" s="93">
        <f t="shared" si="10"/>
        <v>12</v>
      </c>
      <c r="Z12" s="93" t="str">
        <f t="shared" si="11"/>
        <v xml:space="preserve"> </v>
      </c>
      <c r="AA12" s="94" t="str">
        <f>IF(Table622027323337383923[[#This Row],[Non-Member]]="X"," ",IF(Z12=" "," ",IFERROR(VLOOKUP(Y12,Points!$A$2:$B$14,2,FALSE)," ")))</f>
        <v xml:space="preserve"> </v>
      </c>
      <c r="AB12" s="92">
        <v>14.81</v>
      </c>
      <c r="AC12" s="93">
        <f t="shared" si="12"/>
        <v>11</v>
      </c>
      <c r="AD12" s="93" t="str">
        <f t="shared" si="13"/>
        <v xml:space="preserve"> </v>
      </c>
      <c r="AE12" s="94" t="str">
        <f>IF(Table622027323337383923[[#This Row],[Non-Member]]="X"," ",IF(AD12=" "," ",IFERROR(VLOOKUP(AC12,Points!$A$2:$B$14,2,FALSE)," ")))</f>
        <v xml:space="preserve"> </v>
      </c>
      <c r="AF12" s="92">
        <f t="shared" si="14"/>
        <v>32.53</v>
      </c>
      <c r="AG12" s="93">
        <f t="shared" si="15"/>
        <v>10</v>
      </c>
      <c r="AH12" s="93" t="str">
        <f t="shared" si="16"/>
        <v xml:space="preserve"> </v>
      </c>
      <c r="AI12" s="94" t="str">
        <f>IF(Table622027323337383923[[#This Row],[Non-Member]]="X"," ",IF(AH12=" "," ",IFERROR(VLOOKUP(AG12,Points!$A$2:$B$14,2,FALSE)," ")))</f>
        <v xml:space="preserve"> </v>
      </c>
      <c r="AJ12" s="93">
        <f>IF(Table622027323337383923[[#This Row],[Non-Member]]="X"," ",((IF(G12=" ",0,G12))+(IF(K12=" ",0,K12))+(IF(O12=" ",0,O12))+(IF(S12=" ",0,S12))+(IF(W12=" ",0,W12))+(IF(AA12=" ",0,AA12))+(IF(AE12=" ",0,AE12))+(IF(AI12=" ",0,AI12))))</f>
        <v>15</v>
      </c>
      <c r="AK12" s="95">
        <f t="shared" si="17"/>
        <v>15</v>
      </c>
      <c r="AL12" s="96">
        <f t="shared" si="18"/>
        <v>8</v>
      </c>
    </row>
    <row r="13" spans="2:38" x14ac:dyDescent="0.25">
      <c r="B13" s="90" t="s">
        <v>233</v>
      </c>
      <c r="C13" s="91"/>
      <c r="D13" s="92">
        <v>15.54</v>
      </c>
      <c r="E13" s="93">
        <f t="shared" si="0"/>
        <v>5</v>
      </c>
      <c r="F13" s="93">
        <f t="shared" si="1"/>
        <v>5</v>
      </c>
      <c r="G13" s="94">
        <f>IF(Table622027323337383923[[#This Row],[Non-Member]]="X"," ",IF(F13=" "," ",IFERROR(VLOOKUP(E13,Points!$A$2:$B$14,2,FALSE)," ")))</f>
        <v>6</v>
      </c>
      <c r="H13" s="92">
        <v>16.649999999999999</v>
      </c>
      <c r="I13" s="93">
        <f t="shared" si="2"/>
        <v>7</v>
      </c>
      <c r="J13" s="93" t="str">
        <f t="shared" si="3"/>
        <v xml:space="preserve"> </v>
      </c>
      <c r="K13" s="94" t="str">
        <f>IF(Table622027323337383923[[#This Row],[Non-Member]]="X"," ",IF(J13=" "," ",IFERROR(VLOOKUP(I13,Points!$A$2:$B$14,2,FALSE)," ")))</f>
        <v xml:space="preserve"> </v>
      </c>
      <c r="L13" s="92">
        <v>28.57</v>
      </c>
      <c r="M13" s="93">
        <f t="shared" si="4"/>
        <v>12</v>
      </c>
      <c r="N13" s="93" t="str">
        <f t="shared" si="5"/>
        <v xml:space="preserve"> </v>
      </c>
      <c r="O13" s="94" t="str">
        <f>IF(Table622027323337383923[[#This Row],[Non-Member]]="X"," ",IF(N13=" "," ",IFERROR(VLOOKUP(M13,Points!$A$2:$B$14,2,FALSE)," ")))</f>
        <v xml:space="preserve"> </v>
      </c>
      <c r="P13" s="92">
        <v>15.56</v>
      </c>
      <c r="Q13" s="93">
        <f t="shared" si="6"/>
        <v>7</v>
      </c>
      <c r="R13" s="93" t="str">
        <f t="shared" si="7"/>
        <v xml:space="preserve"> </v>
      </c>
      <c r="S13" s="94" t="str">
        <f>IF(Table622027323337383923[[#This Row],[Non-Member]]="X"," ",IF(R13=" "," ",IFERROR(VLOOKUP(Q13,Points!$A$2:$B$14,2,FALSE)," ")))</f>
        <v xml:space="preserve"> </v>
      </c>
      <c r="T13" s="92">
        <v>17.600000000000001</v>
      </c>
      <c r="U13" s="93">
        <f t="shared" si="8"/>
        <v>11</v>
      </c>
      <c r="V13" s="93" t="str">
        <f t="shared" si="9"/>
        <v xml:space="preserve"> </v>
      </c>
      <c r="W13" s="94" t="str">
        <f>IF(Table622027323337383923[[#This Row],[Non-Member]]="X"," ",IF(V13=" "," ",IFERROR(VLOOKUP(U13,Points!$A$2:$B$14,2,FALSE)," ")))</f>
        <v xml:space="preserve"> </v>
      </c>
      <c r="X13" s="92">
        <v>20.03</v>
      </c>
      <c r="Y13" s="93">
        <f t="shared" si="10"/>
        <v>13</v>
      </c>
      <c r="Z13" s="93" t="str">
        <f t="shared" si="11"/>
        <v xml:space="preserve"> </v>
      </c>
      <c r="AA13" s="94" t="str">
        <f>IF(Table622027323337383923[[#This Row],[Non-Member]]="X"," ",IF(Z13=" "," ",IFERROR(VLOOKUP(Y13,Points!$A$2:$B$14,2,FALSE)," ")))</f>
        <v xml:space="preserve"> </v>
      </c>
      <c r="AB13" s="92">
        <v>13.06</v>
      </c>
      <c r="AC13" s="93">
        <f t="shared" si="12"/>
        <v>5</v>
      </c>
      <c r="AD13" s="93">
        <f t="shared" si="13"/>
        <v>5</v>
      </c>
      <c r="AE13" s="94">
        <f>IF(Table622027323337383923[[#This Row],[Non-Member]]="X"," ",IF(AD13=" "," ",IFERROR(VLOOKUP(AC13,Points!$A$2:$B$14,2,FALSE)," ")))</f>
        <v>6</v>
      </c>
      <c r="AF13" s="92">
        <f t="shared" si="14"/>
        <v>33.090000000000003</v>
      </c>
      <c r="AG13" s="93">
        <f t="shared" si="15"/>
        <v>11</v>
      </c>
      <c r="AH13" s="93" t="str">
        <f t="shared" si="16"/>
        <v xml:space="preserve"> </v>
      </c>
      <c r="AI13" s="94" t="str">
        <f>IF(Table622027323337383923[[#This Row],[Non-Member]]="X"," ",IF(AH13=" "," ",IFERROR(VLOOKUP(AG13,Points!$A$2:$B$14,2,FALSE)," ")))</f>
        <v xml:space="preserve"> </v>
      </c>
      <c r="AJ13" s="93">
        <f>IF(Table622027323337383923[[#This Row],[Non-Member]]="X"," ",((IF(G13=" ",0,G13))+(IF(K13=" ",0,K13))+(IF(O13=" ",0,O13))+(IF(S13=" ",0,S13))+(IF(W13=" ",0,W13))+(IF(AA13=" ",0,AA13))+(IF(AE13=" ",0,AE13))+(IF(AI13=" ",0,AI13))))</f>
        <v>12</v>
      </c>
      <c r="AK13" s="95">
        <f t="shared" si="17"/>
        <v>12</v>
      </c>
      <c r="AL13" s="96">
        <f t="shared" si="18"/>
        <v>9</v>
      </c>
    </row>
    <row r="14" spans="2:38" x14ac:dyDescent="0.25">
      <c r="B14" s="90" t="s">
        <v>142</v>
      </c>
      <c r="C14" s="91"/>
      <c r="D14" s="92">
        <v>17.73</v>
      </c>
      <c r="E14" s="93">
        <f t="shared" si="0"/>
        <v>7</v>
      </c>
      <c r="F14" s="93" t="str">
        <f t="shared" si="1"/>
        <v xml:space="preserve"> </v>
      </c>
      <c r="G14" s="94" t="str">
        <f>IF(Table622027323337383923[[#This Row],[Non-Member]]="X"," ",IF(F14=" "," ",IFERROR(VLOOKUP(E14,Points!$A$2:$B$14,2,FALSE)," ")))</f>
        <v xml:space="preserve"> </v>
      </c>
      <c r="H14" s="92">
        <v>16.97</v>
      </c>
      <c r="I14" s="93">
        <f t="shared" si="2"/>
        <v>8</v>
      </c>
      <c r="J14" s="93" t="str">
        <f t="shared" si="3"/>
        <v xml:space="preserve"> </v>
      </c>
      <c r="K14" s="94" t="str">
        <f>IF(Table622027323337383923[[#This Row],[Non-Member]]="X"," ",IF(J14=" "," ",IFERROR(VLOOKUP(I14,Points!$A$2:$B$14,2,FALSE)," ")))</f>
        <v xml:space="preserve"> </v>
      </c>
      <c r="L14" s="92">
        <v>19.690000000000001</v>
      </c>
      <c r="M14" s="93">
        <f t="shared" si="4"/>
        <v>11</v>
      </c>
      <c r="N14" s="93" t="str">
        <f t="shared" si="5"/>
        <v xml:space="preserve"> </v>
      </c>
      <c r="O14" s="94" t="str">
        <f>IF(Table622027323337383923[[#This Row],[Non-Member]]="X"," ",IF(N14=" "," ",IFERROR(VLOOKUP(M14,Points!$A$2:$B$14,2,FALSE)," ")))</f>
        <v xml:space="preserve"> </v>
      </c>
      <c r="P14" s="92">
        <v>23.34</v>
      </c>
      <c r="Q14" s="93">
        <f t="shared" si="6"/>
        <v>14</v>
      </c>
      <c r="R14" s="93" t="str">
        <f t="shared" si="7"/>
        <v xml:space="preserve"> </v>
      </c>
      <c r="S14" s="94" t="str">
        <f>IF(Table622027323337383923[[#This Row],[Non-Member]]="X"," ",IF(R14=" "," ",IFERROR(VLOOKUP(Q14,Points!$A$2:$B$14,2,FALSE)," ")))</f>
        <v xml:space="preserve"> </v>
      </c>
      <c r="T14" s="92">
        <v>13.84</v>
      </c>
      <c r="U14" s="93">
        <f t="shared" si="8"/>
        <v>3</v>
      </c>
      <c r="V14" s="93">
        <f t="shared" si="9"/>
        <v>3</v>
      </c>
      <c r="W14" s="94">
        <f>IF(Table622027323337383923[[#This Row],[Non-Member]]="X"," ",IF(V14=" "," ",IFERROR(VLOOKUP(U14,Points!$A$2:$B$14,2,FALSE)," ")))</f>
        <v>12</v>
      </c>
      <c r="X14" s="92">
        <v>17.059999999999999</v>
      </c>
      <c r="Y14" s="93">
        <f t="shared" si="10"/>
        <v>10</v>
      </c>
      <c r="Z14" s="93" t="str">
        <f t="shared" si="11"/>
        <v xml:space="preserve"> </v>
      </c>
      <c r="AA14" s="94" t="str">
        <f>IF(Table622027323337383923[[#This Row],[Non-Member]]="X"," ",IF(Z14=" "," ",IFERROR(VLOOKUP(Y14,Points!$A$2:$B$14,2,FALSE)," ")))</f>
        <v xml:space="preserve"> </v>
      </c>
      <c r="AB14" s="92">
        <v>13.69</v>
      </c>
      <c r="AC14" s="93">
        <f t="shared" si="12"/>
        <v>8</v>
      </c>
      <c r="AD14" s="93" t="str">
        <f t="shared" si="13"/>
        <v xml:space="preserve"> </v>
      </c>
      <c r="AE14" s="94" t="str">
        <f>IF(Table622027323337383923[[#This Row],[Non-Member]]="X"," ",IF(AD14=" "," ",IFERROR(VLOOKUP(AC14,Points!$A$2:$B$14,2,FALSE)," ")))</f>
        <v xml:space="preserve"> </v>
      </c>
      <c r="AF14" s="92">
        <f t="shared" si="14"/>
        <v>30.75</v>
      </c>
      <c r="AG14" s="93">
        <f t="shared" si="15"/>
        <v>9</v>
      </c>
      <c r="AH14" s="93" t="str">
        <f t="shared" si="16"/>
        <v xml:space="preserve"> </v>
      </c>
      <c r="AI14" s="94" t="str">
        <f>IF(Table622027323337383923[[#This Row],[Non-Member]]="X"," ",IF(AH14=" "," ",IFERROR(VLOOKUP(AG14,Points!$A$2:$B$14,2,FALSE)," ")))</f>
        <v xml:space="preserve"> </v>
      </c>
      <c r="AJ14" s="93">
        <f>IF(Table622027323337383923[[#This Row],[Non-Member]]="X"," ",((IF(G14=" ",0,G14))+(IF(K14=" ",0,K14))+(IF(O14=" ",0,O14))+(IF(S14=" ",0,S14))+(IF(W14=" ",0,W14))+(IF(AA14=" ",0,AA14))+(IF(AE14=" ",0,AE14))+(IF(AI14=" ",0,AI14))))</f>
        <v>12</v>
      </c>
      <c r="AK14" s="95">
        <f t="shared" si="17"/>
        <v>12</v>
      </c>
      <c r="AL14" s="96">
        <f t="shared" si="18"/>
        <v>9</v>
      </c>
    </row>
    <row r="15" spans="2:38" x14ac:dyDescent="0.25">
      <c r="B15" s="90" t="s">
        <v>85</v>
      </c>
      <c r="C15" s="91"/>
      <c r="D15" s="92">
        <v>23.54</v>
      </c>
      <c r="E15" s="93">
        <f t="shared" si="0"/>
        <v>12</v>
      </c>
      <c r="F15" s="93" t="str">
        <f t="shared" si="1"/>
        <v xml:space="preserve"> </v>
      </c>
      <c r="G15" s="94" t="str">
        <f>IF(Table622027323337383923[[#This Row],[Non-Member]]="X"," ",IF(F15=" "," ",IFERROR(VLOOKUP(E15,Points!$A$2:$B$14,2,FALSE)," ")))</f>
        <v xml:space="preserve"> </v>
      </c>
      <c r="H15" s="92">
        <v>22.85</v>
      </c>
      <c r="I15" s="93">
        <f t="shared" si="2"/>
        <v>15</v>
      </c>
      <c r="J15" s="93" t="str">
        <f t="shared" si="3"/>
        <v xml:space="preserve"> </v>
      </c>
      <c r="K15" s="94" t="str">
        <f>IF(Table622027323337383923[[#This Row],[Non-Member]]="X"," ",IF(J15=" "," ",IFERROR(VLOOKUP(I15,Points!$A$2:$B$14,2,FALSE)," ")))</f>
        <v xml:space="preserve"> </v>
      </c>
      <c r="L15" s="92">
        <v>16.309999999999999</v>
      </c>
      <c r="M15" s="93">
        <f t="shared" si="4"/>
        <v>8</v>
      </c>
      <c r="N15" s="93" t="str">
        <f t="shared" si="5"/>
        <v xml:space="preserve"> </v>
      </c>
      <c r="O15" s="94" t="str">
        <f>IF(Table622027323337383923[[#This Row],[Non-Member]]="X"," ",IF(N15=" "," ",IFERROR(VLOOKUP(M15,Points!$A$2:$B$14,2,FALSE)," ")))</f>
        <v xml:space="preserve"> </v>
      </c>
      <c r="P15" s="92">
        <v>16.239999999999998</v>
      </c>
      <c r="Q15" s="93">
        <f t="shared" si="6"/>
        <v>8</v>
      </c>
      <c r="R15" s="93" t="str">
        <f t="shared" si="7"/>
        <v xml:space="preserve"> </v>
      </c>
      <c r="S15" s="94" t="str">
        <f>IF(Table622027323337383923[[#This Row],[Non-Member]]="X"," ",IF(R15=" "," ",IFERROR(VLOOKUP(Q15,Points!$A$2:$B$14,2,FALSE)," ")))</f>
        <v xml:space="preserve"> </v>
      </c>
      <c r="T15" s="92">
        <v>16.649999999999999</v>
      </c>
      <c r="U15" s="93">
        <f t="shared" si="8"/>
        <v>8</v>
      </c>
      <c r="V15" s="93" t="str">
        <f t="shared" si="9"/>
        <v xml:space="preserve"> </v>
      </c>
      <c r="W15" s="94" t="str">
        <f>IF(Table622027323337383923[[#This Row],[Non-Member]]="X"," ",IF(V15=" "," ",IFERROR(VLOOKUP(U15,Points!$A$2:$B$14,2,FALSE)," ")))</f>
        <v xml:space="preserve"> </v>
      </c>
      <c r="X15" s="92">
        <v>0</v>
      </c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IF(Table622027323337383923[[#This Row],[Non-Member]]="X"," ",IF(Z15=" "," ",IFERROR(VLOOKUP(Y15,Points!$A$2:$B$14,2,FALSE)," ")))</f>
        <v xml:space="preserve"> </v>
      </c>
      <c r="AB15" s="92">
        <v>13.28</v>
      </c>
      <c r="AC15" s="93">
        <f t="shared" si="12"/>
        <v>6</v>
      </c>
      <c r="AD15" s="93">
        <f t="shared" si="13"/>
        <v>6</v>
      </c>
      <c r="AE15" s="94">
        <f>IF(Table622027323337383923[[#This Row],[Non-Member]]="X"," ",IF(AD15=" "," ",IFERROR(VLOOKUP(AC15,Points!$A$2:$B$14,2,FALSE)," ")))</f>
        <v>3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IF(Table622027323337383923[[#This Row],[Non-Member]]="X"," ",IF(AH15=" "," ",IFERROR(VLOOKUP(AG15,Points!$A$2:$B$14,2,FALSE)," ")))</f>
        <v xml:space="preserve"> </v>
      </c>
      <c r="AJ15" s="93">
        <f>IF(Table622027323337383923[[#This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7"/>
        <v>3</v>
      </c>
      <c r="AL15" s="96">
        <f t="shared" si="18"/>
        <v>11</v>
      </c>
    </row>
    <row r="16" spans="2:38" x14ac:dyDescent="0.25">
      <c r="B16" s="90" t="s">
        <v>216</v>
      </c>
      <c r="C16" s="91"/>
      <c r="D16" s="92">
        <v>18.420000000000002</v>
      </c>
      <c r="E16" s="97">
        <f t="shared" si="0"/>
        <v>8</v>
      </c>
      <c r="F16" s="97" t="str">
        <f t="shared" si="1"/>
        <v xml:space="preserve"> </v>
      </c>
      <c r="G16" s="94" t="str">
        <f>IF(Table622027323337383923[[#This Row],[Non-Member]]="X"," ",IF(F16=" "," ",IFERROR(VLOOKUP(E16,Points!$A$2:$B$14,2,FALSE)," ")))</f>
        <v xml:space="preserve"> </v>
      </c>
      <c r="H16" s="92">
        <v>16.54</v>
      </c>
      <c r="I16" s="97">
        <f t="shared" si="2"/>
        <v>6</v>
      </c>
      <c r="J16" s="97">
        <f t="shared" si="3"/>
        <v>6</v>
      </c>
      <c r="K16" s="94">
        <f>IF(Table622027323337383923[[#This Row],[Non-Member]]="X"," ",IF(J16=" "," ",IFERROR(VLOOKUP(I16,Points!$A$2:$B$14,2,FALSE)," ")))</f>
        <v>3</v>
      </c>
      <c r="L16" s="92">
        <v>0</v>
      </c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IF(Table622027323337383923[[#This Row],[Non-Member]]="X"," ",IF(N16=" "," ",IFERROR(VLOOKUP(M16,Points!$A$2:$B$14,2,FALSE)," ")))</f>
        <v xml:space="preserve"> </v>
      </c>
      <c r="P16" s="92">
        <v>18.739999999999998</v>
      </c>
      <c r="Q16" s="97">
        <f t="shared" si="6"/>
        <v>12</v>
      </c>
      <c r="R16" s="97" t="str">
        <f t="shared" si="7"/>
        <v xml:space="preserve"> </v>
      </c>
      <c r="S16" s="94" t="str">
        <f>IF(Table622027323337383923[[#This Row],[Non-Member]]="X"," ",IF(R16=" "," ",IFERROR(VLOOKUP(Q16,Points!$A$2:$B$14,2,FALSE)," ")))</f>
        <v xml:space="preserve"> </v>
      </c>
      <c r="T16" s="92">
        <v>21.19</v>
      </c>
      <c r="U16" s="97">
        <f t="shared" si="8"/>
        <v>15</v>
      </c>
      <c r="V16" s="97" t="str">
        <f t="shared" si="9"/>
        <v xml:space="preserve"> </v>
      </c>
      <c r="W16" s="94" t="str">
        <f>IF(Table622027323337383923[[#This Row],[Non-Member]]="X"," ",IF(V16=" "," ",IFERROR(VLOOKUP(U16,Points!$A$2:$B$14,2,FALSE)," ")))</f>
        <v xml:space="preserve"> </v>
      </c>
      <c r="X16" s="92">
        <v>17.63</v>
      </c>
      <c r="Y16" s="97">
        <f t="shared" si="10"/>
        <v>11</v>
      </c>
      <c r="Z16" s="97" t="str">
        <f t="shared" si="11"/>
        <v xml:space="preserve"> </v>
      </c>
      <c r="AA16" s="94" t="str">
        <f>IF(Table622027323337383923[[#This Row],[Non-Member]]="X"," ",IF(Z16=" "," ",IFERROR(VLOOKUP(Y16,Points!$A$2:$B$14,2,FALSE)," ")))</f>
        <v xml:space="preserve"> </v>
      </c>
      <c r="AB16" s="92">
        <v>20.85</v>
      </c>
      <c r="AC16" s="97">
        <f t="shared" si="12"/>
        <v>14</v>
      </c>
      <c r="AD16" s="97" t="str">
        <f t="shared" si="13"/>
        <v xml:space="preserve"> </v>
      </c>
      <c r="AE16" s="94" t="str">
        <f>IF(Table622027323337383923[[#This Row],[Non-Member]]="X"," ",IF(AD16=" "," ",IFERROR(VLOOKUP(AC16,Points!$A$2:$B$14,2,FALSE)," ")))</f>
        <v xml:space="preserve"> </v>
      </c>
      <c r="AF16" s="92">
        <f t="shared" si="14"/>
        <v>38.480000000000004</v>
      </c>
      <c r="AG16" s="97">
        <f t="shared" si="15"/>
        <v>13</v>
      </c>
      <c r="AH16" s="97" t="str">
        <f t="shared" si="16"/>
        <v xml:space="preserve"> </v>
      </c>
      <c r="AI16" s="94" t="str">
        <f>IF(Table622027323337383923[[#This Row],[Non-Member]]="X"," ",IF(AH16=" "," ",IFERROR(VLOOKUP(AG16,Points!$A$2:$B$14,2,FALSE)," ")))</f>
        <v xml:space="preserve"> </v>
      </c>
      <c r="AJ16" s="97">
        <f>IF(Table622027323337383923[[#This Row],[Non-Member]]="X"," ",((IF(G16=" ",0,G16))+(IF(K16=" ",0,K16))+(IF(O16=" ",0,O16))+(IF(S16=" ",0,S16))+(IF(W16=" ",0,W16))+(IF(AA16=" ",0,AA16))+(IF(AE16=" ",0,AE16))+(IF(AI16=" ",0,AI16))))</f>
        <v>3</v>
      </c>
      <c r="AK16" s="95">
        <f t="shared" si="17"/>
        <v>3</v>
      </c>
      <c r="AL16" s="98">
        <f t="shared" si="18"/>
        <v>11</v>
      </c>
    </row>
    <row r="17" spans="2:38" x14ac:dyDescent="0.25">
      <c r="B17" s="90" t="s">
        <v>281</v>
      </c>
      <c r="C17" s="91" t="s">
        <v>95</v>
      </c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IF(Table622027323337383923[[#This Row],[Non-Member]]="X"," ",IF(J17=" "," ",IFERROR(VLOOKUP(I17,Points!$A$2:$B$14,2,FALSE)," ")))</f>
        <v xml:space="preserve"> </v>
      </c>
      <c r="L17" s="92">
        <v>37.64</v>
      </c>
      <c r="M17" s="93">
        <f t="shared" si="4"/>
        <v>13</v>
      </c>
      <c r="N17" s="93" t="str">
        <f t="shared" si="5"/>
        <v xml:space="preserve"> </v>
      </c>
      <c r="O17" s="94" t="str">
        <f>IF(Table622027323337383923[[#This Row],[Non-Member]]="X"," ",IF(N17=" "," ",IFERROR(VLOOKUP(M17,Points!$A$2:$B$14,2,FALSE)," ")))</f>
        <v xml:space="preserve"> </v>
      </c>
      <c r="P17" s="92">
        <v>26.6</v>
      </c>
      <c r="Q17" s="93">
        <f t="shared" si="6"/>
        <v>15</v>
      </c>
      <c r="R17" s="93" t="str">
        <f t="shared" si="7"/>
        <v xml:space="preserve"> </v>
      </c>
      <c r="S17" s="94" t="str">
        <f>IF(Table622027323337383923[[#This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IF(Table622027323337383923[[#This Row],[Non-Member]]="X"," ",IF(AH17=" "," ",IFERROR(VLOOKUP(AG17,Points!$A$2:$B$14,2,FALSE)," ")))</f>
        <v xml:space="preserve"> </v>
      </c>
      <c r="AJ17" s="93" t="str">
        <f>IF(Table622027323337383923[[#This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25">
      <c r="B18" s="90" t="s">
        <v>97</v>
      </c>
      <c r="C18" s="91"/>
      <c r="D18" s="92">
        <v>37.53</v>
      </c>
      <c r="E18" s="93">
        <f t="shared" si="0"/>
        <v>14</v>
      </c>
      <c r="F18" s="93" t="str">
        <f t="shared" si="1"/>
        <v xml:space="preserve"> </v>
      </c>
      <c r="G18" s="94" t="str">
        <f>IF(Table622027323337383923[[#This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IF(Table622027323337383923[[#This Row],[Non-Member]]="X"," ",IF(AH18=" "," ",IFERROR(VLOOKUP(AG18,Points!$A$2:$B$14,2,FALSE)," ")))</f>
        <v xml:space="preserve"> </v>
      </c>
      <c r="AJ18" s="93">
        <f>IF(Table622027323337383923[[#This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25">
      <c r="B19" s="90" t="s">
        <v>215</v>
      </c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IF(Table622027323337383923[[#This Row],[Non-Member]]="X"," ",IF(F19=" "," ",IFERROR(VLOOKUP(E19,Points!$A$2:$B$14,2,FALSE)," ")))</f>
        <v xml:space="preserve"> </v>
      </c>
      <c r="H19" s="92">
        <v>22.31</v>
      </c>
      <c r="I19" s="93">
        <f t="shared" si="2"/>
        <v>14</v>
      </c>
      <c r="J19" s="93" t="str">
        <f t="shared" si="3"/>
        <v xml:space="preserve"> </v>
      </c>
      <c r="K19" s="94" t="str">
        <f>IF(Table622027323337383923[[#This Row],[Non-Member]]="X"," ",IF(J19=" "," ",IFERROR(VLOOKUP(I19,Points!$A$2:$B$14,2,FALSE)," ")))</f>
        <v xml:space="preserve"> </v>
      </c>
      <c r="L19" s="92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IF(Table622027323337383923[[#This Row],[Non-Member]]="X"," ",IF(V19=" "," ",IFERROR(VLOOKUP(U19,Points!$A$2:$B$14,2,FALSE)," ")))</f>
        <v xml:space="preserve"> </v>
      </c>
      <c r="X19" s="92">
        <v>13.72</v>
      </c>
      <c r="Y19" s="93">
        <f t="shared" si="10"/>
        <v>7</v>
      </c>
      <c r="Z19" s="93" t="str">
        <f t="shared" si="11"/>
        <v xml:space="preserve"> </v>
      </c>
      <c r="AA19" s="94" t="str">
        <f>IF(Table622027323337383923[[#This Row],[Non-Member]]="X"," ",IF(Z19=" "," ",IFERROR(VLOOKUP(Y19,Points!$A$2:$B$14,2,FALSE)," ")))</f>
        <v xml:space="preserve"> </v>
      </c>
      <c r="AB19" s="92">
        <v>13.47</v>
      </c>
      <c r="AC19" s="93">
        <f t="shared" si="12"/>
        <v>7</v>
      </c>
      <c r="AD19" s="93" t="str">
        <f t="shared" si="13"/>
        <v xml:space="preserve"> </v>
      </c>
      <c r="AE19" s="94" t="str">
        <f>IF(Table622027323337383923[[#This Row],[Non-Member]]="X"," ",IF(AD19=" "," ",IFERROR(VLOOKUP(AC19,Points!$A$2:$B$14,2,FALSE)," ")))</f>
        <v xml:space="preserve"> </v>
      </c>
      <c r="AF19" s="92">
        <f t="shared" si="14"/>
        <v>27.19</v>
      </c>
      <c r="AG19" s="93">
        <f t="shared" si="15"/>
        <v>7</v>
      </c>
      <c r="AH19" s="93" t="str">
        <f t="shared" si="16"/>
        <v xml:space="preserve"> </v>
      </c>
      <c r="AI19" s="94" t="str">
        <f>IF(Table622027323337383923[[#This Row],[Non-Member]]="X"," ",IF(AH19=" "," ",IFERROR(VLOOKUP(AG19,Points!$A$2:$B$14,2,FALSE)," ")))</f>
        <v xml:space="preserve"> </v>
      </c>
      <c r="AJ19" s="93">
        <f>IF(Table622027323337383923[[#This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 t="s">
        <v>217</v>
      </c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IF(Table622027323337383923[[#This Row],[Non-Member]]="X"," ",IF(F20=" "," ",IFERROR(VLOOKUP(E20,Points!$A$2:$B$14,2,FALSE)," ")))</f>
        <v xml:space="preserve"> </v>
      </c>
      <c r="H20" s="92">
        <v>21.79</v>
      </c>
      <c r="I20" s="93">
        <f t="shared" si="2"/>
        <v>13</v>
      </c>
      <c r="J20" s="93" t="str">
        <f t="shared" si="3"/>
        <v xml:space="preserve"> </v>
      </c>
      <c r="K20" s="94" t="str">
        <f>IF(Table622027323337383923[[#This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IF(Table622027323337383923[[#This Row],[Non-Member]]="X"," ",IF(AH20=" "," ",IFERROR(VLOOKUP(AG20,Points!$A$2:$B$14,2,FALSE)," ")))</f>
        <v xml:space="preserve"> </v>
      </c>
      <c r="AJ20" s="93">
        <f>IF(Table622027323337383923[[#This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 t="s">
        <v>87</v>
      </c>
      <c r="C21" s="91"/>
      <c r="D21" s="92">
        <v>24.72</v>
      </c>
      <c r="E21" s="93">
        <f t="shared" si="0"/>
        <v>13</v>
      </c>
      <c r="F21" s="93" t="str">
        <f t="shared" si="1"/>
        <v xml:space="preserve"> </v>
      </c>
      <c r="G21" s="94" t="str">
        <f>IF(Table622027323337383923[[#This Row],[Non-Member]]="X"," ",IF(F21=" "," ",IFERROR(VLOOKUP(E21,Points!$A$2:$B$14,2,FALSE)," ")))</f>
        <v xml:space="preserve"> </v>
      </c>
      <c r="H21" s="92">
        <v>20.81</v>
      </c>
      <c r="I21" s="93">
        <f t="shared" si="2"/>
        <v>12</v>
      </c>
      <c r="J21" s="93" t="str">
        <f t="shared" si="3"/>
        <v xml:space="preserve"> </v>
      </c>
      <c r="K21" s="94" t="str">
        <f>IF(Table622027323337383923[[#This Row],[Non-Member]]="X"," ",IF(J21=" "," ",IFERROR(VLOOKUP(I21,Points!$A$2:$B$14,2,FALSE)," ")))</f>
        <v xml:space="preserve"> </v>
      </c>
      <c r="L21" s="92">
        <v>42.06</v>
      </c>
      <c r="M21" s="93">
        <f t="shared" si="4"/>
        <v>14</v>
      </c>
      <c r="N21" s="93" t="str">
        <f t="shared" si="5"/>
        <v xml:space="preserve"> </v>
      </c>
      <c r="O21" s="94" t="str">
        <f>IF(Table622027323337383923[[#This Row],[Non-Member]]="X"," ",IF(N21=" "," ",IFERROR(VLOOKUP(M21,Points!$A$2:$B$14,2,FALSE)," ")))</f>
        <v xml:space="preserve"> </v>
      </c>
      <c r="P21" s="92">
        <v>18.86</v>
      </c>
      <c r="Q21" s="93">
        <f t="shared" si="6"/>
        <v>13</v>
      </c>
      <c r="R21" s="93" t="str">
        <f t="shared" si="7"/>
        <v xml:space="preserve"> </v>
      </c>
      <c r="S21" s="94" t="str">
        <f>IF(Table622027323337383923[[#This Row],[Non-Member]]="X"," ",IF(R21=" "," ",IFERROR(VLOOKUP(Q21,Points!$A$2:$B$14,2,FALSE)," ")))</f>
        <v xml:space="preserve"> </v>
      </c>
      <c r="T21" s="92">
        <v>19.21</v>
      </c>
      <c r="U21" s="93">
        <f t="shared" si="8"/>
        <v>13</v>
      </c>
      <c r="V21" s="93" t="str">
        <f t="shared" si="9"/>
        <v xml:space="preserve"> </v>
      </c>
      <c r="W21" s="94" t="str">
        <f>IF(Table622027323337383923[[#This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IF(Table622027323337383923[[#This Row],[Non-Member]]="X"," ",IF(AH21=" "," ",IFERROR(VLOOKUP(AG21,Points!$A$2:$B$14,2,FALSE)," ")))</f>
        <v xml:space="preserve"> </v>
      </c>
      <c r="AJ21" s="93">
        <f>IF(Table622027323337383923[[#This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 t="s">
        <v>83</v>
      </c>
      <c r="C22" s="91"/>
      <c r="D22" s="92">
        <v>0</v>
      </c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IF(Table622027323337383923[[#This Row],[Non-Member]]="X"," ",IF(F22=" "," ",IFERROR(VLOOKUP(E22,Points!$A$2:$B$14,2,FALSE)," ")))</f>
        <v xml:space="preserve"> </v>
      </c>
      <c r="H22" s="92">
        <v>23.34</v>
      </c>
      <c r="I22" s="93">
        <f t="shared" si="2"/>
        <v>16</v>
      </c>
      <c r="J22" s="93" t="str">
        <f t="shared" si="3"/>
        <v xml:space="preserve"> </v>
      </c>
      <c r="K22" s="94" t="str">
        <f>IF(Table622027323337383923[[#This Row],[Non-Member]]="X"," ",IF(J22=" "," ",IFERROR(VLOOKUP(I22,Points!$A$2:$B$14,2,FALSE)," ")))</f>
        <v xml:space="preserve"> </v>
      </c>
      <c r="L22" s="92">
        <v>18.47</v>
      </c>
      <c r="M22" s="93">
        <f t="shared" si="4"/>
        <v>10</v>
      </c>
      <c r="N22" s="93" t="str">
        <f t="shared" si="5"/>
        <v xml:space="preserve"> </v>
      </c>
      <c r="O22" s="94" t="str">
        <f>IF(Table622027323337383923[[#This Row],[Non-Member]]="X"," ",IF(N22=" "," ",IFERROR(VLOOKUP(M22,Points!$A$2:$B$14,2,FALSE)," ")))</f>
        <v xml:space="preserve"> </v>
      </c>
      <c r="P22" s="92">
        <v>17.899999999999999</v>
      </c>
      <c r="Q22" s="93">
        <f t="shared" si="6"/>
        <v>11</v>
      </c>
      <c r="R22" s="93" t="str">
        <f t="shared" si="7"/>
        <v xml:space="preserve"> </v>
      </c>
      <c r="S22" s="94" t="str">
        <f>IF(Table622027323337383923[[#This Row],[Non-Member]]="X"," ",IF(R22=" "," ",IFERROR(VLOOKUP(Q22,Points!$A$2:$B$14,2,FALSE)," ")))</f>
        <v xml:space="preserve"> </v>
      </c>
      <c r="T22" s="92">
        <v>16.8</v>
      </c>
      <c r="U22" s="93">
        <f t="shared" si="8"/>
        <v>9</v>
      </c>
      <c r="V22" s="93" t="str">
        <f t="shared" si="9"/>
        <v xml:space="preserve"> </v>
      </c>
      <c r="W22" s="94" t="str">
        <f>IF(Table622027323337383923[[#This Row],[Non-Member]]="X"," ",IF(V22=" "," ",IFERROR(VLOOKUP(U22,Points!$A$2:$B$14,2,FALSE)," ")))</f>
        <v xml:space="preserve"> </v>
      </c>
      <c r="X22" s="92">
        <v>20.28</v>
      </c>
      <c r="Y22" s="93">
        <f t="shared" si="10"/>
        <v>14</v>
      </c>
      <c r="Z22" s="93" t="str">
        <f t="shared" si="11"/>
        <v xml:space="preserve"> </v>
      </c>
      <c r="AA22" s="94" t="str">
        <f>IF(Table622027323337383923[[#This Row],[Non-Member]]="X"," ",IF(Z22=" "," ",IFERROR(VLOOKUP(Y22,Points!$A$2:$B$14,2,FALSE)," ")))</f>
        <v xml:space="preserve"> </v>
      </c>
      <c r="AB22" s="92">
        <v>20.68</v>
      </c>
      <c r="AC22" s="93">
        <f t="shared" si="12"/>
        <v>13</v>
      </c>
      <c r="AD22" s="93" t="str">
        <f t="shared" si="13"/>
        <v xml:space="preserve"> </v>
      </c>
      <c r="AE22" s="94" t="str">
        <f>IF(Table622027323337383923[[#This Row],[Non-Member]]="X"," ",IF(AD22=" "," ",IFERROR(VLOOKUP(AC22,Points!$A$2:$B$14,2,FALSE)," ")))</f>
        <v xml:space="preserve"> </v>
      </c>
      <c r="AF22" s="92">
        <f t="shared" si="14"/>
        <v>40.96</v>
      </c>
      <c r="AG22" s="93">
        <f t="shared" si="15"/>
        <v>14</v>
      </c>
      <c r="AH22" s="93" t="str">
        <f t="shared" si="16"/>
        <v xml:space="preserve"> </v>
      </c>
      <c r="AI22" s="94" t="str">
        <f>IF(Table622027323337383923[[#This Row],[Non-Member]]="X"," ",IF(AH22=" "," ",IFERROR(VLOOKUP(AG22,Points!$A$2:$B$14,2,FALSE)," ")))</f>
        <v xml:space="preserve"> </v>
      </c>
      <c r="AJ22" s="93">
        <f>IF(Table622027323337383923[[#This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 t="s">
        <v>93</v>
      </c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IF(Table622027323337383923[[#This Row],[Non-Member]]="X"," ",IF(R23=" "," ",IFERROR(VLOOKUP(Q23,Points!$A$2:$B$14,2,FALSE)," ")))</f>
        <v xml:space="preserve"> </v>
      </c>
      <c r="T23" s="92">
        <v>17.68</v>
      </c>
      <c r="U23" s="93">
        <f t="shared" si="8"/>
        <v>12</v>
      </c>
      <c r="V23" s="93" t="str">
        <f t="shared" si="9"/>
        <v xml:space="preserve"> </v>
      </c>
      <c r="W23" s="94" t="str">
        <f>IF(Table622027323337383923[[#This Row],[Non-Member]]="X"," ",IF(V23=" "," ",IFERROR(VLOOKUP(U23,Points!$A$2:$B$14,2,FALSE)," ")))</f>
        <v xml:space="preserve"> </v>
      </c>
      <c r="X23" s="92">
        <v>13.87</v>
      </c>
      <c r="Y23" s="93">
        <f t="shared" si="10"/>
        <v>8</v>
      </c>
      <c r="Z23" s="93" t="str">
        <f t="shared" si="11"/>
        <v xml:space="preserve"> </v>
      </c>
      <c r="AA23" s="94" t="str">
        <f>IF(Table622027323337383923[[#This Row],[Non-Member]]="X"," ",IF(Z23=" "," ",IFERROR(VLOOKUP(Y23,Points!$A$2:$B$14,2,FALSE)," ")))</f>
        <v xml:space="preserve"> </v>
      </c>
      <c r="AB23" s="92">
        <v>21.03</v>
      </c>
      <c r="AC23" s="93">
        <f t="shared" si="12"/>
        <v>15</v>
      </c>
      <c r="AD23" s="93" t="str">
        <f t="shared" si="13"/>
        <v xml:space="preserve"> </v>
      </c>
      <c r="AE23" s="94" t="str">
        <f>IF(Table622027323337383923[[#This Row],[Non-Member]]="X"," ",IF(AD23=" "," ",IFERROR(VLOOKUP(AC23,Points!$A$2:$B$14,2,FALSE)," ")))</f>
        <v xml:space="preserve"> </v>
      </c>
      <c r="AF23" s="92">
        <f t="shared" si="14"/>
        <v>34.9</v>
      </c>
      <c r="AG23" s="93">
        <f t="shared" si="15"/>
        <v>12</v>
      </c>
      <c r="AH23" s="93" t="str">
        <f t="shared" si="16"/>
        <v xml:space="preserve"> </v>
      </c>
      <c r="AI23" s="94" t="str">
        <f>IF(Table622027323337383923[[#This Row],[Non-Member]]="X"," ",IF(AH23=" "," ",IFERROR(VLOOKUP(AG23,Points!$A$2:$B$14,2,FALSE)," ")))</f>
        <v xml:space="preserve"> </v>
      </c>
      <c r="AJ23" s="93">
        <f>IF(Table622027323337383923[[#This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IF(Table622027323337383923[[#This Row],[Non-Member]]="X"," ",IF(AH24=" "," ",IFERROR(VLOOKUP(AG24,Points!$A$2:$B$14,2,FALSE)," ")))</f>
        <v xml:space="preserve"> </v>
      </c>
      <c r="AJ24" s="93">
        <f>IF(Table622027323337383923[[#This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h4BBBCKQ4a1ogMVFosbo3JpS0nrOoDCIZ9M95EGMiZX875DbjypZ43qfQqRVfonlL6RPLs4VRz8M1MNUhFG9wg==" saltValue="6SwoskR/GQT68olc/HWr7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3B7A-CE0D-4D0F-91C6-F116555F8F4B}">
  <sheetPr codeName="Sheet65">
    <tabColor theme="5" tint="0.79998168889431442"/>
  </sheetPr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108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145</v>
      </c>
      <c r="C5" s="84"/>
      <c r="D5" s="85">
        <v>7.04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IF(Table62202732333738392324[[#This Row],[Non-Member]]="X"," ",IF(F5=" "," ",IFERROR(VLOOKUP(E5,Points!$A$2:$B$14,2,FALSE)," ")))</f>
        <v>18</v>
      </c>
      <c r="H5" s="85">
        <v>0</v>
      </c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IF(Table62202732333738392324[[#This Row],[Non-Member]]="X"," ",IF(J5=" "," ",IFERROR(VLOOKUP(I5,Points!$A$2:$B$14,2,FALSE)," ")))</f>
        <v xml:space="preserve"> 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IF(Table62202732333738392324[[#This Row],[Non-Member]]="X"," ",IF(N5=" "," ",IFERROR(VLOOKUP(M5,Points!$A$2:$B$14,2,FALSE)," ")))</f>
        <v xml:space="preserve"> </v>
      </c>
      <c r="P5" s="85">
        <v>6.24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IF(Table62202732333738392324[[#This Row],[Non-Member]]="X"," ",IF(R5=" "," ",IFERROR(VLOOKUP(Q5,Points!$A$2:$B$14,2,FALSE)," ")))</f>
        <v>18</v>
      </c>
      <c r="T5" s="85">
        <v>0</v>
      </c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IF(Table62202732333738392324[[#This Row],[Non-Member]]="X"," ",IF(V5=" "," ",IFERROR(VLOOKUP(U5,Points!$A$2:$B$14,2,FALSE)," ")))</f>
        <v xml:space="preserve"> </v>
      </c>
      <c r="X5" s="85">
        <v>13.88</v>
      </c>
      <c r="Y5" s="86">
        <f t="shared" ref="Y5:Y24" si="10">IF(X5=0," ",_xlfn.RANK.AVG(X5,X$5:X$24,1)-COUNTIF(X$5:X$24,0))</f>
        <v>2</v>
      </c>
      <c r="Z5" s="86">
        <f t="shared" ref="Z5:Z24" si="11">IF(X5=0," ",IF((RANK(X5,X$5:X$24,1)-COUNTIF(X$5:X$24,0)&gt;6)," ",RANK(X5,X$5:X$24,1)-COUNTIF(X$5:X$24,0)))</f>
        <v>2</v>
      </c>
      <c r="AA5" s="87">
        <f>IF(Table62202732333738392324[[#This Row],[Non-Member]]="X"," ",IF(Z5=" "," ",IFERROR(VLOOKUP(Y5,Points!$A$2:$B$14,2,FALSE)," ")))</f>
        <v>15</v>
      </c>
      <c r="AB5" s="85">
        <v>5.12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IF(Table62202732333738392324[[#This Row],[Non-Member]]="X"," ",IF(AD5=" "," ",IFERROR(VLOOKUP(AC5,Points!$A$2:$B$14,2,FALSE)," ")))</f>
        <v>18</v>
      </c>
      <c r="AF5" s="85">
        <f>IF(OR(X5=0,AB5=0)," ",X5+AB5)</f>
        <v>19</v>
      </c>
      <c r="AG5" s="86">
        <f>IF(OR(AF5=0,AF5=" ")," ",_xlfn.RANK.AVG(AF5,AF$5:AF$24,1)-COUNTIF(AF$5:AF$24,0))</f>
        <v>1</v>
      </c>
      <c r="AH5" s="86">
        <f>IF(OR(AF5=0,AF5=" ")," ",IF((RANK(AF5,AF$5:AF$24,1)-COUNTIF(AF$5:AF$24,0)&gt;6)," ",RANK(AF5,AF$5:AF$24,1)-COUNTIF(AF$5:AF$24,0)))</f>
        <v>1</v>
      </c>
      <c r="AI5" s="87">
        <f>IF(Table62202732333738392324[[#This Row],[Non-Member]]="X"," ",IF(AH5=" "," ",IFERROR(VLOOKUP(AG5,Points!$A$2:$B$14,2,FALSE)," ")))</f>
        <v>18</v>
      </c>
      <c r="AJ5" s="86">
        <f>IF(Table62202732333738392324[[#This Row],[Non-Member]]="X"," ",((IF(G5=" ",0,G5))+(IF(K5=" ",0,K5))+(IF(O5=" ",0,O5))+(IF(S5=" ",0,S5))+(IF(W5=" ",0,W5))+(IF(AA5=" ",0,AA5))+(IF(AE5=" ",0,AE5))+(IF(AI5=" ",0,AI5))))</f>
        <v>87</v>
      </c>
      <c r="AK5" s="88">
        <f t="shared" ref="AK5:AK24" si="14">IF(AJ5=0," ",AJ5)</f>
        <v>87</v>
      </c>
      <c r="AL5" s="89">
        <f t="shared" ref="AL5:AL24" si="15">IF(AK5=" "," ",RANK(AK5,$AK$5:$AK$24))</f>
        <v>1</v>
      </c>
    </row>
    <row r="6" spans="2:38" x14ac:dyDescent="0.25">
      <c r="B6" s="90" t="s">
        <v>146</v>
      </c>
      <c r="C6" s="91"/>
      <c r="D6" s="92">
        <v>0</v>
      </c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IF(Table62202732333738392324[[#This Row],[Non-Member]]="X"," ",IF(F6=" "," ",IFERROR(VLOOKUP(E6,Points!$A$2:$B$14,2,FALSE)," ")))</f>
        <v xml:space="preserve"> </v>
      </c>
      <c r="H6" s="92">
        <v>0</v>
      </c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IF(Table62202732333738392324[[#This Row],[Non-Member]]="X"," ",IF(J6=" "," ",IFERROR(VLOOKUP(I6,Points!$A$2:$B$14,2,FALSE)," ")))</f>
        <v xml:space="preserve"> </v>
      </c>
      <c r="L6" s="92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IF(Table62202732333738392324[[#This Row],[Non-Member]]="X"," ",IF(N6=" "," ",IFERROR(VLOOKUP(M6,Points!$A$2:$B$14,2,FALSE)," ")))</f>
        <v xml:space="preserve"> </v>
      </c>
      <c r="P6" s="92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IF(Table62202732333738392324[[#This Row],[Non-Member]]="X"," ",IF(R6=" "," ",IFERROR(VLOOKUP(Q6,Points!$A$2:$B$14,2,FALSE)," ")))</f>
        <v xml:space="preserve"> 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IF(Table62202732333738392324[[#This Row],[Non-Member]]="X"," ",IF(V6=" "," ",IFERROR(VLOOKUP(U6,Points!$A$2:$B$14,2,FALSE)," ")))</f>
        <v xml:space="preserve"> </v>
      </c>
      <c r="X6" s="92">
        <v>5.48</v>
      </c>
      <c r="Y6" s="93">
        <f t="shared" si="10"/>
        <v>1</v>
      </c>
      <c r="Z6" s="93">
        <f t="shared" si="11"/>
        <v>1</v>
      </c>
      <c r="AA6" s="94">
        <f>IF(Table62202732333738392324[[#This Row],[Non-Member]]="X"," ",IF(Z6=" "," ",IFERROR(VLOOKUP(Y6,Points!$A$2:$B$14,2,FALSE)," ")))</f>
        <v>18</v>
      </c>
      <c r="AB6" s="92">
        <v>0</v>
      </c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IF(Table62202732333738392324[[#This Row],[Non-Member]]="X"," ",IF(AD6=" "," ",IFERROR(VLOOKUP(AC6,Points!$A$2:$B$14,2,FALSE)," ")))</f>
        <v xml:space="preserve"> </v>
      </c>
      <c r="AF6" s="163" t="s">
        <v>313</v>
      </c>
      <c r="AG6" s="93">
        <v>2</v>
      </c>
      <c r="AH6" s="93">
        <v>2</v>
      </c>
      <c r="AI6" s="94">
        <f>IF(Table62202732333738392324[[#This Row],[Non-Member]]="X"," ",IF(AH6=" "," ",IFERROR(VLOOKUP(AG6,Points!$A$2:$B$14,2,FALSE)," ")))</f>
        <v>15</v>
      </c>
      <c r="AJ6" s="93">
        <f>IF(Table62202732333738392324[[#This Row],[Non-Member]]="X"," ",((IF(G6=" ",0,G6))+(IF(K6=" ",0,K6))+(IF(O6=" ",0,O6))+(IF(S6=" ",0,S6))+(IF(W6=" ",0,W6))+(IF(AA6=" ",0,AA6))+(IF(AE6=" ",0,AE6))+(IF(AI6=" ",0,AI6))))</f>
        <v>33</v>
      </c>
      <c r="AK6" s="95">
        <f t="shared" si="14"/>
        <v>33</v>
      </c>
      <c r="AL6" s="96">
        <f t="shared" si="15"/>
        <v>2</v>
      </c>
    </row>
    <row r="7" spans="2:38" x14ac:dyDescent="0.25">
      <c r="B7" s="90" t="s">
        <v>86</v>
      </c>
      <c r="C7" s="91"/>
      <c r="D7" s="92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IF(Table62202732333738392324[[#This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IF(Table62202732333738392324[[#This Row],[Non-Member]]="X"," ",IF(J7=" "," ",IFERROR(VLOOKUP(I7,Points!$A$2:$B$14,2,FALSE)," ")))</f>
        <v xml:space="preserve"> 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IF(Table62202732333738392324[[#This Row],[Non-Member]]="X"," ",IF(N7=" "," ",IFERROR(VLOOKUP(M7,Points!$A$2:$B$14,2,FALSE)," ")))</f>
        <v xml:space="preserve"> </v>
      </c>
      <c r="P7" s="92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IF(Table62202732333738392324[[#This Row],[Non-Member]]="X"," ",IF(R7=" "," ",IFERROR(VLOOKUP(Q7,Points!$A$2:$B$14,2,FALSE)," ")))</f>
        <v xml:space="preserve"> </v>
      </c>
      <c r="T7" s="92">
        <v>4.22</v>
      </c>
      <c r="U7" s="93">
        <f t="shared" si="8"/>
        <v>1</v>
      </c>
      <c r="V7" s="93">
        <f t="shared" si="9"/>
        <v>1</v>
      </c>
      <c r="W7" s="94">
        <f>IF(Table62202732333738392324[[#This Row],[Non-Member]]="X"," ",IF(V7=" "," ",IFERROR(VLOOKUP(U7,Points!$A$2:$B$14,2,FALSE)," ")))</f>
        <v>18</v>
      </c>
      <c r="X7" s="92">
        <v>0</v>
      </c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IF(Table62202732333738392324[[#This Row],[Non-Member]]="X"," ",IF(Z7=" "," ",IFERROR(VLOOKUP(Y7,Points!$A$2:$B$14,2,FALSE)," ")))</f>
        <v xml:space="preserve"> </v>
      </c>
      <c r="AB7" s="92">
        <v>0</v>
      </c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IF(Table62202732333738392324[[#This Row],[Non-Member]]="X"," ",IF(AD7=" "," ",IFERROR(VLOOKUP(AC7,Points!$A$2:$B$14,2,FALSE)," ")))</f>
        <v xml:space="preserve"> </v>
      </c>
      <c r="AF7" s="92" t="str">
        <f>IF(OR(X7=0,AB7=0)," ",X7+AB7)</f>
        <v xml:space="preserve"> </v>
      </c>
      <c r="AG7" s="93"/>
      <c r="AH7" s="93" t="str">
        <f>IF(OR(AF7=0,AF7=" ")," ",IF((RANK(AF7,AF$5:AF$24,1)-COUNTIF(AF$5:AF$24,0)&gt;6)," ",RANK(AF7,AF$5:AF$24,1)-COUNTIF(AF$5:AF$24,0)))</f>
        <v xml:space="preserve"> </v>
      </c>
      <c r="AI7" s="94" t="str">
        <f>IF(Table62202732333738392324[[#This Row],[Non-Member]]="X"," ",IF(AH7=" "," ",IFERROR(VLOOKUP(AG7,Points!$A$2:$B$14,2,FALSE)," ")))</f>
        <v xml:space="preserve"> </v>
      </c>
      <c r="AJ7" s="93">
        <f>IF(Table62202732333738392324[[#This Row],[Non-Member]]="X"," ",((IF(G7=" ",0,G7))+(IF(K7=" ",0,K7))+(IF(O7=" ",0,O7))+(IF(S7=" ",0,S7))+(IF(W7=" ",0,W7))+(IF(AA7=" ",0,AA7))+(IF(AE7=" ",0,AE7))+(IF(AI7=" ",0,AI7))))</f>
        <v>18</v>
      </c>
      <c r="AK7" s="95">
        <f t="shared" si="14"/>
        <v>18</v>
      </c>
      <c r="AL7" s="96">
        <f t="shared" si="15"/>
        <v>3</v>
      </c>
    </row>
    <row r="8" spans="2:38" x14ac:dyDescent="0.25">
      <c r="B8" s="90" t="s">
        <v>217</v>
      </c>
      <c r="C8" s="91"/>
      <c r="D8" s="92">
        <v>25.53</v>
      </c>
      <c r="E8" s="97">
        <f t="shared" si="0"/>
        <v>2</v>
      </c>
      <c r="F8" s="97">
        <f t="shared" si="1"/>
        <v>2</v>
      </c>
      <c r="G8" s="94">
        <f>IF(Table62202732333738392324[[#This Row],[Non-Member]]="X"," ",IF(F8=" "," ",IFERROR(VLOOKUP(E8,Points!$A$2:$B$14,2,FALSE)," ")))</f>
        <v>15</v>
      </c>
      <c r="H8" s="92">
        <v>0</v>
      </c>
      <c r="I8" s="97" t="str">
        <f t="shared" si="2"/>
        <v xml:space="preserve"> </v>
      </c>
      <c r="J8" s="97" t="str">
        <f t="shared" si="3"/>
        <v xml:space="preserve"> </v>
      </c>
      <c r="K8" s="94" t="str">
        <f>IF(Table62202732333738392324[[#This Row],[Non-Member]]="X"," ",IF(J8=" "," ",IFERROR(VLOOKUP(I8,Points!$A$2:$B$14,2,FALSE)," ")))</f>
        <v xml:space="preserve"> </v>
      </c>
      <c r="L8" s="92">
        <v>0</v>
      </c>
      <c r="M8" s="97" t="str">
        <f t="shared" si="4"/>
        <v xml:space="preserve"> </v>
      </c>
      <c r="N8" s="97" t="str">
        <f t="shared" si="5"/>
        <v xml:space="preserve"> </v>
      </c>
      <c r="O8" s="94" t="str">
        <f>IF(Table62202732333738392324[[#This Row],[Non-Member]]="X"," ",IF(N8=" "," ",IFERROR(VLOOKUP(M8,Points!$A$2:$B$14,2,FALSE)," ")))</f>
        <v xml:space="preserve"> </v>
      </c>
      <c r="P8" s="92">
        <v>0</v>
      </c>
      <c r="Q8" s="97" t="str">
        <f t="shared" si="6"/>
        <v xml:space="preserve"> </v>
      </c>
      <c r="R8" s="97" t="str">
        <f t="shared" si="7"/>
        <v xml:space="preserve"> </v>
      </c>
      <c r="S8" s="94" t="str">
        <f>IF(Table62202732333738392324[[#This Row],[Non-Member]]="X"," ",IF(R8=" "," ",IFERROR(VLOOKUP(Q8,Points!$A$2:$B$14,2,FALSE)," ")))</f>
        <v xml:space="preserve"> </v>
      </c>
      <c r="T8" s="92">
        <v>0</v>
      </c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IF(Table62202732333738392324[[#This Row],[Non-Member]]="X"," ",IF(V8=" "," ",IFERROR(VLOOKUP(U8,Points!$A$2:$B$14,2,FALSE)," ")))</f>
        <v xml:space="preserve"> </v>
      </c>
      <c r="X8" s="92"/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IF(Table62202732333738392324[[#This Row],[Non-Member]]="X"," ",IF(Z8=" "," ",IFERROR(VLOOKUP(Y8,Points!$A$2:$B$14,2,FALSE)," ")))</f>
        <v xml:space="preserve"> </v>
      </c>
      <c r="AB8" s="92"/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IF(Table62202732333738392324[[#This Row],[Non-Member]]="X"," ",IF(AD8=" "," ",IFERROR(VLOOKUP(AC8,Points!$A$2:$B$14,2,FALSE)," ")))</f>
        <v xml:space="preserve"> </v>
      </c>
      <c r="AF8" s="92" t="str">
        <f>IF(OR(X8=0,AB8=0)," ",X8+AB8)</f>
        <v xml:space="preserve"> </v>
      </c>
      <c r="AG8" s="97" t="str">
        <f>IF(OR(AF8=0,AF8=" ")," ",_xlfn.RANK.AVG(AF8,AF$5:AF$24,1)-COUNTIF(AF$5:AF$24,0))</f>
        <v xml:space="preserve"> </v>
      </c>
      <c r="AH8" s="97" t="str">
        <f>IF(OR(AF8=0,AF8=" ")," ",IF((RANK(AF8,AF$5:AF$24,1)-COUNTIF(AF$5:AF$24,0)&gt;6)," ",RANK(AF8,AF$5:AF$24,1)-COUNTIF(AF$5:AF$24,0)))</f>
        <v xml:space="preserve"> </v>
      </c>
      <c r="AI8" s="94" t="str">
        <f>IF(Table62202732333738392324[[#This Row],[Non-Member]]="X"," ",IF(AH8=" "," ",IFERROR(VLOOKUP(AG8,Points!$A$2:$B$14,2,FALSE)," ")))</f>
        <v xml:space="preserve"> </v>
      </c>
      <c r="AJ8" s="97">
        <f>IF(Table62202732333738392324[[#This Row],[Non-Member]]="X"," ",((IF(G8=" ",0,G8))+(IF(K8=" ",0,K8))+(IF(O8=" ",0,O8))+(IF(S8=" ",0,S8))+(IF(W8=" ",0,W8))+(IF(AA8=" ",0,AA8))+(IF(AE8=" ",0,AE8))+(IF(AI8=" ",0,AI8))))</f>
        <v>15</v>
      </c>
      <c r="AK8" s="95">
        <f t="shared" si="14"/>
        <v>15</v>
      </c>
      <c r="AL8" s="98">
        <f t="shared" si="15"/>
        <v>4</v>
      </c>
    </row>
    <row r="9" spans="2:38" x14ac:dyDescent="0.25">
      <c r="B9" s="90" t="s">
        <v>213</v>
      </c>
      <c r="C9" s="91"/>
      <c r="D9" s="92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IF(Table62202732333738392324[[#This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IF(Table62202732333738392324[[#This Row],[Non-Member]]="X"," ",IF(J9=" "," ",IFERROR(VLOOKUP(I9,Points!$A$2:$B$14,2,FALSE)," ")))</f>
        <v xml:space="preserve"> 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IF(Table62202732333738392324[[#This Row],[Non-Member]]="X"," ",IF(N9=" "," ",IFERROR(VLOOKUP(M9,Points!$A$2:$B$14,2,FALSE)," ")))</f>
        <v xml:space="preserve"> </v>
      </c>
      <c r="P9" s="92">
        <v>18.66</v>
      </c>
      <c r="Q9" s="93">
        <f t="shared" si="6"/>
        <v>2</v>
      </c>
      <c r="R9" s="93">
        <f t="shared" si="7"/>
        <v>2</v>
      </c>
      <c r="S9" s="94">
        <f>IF(Table62202732333738392324[[#This Row],[Non-Member]]="X"," ",IF(R9=" "," ",IFERROR(VLOOKUP(Q9,Points!$A$2:$B$14,2,FALSE)," ")))</f>
        <v>15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IF(Table62202732333738392324[[#This Row],[Non-Member]]="X"," ",IF(V9=" "," ",IFERROR(VLOOKUP(U9,Points!$A$2:$B$14,2,FALSE)," ")))</f>
        <v xml:space="preserve"> </v>
      </c>
      <c r="X9" s="92">
        <v>0</v>
      </c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IF(Table62202732333738392324[[#This Row],[Non-Member]]="X"," ",IF(Z9=" "," ",IFERROR(VLOOKUP(Y9,Points!$A$2:$B$14,2,FALSE)," ")))</f>
        <v xml:space="preserve"> </v>
      </c>
      <c r="AB9" s="92">
        <v>0</v>
      </c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IF(Table62202732333738392324[[#This Row],[Non-Member]]="X"," ",IF(AD9=" "," ",IFERROR(VLOOKUP(AC9,Points!$A$2:$B$14,2,FALSE)," ")))</f>
        <v xml:space="preserve"> </v>
      </c>
      <c r="AF9" s="92"/>
      <c r="AG9" s="93"/>
      <c r="AH9" s="93"/>
      <c r="AI9" s="94" t="str">
        <f>IF(Table62202732333738392324[[#This Row],[Non-Member]]="X"," ",IF(AH9=" "," ",IFERROR(VLOOKUP(AG9,Points!$A$2:$B$14,2,FALSE)," ")))</f>
        <v xml:space="preserve"> </v>
      </c>
      <c r="AJ9" s="93">
        <f>IF(Table62202732333738392324[[#This Row],[Non-Member]]="X"," ",((IF(G9=" ",0,G9))+(IF(K9=" ",0,K9))+(IF(O9=" ",0,O9))+(IF(S9=" ",0,S9))+(IF(W9=" ",0,W9))+(IF(AA9=" ",0,AA9))+(IF(AE9=" ",0,AE9))+(IF(AI9=" ",0,AI9))))</f>
        <v>15</v>
      </c>
      <c r="AK9" s="95">
        <f t="shared" si="14"/>
        <v>15</v>
      </c>
      <c r="AL9" s="96">
        <f t="shared" si="15"/>
        <v>4</v>
      </c>
    </row>
    <row r="10" spans="2:38" x14ac:dyDescent="0.25">
      <c r="B10" s="90" t="s">
        <v>91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IF(Table62202732333738392324[[#This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IF(Table62202732333738392324[[#This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IF(Table62202732333738392324[[#This Row],[Non-Member]]="X"," ",IF(N10=" "," ",IFERROR(VLOOKUP(M10,Points!$A$2:$B$14,2,FALSE)," ")))</f>
        <v xml:space="preserve"> 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IF(Table62202732333738392324[[#This Row],[Non-Member]]="X"," ",IF(R10=" "," ",IFERROR(VLOOKUP(Q10,Points!$A$2:$B$14,2,FALSE)," ")))</f>
        <v xml:space="preserve"> 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IF(Table62202732333738392324[[#This Row],[Non-Member]]="X"," ",IF(V10=" "," ",IFERROR(VLOOKUP(U10,Points!$A$2:$B$14,2,FALSE)," ")))</f>
        <v xml:space="preserve"> </v>
      </c>
      <c r="X10" s="92">
        <v>0</v>
      </c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IF(Table62202732333738392324[[#This Row],[Non-Member]]="X"," ",IF(Z10=" "," ",IFERROR(VLOOKUP(Y10,Points!$A$2:$B$14,2,FALSE)," ")))</f>
        <v xml:space="preserve"> 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IF(Table62202732333738392324[[#This Row],[Non-Member]]="X"," ",IF(AD10=" "," ",IFERROR(VLOOKUP(AC10,Points!$A$2:$B$14,2,FALSE)," ")))</f>
        <v xml:space="preserve"> </v>
      </c>
      <c r="AF10" s="92" t="str">
        <f>IF(OR(X10=0,AB10=0)," ",X10+AB10)</f>
        <v xml:space="preserve"> </v>
      </c>
      <c r="AG10" s="93" t="str">
        <f>IF(OR(AF10=0,AF10=" ")," ",_xlfn.RANK.AVG(AF10,AF$5:AF$24,1)-COUNTIF(AF$5:AF$24,0))</f>
        <v xml:space="preserve"> </v>
      </c>
      <c r="AH10" s="93" t="str">
        <f>IF(OR(AF10=0,AF10=" ")," ",IF((RANK(AF10,AF$5:AF$24,1)-COUNTIF(AF$5:AF$24,0)&gt;6)," ",RANK(AF10,AF$5:AF$24,1)-COUNTIF(AF$5:AF$24,0)))</f>
        <v xml:space="preserve"> </v>
      </c>
      <c r="AI10" s="94" t="str">
        <f>IF(Table62202732333738392324[[#This Row],[Non-Member]]="X"," ",IF(AH10=" "," ",IFERROR(VLOOKUP(AG10,Points!$A$2:$B$14,2,FALSE)," ")))</f>
        <v xml:space="preserve"> </v>
      </c>
      <c r="AJ10" s="93">
        <f>IF(Table62202732333738392324[[#This Row],[Non-Member]]="X"," ",((IF(G10=" ",0,G10))+(IF(K10=" ",0,K10))+(IF(O10=" ",0,O10))+(IF(S10=" ",0,S10))+(IF(W10=" ",0,W10))+(IF(AA10=" ",0,AA10))+(IF(AE10=" ",0,AE10))+(IF(AI10=" ",0,AI10))))</f>
        <v>0</v>
      </c>
      <c r="AK10" s="95" t="str">
        <f t="shared" si="14"/>
        <v xml:space="preserve"> </v>
      </c>
      <c r="AL10" s="96" t="str">
        <f t="shared" si="15"/>
        <v xml:space="preserve"> </v>
      </c>
    </row>
    <row r="11" spans="2:38" x14ac:dyDescent="0.25">
      <c r="B11" s="90" t="s">
        <v>144</v>
      </c>
      <c r="C11" s="91"/>
      <c r="D11" s="92">
        <v>0</v>
      </c>
      <c r="E11" s="97" t="str">
        <f t="shared" si="0"/>
        <v xml:space="preserve"> </v>
      </c>
      <c r="F11" s="97" t="str">
        <f t="shared" si="1"/>
        <v xml:space="preserve"> </v>
      </c>
      <c r="G11" s="94" t="str">
        <f>IF(Table62202732333738392324[[#This Row],[Non-Member]]="X"," ",IF(F11=" "," ",IFERROR(VLOOKUP(E11,Points!$A$2:$B$14,2,FALSE)," ")))</f>
        <v xml:space="preserve"> </v>
      </c>
      <c r="H11" s="92">
        <v>0</v>
      </c>
      <c r="I11" s="97" t="str">
        <f t="shared" si="2"/>
        <v xml:space="preserve"> </v>
      </c>
      <c r="J11" s="97" t="str">
        <f t="shared" si="3"/>
        <v xml:space="preserve"> </v>
      </c>
      <c r="K11" s="94" t="str">
        <f>IF(Table62202732333738392324[[#This Row],[Non-Member]]="X"," ",IF(J11=" "," ",IFERROR(VLOOKUP(I11,Points!$A$2:$B$14,2,FALSE)," ")))</f>
        <v xml:space="preserve"> </v>
      </c>
      <c r="L11" s="92">
        <v>0</v>
      </c>
      <c r="M11" s="97" t="str">
        <f t="shared" si="4"/>
        <v xml:space="preserve"> </v>
      </c>
      <c r="N11" s="97" t="str">
        <f t="shared" si="5"/>
        <v xml:space="preserve"> </v>
      </c>
      <c r="O11" s="94" t="str">
        <f>IF(Table62202732333738392324[[#This Row],[Non-Member]]="X"," ",IF(N11=" "," ",IFERROR(VLOOKUP(M11,Points!$A$2:$B$14,2,FALSE)," ")))</f>
        <v xml:space="preserve"> </v>
      </c>
      <c r="P11" s="92">
        <v>0</v>
      </c>
      <c r="Q11" s="97" t="str">
        <f t="shared" si="6"/>
        <v xml:space="preserve"> </v>
      </c>
      <c r="R11" s="97" t="str">
        <f t="shared" si="7"/>
        <v xml:space="preserve"> </v>
      </c>
      <c r="S11" s="94" t="str">
        <f>IF(Table62202732333738392324[[#This Row],[Non-Member]]="X"," ",IF(R11=" "," ",IFERROR(VLOOKUP(Q11,Points!$A$2:$B$14,2,FALSE)," ")))</f>
        <v xml:space="preserve"> </v>
      </c>
      <c r="T11" s="92">
        <v>0</v>
      </c>
      <c r="U11" s="97" t="str">
        <f t="shared" si="8"/>
        <v xml:space="preserve"> </v>
      </c>
      <c r="V11" s="97" t="str">
        <f t="shared" si="9"/>
        <v xml:space="preserve"> </v>
      </c>
      <c r="W11" s="94" t="str">
        <f>IF(Table62202732333738392324[[#This Row],[Non-Member]]="X"," ",IF(V11=" "," ",IFERROR(VLOOKUP(U11,Points!$A$2:$B$14,2,FALSE)," ")))</f>
        <v xml:space="preserve"> </v>
      </c>
      <c r="X11" s="92">
        <v>0</v>
      </c>
      <c r="Y11" s="97" t="str">
        <f t="shared" si="10"/>
        <v xml:space="preserve"> </v>
      </c>
      <c r="Z11" s="97" t="str">
        <f t="shared" si="11"/>
        <v xml:space="preserve"> </v>
      </c>
      <c r="AA11" s="94" t="str">
        <f>IF(Table62202732333738392324[[#This Row],[Non-Member]]="X"," ",IF(Z11=" "," ",IFERROR(VLOOKUP(Y11,Points!$A$2:$B$14,2,FALSE)," ")))</f>
        <v xml:space="preserve"> </v>
      </c>
      <c r="AB11" s="92">
        <v>0</v>
      </c>
      <c r="AC11" s="97" t="str">
        <f t="shared" si="12"/>
        <v xml:space="preserve"> </v>
      </c>
      <c r="AD11" s="97" t="str">
        <f t="shared" si="13"/>
        <v xml:space="preserve"> </v>
      </c>
      <c r="AE11" s="94" t="str">
        <f>IF(Table62202732333738392324[[#This Row],[Non-Member]]="X"," ",IF(AD11=" "," ",IFERROR(VLOOKUP(AC11,Points!$A$2:$B$14,2,FALSE)," ")))</f>
        <v xml:space="preserve"> </v>
      </c>
      <c r="AF11" s="92"/>
      <c r="AG11" s="97"/>
      <c r="AH11" s="97"/>
      <c r="AI11" s="94" t="str">
        <f>IF(Table62202732333738392324[[#This Row],[Non-Member]]="X"," ",IF(AH11=" "," ",IFERROR(VLOOKUP(AG11,Points!$A$2:$B$14,2,FALSE)," ")))</f>
        <v xml:space="preserve"> </v>
      </c>
      <c r="AJ11" s="97">
        <f>IF(Table62202732333738392324[[#This Row],[Non-Member]]="X"," ",((IF(G11=" ",0,G11))+(IF(K11=" ",0,K11))+(IF(O11=" ",0,O11))+(IF(S11=" ",0,S11))+(IF(W11=" ",0,W11))+(IF(AA11=" ",0,AA11))+(IF(AE11=" ",0,AE11))+(IF(AI11=" ",0,AI11))))</f>
        <v>0</v>
      </c>
      <c r="AK11" s="95" t="str">
        <f t="shared" si="14"/>
        <v xml:space="preserve"> </v>
      </c>
      <c r="AL11" s="98" t="str">
        <f t="shared" si="15"/>
        <v xml:space="preserve"> </v>
      </c>
    </row>
    <row r="12" spans="2:38" x14ac:dyDescent="0.25">
      <c r="B12" s="90"/>
      <c r="C12" s="91"/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IF(Table62202732333738392324[[#This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IF(Table62202732333738392324[[#This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IF(Table62202732333738392324[[#This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IF(Table62202732333738392324[[#This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IF(Table62202732333738392324[[#This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IF(Table62202732333738392324[[#This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IF(Table62202732333738392324[[#This Row],[Non-Member]]="X"," ",IF(AD12=" "," ",IFERROR(VLOOKUP(AC12,Points!$A$2:$B$14,2,FALSE)," ")))</f>
        <v xml:space="preserve"> </v>
      </c>
      <c r="AF12" s="92" t="str">
        <f t="shared" ref="AF12:AF24" si="16">IF(OR(X12=0,AB12=0)," ",X12+AB12)</f>
        <v xml:space="preserve"> </v>
      </c>
      <c r="AG12" s="93" t="str">
        <f t="shared" ref="AG12:AG24" si="17">IF(OR(AF12=0,AF12=" ")," ",_xlfn.RANK.AVG(AF12,AF$5:AF$24,1)-COUNTIF(AF$5:AF$24,0))</f>
        <v xml:space="preserve"> </v>
      </c>
      <c r="AH12" s="93" t="str">
        <f t="shared" ref="AH12:AH24" si="18">IF(OR(AF12=0,AF12=" ")," ",IF((RANK(AF12,AF$5:AF$24,1)-COUNTIF(AF$5:AF$24,0)&gt;6)," ",RANK(AF12,AF$5:AF$24,1)-COUNTIF(AF$5:AF$24,0)))</f>
        <v xml:space="preserve"> </v>
      </c>
      <c r="AI12" s="94" t="str">
        <f>IF(Table62202732333738392324[[#This Row],[Non-Member]]="X"," ",IF(AH12=" "," ",IFERROR(VLOOKUP(AG12,Points!$A$2:$B$14,2,FALSE)," ")))</f>
        <v xml:space="preserve"> </v>
      </c>
      <c r="AJ12" s="93">
        <f>IF(Table62202732333738392324[[#This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4"/>
        <v xml:space="preserve"> </v>
      </c>
      <c r="AL12" s="96" t="str">
        <f t="shared" si="15"/>
        <v xml:space="preserve"> </v>
      </c>
    </row>
    <row r="13" spans="2:38" x14ac:dyDescent="0.25">
      <c r="B13" s="90"/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IF(Table62202732333738392324[[#This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IF(Table62202732333738392324[[#This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IF(Table62202732333738392324[[#This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IF(Table62202732333738392324[[#This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IF(Table62202732333738392324[[#This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IF(Table62202732333738392324[[#This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IF(Table62202732333738392324[[#This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IF(Table62202732333738392324[[#This Row],[Non-Member]]="X"," ",IF(AH13=" "," ",IFERROR(VLOOKUP(AG13,Points!$A$2:$B$14,2,FALSE)," ")))</f>
        <v xml:space="preserve"> </v>
      </c>
      <c r="AJ13" s="93">
        <f>IF(Table62202732333738392324[[#This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4"/>
        <v xml:space="preserve"> </v>
      </c>
      <c r="AL13" s="96" t="str">
        <f t="shared" si="15"/>
        <v xml:space="preserve"> </v>
      </c>
    </row>
    <row r="14" spans="2:38" x14ac:dyDescent="0.25">
      <c r="B14" s="90"/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IF(Table62202732333738392324[[#This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IF(Table62202732333738392324[[#This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IF(Table62202732333738392324[[#This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IF(Table62202732333738392324[[#This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IF(Table62202732333738392324[[#This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IF(Table62202732333738392324[[#This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IF(Table62202732333738392324[[#This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IF(Table62202732333738392324[[#This Row],[Non-Member]]="X"," ",IF(AH14=" "," ",IFERROR(VLOOKUP(AG14,Points!$A$2:$B$14,2,FALSE)," ")))</f>
        <v xml:space="preserve"> </v>
      </c>
      <c r="AJ14" s="93">
        <f>IF(Table62202732333738392324[[#This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25">
      <c r="B15" s="90"/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IF(Table62202732333738392324[[#This Row],[Non-Member]]="X"," ",IF(F15=" "," ",IFERROR(VLOOKUP(E15,Points!$A$2:$B$14,2,FALSE)," ")))</f>
        <v xml:space="preserve"> </v>
      </c>
      <c r="H15" s="92"/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IF(Table62202732333738392324[[#This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IF(Table62202732333738392324[[#This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IF(Table62202732333738392324[[#This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IF(Table62202732333738392324[[#This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IF(Table62202732333738392324[[#This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IF(Table62202732333738392324[[#This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7" t="str">
        <f t="shared" si="17"/>
        <v xml:space="preserve"> </v>
      </c>
      <c r="AH15" s="97" t="str">
        <f t="shared" si="18"/>
        <v xml:space="preserve"> </v>
      </c>
      <c r="AI15" s="94" t="str">
        <f>IF(Table62202732333738392324[[#This Row],[Non-Member]]="X"," ",IF(AH15=" "," ",IFERROR(VLOOKUP(AG15,Points!$A$2:$B$14,2,FALSE)," ")))</f>
        <v xml:space="preserve"> </v>
      </c>
      <c r="AJ15" s="97">
        <f>IF(Table62202732333738392324[[#This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8" t="str">
        <f t="shared" si="15"/>
        <v xml:space="preserve"> </v>
      </c>
    </row>
    <row r="16" spans="2:38" x14ac:dyDescent="0.25">
      <c r="B16" s="90"/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IF(Table62202732333738392324[[#This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IF(Table62202732333738392324[[#This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IF(Table62202732333738392324[[#This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IF(Table62202732333738392324[[#This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IF(Table62202732333738392324[[#This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IF(Table62202732333738392324[[#This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IF(Table62202732333738392324[[#This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3" t="str">
        <f t="shared" si="17"/>
        <v xml:space="preserve"> </v>
      </c>
      <c r="AH16" s="93" t="str">
        <f t="shared" si="18"/>
        <v xml:space="preserve"> </v>
      </c>
      <c r="AI16" s="94" t="str">
        <f>IF(Table62202732333738392324[[#This Row],[Non-Member]]="X"," ",IF(AH16=" "," ",IFERROR(VLOOKUP(AG16,Points!$A$2:$B$14,2,FALSE)," ")))</f>
        <v xml:space="preserve"> </v>
      </c>
      <c r="AJ16" s="93">
        <f>IF(Table62202732333738392324[[#This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25">
      <c r="B17" s="90"/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IF(Table62202732333738392324[[#This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IF(Table62202732333738392324[[#This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IF(Table62202732333738392324[[#This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IF(Table62202732333738392324[[#This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IF(Table62202732333738392324[[#This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IF(Table62202732333738392324[[#This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IF(Table62202732333738392324[[#This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3" t="str">
        <f t="shared" si="17"/>
        <v xml:space="preserve"> </v>
      </c>
      <c r="AH17" s="93" t="str">
        <f t="shared" si="18"/>
        <v xml:space="preserve"> </v>
      </c>
      <c r="AI17" s="94" t="str">
        <f>IF(Table62202732333738392324[[#This Row],[Non-Member]]="X"," ",IF(AH17=" "," ",IFERROR(VLOOKUP(AG17,Points!$A$2:$B$14,2,FALSE)," ")))</f>
        <v xml:space="preserve"> </v>
      </c>
      <c r="AJ17" s="93">
        <f>IF(Table62202732333738392324[[#This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6" t="str">
        <f t="shared" si="15"/>
        <v xml:space="preserve"> </v>
      </c>
    </row>
    <row r="18" spans="2:38" x14ac:dyDescent="0.25">
      <c r="B18" s="90"/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IF(Table62202732333738392324[[#This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IF(Table62202732333738392324[[#This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IF(Table62202732333738392324[[#This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IF(Table62202732333738392324[[#This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IF(Table62202732333738392324[[#This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IF(Table62202732333738392324[[#This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IF(Table62202732333738392324[[#This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3" t="str">
        <f t="shared" si="17"/>
        <v xml:space="preserve"> </v>
      </c>
      <c r="AH18" s="93" t="str">
        <f t="shared" si="18"/>
        <v xml:space="preserve"> </v>
      </c>
      <c r="AI18" s="94" t="str">
        <f>IF(Table62202732333738392324[[#This Row],[Non-Member]]="X"," ",IF(AH18=" "," ",IFERROR(VLOOKUP(AG18,Points!$A$2:$B$14,2,FALSE)," ")))</f>
        <v xml:space="preserve"> </v>
      </c>
      <c r="AJ18" s="93">
        <f>IF(Table62202732333738392324[[#This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6" t="str">
        <f t="shared" si="15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IF(Table62202732333738392324[[#This Row],[Non-Member]]="X"," ",IF(AH19=" "," ",IFERROR(VLOOKUP(AG19,Points!$A$2:$B$14,2,FALSE)," ")))</f>
        <v xml:space="preserve"> </v>
      </c>
      <c r="AJ19" s="93">
        <f>IF(Table62202732333738392324[[#This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IF(Table62202732333738392324[[#This Row],[Non-Member]]="X"," ",IF(AH20=" "," ",IFERROR(VLOOKUP(AG20,Points!$A$2:$B$14,2,FALSE)," ")))</f>
        <v xml:space="preserve"> </v>
      </c>
      <c r="AJ20" s="93">
        <f>IF(Table62202732333738392324[[#This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IF(Table62202732333738392324[[#This Row],[Non-Member]]="X"," ",IF(AH21=" "," ",IFERROR(VLOOKUP(AG21,Points!$A$2:$B$14,2,FALSE)," ")))</f>
        <v xml:space="preserve"> </v>
      </c>
      <c r="AJ21" s="93">
        <f>IF(Table62202732333738392324[[#This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IF(Table62202732333738392324[[#This Row],[Non-Member]]="X"," ",IF(AH22=" "," ",IFERROR(VLOOKUP(AG22,Points!$A$2:$B$14,2,FALSE)," ")))</f>
        <v xml:space="preserve"> </v>
      </c>
      <c r="AJ22" s="93">
        <f>IF(Table62202732333738392324[[#This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IF(Table62202732333738392324[[#This Row],[Non-Member]]="X"," ",IF(AH23=" "," ",IFERROR(VLOOKUP(AG23,Points!$A$2:$B$14,2,FALSE)," ")))</f>
        <v xml:space="preserve"> </v>
      </c>
      <c r="AJ23" s="93">
        <f>IF(Table62202732333738392324[[#This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IF(Table62202732333738392324[[#This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IF(Table62202732333738392324[[#This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IF(Table62202732333738392324[[#This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IF(Table62202732333738392324[[#This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IF(Table62202732333738392324[[#This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IF(Table62202732333738392324[[#This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IF(Table62202732333738392324[[#This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IF(Table62202732333738392324[[#This Row],[Non-Member]]="X"," ",IF(AH24=" "," ",IFERROR(VLOOKUP(AG24,Points!$A$2:$B$14,2,FALSE)," ")))</f>
        <v xml:space="preserve"> </v>
      </c>
      <c r="AJ24" s="93">
        <f>IF(Table62202732333738392324[[#This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MPFpSLOGJ9HgzQUZVzdTi1nU1kJR9JWGOZMrRNKfBl5Ol7de67aSkBaW4QjooeQ1EX0SN3UinHHs2mGxCR2d1g==" saltValue="S/PHkvZlBeU/npeUM01Xf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ignoredErrors>
    <ignoredError sqref="AF6:AH6" calculatedColumn="1"/>
  </ignoredErrors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3186-7C48-47B3-B47A-C0C940201ACA}">
  <sheetPr codeName="Sheet66">
    <tabColor theme="5" tint="0.79998168889431442"/>
    <pageSetUpPr fitToPage="1"/>
  </sheetPr>
  <dimension ref="B1:AC28"/>
  <sheetViews>
    <sheetView showGridLines="0" workbookViewId="0">
      <pane xSplit="2" topLeftCell="C1" activePane="topRight" state="frozen"/>
      <selection activeCell="H35" sqref="H35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47" style="62" customWidth="1"/>
    <col min="3" max="3" width="11.6640625" style="60" hidden="1" customWidth="1"/>
    <col min="4" max="4" width="11.6640625" style="60" customWidth="1"/>
    <col min="5" max="5" width="11.6640625" style="57" customWidth="1"/>
    <col min="6" max="6" width="11.6640625" style="60" hidden="1" customWidth="1"/>
    <col min="7" max="7" width="11.6640625" style="60" customWidth="1"/>
    <col min="8" max="8" width="11.6640625" style="57" customWidth="1"/>
    <col min="9" max="9" width="11.6640625" style="60" hidden="1" customWidth="1"/>
    <col min="10" max="10" width="11.6640625" style="60" customWidth="1"/>
    <col min="11" max="11" width="11.6640625" style="57" customWidth="1"/>
    <col min="12" max="12" width="11.6640625" style="60" hidden="1" customWidth="1"/>
    <col min="13" max="13" width="11.6640625" style="60" customWidth="1"/>
    <col min="14" max="14" width="11.6640625" style="57" customWidth="1"/>
    <col min="15" max="15" width="11.6640625" style="60" hidden="1" customWidth="1"/>
    <col min="16" max="16" width="11.6640625" style="60" customWidth="1"/>
    <col min="17" max="17" width="11.6640625" style="57" customWidth="1"/>
    <col min="18" max="18" width="11.6640625" style="60" hidden="1" customWidth="1"/>
    <col min="19" max="19" width="11.6640625" style="60" customWidth="1"/>
    <col min="20" max="20" width="11.6640625" style="57" customWidth="1"/>
    <col min="21" max="21" width="11.6640625" style="60" hidden="1" customWidth="1"/>
    <col min="22" max="22" width="11.6640625" style="60" customWidth="1"/>
    <col min="23" max="23" width="11.6640625" style="57" customWidth="1"/>
    <col min="24" max="24" width="11.6640625" style="60" hidden="1" customWidth="1"/>
    <col min="25" max="25" width="11.6640625" style="60" customWidth="1"/>
    <col min="26" max="26" width="11.6640625" style="57" customWidth="1"/>
    <col min="27" max="27" width="11.6640625" style="60" hidden="1" customWidth="1"/>
    <col min="28" max="28" width="11.6640625" style="60" customWidth="1"/>
    <col min="29" max="29" width="11.6640625" style="57" customWidth="1"/>
    <col min="30" max="16384" width="9.109375" style="62"/>
  </cols>
  <sheetData>
    <row r="1" spans="2:29" ht="18" thickBot="1" x14ac:dyDescent="0.35">
      <c r="B1" s="54"/>
    </row>
    <row r="2" spans="2:29" s="64" customFormat="1" ht="17.399999999999999" x14ac:dyDescent="0.3">
      <c r="B2" s="139" t="s">
        <v>101</v>
      </c>
      <c r="C2" s="165">
        <v>43590</v>
      </c>
      <c r="D2" s="166"/>
      <c r="E2" s="167"/>
      <c r="F2" s="166">
        <v>43632</v>
      </c>
      <c r="G2" s="166"/>
      <c r="H2" s="167"/>
      <c r="I2" s="166">
        <v>43659</v>
      </c>
      <c r="J2" s="166"/>
      <c r="K2" s="167"/>
      <c r="L2" s="166">
        <v>43660</v>
      </c>
      <c r="M2" s="166"/>
      <c r="N2" s="167"/>
      <c r="O2" s="166">
        <v>43681</v>
      </c>
      <c r="P2" s="166"/>
      <c r="Q2" s="167"/>
      <c r="R2" s="166" t="s">
        <v>183</v>
      </c>
      <c r="S2" s="166"/>
      <c r="T2" s="167"/>
      <c r="U2" s="166" t="s">
        <v>184</v>
      </c>
      <c r="V2" s="166"/>
      <c r="W2" s="167"/>
      <c r="X2" s="166" t="s">
        <v>3</v>
      </c>
      <c r="Y2" s="166"/>
      <c r="Z2" s="167"/>
      <c r="AA2" s="166" t="s">
        <v>4</v>
      </c>
      <c r="AB2" s="166"/>
      <c r="AC2" s="167"/>
    </row>
    <row r="3" spans="2:29" s="74" customFormat="1" ht="14.4" thickBot="1" x14ac:dyDescent="0.3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3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25">
      <c r="B5" s="140" t="s">
        <v>146</v>
      </c>
      <c r="C5" s="118">
        <f>IFERROR(IF(VLOOKUP($B5,'PW G-Breakaway'!$B$5:$AI$24,6,FALSE)=" ",0,VLOOKUP($B5,'PW G-Breakaway'!$B$5:$AI$24,6,FALSE)),0)+IFERROR(IF(VLOOKUP($B5,'PW G-Barrels'!$B$5:$AI$25,6,FALSE)=" ",0,VLOOKUP($B5,'PW G-Barrels'!$B$5:$AI$25,6,FALSE)),0)+IFERROR(IF(VLOOKUP($B5,'PW G-Poles'!$B$5:$AI$25,6,FALSE)=" ",0,VLOOKUP($B5,'PW G-Poles'!$B$5:$AI$25,6,FALSE)),0)+IFERROR(IF(VLOOKUP($B5,'PW G-Goats'!$B$5:$AI$24,6,FALSE)=" ",0,VLOOKUP($B5,'PW G-Goats'!$B$5:$AI$24,6,FALSE)),0)</f>
        <v>45</v>
      </c>
      <c r="D5" s="88">
        <f t="shared" ref="D5:D24" si="0">IF(C5&gt;0,C5," ")</f>
        <v>45</v>
      </c>
      <c r="E5" s="84">
        <f t="shared" ref="E5:E24" si="1">IF(C5=0," ",RANK(C5,C$5:C$24,0))</f>
        <v>1</v>
      </c>
      <c r="F5" s="119">
        <f>IFERROR(IF(VLOOKUP($B5,'PW G-Breakaway'!$B$5:$AI$24,10,FALSE)=" ",0,VLOOKUP($B5,'PW G-Breakaway'!$B$5:$AI$24,10,FALSE)),0)+IFERROR(IF(VLOOKUP($B5,'PW G-Barrels'!$B$5:$AI$25,10,FALSE)=" ",0,VLOOKUP($B5,'PW G-Barrels'!$B$5:$AI$25,10,FALSE)),0)+IFERROR(IF(VLOOKUP($B5,'PW G-Poles'!$B$5:$AI$25,10,FALSE)=" ",0,VLOOKUP($B5,'PW G-Poles'!$B$5:$AI$25,10,FALSE)),0)+IFERROR(IF(VLOOKUP($B5,'PW G-Goats'!$B$5:$AI$24,10,FALSE)=" ",0,VLOOKUP($B5,'PW G-Goats'!$B$5:$AI$24,10,FALSE)),0)</f>
        <v>30</v>
      </c>
      <c r="G5" s="88">
        <f t="shared" ref="G5:G24" si="2">IF(F5&gt;0,F5," ")</f>
        <v>30</v>
      </c>
      <c r="H5" s="84">
        <f t="shared" ref="H5:H24" si="3">IF(F5=0," ",RANK(F5,F$5:F$24,0))</f>
        <v>2</v>
      </c>
      <c r="I5" s="119">
        <f>IFERROR(IF(VLOOKUP($B5,'PW G-Breakaway'!$B$5:$AI$24,14,FALSE)=" ",0,VLOOKUP($B5,'PW G-Breakaway'!$B$5:$AI$24,14,FALSE)),0)+IFERROR(IF(VLOOKUP($B5,'PW G-Barrels'!$B$5:$AI$25,14,FALSE)=" ",0,VLOOKUP($B5,'PW G-Barrels'!$B$5:$AI$25,14,FALSE)),0)+IFERROR(IF(VLOOKUP($B5,'PW G-Poles'!$B$5:$AI$25,14,FALSE)=" ",0,VLOOKUP($B5,'PW G-Poles'!$B$5:$AI$25,14,FALSE)),0)+IFERROR(IF(VLOOKUP($B5,'PW G-Goats'!$B$5:$AI$24,14,FALSE)=" ",0,VLOOKUP($B5,'PW G-Goats'!$B$5:$AI$24,14,FALSE)),0)</f>
        <v>27</v>
      </c>
      <c r="J5" s="88">
        <f t="shared" ref="J5:J24" si="4">IF(I5&gt;0,I5," ")</f>
        <v>27</v>
      </c>
      <c r="K5" s="84">
        <f t="shared" ref="K5:K24" si="5">IF(I5=0," ",RANK(I5,I$5:I$24,0))</f>
        <v>3</v>
      </c>
      <c r="L5" s="119">
        <f>IFERROR(IF(VLOOKUP($B5,'PW G-Breakaway'!$B$5:$AI$24,18,FALSE)=" ",0,VLOOKUP($B5,'PW G-Breakaway'!$B$5:$AI$24,18,FALSE)),0)+IFERROR(IF(VLOOKUP($B5,'PW G-Barrels'!$B$5:$AI$25,18,FALSE)=" ",0,VLOOKUP($B5,'PW G-Barrels'!$B$5:$AI$25,18,FALSE)),0)+IFERROR(IF(VLOOKUP($B5,'PW G-Poles'!$B$5:$AI$25,18,FALSE)=" ",0,VLOOKUP($B5,'PW G-Poles'!$B$5:$AI$25,18,FALSE)),0)+IFERROR(IF(VLOOKUP($B5,'PW G-Goats'!$B$5:$AI$24,18,FALSE)=" ",0,VLOOKUP($B5,'PW G-Goats'!$B$5:$AI$24,18,FALSE)),0)</f>
        <v>33</v>
      </c>
      <c r="M5" s="88">
        <f t="shared" ref="M5:M24" si="6">IF(L5&gt;0,L5," ")</f>
        <v>33</v>
      </c>
      <c r="N5" s="84">
        <f t="shared" ref="N5:N24" si="7">IF(L5=0," ",RANK(L5,L$5:L$24,0))</f>
        <v>2</v>
      </c>
      <c r="O5" s="119">
        <f>IFERROR(IF(VLOOKUP($B5,'PW G-Breakaway'!$B$5:$AI$24,22,FALSE)=" ",0,VLOOKUP($B5,'PW G-Breakaway'!$B$5:$AI$24,22,FALSE)),0)+IFERROR(IF(VLOOKUP($B5,'PW G-Barrels'!$B$5:$AI$25,22,FALSE)=" ",0,VLOOKUP($B5,'PW G-Barrels'!$B$5:$AI$25,22,FALSE)),0)+IFERROR(IF(VLOOKUP($B5,'PW G-Poles'!$B$5:$AI$25,22,FALSE)=" ",0,VLOOKUP($B5,'PW G-Poles'!$B$5:$AI$25,22,FALSE)),0)+IFERROR(IF(VLOOKUP($B5,'PW G-Goats'!$B$5:$AI$24,22,FALSE)=" ",0,VLOOKUP($B5,'PW G-Goats'!$B$5:$AI$24,22,FALSE)),0)</f>
        <v>15</v>
      </c>
      <c r="P5" s="88">
        <f t="shared" ref="P5:P24" si="8">IF(O5&gt;0,O5," ")</f>
        <v>15</v>
      </c>
      <c r="Q5" s="84">
        <f t="shared" ref="Q5:Q24" si="9">IF(O5=0," ",RANK(O5,O$5:O$24,0))</f>
        <v>7</v>
      </c>
      <c r="R5" s="119">
        <f>IFERROR(IF(VLOOKUP($B5,'PW G-Breakaway'!$B$5:$AI$24,26,FALSE)=" ",0,VLOOKUP($B5,'PW G-Breakaway'!$B$5:$AI$24,26,FALSE)),0)+IFERROR(IF(VLOOKUP($B5,'PW G-Barrels'!$B$5:$AI$25,26,FALSE)=" ",0,VLOOKUP($B5,'PW G-Barrels'!$B$5:$AI$25,26,FALSE)),0)+IFERROR(IF(VLOOKUP($B5,'PW G-Poles'!$B$5:$AI$25,26,FALSE)=" ",0,VLOOKUP($B5,'PW G-Poles'!$B$5:$AI$25,26,FALSE)),0)+IFERROR(IF(VLOOKUP($B5,'PW G-Goats'!$B$5:$AI$24,26,FALSE)=" ",0,VLOOKUP($B5,'PW G-Goats'!$B$5:$AI$24,26,FALSE)),0)</f>
        <v>63</v>
      </c>
      <c r="S5" s="88">
        <f t="shared" ref="S5:S24" si="10">IF(R5&gt;0,R5," ")</f>
        <v>63</v>
      </c>
      <c r="T5" s="84">
        <f t="shared" ref="T5:T24" si="11">IF(R5=0," ",RANK(R5,R$5:R$24,0))</f>
        <v>1</v>
      </c>
      <c r="U5" s="119">
        <f>IFERROR(IF(VLOOKUP($B5,'PW G-Breakaway'!$B$5:$AI$24,30,FALSE)=" ",0,VLOOKUP($B5,'PW G-Breakaway'!$B$5:$AI$24,30,FALSE)),0)+IFERROR(IF(VLOOKUP($B5,'PW G-Barrels'!$B$5:$AI$25,30,FALSE)=" ",0,VLOOKUP($B5,'PW G-Barrels'!$B$5:$AI$25,30,FALSE)),0)+IFERROR(IF(VLOOKUP($B5,'PW G-Poles'!$B$5:$AI$25,30,FALSE)=" ",0,VLOOKUP($B5,'PW G-Poles'!$B$5:$AI$25,30,FALSE)),0)+IFERROR(IF(VLOOKUP($B5,'PW G-Goats'!$B$5:$AI$24,30,FALSE)=" ",0,VLOOKUP($B5,'PW G-Goats'!$B$5:$AI$24,30,FALSE)),0)</f>
        <v>45</v>
      </c>
      <c r="V5" s="88">
        <f t="shared" ref="V5:V24" si="12">IF(U5&gt;0,U5," ")</f>
        <v>45</v>
      </c>
      <c r="W5" s="84">
        <f t="shared" ref="W5:W24" si="13">IF(U5=0," ",RANK(U5,U$5:U$24,0))</f>
        <v>1</v>
      </c>
      <c r="X5" s="119">
        <f>IFERROR(IF(VLOOKUP($B5,'PW G-Breakaway'!$B$5:$AI$24,34,FALSE)=" ",0,VLOOKUP($B5,'PW G-Breakaway'!$B$5:$AI$24,34,FALSE)),0)+IFERROR(IF(VLOOKUP($B5,'PW G-Barrels'!$B$5:$AI$25,34,FALSE)=" ",0,VLOOKUP($B5,'PW G-Barrels'!$B$5:$AI$25,34,FALSE)),0)+IFERROR(IF(VLOOKUP($B5,'PW G-Poles'!$B$5:$AI$25,34,FALSE)=" ",0,VLOOKUP($B5,'PW G-Poles'!$B$5:$AI$25,34,FALSE)),0)+IFERROR(IF(VLOOKUP($B5,'PW G-Goats'!$B$5:$AI$24,34,FALSE)=" ",0,VLOOKUP($B5,'PW G-Goats'!$B$5:$AI$24,34,FALSE)),0)</f>
        <v>60</v>
      </c>
      <c r="Y5" s="88">
        <f t="shared" ref="Y5:Y24" si="14">IF(X5&gt;0,X5," ")</f>
        <v>60</v>
      </c>
      <c r="Z5" s="84">
        <f t="shared" ref="Z5:Z24" si="15">IF(X5=0," ",RANK(X5,X$5:X$24,0))</f>
        <v>1</v>
      </c>
      <c r="AA5" s="119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318</v>
      </c>
      <c r="AB5" s="88">
        <f t="shared" ref="AB5:AB24" si="16">IF(AA5&gt;0,AA5," ")</f>
        <v>318</v>
      </c>
      <c r="AC5" s="84">
        <f t="shared" ref="AC5:AC24" si="17">IF(AB5=" "," ",RANK(AB5,AB$5:AB$24))</f>
        <v>1</v>
      </c>
    </row>
    <row r="6" spans="2:29" x14ac:dyDescent="0.25">
      <c r="B6" s="154" t="s">
        <v>143</v>
      </c>
      <c r="C6" s="120">
        <f>IFERROR(IF(VLOOKUP($B6,'PW G-Breakaway'!$B$5:$AI$24,6,FALSE)=" ",0,VLOOKUP($B6,'PW G-Breakaway'!$B$5:$AI$24,6,FALSE)),0)+IFERROR(IF(VLOOKUP($B6,'PW G-Barrels'!$B$5:$AI$25,6,FALSE)=" ",0,VLOOKUP($B6,'PW G-Barrels'!$B$5:$AI$25,6,FALSE)),0)+IFERROR(IF(VLOOKUP($B6,'PW G-Poles'!$B$5:$AI$25,6,FALSE)=" ",0,VLOOKUP($B6,'PW G-Poles'!$B$5:$AI$25,6,FALSE)),0)+IFERROR(IF(VLOOKUP($B6,'PW G-Goats'!$B$5:$AI$24,6,FALSE)=" ",0,VLOOKUP($B6,'PW G-Goats'!$B$5:$AI$24,6,FALSE)),0)</f>
        <v>18</v>
      </c>
      <c r="D6" s="95">
        <f t="shared" si="0"/>
        <v>18</v>
      </c>
      <c r="E6" s="91">
        <f t="shared" si="1"/>
        <v>5</v>
      </c>
      <c r="F6" s="121">
        <f>IFERROR(IF(VLOOKUP($B6,'PW G-Breakaway'!$B$5:$AI$24,10,FALSE)=" ",0,VLOOKUP($B6,'PW G-Breakaway'!$B$5:$AI$24,10,FALSE)),0)+IFERROR(IF(VLOOKUP($B6,'PW G-Barrels'!$B$5:$AI$25,10,FALSE)=" ",0,VLOOKUP($B6,'PW G-Barrels'!$B$5:$AI$25,10,FALSE)),0)+IFERROR(IF(VLOOKUP($B6,'PW G-Poles'!$B$5:$AI$25,10,FALSE)=" ",0,VLOOKUP($B6,'PW G-Poles'!$B$5:$AI$25,10,FALSE)),0)+IFERROR(IF(VLOOKUP($B6,'PW G-Goats'!$B$5:$AI$24,10,FALSE)=" ",0,VLOOKUP($B6,'PW G-Goats'!$B$5:$AI$24,10,FALSE)),0)</f>
        <v>48</v>
      </c>
      <c r="G6" s="95">
        <f t="shared" si="2"/>
        <v>48</v>
      </c>
      <c r="H6" s="91">
        <f t="shared" si="3"/>
        <v>1</v>
      </c>
      <c r="I6" s="121">
        <f>IFERROR(IF(VLOOKUP($B6,'PW G-Breakaway'!$B$5:$AI$24,14,FALSE)=" ",0,VLOOKUP($B6,'PW G-Breakaway'!$B$5:$AI$24,14,FALSE)),0)+IFERROR(IF(VLOOKUP($B6,'PW G-Barrels'!$B$5:$AI$25,14,FALSE)=" ",0,VLOOKUP($B6,'PW G-Barrels'!$B$5:$AI$25,14,FALSE)),0)+IFERROR(IF(VLOOKUP($B6,'PW G-Poles'!$B$5:$AI$25,14,FALSE)=" ",0,VLOOKUP($B6,'PW G-Poles'!$B$5:$AI$25,14,FALSE)),0)+IFERROR(IF(VLOOKUP($B6,'PW G-Goats'!$B$5:$AI$24,14,FALSE)=" ",0,VLOOKUP($B6,'PW G-Goats'!$B$5:$AI$24,14,FALSE)),0)</f>
        <v>42</v>
      </c>
      <c r="J6" s="95">
        <f t="shared" si="4"/>
        <v>42</v>
      </c>
      <c r="K6" s="91">
        <f t="shared" si="5"/>
        <v>1</v>
      </c>
      <c r="L6" s="121">
        <f>IFERROR(IF(VLOOKUP($B6,'PW G-Breakaway'!$B$5:$AI$24,18,FALSE)=" ",0,VLOOKUP($B6,'PW G-Breakaway'!$B$5:$AI$24,18,FALSE)),0)+IFERROR(IF(VLOOKUP($B6,'PW G-Barrels'!$B$5:$AI$25,18,FALSE)=" ",0,VLOOKUP($B6,'PW G-Barrels'!$B$5:$AI$25,18,FALSE)),0)+IFERROR(IF(VLOOKUP($B6,'PW G-Poles'!$B$5:$AI$25,18,FALSE)=" ",0,VLOOKUP($B6,'PW G-Poles'!$B$5:$AI$25,18,FALSE)),0)+IFERROR(IF(VLOOKUP($B6,'PW G-Goats'!$B$5:$AI$24,18,FALSE)=" ",0,VLOOKUP($B6,'PW G-Goats'!$B$5:$AI$24,18,FALSE)),0)</f>
        <v>18</v>
      </c>
      <c r="M6" s="95">
        <f t="shared" si="6"/>
        <v>18</v>
      </c>
      <c r="N6" s="91">
        <f t="shared" si="7"/>
        <v>6</v>
      </c>
      <c r="O6" s="121">
        <f>IFERROR(IF(VLOOKUP($B6,'PW G-Breakaway'!$B$5:$AI$24,22,FALSE)=" ",0,VLOOKUP($B6,'PW G-Breakaway'!$B$5:$AI$24,22,FALSE)),0)+IFERROR(IF(VLOOKUP($B6,'PW G-Barrels'!$B$5:$AI$25,22,FALSE)=" ",0,VLOOKUP($B6,'PW G-Barrels'!$B$5:$AI$25,22,FALSE)),0)+IFERROR(IF(VLOOKUP($B6,'PW G-Poles'!$B$5:$AI$25,22,FALSE)=" ",0,VLOOKUP($B6,'PW G-Poles'!$B$5:$AI$25,22,FALSE)),0)+IFERROR(IF(VLOOKUP($B6,'PW G-Goats'!$B$5:$AI$24,22,FALSE)=" ",0,VLOOKUP($B6,'PW G-Goats'!$B$5:$AI$24,22,FALSE)),0)</f>
        <v>30</v>
      </c>
      <c r="P6" s="95">
        <f t="shared" si="8"/>
        <v>30</v>
      </c>
      <c r="Q6" s="91">
        <f t="shared" si="9"/>
        <v>3</v>
      </c>
      <c r="R6" s="121">
        <f>IFERROR(IF(VLOOKUP($B6,'PW G-Breakaway'!$B$5:$AI$24,26,FALSE)=" ",0,VLOOKUP($B6,'PW G-Breakaway'!$B$5:$AI$24,26,FALSE)),0)+IFERROR(IF(VLOOKUP($B6,'PW G-Barrels'!$B$5:$AI$25,26,FALSE)=" ",0,VLOOKUP($B6,'PW G-Barrels'!$B$5:$AI$25,26,FALSE)),0)+IFERROR(IF(VLOOKUP($B6,'PW G-Poles'!$B$5:$AI$25,26,FALSE)=" ",0,VLOOKUP($B6,'PW G-Poles'!$B$5:$AI$25,26,FALSE)),0)+IFERROR(IF(VLOOKUP($B6,'PW G-Goats'!$B$5:$AI$24,26,FALSE)=" ",0,VLOOKUP($B6,'PW G-Goats'!$B$5:$AI$24,26,FALSE)),0)</f>
        <v>33</v>
      </c>
      <c r="S6" s="95">
        <f t="shared" si="10"/>
        <v>33</v>
      </c>
      <c r="T6" s="91">
        <f t="shared" si="11"/>
        <v>2</v>
      </c>
      <c r="U6" s="121">
        <f>IFERROR(IF(VLOOKUP($B6,'PW G-Breakaway'!$B$5:$AI$24,30,FALSE)=" ",0,VLOOKUP($B6,'PW G-Breakaway'!$B$5:$AI$24,30,FALSE)),0)+IFERROR(IF(VLOOKUP($B6,'PW G-Barrels'!$B$5:$AI$25,30,FALSE)=" ",0,VLOOKUP($B6,'PW G-Barrels'!$B$5:$AI$25,30,FALSE)),0)+IFERROR(IF(VLOOKUP($B6,'PW G-Poles'!$B$5:$AI$25,30,FALSE)=" ",0,VLOOKUP($B6,'PW G-Poles'!$B$5:$AI$25,30,FALSE)),0)+IFERROR(IF(VLOOKUP($B6,'PW G-Goats'!$B$5:$AI$24,30,FALSE)=" ",0,VLOOKUP($B6,'PW G-Goats'!$B$5:$AI$24,30,FALSE)),0)</f>
        <v>21</v>
      </c>
      <c r="V6" s="95">
        <f t="shared" si="12"/>
        <v>21</v>
      </c>
      <c r="W6" s="91">
        <f t="shared" si="13"/>
        <v>4</v>
      </c>
      <c r="X6" s="121">
        <f>IFERROR(IF(VLOOKUP($B6,'PW G-Breakaway'!$B$5:$AI$24,34,FALSE)=" ",0,VLOOKUP($B6,'PW G-Breakaway'!$B$5:$AI$24,34,FALSE)),0)+IFERROR(IF(VLOOKUP($B6,'PW G-Barrels'!$B$5:$AI$25,34,FALSE)=" ",0,VLOOKUP($B6,'PW G-Barrels'!$B$5:$AI$25,34,FALSE)),0)+IFERROR(IF(VLOOKUP($B6,'PW G-Poles'!$B$5:$AI$25,34,FALSE)=" ",0,VLOOKUP($B6,'PW G-Poles'!$B$5:$AI$25,34,FALSE)),0)+IFERROR(IF(VLOOKUP($B6,'PW G-Goats'!$B$5:$AI$24,34,FALSE)=" ",0,VLOOKUP($B6,'PW G-Goats'!$B$5:$AI$24,34,FALSE)),0)</f>
        <v>27</v>
      </c>
      <c r="Y6" s="95">
        <f t="shared" si="14"/>
        <v>27</v>
      </c>
      <c r="Z6" s="91">
        <f t="shared" si="15"/>
        <v>2</v>
      </c>
      <c r="AA6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237</v>
      </c>
      <c r="AB6" s="95">
        <f t="shared" si="16"/>
        <v>237</v>
      </c>
      <c r="AC6" s="91">
        <f t="shared" si="17"/>
        <v>2</v>
      </c>
    </row>
    <row r="7" spans="2:29" x14ac:dyDescent="0.25">
      <c r="B7" s="141" t="s">
        <v>144</v>
      </c>
      <c r="C7" s="120">
        <f>IFERROR(IF(VLOOKUP($B7,'PW G-Breakaway'!$B$5:$AI$24,6,FALSE)=" ",0,VLOOKUP($B7,'PW G-Breakaway'!$B$5:$AI$24,6,FALSE)),0)+IFERROR(IF(VLOOKUP($B7,'PW G-Barrels'!$B$5:$AI$25,6,FALSE)=" ",0,VLOOKUP($B7,'PW G-Barrels'!$B$5:$AI$25,6,FALSE)),0)+IFERROR(IF(VLOOKUP($B7,'PW G-Poles'!$B$5:$AI$25,6,FALSE)=" ",0,VLOOKUP($B7,'PW G-Poles'!$B$5:$AI$25,6,FALSE)),0)+IFERROR(IF(VLOOKUP($B7,'PW G-Goats'!$B$5:$AI$24,6,FALSE)=" ",0,VLOOKUP($B7,'PW G-Goats'!$B$5:$AI$24,6,FALSE)),0)</f>
        <v>30</v>
      </c>
      <c r="D7" s="95">
        <f t="shared" si="0"/>
        <v>30</v>
      </c>
      <c r="E7" s="122">
        <f t="shared" si="1"/>
        <v>2</v>
      </c>
      <c r="F7" s="121">
        <f>IFERROR(IF(VLOOKUP($B7,'PW G-Breakaway'!$B$5:$AI$24,10,FALSE)=" ",0,VLOOKUP($B7,'PW G-Breakaway'!$B$5:$AI$24,10,FALSE)),0)+IFERROR(IF(VLOOKUP($B7,'PW G-Barrels'!$B$5:$AI$25,10,FALSE)=" ",0,VLOOKUP($B7,'PW G-Barrels'!$B$5:$AI$25,10,FALSE)),0)+IFERROR(IF(VLOOKUP($B7,'PW G-Poles'!$B$5:$AI$25,10,FALSE)=" ",0,VLOOKUP($B7,'PW G-Poles'!$B$5:$AI$25,10,FALSE)),0)+IFERROR(IF(VLOOKUP($B7,'PW G-Goats'!$B$5:$AI$24,10,FALSE)=" ",0,VLOOKUP($B7,'PW G-Goats'!$B$5:$AI$24,10,FALSE)),0)</f>
        <v>15</v>
      </c>
      <c r="G7" s="95">
        <f t="shared" si="2"/>
        <v>15</v>
      </c>
      <c r="H7" s="122">
        <f t="shared" si="3"/>
        <v>5</v>
      </c>
      <c r="I7" s="121">
        <f>IFERROR(IF(VLOOKUP($B7,'PW G-Breakaway'!$B$5:$AI$24,14,FALSE)=" ",0,VLOOKUP($B7,'PW G-Breakaway'!$B$5:$AI$24,14,FALSE)),0)+IFERROR(IF(VLOOKUP($B7,'PW G-Barrels'!$B$5:$AI$25,14,FALSE)=" ",0,VLOOKUP($B7,'PW G-Barrels'!$B$5:$AI$25,14,FALSE)),0)+IFERROR(IF(VLOOKUP($B7,'PW G-Poles'!$B$5:$AI$25,14,FALSE)=" ",0,VLOOKUP($B7,'PW G-Poles'!$B$5:$AI$25,14,FALSE)),0)+IFERROR(IF(VLOOKUP($B7,'PW G-Goats'!$B$5:$AI$24,14,FALSE)=" ",0,VLOOKUP($B7,'PW G-Goats'!$B$5:$AI$24,14,FALSE)),0)</f>
        <v>36</v>
      </c>
      <c r="J7" s="95">
        <f t="shared" si="4"/>
        <v>36</v>
      </c>
      <c r="K7" s="122">
        <f t="shared" si="5"/>
        <v>2</v>
      </c>
      <c r="L7" s="121">
        <f>IFERROR(IF(VLOOKUP($B7,'PW G-Breakaway'!$B$5:$AI$24,18,FALSE)=" ",0,VLOOKUP($B7,'PW G-Breakaway'!$B$5:$AI$24,18,FALSE)),0)+IFERROR(IF(VLOOKUP($B7,'PW G-Barrels'!$B$5:$AI$25,18,FALSE)=" ",0,VLOOKUP($B7,'PW G-Barrels'!$B$5:$AI$25,18,FALSE)),0)+IFERROR(IF(VLOOKUP($B7,'PW G-Poles'!$B$5:$AI$25,18,FALSE)=" ",0,VLOOKUP($B7,'PW G-Poles'!$B$5:$AI$25,18,FALSE)),0)+IFERROR(IF(VLOOKUP($B7,'PW G-Goats'!$B$5:$AI$24,18,FALSE)=" ",0,VLOOKUP($B7,'PW G-Goats'!$B$5:$AI$24,18,FALSE)),0)</f>
        <v>30</v>
      </c>
      <c r="M7" s="95">
        <f t="shared" si="6"/>
        <v>30</v>
      </c>
      <c r="N7" s="122">
        <f t="shared" si="7"/>
        <v>3</v>
      </c>
      <c r="O7" s="121">
        <f>IFERROR(IF(VLOOKUP($B7,'PW G-Breakaway'!$B$5:$AI$24,22,FALSE)=" ",0,VLOOKUP($B7,'PW G-Breakaway'!$B$5:$AI$24,22,FALSE)),0)+IFERROR(IF(VLOOKUP($B7,'PW G-Barrels'!$B$5:$AI$25,22,FALSE)=" ",0,VLOOKUP($B7,'PW G-Barrels'!$B$5:$AI$25,22,FALSE)),0)+IFERROR(IF(VLOOKUP($B7,'PW G-Poles'!$B$5:$AI$25,22,FALSE)=" ",0,VLOOKUP($B7,'PW G-Poles'!$B$5:$AI$25,22,FALSE)),0)+IFERROR(IF(VLOOKUP($B7,'PW G-Goats'!$B$5:$AI$24,22,FALSE)=" ",0,VLOOKUP($B7,'PW G-Goats'!$B$5:$AI$24,22,FALSE)),0)</f>
        <v>33</v>
      </c>
      <c r="P7" s="95">
        <f t="shared" si="8"/>
        <v>33</v>
      </c>
      <c r="Q7" s="122">
        <f t="shared" si="9"/>
        <v>1</v>
      </c>
      <c r="R7" s="121">
        <f>IFERROR(IF(VLOOKUP($B7,'PW G-Breakaway'!$B$5:$AI$24,26,FALSE)=" ",0,VLOOKUP($B7,'PW G-Breakaway'!$B$5:$AI$24,26,FALSE)),0)+IFERROR(IF(VLOOKUP($B7,'PW G-Barrels'!$B$5:$AI$25,26,FALSE)=" ",0,VLOOKUP($B7,'PW G-Barrels'!$B$5:$AI$25,26,FALSE)),0)+IFERROR(IF(VLOOKUP($B7,'PW G-Poles'!$B$5:$AI$25,26,FALSE)=" ",0,VLOOKUP($B7,'PW G-Poles'!$B$5:$AI$25,26,FALSE)),0)+IFERROR(IF(VLOOKUP($B7,'PW G-Goats'!$B$5:$AI$24,26,FALSE)=" ",0,VLOOKUP($B7,'PW G-Goats'!$B$5:$AI$24,26,FALSE)),0)</f>
        <v>21</v>
      </c>
      <c r="S7" s="95">
        <f t="shared" si="10"/>
        <v>21</v>
      </c>
      <c r="T7" s="122">
        <f t="shared" si="11"/>
        <v>5</v>
      </c>
      <c r="U7" s="121">
        <f>IFERROR(IF(VLOOKUP($B7,'PW G-Breakaway'!$B$5:$AI$24,30,FALSE)=" ",0,VLOOKUP($B7,'PW G-Breakaway'!$B$5:$AI$24,30,FALSE)),0)+IFERROR(IF(VLOOKUP($B7,'PW G-Barrels'!$B$5:$AI$25,30,FALSE)=" ",0,VLOOKUP($B7,'PW G-Barrels'!$B$5:$AI$25,30,FALSE)),0)+IFERROR(IF(VLOOKUP($B7,'PW G-Poles'!$B$5:$AI$25,30,FALSE)=" ",0,VLOOKUP($B7,'PW G-Poles'!$B$5:$AI$25,30,FALSE)),0)+IFERROR(IF(VLOOKUP($B7,'PW G-Goats'!$B$5:$AI$24,30,FALSE)=" ",0,VLOOKUP($B7,'PW G-Goats'!$B$5:$AI$24,30,FALSE)),0)</f>
        <v>22.5</v>
      </c>
      <c r="V7" s="95">
        <f t="shared" si="12"/>
        <v>22.5</v>
      </c>
      <c r="W7" s="122">
        <f t="shared" si="13"/>
        <v>3</v>
      </c>
      <c r="X7" s="121">
        <f>IFERROR(IF(VLOOKUP($B7,'PW G-Breakaway'!$B$5:$AI$24,34,FALSE)=" ",0,VLOOKUP($B7,'PW G-Breakaway'!$B$5:$AI$24,34,FALSE)),0)+IFERROR(IF(VLOOKUP($B7,'PW G-Barrels'!$B$5:$AI$25,34,FALSE)=" ",0,VLOOKUP($B7,'PW G-Barrels'!$B$5:$AI$25,34,FALSE)),0)+IFERROR(IF(VLOOKUP($B7,'PW G-Poles'!$B$5:$AI$25,34,FALSE)=" ",0,VLOOKUP($B7,'PW G-Poles'!$B$5:$AI$25,34,FALSE)),0)+IFERROR(IF(VLOOKUP($B7,'PW G-Goats'!$B$5:$AI$24,34,FALSE)=" ",0,VLOOKUP($B7,'PW G-Goats'!$B$5:$AI$24,34,FALSE)),0)</f>
        <v>21</v>
      </c>
      <c r="Y7" s="95">
        <f t="shared" si="14"/>
        <v>21</v>
      </c>
      <c r="Z7" s="122">
        <f t="shared" si="15"/>
        <v>6</v>
      </c>
      <c r="AA7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208.5</v>
      </c>
      <c r="AB7" s="95">
        <f t="shared" si="16"/>
        <v>208.5</v>
      </c>
      <c r="AC7" s="122">
        <f t="shared" si="17"/>
        <v>3</v>
      </c>
    </row>
    <row r="8" spans="2:29" x14ac:dyDescent="0.25">
      <c r="B8" s="141" t="s">
        <v>86</v>
      </c>
      <c r="C8" s="120">
        <f>IFERROR(IF(VLOOKUP($B8,'PW G-Breakaway'!$B$5:$AI$24,6,FALSE)=" ",0,VLOOKUP($B8,'PW G-Breakaway'!$B$5:$AI$24,6,FALSE)),0)+IFERROR(IF(VLOOKUP($B8,'PW G-Barrels'!$B$5:$AI$25,6,FALSE)=" ",0,VLOOKUP($B8,'PW G-Barrels'!$B$5:$AI$25,6,FALSE)),0)+IFERROR(IF(VLOOKUP($B8,'PW G-Poles'!$B$5:$AI$25,6,FALSE)=" ",0,VLOOKUP($B8,'PW G-Poles'!$B$5:$AI$25,6,FALSE)),0)+IFERROR(IF(VLOOKUP($B8,'PW G-Goats'!$B$5:$AI$24,6,FALSE)=" ",0,VLOOKUP($B8,'PW G-Goats'!$B$5:$AI$24,6,FALSE)),0)</f>
        <v>24</v>
      </c>
      <c r="D8" s="95">
        <f t="shared" si="0"/>
        <v>24</v>
      </c>
      <c r="E8" s="91">
        <f t="shared" si="1"/>
        <v>3</v>
      </c>
      <c r="F8" s="121">
        <f>IFERROR(IF(VLOOKUP($B8,'PW G-Breakaway'!$B$5:$AI$24,10,FALSE)=" ",0,VLOOKUP($B8,'PW G-Breakaway'!$B$5:$AI$24,10,FALSE)),0)+IFERROR(IF(VLOOKUP($B8,'PW G-Barrels'!$B$5:$AI$25,10,FALSE)=" ",0,VLOOKUP($B8,'PW G-Barrels'!$B$5:$AI$25,10,FALSE)),0)+IFERROR(IF(VLOOKUP($B8,'PW G-Poles'!$B$5:$AI$25,10,FALSE)=" ",0,VLOOKUP($B8,'PW G-Poles'!$B$5:$AI$25,10,FALSE)),0)+IFERROR(IF(VLOOKUP($B8,'PW G-Goats'!$B$5:$AI$24,10,FALSE)=" ",0,VLOOKUP($B8,'PW G-Goats'!$B$5:$AI$24,10,FALSE)),0)</f>
        <v>9</v>
      </c>
      <c r="G8" s="95">
        <f t="shared" si="2"/>
        <v>9</v>
      </c>
      <c r="H8" s="91">
        <f t="shared" si="3"/>
        <v>7</v>
      </c>
      <c r="I8" s="121">
        <f>IFERROR(IF(VLOOKUP($B8,'PW G-Breakaway'!$B$5:$AI$24,14,FALSE)=" ",0,VLOOKUP($B8,'PW G-Breakaway'!$B$5:$AI$24,14,FALSE)),0)+IFERROR(IF(VLOOKUP($B8,'PW G-Barrels'!$B$5:$AI$25,14,FALSE)=" ",0,VLOOKUP($B8,'PW G-Barrels'!$B$5:$AI$25,14,FALSE)),0)+IFERROR(IF(VLOOKUP($B8,'PW G-Poles'!$B$5:$AI$25,14,FALSE)=" ",0,VLOOKUP($B8,'PW G-Poles'!$B$5:$AI$25,14,FALSE)),0)+IFERROR(IF(VLOOKUP($B8,'PW G-Goats'!$B$5:$AI$24,14,FALSE)=" ",0,VLOOKUP($B8,'PW G-Goats'!$B$5:$AI$24,14,FALSE)),0)</f>
        <v>9</v>
      </c>
      <c r="J8" s="95">
        <f t="shared" si="4"/>
        <v>9</v>
      </c>
      <c r="K8" s="91">
        <f t="shared" si="5"/>
        <v>7</v>
      </c>
      <c r="L8" s="121">
        <f>IFERROR(IF(VLOOKUP($B8,'PW G-Breakaway'!$B$5:$AI$24,18,FALSE)=" ",0,VLOOKUP($B8,'PW G-Breakaway'!$B$5:$AI$24,18,FALSE)),0)+IFERROR(IF(VLOOKUP($B8,'PW G-Barrels'!$B$5:$AI$25,18,FALSE)=" ",0,VLOOKUP($B8,'PW G-Barrels'!$B$5:$AI$25,18,FALSE)),0)+IFERROR(IF(VLOOKUP($B8,'PW G-Poles'!$B$5:$AI$25,18,FALSE)=" ",0,VLOOKUP($B8,'PW G-Poles'!$B$5:$AI$25,18,FALSE)),0)+IFERROR(IF(VLOOKUP($B8,'PW G-Goats'!$B$5:$AI$24,18,FALSE)=" ",0,VLOOKUP($B8,'PW G-Goats'!$B$5:$AI$24,18,FALSE)),0)</f>
        <v>24</v>
      </c>
      <c r="M8" s="95">
        <f t="shared" si="6"/>
        <v>24</v>
      </c>
      <c r="N8" s="91">
        <f t="shared" si="7"/>
        <v>5</v>
      </c>
      <c r="O8" s="121">
        <f>IFERROR(IF(VLOOKUP($B8,'PW G-Breakaway'!$B$5:$AI$24,22,FALSE)=" ",0,VLOOKUP($B8,'PW G-Breakaway'!$B$5:$AI$24,22,FALSE)),0)+IFERROR(IF(VLOOKUP($B8,'PW G-Barrels'!$B$5:$AI$25,22,FALSE)=" ",0,VLOOKUP($B8,'PW G-Barrels'!$B$5:$AI$25,22,FALSE)),0)+IFERROR(IF(VLOOKUP($B8,'PW G-Poles'!$B$5:$AI$25,22,FALSE)=" ",0,VLOOKUP($B8,'PW G-Poles'!$B$5:$AI$25,22,FALSE)),0)+IFERROR(IF(VLOOKUP($B8,'PW G-Goats'!$B$5:$AI$24,22,FALSE)=" ",0,VLOOKUP($B8,'PW G-Goats'!$B$5:$AI$24,22,FALSE)),0)</f>
        <v>18</v>
      </c>
      <c r="P8" s="95">
        <f t="shared" si="8"/>
        <v>18</v>
      </c>
      <c r="Q8" s="91">
        <f t="shared" si="9"/>
        <v>6</v>
      </c>
      <c r="R8" s="121">
        <f>IFERROR(IF(VLOOKUP($B8,'PW G-Breakaway'!$B$5:$AI$24,26,FALSE)=" ",0,VLOOKUP($B8,'PW G-Breakaway'!$B$5:$AI$24,26,FALSE)),0)+IFERROR(IF(VLOOKUP($B8,'PW G-Barrels'!$B$5:$AI$25,26,FALSE)=" ",0,VLOOKUP($B8,'PW G-Barrels'!$B$5:$AI$25,26,FALSE)),0)+IFERROR(IF(VLOOKUP($B8,'PW G-Poles'!$B$5:$AI$25,26,FALSE)=" ",0,VLOOKUP($B8,'PW G-Poles'!$B$5:$AI$25,26,FALSE)),0)+IFERROR(IF(VLOOKUP($B8,'PW G-Goats'!$B$5:$AI$24,26,FALSE)=" ",0,VLOOKUP($B8,'PW G-Goats'!$B$5:$AI$24,26,FALSE)),0)</f>
        <v>21</v>
      </c>
      <c r="S8" s="95">
        <f t="shared" si="10"/>
        <v>21</v>
      </c>
      <c r="T8" s="91">
        <f t="shared" si="11"/>
        <v>5</v>
      </c>
      <c r="U8" s="121">
        <f>IFERROR(IF(VLOOKUP($B8,'PW G-Breakaway'!$B$5:$AI$24,30,FALSE)=" ",0,VLOOKUP($B8,'PW G-Breakaway'!$B$5:$AI$24,30,FALSE)),0)+IFERROR(IF(VLOOKUP($B8,'PW G-Barrels'!$B$5:$AI$25,30,FALSE)=" ",0,VLOOKUP($B8,'PW G-Barrels'!$B$5:$AI$25,30,FALSE)),0)+IFERROR(IF(VLOOKUP($B8,'PW G-Poles'!$B$5:$AI$25,30,FALSE)=" ",0,VLOOKUP($B8,'PW G-Poles'!$B$5:$AI$25,30,FALSE)),0)+IFERROR(IF(VLOOKUP($B8,'PW G-Goats'!$B$5:$AI$24,30,FALSE)=" ",0,VLOOKUP($B8,'PW G-Goats'!$B$5:$AI$24,30,FALSE)),0)</f>
        <v>27</v>
      </c>
      <c r="V8" s="95">
        <f t="shared" si="12"/>
        <v>27</v>
      </c>
      <c r="W8" s="91">
        <f t="shared" si="13"/>
        <v>2</v>
      </c>
      <c r="X8" s="121">
        <f>IFERROR(IF(VLOOKUP($B8,'PW G-Breakaway'!$B$5:$AI$24,34,FALSE)=" ",0,VLOOKUP($B8,'PW G-Breakaway'!$B$5:$AI$24,34,FALSE)),0)+IFERROR(IF(VLOOKUP($B8,'PW G-Barrels'!$B$5:$AI$25,34,FALSE)=" ",0,VLOOKUP($B8,'PW G-Barrels'!$B$5:$AI$25,34,FALSE)),0)+IFERROR(IF(VLOOKUP($B8,'PW G-Poles'!$B$5:$AI$25,34,FALSE)=" ",0,VLOOKUP($B8,'PW G-Poles'!$B$5:$AI$25,34,FALSE)),0)+IFERROR(IF(VLOOKUP($B8,'PW G-Goats'!$B$5:$AI$24,34,FALSE)=" ",0,VLOOKUP($B8,'PW G-Goats'!$B$5:$AI$24,34,FALSE)),0)</f>
        <v>22.5</v>
      </c>
      <c r="Y8" s="95">
        <f t="shared" si="14"/>
        <v>22.5</v>
      </c>
      <c r="Z8" s="91">
        <f t="shared" si="15"/>
        <v>4</v>
      </c>
      <c r="AA8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154.5</v>
      </c>
      <c r="AB8" s="95">
        <f t="shared" si="16"/>
        <v>154.5</v>
      </c>
      <c r="AC8" s="91">
        <f t="shared" si="17"/>
        <v>4</v>
      </c>
    </row>
    <row r="9" spans="2:29" x14ac:dyDescent="0.25">
      <c r="B9" s="154" t="s">
        <v>91</v>
      </c>
      <c r="C9" s="120">
        <f>IFERROR(IF(VLOOKUP($B9,'PW G-Breakaway'!$B$5:$AI$24,6,FALSE)=" ",0,VLOOKUP($B9,'PW G-Breakaway'!$B$5:$AI$24,6,FALSE)),0)+IFERROR(IF(VLOOKUP($B9,'PW G-Barrels'!$B$5:$AI$25,6,FALSE)=" ",0,VLOOKUP($B9,'PW G-Barrels'!$B$5:$AI$25,6,FALSE)),0)+IFERROR(IF(VLOOKUP($B9,'PW G-Poles'!$B$5:$AI$25,6,FALSE)=" ",0,VLOOKUP($B9,'PW G-Poles'!$B$5:$AI$25,6,FALSE)),0)+IFERROR(IF(VLOOKUP($B9,'PW G-Goats'!$B$5:$AI$24,6,FALSE)=" ",0,VLOOKUP($B9,'PW G-Goats'!$B$5:$AI$24,6,FALSE)),0)</f>
        <v>12</v>
      </c>
      <c r="D9" s="95">
        <f t="shared" si="0"/>
        <v>12</v>
      </c>
      <c r="E9" s="91">
        <f t="shared" si="1"/>
        <v>9</v>
      </c>
      <c r="F9" s="121">
        <f>IFERROR(IF(VLOOKUP($B9,'PW G-Breakaway'!$B$5:$AI$24,10,FALSE)=" ",0,VLOOKUP($B9,'PW G-Breakaway'!$B$5:$AI$24,10,FALSE)),0)+IFERROR(IF(VLOOKUP($B9,'PW G-Barrels'!$B$5:$AI$25,10,FALSE)=" ",0,VLOOKUP($B9,'PW G-Barrels'!$B$5:$AI$25,10,FALSE)),0)+IFERROR(IF(VLOOKUP($B9,'PW G-Poles'!$B$5:$AI$25,10,FALSE)=" ",0,VLOOKUP($B9,'PW G-Poles'!$B$5:$AI$25,10,FALSE)),0)+IFERROR(IF(VLOOKUP($B9,'PW G-Goats'!$B$5:$AI$24,10,FALSE)=" ",0,VLOOKUP($B9,'PW G-Goats'!$B$5:$AI$24,10,FALSE)),0)</f>
        <v>30</v>
      </c>
      <c r="G9" s="95">
        <f t="shared" si="2"/>
        <v>30</v>
      </c>
      <c r="H9" s="91">
        <f t="shared" si="3"/>
        <v>2</v>
      </c>
      <c r="I9" s="121">
        <f>IFERROR(IF(VLOOKUP($B9,'PW G-Breakaway'!$B$5:$AI$24,14,FALSE)=" ",0,VLOOKUP($B9,'PW G-Breakaway'!$B$5:$AI$24,14,FALSE)),0)+IFERROR(IF(VLOOKUP($B9,'PW G-Barrels'!$B$5:$AI$25,14,FALSE)=" ",0,VLOOKUP($B9,'PW G-Barrels'!$B$5:$AI$25,14,FALSE)),0)+IFERROR(IF(VLOOKUP($B9,'PW G-Poles'!$B$5:$AI$25,14,FALSE)=" ",0,VLOOKUP($B9,'PW G-Poles'!$B$5:$AI$25,14,FALSE)),0)+IFERROR(IF(VLOOKUP($B9,'PW G-Goats'!$B$5:$AI$24,14,FALSE)=" ",0,VLOOKUP($B9,'PW G-Goats'!$B$5:$AI$24,14,FALSE)),0)</f>
        <v>18</v>
      </c>
      <c r="J9" s="95">
        <f t="shared" si="4"/>
        <v>18</v>
      </c>
      <c r="K9" s="91">
        <f t="shared" si="5"/>
        <v>5</v>
      </c>
      <c r="L9" s="121">
        <f>IFERROR(IF(VLOOKUP($B9,'PW G-Breakaway'!$B$5:$AI$24,18,FALSE)=" ",0,VLOOKUP($B9,'PW G-Breakaway'!$B$5:$AI$24,18,FALSE)),0)+IFERROR(IF(VLOOKUP($B9,'PW G-Barrels'!$B$5:$AI$25,18,FALSE)=" ",0,VLOOKUP($B9,'PW G-Barrels'!$B$5:$AI$25,18,FALSE)),0)+IFERROR(IF(VLOOKUP($B9,'PW G-Poles'!$B$5:$AI$25,18,FALSE)=" ",0,VLOOKUP($B9,'PW G-Poles'!$B$5:$AI$25,18,FALSE)),0)+IFERROR(IF(VLOOKUP($B9,'PW G-Goats'!$B$5:$AI$24,18,FALSE)=" ",0,VLOOKUP($B9,'PW G-Goats'!$B$5:$AI$24,18,FALSE)),0)</f>
        <v>18</v>
      </c>
      <c r="M9" s="95">
        <f t="shared" si="6"/>
        <v>18</v>
      </c>
      <c r="N9" s="91">
        <f t="shared" si="7"/>
        <v>6</v>
      </c>
      <c r="O9" s="121">
        <f>IFERROR(IF(VLOOKUP($B9,'PW G-Breakaway'!$B$5:$AI$24,22,FALSE)=" ",0,VLOOKUP($B9,'PW G-Breakaway'!$B$5:$AI$24,22,FALSE)),0)+IFERROR(IF(VLOOKUP($B9,'PW G-Barrels'!$B$5:$AI$25,22,FALSE)=" ",0,VLOOKUP($B9,'PW G-Barrels'!$B$5:$AI$25,22,FALSE)),0)+IFERROR(IF(VLOOKUP($B9,'PW G-Poles'!$B$5:$AI$25,22,FALSE)=" ",0,VLOOKUP($B9,'PW G-Poles'!$B$5:$AI$25,22,FALSE)),0)+IFERROR(IF(VLOOKUP($B9,'PW G-Goats'!$B$5:$AI$24,22,FALSE)=" ",0,VLOOKUP($B9,'PW G-Goats'!$B$5:$AI$24,22,FALSE)),0)</f>
        <v>21</v>
      </c>
      <c r="P9" s="95">
        <f t="shared" si="8"/>
        <v>21</v>
      </c>
      <c r="Q9" s="91">
        <f t="shared" si="9"/>
        <v>4</v>
      </c>
      <c r="R9" s="121">
        <f>IFERROR(IF(VLOOKUP($B9,'PW G-Breakaway'!$B$5:$AI$24,26,FALSE)=" ",0,VLOOKUP($B9,'PW G-Breakaway'!$B$5:$AI$24,26,FALSE)),0)+IFERROR(IF(VLOOKUP($B9,'PW G-Barrels'!$B$5:$AI$25,26,FALSE)=" ",0,VLOOKUP($B9,'PW G-Barrels'!$B$5:$AI$25,26,FALSE)),0)+IFERROR(IF(VLOOKUP($B9,'PW G-Poles'!$B$5:$AI$25,26,FALSE)=" ",0,VLOOKUP($B9,'PW G-Poles'!$B$5:$AI$25,26,FALSE)),0)+IFERROR(IF(VLOOKUP($B9,'PW G-Goats'!$B$5:$AI$24,26,FALSE)=" ",0,VLOOKUP($B9,'PW G-Goats'!$B$5:$AI$24,26,FALSE)),0)</f>
        <v>12</v>
      </c>
      <c r="S9" s="95">
        <f t="shared" si="10"/>
        <v>12</v>
      </c>
      <c r="T9" s="91">
        <f t="shared" si="11"/>
        <v>8</v>
      </c>
      <c r="U9" s="121">
        <f>IFERROR(IF(VLOOKUP($B9,'PW G-Breakaway'!$B$5:$AI$24,30,FALSE)=" ",0,VLOOKUP($B9,'PW G-Breakaway'!$B$5:$AI$24,30,FALSE)),0)+IFERROR(IF(VLOOKUP($B9,'PW G-Barrels'!$B$5:$AI$25,30,FALSE)=" ",0,VLOOKUP($B9,'PW G-Barrels'!$B$5:$AI$25,30,FALSE)),0)+IFERROR(IF(VLOOKUP($B9,'PW G-Poles'!$B$5:$AI$25,30,FALSE)=" ",0,VLOOKUP($B9,'PW G-Poles'!$B$5:$AI$25,30,FALSE)),0)+IFERROR(IF(VLOOKUP($B9,'PW G-Goats'!$B$5:$AI$24,30,FALSE)=" ",0,VLOOKUP($B9,'PW G-Goats'!$B$5:$AI$24,30,FALSE)),0)</f>
        <v>16.5</v>
      </c>
      <c r="V9" s="95">
        <f t="shared" si="12"/>
        <v>16.5</v>
      </c>
      <c r="W9" s="91">
        <f t="shared" si="13"/>
        <v>7</v>
      </c>
      <c r="X9" s="121">
        <f>IFERROR(IF(VLOOKUP($B9,'PW G-Breakaway'!$B$5:$AI$24,34,FALSE)=" ",0,VLOOKUP($B9,'PW G-Breakaway'!$B$5:$AI$24,34,FALSE)),0)+IFERROR(IF(VLOOKUP($B9,'PW G-Barrels'!$B$5:$AI$25,34,FALSE)=" ",0,VLOOKUP($B9,'PW G-Barrels'!$B$5:$AI$25,34,FALSE)),0)+IFERROR(IF(VLOOKUP($B9,'PW G-Poles'!$B$5:$AI$25,34,FALSE)=" ",0,VLOOKUP($B9,'PW G-Poles'!$B$5:$AI$25,34,FALSE)),0)+IFERROR(IF(VLOOKUP($B9,'PW G-Goats'!$B$5:$AI$24,34,FALSE)=" ",0,VLOOKUP($B9,'PW G-Goats'!$B$5:$AI$24,34,FALSE)),0)</f>
        <v>15</v>
      </c>
      <c r="Y9" s="95">
        <f t="shared" si="14"/>
        <v>15</v>
      </c>
      <c r="Z9" s="91">
        <f t="shared" si="15"/>
        <v>7</v>
      </c>
      <c r="AA9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142.5</v>
      </c>
      <c r="AB9" s="95">
        <f t="shared" si="16"/>
        <v>142.5</v>
      </c>
      <c r="AC9" s="91">
        <f t="shared" si="17"/>
        <v>5</v>
      </c>
    </row>
    <row r="10" spans="2:29" x14ac:dyDescent="0.25">
      <c r="B10" s="141" t="s">
        <v>233</v>
      </c>
      <c r="C10" s="120">
        <f>IFERROR(IF(VLOOKUP($B10,'PW G-Breakaway'!$B$5:$AI$24,6,FALSE)=" ",0,VLOOKUP($B10,'PW G-Breakaway'!$B$5:$AI$24,6,FALSE)),0)+IFERROR(IF(VLOOKUP($B10,'PW G-Barrels'!$B$5:$AI$25,6,FALSE)=" ",0,VLOOKUP($B10,'PW G-Barrels'!$B$5:$AI$25,6,FALSE)),0)+IFERROR(IF(VLOOKUP($B10,'PW G-Poles'!$B$5:$AI$25,6,FALSE)=" ",0,VLOOKUP($B10,'PW G-Poles'!$B$5:$AI$25,6,FALSE)),0)+IFERROR(IF(VLOOKUP($B10,'PW G-Goats'!$B$5:$AI$24,6,FALSE)=" ",0,VLOOKUP($B10,'PW G-Goats'!$B$5:$AI$24,6,FALSE)),0)</f>
        <v>21</v>
      </c>
      <c r="D10" s="95">
        <f t="shared" si="0"/>
        <v>21</v>
      </c>
      <c r="E10" s="91">
        <f t="shared" si="1"/>
        <v>4</v>
      </c>
      <c r="F10" s="121">
        <f>IFERROR(IF(VLOOKUP($B10,'PW G-Breakaway'!$B$5:$AI$24,10,FALSE)=" ",0,VLOOKUP($B10,'PW G-Breakaway'!$B$5:$AI$24,10,FALSE)),0)+IFERROR(IF(VLOOKUP($B10,'PW G-Barrels'!$B$5:$AI$25,10,FALSE)=" ",0,VLOOKUP($B10,'PW G-Barrels'!$B$5:$AI$25,10,FALSE)),0)+IFERROR(IF(VLOOKUP($B10,'PW G-Poles'!$B$5:$AI$25,10,FALSE)=" ",0,VLOOKUP($B10,'PW G-Poles'!$B$5:$AI$25,10,FALSE)),0)+IFERROR(IF(VLOOKUP($B10,'PW G-Goats'!$B$5:$AI$24,10,FALSE)=" ",0,VLOOKUP($B10,'PW G-Goats'!$B$5:$AI$24,10,FALSE)),0)</f>
        <v>6</v>
      </c>
      <c r="G10" s="95">
        <f t="shared" si="2"/>
        <v>6</v>
      </c>
      <c r="H10" s="91">
        <f t="shared" si="3"/>
        <v>8</v>
      </c>
      <c r="I10" s="121">
        <f>IFERROR(IF(VLOOKUP($B10,'PW G-Breakaway'!$B$5:$AI$24,14,FALSE)=" ",0,VLOOKUP($B10,'PW G-Breakaway'!$B$5:$AI$24,14,FALSE)),0)+IFERROR(IF(VLOOKUP($B10,'PW G-Barrels'!$B$5:$AI$25,14,FALSE)=" ",0,VLOOKUP($B10,'PW G-Barrels'!$B$5:$AI$25,14,FALSE)),0)+IFERROR(IF(VLOOKUP($B10,'PW G-Poles'!$B$5:$AI$25,14,FALSE)=" ",0,VLOOKUP($B10,'PW G-Poles'!$B$5:$AI$25,14,FALSE)),0)+IFERROR(IF(VLOOKUP($B10,'PW G-Goats'!$B$5:$AI$24,14,FALSE)=" ",0,VLOOKUP($B10,'PW G-Goats'!$B$5:$AI$24,14,FALSE)),0)</f>
        <v>21</v>
      </c>
      <c r="J10" s="95">
        <f t="shared" si="4"/>
        <v>21</v>
      </c>
      <c r="K10" s="91">
        <f t="shared" si="5"/>
        <v>4</v>
      </c>
      <c r="L10" s="121">
        <f>IFERROR(IF(VLOOKUP($B10,'PW G-Breakaway'!$B$5:$AI$24,18,FALSE)=" ",0,VLOOKUP($B10,'PW G-Breakaway'!$B$5:$AI$24,18,FALSE)),0)+IFERROR(IF(VLOOKUP($B10,'PW G-Barrels'!$B$5:$AI$25,18,FALSE)=" ",0,VLOOKUP($B10,'PW G-Barrels'!$B$5:$AI$25,18,FALSE)),0)+IFERROR(IF(VLOOKUP($B10,'PW G-Poles'!$B$5:$AI$25,18,FALSE)=" ",0,VLOOKUP($B10,'PW G-Poles'!$B$5:$AI$25,18,FALSE)),0)+IFERROR(IF(VLOOKUP($B10,'PW G-Goats'!$B$5:$AI$24,18,FALSE)=" ",0,VLOOKUP($B10,'PW G-Goats'!$B$5:$AI$24,18,FALSE)),0)</f>
        <v>0</v>
      </c>
      <c r="M10" s="95" t="str">
        <f t="shared" si="6"/>
        <v xml:space="preserve"> </v>
      </c>
      <c r="N10" s="91" t="str">
        <f t="shared" si="7"/>
        <v xml:space="preserve"> </v>
      </c>
      <c r="O10" s="121">
        <f>IFERROR(IF(VLOOKUP($B10,'PW G-Breakaway'!$B$5:$AI$24,22,FALSE)=" ",0,VLOOKUP($B10,'PW G-Breakaway'!$B$5:$AI$24,22,FALSE)),0)+IFERROR(IF(VLOOKUP($B10,'PW G-Barrels'!$B$5:$AI$25,22,FALSE)=" ",0,VLOOKUP($B10,'PW G-Barrels'!$B$5:$AI$25,22,FALSE)),0)+IFERROR(IF(VLOOKUP($B10,'PW G-Poles'!$B$5:$AI$25,22,FALSE)=" ",0,VLOOKUP($B10,'PW G-Poles'!$B$5:$AI$25,22,FALSE)),0)+IFERROR(IF(VLOOKUP($B10,'PW G-Goats'!$B$5:$AI$24,22,FALSE)=" ",0,VLOOKUP($B10,'PW G-Goats'!$B$5:$AI$24,22,FALSE)),0)</f>
        <v>33</v>
      </c>
      <c r="P10" s="95">
        <f t="shared" si="8"/>
        <v>33</v>
      </c>
      <c r="Q10" s="91">
        <f t="shared" si="9"/>
        <v>1</v>
      </c>
      <c r="R10" s="121">
        <f>IFERROR(IF(VLOOKUP($B10,'PW G-Breakaway'!$B$5:$AI$24,26,FALSE)=" ",0,VLOOKUP($B10,'PW G-Breakaway'!$B$5:$AI$24,26,FALSE)),0)+IFERROR(IF(VLOOKUP($B10,'PW G-Barrels'!$B$5:$AI$25,26,FALSE)=" ",0,VLOOKUP($B10,'PW G-Barrels'!$B$5:$AI$25,26,FALSE)),0)+IFERROR(IF(VLOOKUP($B10,'PW G-Poles'!$B$5:$AI$25,26,FALSE)=" ",0,VLOOKUP($B10,'PW G-Poles'!$B$5:$AI$25,26,FALSE)),0)+IFERROR(IF(VLOOKUP($B10,'PW G-Goats'!$B$5:$AI$24,26,FALSE)=" ",0,VLOOKUP($B10,'PW G-Goats'!$B$5:$AI$24,26,FALSE)),0)</f>
        <v>24</v>
      </c>
      <c r="S10" s="95">
        <f t="shared" si="10"/>
        <v>24</v>
      </c>
      <c r="T10" s="91">
        <f t="shared" si="11"/>
        <v>4</v>
      </c>
      <c r="U10" s="121">
        <f>IFERROR(IF(VLOOKUP($B10,'PW G-Breakaway'!$B$5:$AI$24,30,FALSE)=" ",0,VLOOKUP($B10,'PW G-Breakaway'!$B$5:$AI$24,30,FALSE)),0)+IFERROR(IF(VLOOKUP($B10,'PW G-Barrels'!$B$5:$AI$25,30,FALSE)=" ",0,VLOOKUP($B10,'PW G-Barrels'!$B$5:$AI$25,30,FALSE)),0)+IFERROR(IF(VLOOKUP($B10,'PW G-Poles'!$B$5:$AI$25,30,FALSE)=" ",0,VLOOKUP($B10,'PW G-Poles'!$B$5:$AI$25,30,FALSE)),0)+IFERROR(IF(VLOOKUP($B10,'PW G-Goats'!$B$5:$AI$24,30,FALSE)=" ",0,VLOOKUP($B10,'PW G-Goats'!$B$5:$AI$24,30,FALSE)),0)</f>
        <v>21</v>
      </c>
      <c r="V10" s="95">
        <f t="shared" si="12"/>
        <v>21</v>
      </c>
      <c r="W10" s="91">
        <f t="shared" si="13"/>
        <v>4</v>
      </c>
      <c r="X10" s="121">
        <f>IFERROR(IF(VLOOKUP($B10,'PW G-Breakaway'!$B$5:$AI$24,34,FALSE)=" ",0,VLOOKUP($B10,'PW G-Breakaway'!$B$5:$AI$24,34,FALSE)),0)+IFERROR(IF(VLOOKUP($B10,'PW G-Barrels'!$B$5:$AI$25,34,FALSE)=" ",0,VLOOKUP($B10,'PW G-Barrels'!$B$5:$AI$25,34,FALSE)),0)+IFERROR(IF(VLOOKUP($B10,'PW G-Poles'!$B$5:$AI$25,34,FALSE)=" ",0,VLOOKUP($B10,'PW G-Poles'!$B$5:$AI$25,34,FALSE)),0)+IFERROR(IF(VLOOKUP($B10,'PW G-Goats'!$B$5:$AI$24,34,FALSE)=" ",0,VLOOKUP($B10,'PW G-Goats'!$B$5:$AI$24,34,FALSE)),0)</f>
        <v>15</v>
      </c>
      <c r="Y10" s="95">
        <f t="shared" si="14"/>
        <v>15</v>
      </c>
      <c r="Z10" s="91">
        <f t="shared" si="15"/>
        <v>7</v>
      </c>
      <c r="AA10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141</v>
      </c>
      <c r="AB10" s="95">
        <f t="shared" si="16"/>
        <v>141</v>
      </c>
      <c r="AC10" s="91">
        <f t="shared" si="17"/>
        <v>6</v>
      </c>
    </row>
    <row r="11" spans="2:29" x14ac:dyDescent="0.25">
      <c r="B11" s="154" t="s">
        <v>145</v>
      </c>
      <c r="C11" s="120">
        <f>IFERROR(IF(VLOOKUP($B11,'PW G-Breakaway'!$B$5:$AI$24,6,FALSE)=" ",0,VLOOKUP($B11,'PW G-Breakaway'!$B$5:$AI$24,6,FALSE)),0)+IFERROR(IF(VLOOKUP($B11,'PW G-Barrels'!$B$5:$AI$25,6,FALSE)=" ",0,VLOOKUP($B11,'PW G-Barrels'!$B$5:$AI$25,6,FALSE)),0)+IFERROR(IF(VLOOKUP($B11,'PW G-Poles'!$B$5:$AI$25,6,FALSE)=" ",0,VLOOKUP($B11,'PW G-Poles'!$B$5:$AI$25,6,FALSE)),0)+IFERROR(IF(VLOOKUP($B11,'PW G-Goats'!$B$5:$AI$24,6,FALSE)=" ",0,VLOOKUP($B11,'PW G-Goats'!$B$5:$AI$24,6,FALSE)),0)</f>
        <v>18</v>
      </c>
      <c r="D11" s="95">
        <f t="shared" si="0"/>
        <v>18</v>
      </c>
      <c r="E11" s="91">
        <f t="shared" si="1"/>
        <v>5</v>
      </c>
      <c r="F11" s="121">
        <f>IFERROR(IF(VLOOKUP($B11,'PW G-Breakaway'!$B$5:$AI$24,10,FALSE)=" ",0,VLOOKUP($B11,'PW G-Breakaway'!$B$5:$AI$24,10,FALSE)),0)+IFERROR(IF(VLOOKUP($B11,'PW G-Barrels'!$B$5:$AI$25,10,FALSE)=" ",0,VLOOKUP($B11,'PW G-Barrels'!$B$5:$AI$25,10,FALSE)),0)+IFERROR(IF(VLOOKUP($B11,'PW G-Poles'!$B$5:$AI$25,10,FALSE)=" ",0,VLOOKUP($B11,'PW G-Poles'!$B$5:$AI$25,10,FALSE)),0)+IFERROR(IF(VLOOKUP($B11,'PW G-Goats'!$B$5:$AI$24,10,FALSE)=" ",0,VLOOKUP($B11,'PW G-Goats'!$B$5:$AI$24,10,FALSE)),0)</f>
        <v>6</v>
      </c>
      <c r="G11" s="95">
        <f t="shared" si="2"/>
        <v>6</v>
      </c>
      <c r="H11" s="91">
        <f t="shared" si="3"/>
        <v>8</v>
      </c>
      <c r="I11" s="121">
        <f>IFERROR(IF(VLOOKUP($B11,'PW G-Breakaway'!$B$5:$AI$24,14,FALSE)=" ",0,VLOOKUP($B11,'PW G-Breakaway'!$B$5:$AI$24,14,FALSE)),0)+IFERROR(IF(VLOOKUP($B11,'PW G-Barrels'!$B$5:$AI$25,14,FALSE)=" ",0,VLOOKUP($B11,'PW G-Barrels'!$B$5:$AI$25,14,FALSE)),0)+IFERROR(IF(VLOOKUP($B11,'PW G-Poles'!$B$5:$AI$25,14,FALSE)=" ",0,VLOOKUP($B11,'PW G-Poles'!$B$5:$AI$25,14,FALSE)),0)+IFERROR(IF(VLOOKUP($B11,'PW G-Goats'!$B$5:$AI$24,14,FALSE)=" ",0,VLOOKUP($B11,'PW G-Goats'!$B$5:$AI$24,14,FALSE)),0)</f>
        <v>6</v>
      </c>
      <c r="J11" s="95">
        <f t="shared" si="4"/>
        <v>6</v>
      </c>
      <c r="K11" s="91">
        <f t="shared" si="5"/>
        <v>9</v>
      </c>
      <c r="L11" s="121">
        <f>IFERROR(IF(VLOOKUP($B11,'PW G-Breakaway'!$B$5:$AI$24,18,FALSE)=" ",0,VLOOKUP($B11,'PW G-Breakaway'!$B$5:$AI$24,18,FALSE)),0)+IFERROR(IF(VLOOKUP($B11,'PW G-Barrels'!$B$5:$AI$25,18,FALSE)=" ",0,VLOOKUP($B11,'PW G-Barrels'!$B$5:$AI$25,18,FALSE)),0)+IFERROR(IF(VLOOKUP($B11,'PW G-Poles'!$B$5:$AI$25,18,FALSE)=" ",0,VLOOKUP($B11,'PW G-Poles'!$B$5:$AI$25,18,FALSE)),0)+IFERROR(IF(VLOOKUP($B11,'PW G-Goats'!$B$5:$AI$24,18,FALSE)=" ",0,VLOOKUP($B11,'PW G-Goats'!$B$5:$AI$24,18,FALSE)),0)</f>
        <v>27</v>
      </c>
      <c r="M11" s="95">
        <f t="shared" si="6"/>
        <v>27</v>
      </c>
      <c r="N11" s="91">
        <f t="shared" si="7"/>
        <v>4</v>
      </c>
      <c r="O11" s="121">
        <f>IFERROR(IF(VLOOKUP($B11,'PW G-Breakaway'!$B$5:$AI$24,22,FALSE)=" ",0,VLOOKUP($B11,'PW G-Breakaway'!$B$5:$AI$24,22,FALSE)),0)+IFERROR(IF(VLOOKUP($B11,'PW G-Barrels'!$B$5:$AI$25,22,FALSE)=" ",0,VLOOKUP($B11,'PW G-Barrels'!$B$5:$AI$25,22,FALSE)),0)+IFERROR(IF(VLOOKUP($B11,'PW G-Poles'!$B$5:$AI$25,22,FALSE)=" ",0,VLOOKUP($B11,'PW G-Poles'!$B$5:$AI$25,22,FALSE)),0)+IFERROR(IF(VLOOKUP($B11,'PW G-Goats'!$B$5:$AI$24,22,FALSE)=" ",0,VLOOKUP($B11,'PW G-Goats'!$B$5:$AI$24,22,FALSE)),0)</f>
        <v>6</v>
      </c>
      <c r="P11" s="95">
        <f t="shared" si="8"/>
        <v>6</v>
      </c>
      <c r="Q11" s="91">
        <f t="shared" si="9"/>
        <v>11</v>
      </c>
      <c r="R11" s="121">
        <f>IFERROR(IF(VLOOKUP($B11,'PW G-Breakaway'!$B$5:$AI$24,26,FALSE)=" ",0,VLOOKUP($B11,'PW G-Breakaway'!$B$5:$AI$24,26,FALSE)),0)+IFERROR(IF(VLOOKUP($B11,'PW G-Barrels'!$B$5:$AI$25,26,FALSE)=" ",0,VLOOKUP($B11,'PW G-Barrels'!$B$5:$AI$25,26,FALSE)),0)+IFERROR(IF(VLOOKUP($B11,'PW G-Poles'!$B$5:$AI$25,26,FALSE)=" ",0,VLOOKUP($B11,'PW G-Poles'!$B$5:$AI$25,26,FALSE)),0)+IFERROR(IF(VLOOKUP($B11,'PW G-Goats'!$B$5:$AI$24,26,FALSE)=" ",0,VLOOKUP($B11,'PW G-Goats'!$B$5:$AI$24,26,FALSE)),0)</f>
        <v>30</v>
      </c>
      <c r="S11" s="95">
        <f t="shared" si="10"/>
        <v>30</v>
      </c>
      <c r="T11" s="91">
        <f t="shared" si="11"/>
        <v>3</v>
      </c>
      <c r="U11" s="121">
        <f>IFERROR(IF(VLOOKUP($B11,'PW G-Breakaway'!$B$5:$AI$24,30,FALSE)=" ",0,VLOOKUP($B11,'PW G-Breakaway'!$B$5:$AI$24,30,FALSE)),0)+IFERROR(IF(VLOOKUP($B11,'PW G-Barrels'!$B$5:$AI$25,30,FALSE)=" ",0,VLOOKUP($B11,'PW G-Barrels'!$B$5:$AI$25,30,FALSE)),0)+IFERROR(IF(VLOOKUP($B11,'PW G-Poles'!$B$5:$AI$25,30,FALSE)=" ",0,VLOOKUP($B11,'PW G-Poles'!$B$5:$AI$25,30,FALSE)),0)+IFERROR(IF(VLOOKUP($B11,'PW G-Goats'!$B$5:$AI$24,30,FALSE)=" ",0,VLOOKUP($B11,'PW G-Goats'!$B$5:$AI$24,30,FALSE)),0)</f>
        <v>18</v>
      </c>
      <c r="V11" s="95">
        <f t="shared" si="12"/>
        <v>18</v>
      </c>
      <c r="W11" s="91">
        <f t="shared" si="13"/>
        <v>6</v>
      </c>
      <c r="X11" s="121">
        <f>IFERROR(IF(VLOOKUP($B11,'PW G-Breakaway'!$B$5:$AI$24,34,FALSE)=" ",0,VLOOKUP($B11,'PW G-Breakaway'!$B$5:$AI$24,34,FALSE)),0)+IFERROR(IF(VLOOKUP($B11,'PW G-Barrels'!$B$5:$AI$25,34,FALSE)=" ",0,VLOOKUP($B11,'PW G-Barrels'!$B$5:$AI$25,34,FALSE)),0)+IFERROR(IF(VLOOKUP($B11,'PW G-Poles'!$B$5:$AI$25,34,FALSE)=" ",0,VLOOKUP($B11,'PW G-Poles'!$B$5:$AI$25,34,FALSE)),0)+IFERROR(IF(VLOOKUP($B11,'PW G-Goats'!$B$5:$AI$24,34,FALSE)=" ",0,VLOOKUP($B11,'PW G-Goats'!$B$5:$AI$24,34,FALSE)),0)</f>
        <v>22.5</v>
      </c>
      <c r="Y11" s="95">
        <f t="shared" si="14"/>
        <v>22.5</v>
      </c>
      <c r="Z11" s="91">
        <f t="shared" si="15"/>
        <v>4</v>
      </c>
      <c r="AA11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133.5</v>
      </c>
      <c r="AB11" s="95">
        <f t="shared" si="16"/>
        <v>133.5</v>
      </c>
      <c r="AC11" s="91">
        <f t="shared" si="17"/>
        <v>7</v>
      </c>
    </row>
    <row r="12" spans="2:29" x14ac:dyDescent="0.25">
      <c r="B12" s="154" t="s">
        <v>83</v>
      </c>
      <c r="C12" s="120">
        <f>IFERROR(IF(VLOOKUP($B12,'PW G-Breakaway'!$B$5:$AI$24,6,FALSE)=" ",0,VLOOKUP($B12,'PW G-Breakaway'!$B$5:$AI$24,6,FALSE)),0)+IFERROR(IF(VLOOKUP($B12,'PW G-Barrels'!$B$5:$AI$25,6,FALSE)=" ",0,VLOOKUP($B12,'PW G-Barrels'!$B$5:$AI$25,6,FALSE)),0)+IFERROR(IF(VLOOKUP($B12,'PW G-Poles'!$B$5:$AI$25,6,FALSE)=" ",0,VLOOKUP($B12,'PW G-Poles'!$B$5:$AI$25,6,FALSE)),0)+IFERROR(IF(VLOOKUP($B12,'PW G-Goats'!$B$5:$AI$24,6,FALSE)=" ",0,VLOOKUP($B12,'PW G-Goats'!$B$5:$AI$24,6,FALSE)),0)</f>
        <v>6</v>
      </c>
      <c r="D12" s="95">
        <f t="shared" si="0"/>
        <v>6</v>
      </c>
      <c r="E12" s="122">
        <f t="shared" si="1"/>
        <v>10</v>
      </c>
      <c r="F12" s="121">
        <f>IFERROR(IF(VLOOKUP($B12,'PW G-Breakaway'!$B$5:$AI$24,10,FALSE)=" ",0,VLOOKUP($B12,'PW G-Breakaway'!$B$5:$AI$24,10,FALSE)),0)+IFERROR(IF(VLOOKUP($B12,'PW G-Barrels'!$B$5:$AI$25,10,FALSE)=" ",0,VLOOKUP($B12,'PW G-Barrels'!$B$5:$AI$25,10,FALSE)),0)+IFERROR(IF(VLOOKUP($B12,'PW G-Poles'!$B$5:$AI$25,10,FALSE)=" ",0,VLOOKUP($B12,'PW G-Poles'!$B$5:$AI$25,10,FALSE)),0)+IFERROR(IF(VLOOKUP($B12,'PW G-Goats'!$B$5:$AI$24,10,FALSE)=" ",0,VLOOKUP($B12,'PW G-Goats'!$B$5:$AI$24,10,FALSE)),0)</f>
        <v>3</v>
      </c>
      <c r="G12" s="95">
        <f t="shared" si="2"/>
        <v>3</v>
      </c>
      <c r="H12" s="122">
        <f t="shared" si="3"/>
        <v>11</v>
      </c>
      <c r="I12" s="121">
        <f>IFERROR(IF(VLOOKUP($B12,'PW G-Breakaway'!$B$5:$AI$24,14,FALSE)=" ",0,VLOOKUP($B12,'PW G-Breakaway'!$B$5:$AI$24,14,FALSE)),0)+IFERROR(IF(VLOOKUP($B12,'PW G-Barrels'!$B$5:$AI$25,14,FALSE)=" ",0,VLOOKUP($B12,'PW G-Barrels'!$B$5:$AI$25,14,FALSE)),0)+IFERROR(IF(VLOOKUP($B12,'PW G-Poles'!$B$5:$AI$25,14,FALSE)=" ",0,VLOOKUP($B12,'PW G-Poles'!$B$5:$AI$25,14,FALSE)),0)+IFERROR(IF(VLOOKUP($B12,'PW G-Goats'!$B$5:$AI$24,14,FALSE)=" ",0,VLOOKUP($B12,'PW G-Goats'!$B$5:$AI$24,14,FALSE)),0)</f>
        <v>9</v>
      </c>
      <c r="J12" s="95">
        <f t="shared" si="4"/>
        <v>9</v>
      </c>
      <c r="K12" s="122">
        <f t="shared" si="5"/>
        <v>7</v>
      </c>
      <c r="L12" s="121">
        <f>IFERROR(IF(VLOOKUP($B12,'PW G-Breakaway'!$B$5:$AI$24,18,FALSE)=" ",0,VLOOKUP($B12,'PW G-Breakaway'!$B$5:$AI$24,18,FALSE)),0)+IFERROR(IF(VLOOKUP($B12,'PW G-Barrels'!$B$5:$AI$25,18,FALSE)=" ",0,VLOOKUP($B12,'PW G-Barrels'!$B$5:$AI$25,18,FALSE)),0)+IFERROR(IF(VLOOKUP($B12,'PW G-Poles'!$B$5:$AI$25,18,FALSE)=" ",0,VLOOKUP($B12,'PW G-Poles'!$B$5:$AI$25,18,FALSE)),0)+IFERROR(IF(VLOOKUP($B12,'PW G-Goats'!$B$5:$AI$24,18,FALSE)=" ",0,VLOOKUP($B12,'PW G-Goats'!$B$5:$AI$24,18,FALSE)),0)</f>
        <v>15</v>
      </c>
      <c r="M12" s="95">
        <f t="shared" si="6"/>
        <v>15</v>
      </c>
      <c r="N12" s="122">
        <f t="shared" si="7"/>
        <v>9</v>
      </c>
      <c r="O12" s="121">
        <f>IFERROR(IF(VLOOKUP($B12,'PW G-Breakaway'!$B$5:$AI$24,22,FALSE)=" ",0,VLOOKUP($B12,'PW G-Breakaway'!$B$5:$AI$24,22,FALSE)),0)+IFERROR(IF(VLOOKUP($B12,'PW G-Barrels'!$B$5:$AI$25,22,FALSE)=" ",0,VLOOKUP($B12,'PW G-Barrels'!$B$5:$AI$25,22,FALSE)),0)+IFERROR(IF(VLOOKUP($B12,'PW G-Poles'!$B$5:$AI$25,22,FALSE)=" ",0,VLOOKUP($B12,'PW G-Poles'!$B$5:$AI$25,22,FALSE)),0)+IFERROR(IF(VLOOKUP($B12,'PW G-Goats'!$B$5:$AI$24,22,FALSE)=" ",0,VLOOKUP($B12,'PW G-Goats'!$B$5:$AI$24,22,FALSE)),0)</f>
        <v>21</v>
      </c>
      <c r="P12" s="95">
        <f t="shared" si="8"/>
        <v>21</v>
      </c>
      <c r="Q12" s="122">
        <f t="shared" si="9"/>
        <v>4</v>
      </c>
      <c r="R12" s="121">
        <f>IFERROR(IF(VLOOKUP($B12,'PW G-Breakaway'!$B$5:$AI$24,26,FALSE)=" ",0,VLOOKUP($B12,'PW G-Breakaway'!$B$5:$AI$24,26,FALSE)),0)+IFERROR(IF(VLOOKUP($B12,'PW G-Barrels'!$B$5:$AI$25,26,FALSE)=" ",0,VLOOKUP($B12,'PW G-Barrels'!$B$5:$AI$25,26,FALSE)),0)+IFERROR(IF(VLOOKUP($B12,'PW G-Poles'!$B$5:$AI$25,26,FALSE)=" ",0,VLOOKUP($B12,'PW G-Poles'!$B$5:$AI$25,26,FALSE)),0)+IFERROR(IF(VLOOKUP($B12,'PW G-Goats'!$B$5:$AI$24,26,FALSE)=" ",0,VLOOKUP($B12,'PW G-Goats'!$B$5:$AI$24,26,FALSE)),0)</f>
        <v>15</v>
      </c>
      <c r="S12" s="95">
        <f t="shared" si="10"/>
        <v>15</v>
      </c>
      <c r="T12" s="122">
        <f t="shared" si="11"/>
        <v>7</v>
      </c>
      <c r="U12" s="121">
        <f>IFERROR(IF(VLOOKUP($B12,'PW G-Breakaway'!$B$5:$AI$24,30,FALSE)=" ",0,VLOOKUP($B12,'PW G-Breakaway'!$B$5:$AI$24,30,FALSE)),0)+IFERROR(IF(VLOOKUP($B12,'PW G-Barrels'!$B$5:$AI$25,30,FALSE)=" ",0,VLOOKUP($B12,'PW G-Barrels'!$B$5:$AI$25,30,FALSE)),0)+IFERROR(IF(VLOOKUP($B12,'PW G-Poles'!$B$5:$AI$25,30,FALSE)=" ",0,VLOOKUP($B12,'PW G-Poles'!$B$5:$AI$25,30,FALSE)),0)+IFERROR(IF(VLOOKUP($B12,'PW G-Goats'!$B$5:$AI$24,30,FALSE)=" ",0,VLOOKUP($B12,'PW G-Goats'!$B$5:$AI$24,30,FALSE)),0)</f>
        <v>15</v>
      </c>
      <c r="V12" s="95">
        <f t="shared" si="12"/>
        <v>15</v>
      </c>
      <c r="W12" s="122">
        <f t="shared" si="13"/>
        <v>8</v>
      </c>
      <c r="X12" s="121">
        <f>IFERROR(IF(VLOOKUP($B12,'PW G-Breakaway'!$B$5:$AI$24,34,FALSE)=" ",0,VLOOKUP($B12,'PW G-Breakaway'!$B$5:$AI$24,34,FALSE)),0)+IFERROR(IF(VLOOKUP($B12,'PW G-Barrels'!$B$5:$AI$25,34,FALSE)=" ",0,VLOOKUP($B12,'PW G-Barrels'!$B$5:$AI$25,34,FALSE)),0)+IFERROR(IF(VLOOKUP($B12,'PW G-Poles'!$B$5:$AI$25,34,FALSE)=" ",0,VLOOKUP($B12,'PW G-Poles'!$B$5:$AI$25,34,FALSE)),0)+IFERROR(IF(VLOOKUP($B12,'PW G-Goats'!$B$5:$AI$24,34,FALSE)=" ",0,VLOOKUP($B12,'PW G-Goats'!$B$5:$AI$24,34,FALSE)),0)</f>
        <v>24</v>
      </c>
      <c r="Y12" s="95">
        <f t="shared" si="14"/>
        <v>24</v>
      </c>
      <c r="Z12" s="122">
        <f t="shared" si="15"/>
        <v>3</v>
      </c>
      <c r="AA12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108</v>
      </c>
      <c r="AB12" s="95">
        <f t="shared" si="16"/>
        <v>108</v>
      </c>
      <c r="AC12" s="122">
        <f t="shared" si="17"/>
        <v>8</v>
      </c>
    </row>
    <row r="13" spans="2:29" x14ac:dyDescent="0.25">
      <c r="B13" s="154" t="s">
        <v>213</v>
      </c>
      <c r="C13" s="120">
        <f>IFERROR(IF(VLOOKUP($B13,'PW G-Breakaway'!$B$5:$AI$24,6,FALSE)=" ",0,VLOOKUP($B13,'PW G-Breakaway'!$B$5:$AI$24,6,FALSE)),0)+IFERROR(IF(VLOOKUP($B13,'PW G-Barrels'!$B$5:$AI$25,6,FALSE)=" ",0,VLOOKUP($B13,'PW G-Barrels'!$B$5:$AI$25,6,FALSE)),0)+IFERROR(IF(VLOOKUP($B13,'PW G-Poles'!$B$5:$AI$25,6,FALSE)=" ",0,VLOOKUP($B13,'PW G-Poles'!$B$5:$AI$25,6,FALSE)),0)+IFERROR(IF(VLOOKUP($B13,'PW G-Goats'!$B$5:$AI$24,6,FALSE)=" ",0,VLOOKUP($B13,'PW G-Goats'!$B$5:$AI$24,6,FALSE)),0)</f>
        <v>6</v>
      </c>
      <c r="D13" s="95">
        <f t="shared" si="0"/>
        <v>6</v>
      </c>
      <c r="E13" s="122">
        <f t="shared" si="1"/>
        <v>10</v>
      </c>
      <c r="F13" s="121">
        <f>IFERROR(IF(VLOOKUP($B13,'PW G-Breakaway'!$B$5:$AI$24,10,FALSE)=" ",0,VLOOKUP($B13,'PW G-Breakaway'!$B$5:$AI$24,10,FALSE)),0)+IFERROR(IF(VLOOKUP($B13,'PW G-Barrels'!$B$5:$AI$25,10,FALSE)=" ",0,VLOOKUP($B13,'PW G-Barrels'!$B$5:$AI$25,10,FALSE)),0)+IFERROR(IF(VLOOKUP($B13,'PW G-Poles'!$B$5:$AI$25,10,FALSE)=" ",0,VLOOKUP($B13,'PW G-Poles'!$B$5:$AI$25,10,FALSE)),0)+IFERROR(IF(VLOOKUP($B13,'PW G-Goats'!$B$5:$AI$24,10,FALSE)=" ",0,VLOOKUP($B13,'PW G-Goats'!$B$5:$AI$24,10,FALSE)),0)</f>
        <v>18</v>
      </c>
      <c r="G13" s="95">
        <f t="shared" si="2"/>
        <v>18</v>
      </c>
      <c r="H13" s="122">
        <f t="shared" si="3"/>
        <v>4</v>
      </c>
      <c r="I13" s="121">
        <f>IFERROR(IF(VLOOKUP($B13,'PW G-Breakaway'!$B$5:$AI$24,14,FALSE)=" ",0,VLOOKUP($B13,'PW G-Breakaway'!$B$5:$AI$24,14,FALSE)),0)+IFERROR(IF(VLOOKUP($B13,'PW G-Barrels'!$B$5:$AI$25,14,FALSE)=" ",0,VLOOKUP($B13,'PW G-Barrels'!$B$5:$AI$25,14,FALSE)),0)+IFERROR(IF(VLOOKUP($B13,'PW G-Poles'!$B$5:$AI$25,14,FALSE)=" ",0,VLOOKUP($B13,'PW G-Poles'!$B$5:$AI$25,14,FALSE)),0)+IFERROR(IF(VLOOKUP($B13,'PW G-Goats'!$B$5:$AI$24,14,FALSE)=" ",0,VLOOKUP($B13,'PW G-Goats'!$B$5:$AI$24,14,FALSE)),0)</f>
        <v>12</v>
      </c>
      <c r="J13" s="95">
        <f t="shared" si="4"/>
        <v>12</v>
      </c>
      <c r="K13" s="122">
        <f t="shared" si="5"/>
        <v>6</v>
      </c>
      <c r="L13" s="121">
        <f>IFERROR(IF(VLOOKUP($B13,'PW G-Breakaway'!$B$5:$AI$24,18,FALSE)=" ",0,VLOOKUP($B13,'PW G-Breakaway'!$B$5:$AI$24,18,FALSE)),0)+IFERROR(IF(VLOOKUP($B13,'PW G-Barrels'!$B$5:$AI$25,18,FALSE)=" ",0,VLOOKUP($B13,'PW G-Barrels'!$B$5:$AI$25,18,FALSE)),0)+IFERROR(IF(VLOOKUP($B13,'PW G-Poles'!$B$5:$AI$25,18,FALSE)=" ",0,VLOOKUP($B13,'PW G-Poles'!$B$5:$AI$25,18,FALSE)),0)+IFERROR(IF(VLOOKUP($B13,'PW G-Goats'!$B$5:$AI$24,18,FALSE)=" ",0,VLOOKUP($B13,'PW G-Goats'!$B$5:$AI$24,18,FALSE)),0)</f>
        <v>36</v>
      </c>
      <c r="M13" s="95">
        <f t="shared" si="6"/>
        <v>36</v>
      </c>
      <c r="N13" s="122">
        <f t="shared" si="7"/>
        <v>1</v>
      </c>
      <c r="O13" s="121">
        <f>IFERROR(IF(VLOOKUP($B13,'PW G-Breakaway'!$B$5:$AI$24,22,FALSE)=" ",0,VLOOKUP($B13,'PW G-Breakaway'!$B$5:$AI$24,22,FALSE)),0)+IFERROR(IF(VLOOKUP($B13,'PW G-Barrels'!$B$5:$AI$25,22,FALSE)=" ",0,VLOOKUP($B13,'PW G-Barrels'!$B$5:$AI$25,22,FALSE)),0)+IFERROR(IF(VLOOKUP($B13,'PW G-Poles'!$B$5:$AI$25,22,FALSE)=" ",0,VLOOKUP($B13,'PW G-Poles'!$B$5:$AI$25,22,FALSE)),0)+IFERROR(IF(VLOOKUP($B13,'PW G-Goats'!$B$5:$AI$24,22,FALSE)=" ",0,VLOOKUP($B13,'PW G-Goats'!$B$5:$AI$24,22,FALSE)),0)</f>
        <v>9</v>
      </c>
      <c r="P13" s="95">
        <f t="shared" si="8"/>
        <v>9</v>
      </c>
      <c r="Q13" s="122">
        <f t="shared" si="9"/>
        <v>9</v>
      </c>
      <c r="R13" s="121">
        <f>IFERROR(IF(VLOOKUP($B13,'PW G-Breakaway'!$B$5:$AI$24,26,FALSE)=" ",0,VLOOKUP($B13,'PW G-Breakaway'!$B$5:$AI$24,26,FALSE)),0)+IFERROR(IF(VLOOKUP($B13,'PW G-Barrels'!$B$5:$AI$25,26,FALSE)=" ",0,VLOOKUP($B13,'PW G-Barrels'!$B$5:$AI$25,26,FALSE)),0)+IFERROR(IF(VLOOKUP($B13,'PW G-Poles'!$B$5:$AI$25,26,FALSE)=" ",0,VLOOKUP($B13,'PW G-Poles'!$B$5:$AI$25,26,FALSE)),0)+IFERROR(IF(VLOOKUP($B13,'PW G-Goats'!$B$5:$AI$24,26,FALSE)=" ",0,VLOOKUP($B13,'PW G-Goats'!$B$5:$AI$24,26,FALSE)),0)</f>
        <v>3</v>
      </c>
      <c r="S13" s="95">
        <f t="shared" si="10"/>
        <v>3</v>
      </c>
      <c r="T13" s="122">
        <f t="shared" si="11"/>
        <v>9</v>
      </c>
      <c r="U13" s="121">
        <f>IFERROR(IF(VLOOKUP($B13,'PW G-Breakaway'!$B$5:$AI$24,30,FALSE)=" ",0,VLOOKUP($B13,'PW G-Breakaway'!$B$5:$AI$24,30,FALSE)),0)+IFERROR(IF(VLOOKUP($B13,'PW G-Barrels'!$B$5:$AI$25,30,FALSE)=" ",0,VLOOKUP($B13,'PW G-Barrels'!$B$5:$AI$25,30,FALSE)),0)+IFERROR(IF(VLOOKUP($B13,'PW G-Poles'!$B$5:$AI$25,30,FALSE)=" ",0,VLOOKUP($B13,'PW G-Poles'!$B$5:$AI$25,30,FALSE)),0)+IFERROR(IF(VLOOKUP($B13,'PW G-Goats'!$B$5:$AI$24,30,FALSE)=" ",0,VLOOKUP($B13,'PW G-Goats'!$B$5:$AI$24,30,FALSE)),0)</f>
        <v>6</v>
      </c>
      <c r="V13" s="95">
        <f t="shared" si="12"/>
        <v>6</v>
      </c>
      <c r="W13" s="122">
        <f t="shared" si="13"/>
        <v>10</v>
      </c>
      <c r="X13" s="121">
        <f>IFERROR(IF(VLOOKUP($B13,'PW G-Breakaway'!$B$5:$AI$24,34,FALSE)=" ",0,VLOOKUP($B13,'PW G-Breakaway'!$B$5:$AI$24,34,FALSE)),0)+IFERROR(IF(VLOOKUP($B13,'PW G-Barrels'!$B$5:$AI$25,34,FALSE)=" ",0,VLOOKUP($B13,'PW G-Barrels'!$B$5:$AI$25,34,FALSE)),0)+IFERROR(IF(VLOOKUP($B13,'PW G-Poles'!$B$5:$AI$25,34,FALSE)=" ",0,VLOOKUP($B13,'PW G-Poles'!$B$5:$AI$25,34,FALSE)),0)+IFERROR(IF(VLOOKUP($B13,'PW G-Goats'!$B$5:$AI$24,34,FALSE)=" ",0,VLOOKUP($B13,'PW G-Goats'!$B$5:$AI$24,34,FALSE)),0)</f>
        <v>6</v>
      </c>
      <c r="Y13" s="95">
        <f t="shared" si="14"/>
        <v>6</v>
      </c>
      <c r="Z13" s="122">
        <f t="shared" si="15"/>
        <v>10</v>
      </c>
      <c r="AA13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96</v>
      </c>
      <c r="AB13" s="95">
        <f t="shared" si="16"/>
        <v>96</v>
      </c>
      <c r="AC13" s="122">
        <f t="shared" si="17"/>
        <v>9</v>
      </c>
    </row>
    <row r="14" spans="2:29" x14ac:dyDescent="0.25">
      <c r="B14" s="141" t="s">
        <v>141</v>
      </c>
      <c r="C14" s="120">
        <f>IFERROR(IF(VLOOKUP($B14,'PW G-Breakaway'!$B$5:$AI$24,6,FALSE)=" ",0,VLOOKUP($B14,'PW G-Breakaway'!$B$5:$AI$24,6,FALSE)),0)+IFERROR(IF(VLOOKUP($B14,'PW G-Barrels'!$B$5:$AI$25,6,FALSE)=" ",0,VLOOKUP($B14,'PW G-Barrels'!$B$5:$AI$25,6,FALSE)),0)+IFERROR(IF(VLOOKUP($B14,'PW G-Poles'!$B$5:$AI$25,6,FALSE)=" ",0,VLOOKUP($B14,'PW G-Poles'!$B$5:$AI$25,6,FALSE)),0)+IFERROR(IF(VLOOKUP($B14,'PW G-Goats'!$B$5:$AI$24,6,FALSE)=" ",0,VLOOKUP($B14,'PW G-Goats'!$B$5:$AI$24,6,FALSE)),0)</f>
        <v>6</v>
      </c>
      <c r="D14" s="95">
        <f t="shared" si="0"/>
        <v>6</v>
      </c>
      <c r="E14" s="91">
        <f t="shared" si="1"/>
        <v>10</v>
      </c>
      <c r="F14" s="121">
        <f>IFERROR(IF(VLOOKUP($B14,'PW G-Breakaway'!$B$5:$AI$24,10,FALSE)=" ",0,VLOOKUP($B14,'PW G-Breakaway'!$B$5:$AI$24,10,FALSE)),0)+IFERROR(IF(VLOOKUP($B14,'PW G-Barrels'!$B$5:$AI$25,10,FALSE)=" ",0,VLOOKUP($B14,'PW G-Barrels'!$B$5:$AI$25,10,FALSE)),0)+IFERROR(IF(VLOOKUP($B14,'PW G-Poles'!$B$5:$AI$25,10,FALSE)=" ",0,VLOOKUP($B14,'PW G-Poles'!$B$5:$AI$25,10,FALSE)),0)+IFERROR(IF(VLOOKUP($B14,'PW G-Goats'!$B$5:$AI$24,10,FALSE)=" ",0,VLOOKUP($B14,'PW G-Goats'!$B$5:$AI$24,10,FALSE)),0)</f>
        <v>12</v>
      </c>
      <c r="G14" s="95">
        <f t="shared" si="2"/>
        <v>12</v>
      </c>
      <c r="H14" s="91">
        <f t="shared" si="3"/>
        <v>6</v>
      </c>
      <c r="I14" s="121">
        <f>IFERROR(IF(VLOOKUP($B14,'PW G-Breakaway'!$B$5:$AI$24,14,FALSE)=" ",0,VLOOKUP($B14,'PW G-Breakaway'!$B$5:$AI$24,14,FALSE)),0)+IFERROR(IF(VLOOKUP($B14,'PW G-Barrels'!$B$5:$AI$25,14,FALSE)=" ",0,VLOOKUP($B14,'PW G-Barrels'!$B$5:$AI$25,14,FALSE)),0)+IFERROR(IF(VLOOKUP($B14,'PW G-Poles'!$B$5:$AI$25,14,FALSE)=" ",0,VLOOKUP($B14,'PW G-Poles'!$B$5:$AI$25,14,FALSE)),0)+IFERROR(IF(VLOOKUP($B14,'PW G-Goats'!$B$5:$AI$24,14,FALSE)=" ",0,VLOOKUP($B14,'PW G-Goats'!$B$5:$AI$24,14,FALSE)),0)</f>
        <v>3</v>
      </c>
      <c r="J14" s="95">
        <f t="shared" si="4"/>
        <v>3</v>
      </c>
      <c r="K14" s="91">
        <f t="shared" si="5"/>
        <v>11</v>
      </c>
      <c r="L14" s="121">
        <f>IFERROR(IF(VLOOKUP($B14,'PW G-Breakaway'!$B$5:$AI$24,18,FALSE)=" ",0,VLOOKUP($B14,'PW G-Breakaway'!$B$5:$AI$24,18,FALSE)),0)+IFERROR(IF(VLOOKUP($B14,'PW G-Barrels'!$B$5:$AI$25,18,FALSE)=" ",0,VLOOKUP($B14,'PW G-Barrels'!$B$5:$AI$25,18,FALSE)),0)+IFERROR(IF(VLOOKUP($B14,'PW G-Poles'!$B$5:$AI$25,18,FALSE)=" ",0,VLOOKUP($B14,'PW G-Poles'!$B$5:$AI$25,18,FALSE)),0)+IFERROR(IF(VLOOKUP($B14,'PW G-Goats'!$B$5:$AI$24,18,FALSE)=" ",0,VLOOKUP($B14,'PW G-Goats'!$B$5:$AI$24,18,FALSE)),0)</f>
        <v>18</v>
      </c>
      <c r="M14" s="95">
        <f t="shared" si="6"/>
        <v>18</v>
      </c>
      <c r="N14" s="91">
        <f t="shared" si="7"/>
        <v>6</v>
      </c>
      <c r="O14" s="121">
        <f>IFERROR(IF(VLOOKUP($B14,'PW G-Breakaway'!$B$5:$AI$24,22,FALSE)=" ",0,VLOOKUP($B14,'PW G-Breakaway'!$B$5:$AI$24,22,FALSE)),0)+IFERROR(IF(VLOOKUP($B14,'PW G-Barrels'!$B$5:$AI$25,22,FALSE)=" ",0,VLOOKUP($B14,'PW G-Barrels'!$B$5:$AI$25,22,FALSE)),0)+IFERROR(IF(VLOOKUP($B14,'PW G-Poles'!$B$5:$AI$25,22,FALSE)=" ",0,VLOOKUP($B14,'PW G-Poles'!$B$5:$AI$25,22,FALSE)),0)+IFERROR(IF(VLOOKUP($B14,'PW G-Goats'!$B$5:$AI$24,22,FALSE)=" ",0,VLOOKUP($B14,'PW G-Goats'!$B$5:$AI$24,22,FALSE)),0)</f>
        <v>9</v>
      </c>
      <c r="P14" s="95">
        <f t="shared" si="8"/>
        <v>9</v>
      </c>
      <c r="Q14" s="91">
        <f t="shared" si="9"/>
        <v>9</v>
      </c>
      <c r="R14" s="121">
        <f>IFERROR(IF(VLOOKUP($B14,'PW G-Breakaway'!$B$5:$AI$24,26,FALSE)=" ",0,VLOOKUP($B14,'PW G-Breakaway'!$B$5:$AI$24,26,FALSE)),0)+IFERROR(IF(VLOOKUP($B14,'PW G-Barrels'!$B$5:$AI$25,26,FALSE)=" ",0,VLOOKUP($B14,'PW G-Barrels'!$B$5:$AI$25,26,FALSE)),0)+IFERROR(IF(VLOOKUP($B14,'PW G-Poles'!$B$5:$AI$25,26,FALSE)=" ",0,VLOOKUP($B14,'PW G-Poles'!$B$5:$AI$25,26,FALSE)),0)+IFERROR(IF(VLOOKUP($B14,'PW G-Goats'!$B$5:$AI$24,26,FALSE)=" ",0,VLOOKUP($B14,'PW G-Goats'!$B$5:$AI$24,26,FALSE)),0)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IFERROR(IF(VLOOKUP($B14,'PW G-Breakaway'!$B$5:$AI$24,30,FALSE)=" ",0,VLOOKUP($B14,'PW G-Breakaway'!$B$5:$AI$24,30,FALSE)),0)+IFERROR(IF(VLOOKUP($B14,'PW G-Barrels'!$B$5:$AI$25,30,FALSE)=" ",0,VLOOKUP($B14,'PW G-Barrels'!$B$5:$AI$25,30,FALSE)),0)+IFERROR(IF(VLOOKUP($B14,'PW G-Poles'!$B$5:$AI$25,30,FALSE)=" ",0,VLOOKUP($B14,'PW G-Poles'!$B$5:$AI$25,30,FALSE)),0)+IFERROR(IF(VLOOKUP($B14,'PW G-Goats'!$B$5:$AI$24,30,FALSE)=" ",0,VLOOKUP($B14,'PW G-Goats'!$B$5:$AI$24,30,FALSE)),0)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IFERROR(IF(VLOOKUP($B14,'PW G-Breakaway'!$B$5:$AI$24,34,FALSE)=" ",0,VLOOKUP($B14,'PW G-Breakaway'!$B$5:$AI$24,34,FALSE)),0)+IFERROR(IF(VLOOKUP($B14,'PW G-Barrels'!$B$5:$AI$25,34,FALSE)=" ",0,VLOOKUP($B14,'PW G-Barrels'!$B$5:$AI$25,34,FALSE)),0)+IFERROR(IF(VLOOKUP($B14,'PW G-Poles'!$B$5:$AI$25,34,FALSE)=" ",0,VLOOKUP($B14,'PW G-Poles'!$B$5:$AI$25,34,FALSE)),0)+IFERROR(IF(VLOOKUP($B14,'PW G-Goats'!$B$5:$AI$24,34,FALSE)=" ",0,VLOOKUP($B14,'PW G-Goats'!$B$5:$AI$24,34,FALSE)),0)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48</v>
      </c>
      <c r="AB14" s="95">
        <f t="shared" si="16"/>
        <v>48</v>
      </c>
      <c r="AC14" s="91">
        <f t="shared" si="17"/>
        <v>10</v>
      </c>
    </row>
    <row r="15" spans="2:29" x14ac:dyDescent="0.25">
      <c r="B15" s="154" t="s">
        <v>142</v>
      </c>
      <c r="C15" s="120">
        <f>IFERROR(IF(VLOOKUP($B15,'PW G-Breakaway'!$B$5:$AI$24,6,FALSE)=" ",0,VLOOKUP($B15,'PW G-Breakaway'!$B$5:$AI$24,6,FALSE)),0)+IFERROR(IF(VLOOKUP($B15,'PW G-Barrels'!$B$5:$AI$25,6,FALSE)=" ",0,VLOOKUP($B15,'PW G-Barrels'!$B$5:$AI$25,6,FALSE)),0)+IFERROR(IF(VLOOKUP($B15,'PW G-Poles'!$B$5:$AI$25,6,FALSE)=" ",0,VLOOKUP($B15,'PW G-Poles'!$B$5:$AI$25,6,FALSE)),0)+IFERROR(IF(VLOOKUP($B15,'PW G-Goats'!$B$5:$AI$24,6,FALSE)=" ",0,VLOOKUP($B15,'PW G-Goats'!$B$5:$AI$24,6,FALSE)),0)</f>
        <v>0</v>
      </c>
      <c r="D15" s="95" t="str">
        <f t="shared" si="0"/>
        <v xml:space="preserve"> </v>
      </c>
      <c r="E15" s="91" t="str">
        <f t="shared" si="1"/>
        <v xml:space="preserve"> </v>
      </c>
      <c r="F15" s="121">
        <f>IFERROR(IF(VLOOKUP($B15,'PW G-Breakaway'!$B$5:$AI$24,10,FALSE)=" ",0,VLOOKUP($B15,'PW G-Breakaway'!$B$5:$AI$24,10,FALSE)),0)+IFERROR(IF(VLOOKUP($B15,'PW G-Barrels'!$B$5:$AI$25,10,FALSE)=" ",0,VLOOKUP($B15,'PW G-Barrels'!$B$5:$AI$25,10,FALSE)),0)+IFERROR(IF(VLOOKUP($B15,'PW G-Poles'!$B$5:$AI$25,10,FALSE)=" ",0,VLOOKUP($B15,'PW G-Poles'!$B$5:$AI$25,10,FALSE)),0)+IFERROR(IF(VLOOKUP($B15,'PW G-Goats'!$B$5:$AI$24,10,FALSE)=" ",0,VLOOKUP($B15,'PW G-Goats'!$B$5:$AI$24,10,FALSE)),0)</f>
        <v>0</v>
      </c>
      <c r="G15" s="95" t="str">
        <f t="shared" si="2"/>
        <v xml:space="preserve"> </v>
      </c>
      <c r="H15" s="91" t="str">
        <f t="shared" si="3"/>
        <v xml:space="preserve"> </v>
      </c>
      <c r="I15" s="121">
        <f>IFERROR(IF(VLOOKUP($B15,'PW G-Breakaway'!$B$5:$AI$24,14,FALSE)=" ",0,VLOOKUP($B15,'PW G-Breakaway'!$B$5:$AI$24,14,FALSE)),0)+IFERROR(IF(VLOOKUP($B15,'PW G-Barrels'!$B$5:$AI$25,14,FALSE)=" ",0,VLOOKUP($B15,'PW G-Barrels'!$B$5:$AI$25,14,FALSE)),0)+IFERROR(IF(VLOOKUP($B15,'PW G-Poles'!$B$5:$AI$25,14,FALSE)=" ",0,VLOOKUP($B15,'PW G-Poles'!$B$5:$AI$25,14,FALSE)),0)+IFERROR(IF(VLOOKUP($B15,'PW G-Goats'!$B$5:$AI$24,14,FALSE)=" ",0,VLOOKUP($B15,'PW G-Goats'!$B$5:$AI$24,14,FALSE)),0)</f>
        <v>0</v>
      </c>
      <c r="J15" s="95" t="str">
        <f t="shared" si="4"/>
        <v xml:space="preserve"> </v>
      </c>
      <c r="K15" s="91" t="str">
        <f t="shared" si="5"/>
        <v xml:space="preserve"> </v>
      </c>
      <c r="L15" s="121">
        <f>IFERROR(IF(VLOOKUP($B15,'PW G-Breakaway'!$B$5:$AI$24,18,FALSE)=" ",0,VLOOKUP($B15,'PW G-Breakaway'!$B$5:$AI$24,18,FALSE)),0)+IFERROR(IF(VLOOKUP($B15,'PW G-Barrels'!$B$5:$AI$25,18,FALSE)=" ",0,VLOOKUP($B15,'PW G-Barrels'!$B$5:$AI$25,18,FALSE)),0)+IFERROR(IF(VLOOKUP($B15,'PW G-Poles'!$B$5:$AI$25,18,FALSE)=" ",0,VLOOKUP($B15,'PW G-Poles'!$B$5:$AI$25,18,FALSE)),0)+IFERROR(IF(VLOOKUP($B15,'PW G-Goats'!$B$5:$AI$24,18,FALSE)=" ",0,VLOOKUP($B15,'PW G-Goats'!$B$5:$AI$24,18,FALSE)),0)</f>
        <v>0</v>
      </c>
      <c r="M15" s="95" t="str">
        <f t="shared" si="6"/>
        <v xml:space="preserve"> </v>
      </c>
      <c r="N15" s="91" t="str">
        <f t="shared" si="7"/>
        <v xml:space="preserve"> </v>
      </c>
      <c r="O15" s="121">
        <f>IFERROR(IF(VLOOKUP($B15,'PW G-Breakaway'!$B$5:$AI$24,22,FALSE)=" ",0,VLOOKUP($B15,'PW G-Breakaway'!$B$5:$AI$24,22,FALSE)),0)+IFERROR(IF(VLOOKUP($B15,'PW G-Barrels'!$B$5:$AI$25,22,FALSE)=" ",0,VLOOKUP($B15,'PW G-Barrels'!$B$5:$AI$25,22,FALSE)),0)+IFERROR(IF(VLOOKUP($B15,'PW G-Poles'!$B$5:$AI$25,22,FALSE)=" ",0,VLOOKUP($B15,'PW G-Poles'!$B$5:$AI$25,22,FALSE)),0)+IFERROR(IF(VLOOKUP($B15,'PW G-Goats'!$B$5:$AI$24,22,FALSE)=" ",0,VLOOKUP($B15,'PW G-Goats'!$B$5:$AI$24,22,FALSE)),0)</f>
        <v>12</v>
      </c>
      <c r="P15" s="95">
        <f t="shared" si="8"/>
        <v>12</v>
      </c>
      <c r="Q15" s="91">
        <f t="shared" si="9"/>
        <v>8</v>
      </c>
      <c r="R15" s="121">
        <f>IFERROR(IF(VLOOKUP($B15,'PW G-Breakaway'!$B$5:$AI$24,26,FALSE)=" ",0,VLOOKUP($B15,'PW G-Breakaway'!$B$5:$AI$24,26,FALSE)),0)+IFERROR(IF(VLOOKUP($B15,'PW G-Barrels'!$B$5:$AI$25,26,FALSE)=" ",0,VLOOKUP($B15,'PW G-Barrels'!$B$5:$AI$25,26,FALSE)),0)+IFERROR(IF(VLOOKUP($B15,'PW G-Poles'!$B$5:$AI$25,26,FALSE)=" ",0,VLOOKUP($B15,'PW G-Poles'!$B$5:$AI$25,26,FALSE)),0)+IFERROR(IF(VLOOKUP($B15,'PW G-Goats'!$B$5:$AI$24,26,FALSE)=" ",0,VLOOKUP($B15,'PW G-Goats'!$B$5:$AI$24,26,FALSE)),0)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IFERROR(IF(VLOOKUP($B15,'PW G-Breakaway'!$B$5:$AI$24,30,FALSE)=" ",0,VLOOKUP($B15,'PW G-Breakaway'!$B$5:$AI$24,30,FALSE)),0)+IFERROR(IF(VLOOKUP($B15,'PW G-Barrels'!$B$5:$AI$25,30,FALSE)=" ",0,VLOOKUP($B15,'PW G-Barrels'!$B$5:$AI$25,30,FALSE)),0)+IFERROR(IF(VLOOKUP($B15,'PW G-Poles'!$B$5:$AI$25,30,FALSE)=" ",0,VLOOKUP($B15,'PW G-Poles'!$B$5:$AI$25,30,FALSE)),0)+IFERROR(IF(VLOOKUP($B15,'PW G-Goats'!$B$5:$AI$24,30,FALSE)=" ",0,VLOOKUP($B15,'PW G-Goats'!$B$5:$AI$24,30,FALSE)),0)</f>
        <v>12</v>
      </c>
      <c r="V15" s="95">
        <f t="shared" si="12"/>
        <v>12</v>
      </c>
      <c r="W15" s="91">
        <f t="shared" si="13"/>
        <v>9</v>
      </c>
      <c r="X15" s="121">
        <f>IFERROR(IF(VLOOKUP($B15,'PW G-Breakaway'!$B$5:$AI$24,34,FALSE)=" ",0,VLOOKUP($B15,'PW G-Breakaway'!$B$5:$AI$24,34,FALSE)),0)+IFERROR(IF(VLOOKUP($B15,'PW G-Barrels'!$B$5:$AI$25,34,FALSE)=" ",0,VLOOKUP($B15,'PW G-Barrels'!$B$5:$AI$25,34,FALSE)),0)+IFERROR(IF(VLOOKUP($B15,'PW G-Poles'!$B$5:$AI$25,34,FALSE)=" ",0,VLOOKUP($B15,'PW G-Poles'!$B$5:$AI$25,34,FALSE)),0)+IFERROR(IF(VLOOKUP($B15,'PW G-Goats'!$B$5:$AI$24,34,FALSE)=" ",0,VLOOKUP($B15,'PW G-Goats'!$B$5:$AI$24,34,FALSE)),0)</f>
        <v>9</v>
      </c>
      <c r="Y15" s="95">
        <f t="shared" si="14"/>
        <v>9</v>
      </c>
      <c r="Z15" s="91">
        <f t="shared" si="15"/>
        <v>9</v>
      </c>
      <c r="AA15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33</v>
      </c>
      <c r="AB15" s="95">
        <f t="shared" si="16"/>
        <v>33</v>
      </c>
      <c r="AC15" s="91">
        <f t="shared" si="17"/>
        <v>11</v>
      </c>
    </row>
    <row r="16" spans="2:29" x14ac:dyDescent="0.25">
      <c r="B16" s="142" t="s">
        <v>147</v>
      </c>
      <c r="C16" s="120">
        <f>IFERROR(IF(VLOOKUP($B16,'PW G-Breakaway'!$B$5:$AI$24,6,FALSE)=" ",0,VLOOKUP($B16,'PW G-Breakaway'!$B$5:$AI$24,6,FALSE)),0)+IFERROR(IF(VLOOKUP($B16,'PW G-Barrels'!$B$5:$AI$25,6,FALSE)=" ",0,VLOOKUP($B16,'PW G-Barrels'!$B$5:$AI$25,6,FALSE)),0)+IFERROR(IF(VLOOKUP($B16,'PW G-Poles'!$B$5:$AI$25,6,FALSE)=" ",0,VLOOKUP($B16,'PW G-Poles'!$B$5:$AI$25,6,FALSE)),0)+IFERROR(IF(VLOOKUP($B16,'PW G-Goats'!$B$5:$AI$24,6,FALSE)=" ",0,VLOOKUP($B16,'PW G-Goats'!$B$5:$AI$24,6,FALSE)),0)</f>
        <v>18</v>
      </c>
      <c r="D16" s="95">
        <f t="shared" si="0"/>
        <v>18</v>
      </c>
      <c r="E16" s="91">
        <f t="shared" si="1"/>
        <v>5</v>
      </c>
      <c r="F16" s="121">
        <f>IFERROR(IF(VLOOKUP($B16,'PW G-Breakaway'!$B$5:$AI$24,10,FALSE)=" ",0,VLOOKUP($B16,'PW G-Breakaway'!$B$5:$AI$24,10,FALSE)),0)+IFERROR(IF(VLOOKUP($B16,'PW G-Barrels'!$B$5:$AI$25,10,FALSE)=" ",0,VLOOKUP($B16,'PW G-Barrels'!$B$5:$AI$25,10,FALSE)),0)+IFERROR(IF(VLOOKUP($B16,'PW G-Poles'!$B$5:$AI$25,10,FALSE)=" ",0,VLOOKUP($B16,'PW G-Poles'!$B$5:$AI$25,10,FALSE)),0)+IFERROR(IF(VLOOKUP($B16,'PW G-Goats'!$B$5:$AI$24,10,FALSE)=" ",0,VLOOKUP($B16,'PW G-Goats'!$B$5:$AI$24,10,FALSE)),0)</f>
        <v>6</v>
      </c>
      <c r="G16" s="95">
        <f t="shared" si="2"/>
        <v>6</v>
      </c>
      <c r="H16" s="91">
        <f t="shared" si="3"/>
        <v>8</v>
      </c>
      <c r="I16" s="121">
        <f>IFERROR(IF(VLOOKUP($B16,'PW G-Breakaway'!$B$5:$AI$24,14,FALSE)=" ",0,VLOOKUP($B16,'PW G-Breakaway'!$B$5:$AI$24,14,FALSE)),0)+IFERROR(IF(VLOOKUP($B16,'PW G-Barrels'!$B$5:$AI$25,14,FALSE)=" ",0,VLOOKUP($B16,'PW G-Barrels'!$B$5:$AI$25,14,FALSE)),0)+IFERROR(IF(VLOOKUP($B16,'PW G-Poles'!$B$5:$AI$25,14,FALSE)=" ",0,VLOOKUP($B16,'PW G-Poles'!$B$5:$AI$25,14,FALSE)),0)+IFERROR(IF(VLOOKUP($B16,'PW G-Goats'!$B$5:$AI$24,14,FALSE)=" ",0,VLOOKUP($B16,'PW G-Goats'!$B$5:$AI$24,14,FALSE)),0)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IFERROR(IF(VLOOKUP($B16,'PW G-Breakaway'!$B$5:$AI$24,18,FALSE)=" ",0,VLOOKUP($B16,'PW G-Breakaway'!$B$5:$AI$24,18,FALSE)),0)+IFERROR(IF(VLOOKUP($B16,'PW G-Barrels'!$B$5:$AI$25,18,FALSE)=" ",0,VLOOKUP($B16,'PW G-Barrels'!$B$5:$AI$25,18,FALSE)),0)+IFERROR(IF(VLOOKUP($B16,'PW G-Poles'!$B$5:$AI$25,18,FALSE)=" ",0,VLOOKUP($B16,'PW G-Poles'!$B$5:$AI$25,18,FALSE)),0)+IFERROR(IF(VLOOKUP($B16,'PW G-Goats'!$B$5:$AI$24,18,FALSE)=" ",0,VLOOKUP($B16,'PW G-Goats'!$B$5:$AI$24,18,FALSE)),0)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IFERROR(IF(VLOOKUP($B16,'PW G-Breakaway'!$B$5:$AI$24,22,FALSE)=" ",0,VLOOKUP($B16,'PW G-Breakaway'!$B$5:$AI$24,22,FALSE)),0)+IFERROR(IF(VLOOKUP($B16,'PW G-Barrels'!$B$5:$AI$25,22,FALSE)=" ",0,VLOOKUP($B16,'PW G-Barrels'!$B$5:$AI$25,22,FALSE)),0)+IFERROR(IF(VLOOKUP($B16,'PW G-Poles'!$B$5:$AI$25,22,FALSE)=" ",0,VLOOKUP($B16,'PW G-Poles'!$B$5:$AI$25,22,FALSE)),0)+IFERROR(IF(VLOOKUP($B16,'PW G-Goats'!$B$5:$AI$24,22,FALSE)=" ",0,VLOOKUP($B16,'PW G-Goats'!$B$5:$AI$24,22,FALSE)),0)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IFERROR(IF(VLOOKUP($B16,'PW G-Breakaway'!$B$5:$AI$24,26,FALSE)=" ",0,VLOOKUP($B16,'PW G-Breakaway'!$B$5:$AI$24,26,FALSE)),0)+IFERROR(IF(VLOOKUP($B16,'PW G-Barrels'!$B$5:$AI$25,26,FALSE)=" ",0,VLOOKUP($B16,'PW G-Barrels'!$B$5:$AI$25,26,FALSE)),0)+IFERROR(IF(VLOOKUP($B16,'PW G-Poles'!$B$5:$AI$25,26,FALSE)=" ",0,VLOOKUP($B16,'PW G-Poles'!$B$5:$AI$25,26,FALSE)),0)+IFERROR(IF(VLOOKUP($B16,'PW G-Goats'!$B$5:$AI$24,26,FALSE)=" ",0,VLOOKUP($B16,'PW G-Goats'!$B$5:$AI$24,26,FALSE)),0)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IFERROR(IF(VLOOKUP($B16,'PW G-Breakaway'!$B$5:$AI$24,30,FALSE)=" ",0,VLOOKUP($B16,'PW G-Breakaway'!$B$5:$AI$24,30,FALSE)),0)+IFERROR(IF(VLOOKUP($B16,'PW G-Barrels'!$B$5:$AI$25,30,FALSE)=" ",0,VLOOKUP($B16,'PW G-Barrels'!$B$5:$AI$25,30,FALSE)),0)+IFERROR(IF(VLOOKUP($B16,'PW G-Poles'!$B$5:$AI$25,30,FALSE)=" ",0,VLOOKUP($B16,'PW G-Poles'!$B$5:$AI$25,30,FALSE)),0)+IFERROR(IF(VLOOKUP($B16,'PW G-Goats'!$B$5:$AI$24,30,FALSE)=" ",0,VLOOKUP($B16,'PW G-Goats'!$B$5:$AI$24,30,FALSE)),0)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IFERROR(IF(VLOOKUP($B16,'PW G-Breakaway'!$B$5:$AI$24,34,FALSE)=" ",0,VLOOKUP($B16,'PW G-Breakaway'!$B$5:$AI$24,34,FALSE)),0)+IFERROR(IF(VLOOKUP($B16,'PW G-Barrels'!$B$5:$AI$25,34,FALSE)=" ",0,VLOOKUP($B16,'PW G-Barrels'!$B$5:$AI$25,34,FALSE)),0)+IFERROR(IF(VLOOKUP($B16,'PW G-Poles'!$B$5:$AI$25,34,FALSE)=" ",0,VLOOKUP($B16,'PW G-Poles'!$B$5:$AI$25,34,FALSE)),0)+IFERROR(IF(VLOOKUP($B16,'PW G-Goats'!$B$5:$AI$24,34,FALSE)=" ",0,VLOOKUP($B16,'PW G-Goats'!$B$5:$AI$24,34,FALSE)),0)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24</v>
      </c>
      <c r="AB16" s="95">
        <f t="shared" si="16"/>
        <v>24</v>
      </c>
      <c r="AC16" s="91">
        <f t="shared" si="17"/>
        <v>12</v>
      </c>
    </row>
    <row r="17" spans="2:29" x14ac:dyDescent="0.25">
      <c r="B17" s="141" t="s">
        <v>217</v>
      </c>
      <c r="C17" s="120">
        <f>IFERROR(IF(VLOOKUP($B17,'PW G-Breakaway'!$B$5:$AI$24,6,FALSE)=" ",0,VLOOKUP($B17,'PW G-Breakaway'!$B$5:$AI$24,6,FALSE)),0)+IFERROR(IF(VLOOKUP($B17,'PW G-Barrels'!$B$5:$AI$25,6,FALSE)=" ",0,VLOOKUP($B17,'PW G-Barrels'!$B$5:$AI$25,6,FALSE)),0)+IFERROR(IF(VLOOKUP($B17,'PW G-Poles'!$B$5:$AI$25,6,FALSE)=" ",0,VLOOKUP($B17,'PW G-Poles'!$B$5:$AI$25,6,FALSE)),0)+IFERROR(IF(VLOOKUP($B17,'PW G-Goats'!$B$5:$AI$24,6,FALSE)=" ",0,VLOOKUP($B17,'PW G-Goats'!$B$5:$AI$24,6,FALSE)),0)</f>
        <v>18</v>
      </c>
      <c r="D17" s="95">
        <f t="shared" si="0"/>
        <v>18</v>
      </c>
      <c r="E17" s="91">
        <f t="shared" si="1"/>
        <v>5</v>
      </c>
      <c r="F17" s="121">
        <f>IFERROR(IF(VLOOKUP($B17,'PW G-Breakaway'!$B$5:$AI$24,10,FALSE)=" ",0,VLOOKUP($B17,'PW G-Breakaway'!$B$5:$AI$24,10,FALSE)),0)+IFERROR(IF(VLOOKUP($B17,'PW G-Barrels'!$B$5:$AI$25,10,FALSE)=" ",0,VLOOKUP($B17,'PW G-Barrels'!$B$5:$AI$25,10,FALSE)),0)+IFERROR(IF(VLOOKUP($B17,'PW G-Poles'!$B$5:$AI$25,10,FALSE)=" ",0,VLOOKUP($B17,'PW G-Poles'!$B$5:$AI$25,10,FALSE)),0)+IFERROR(IF(VLOOKUP($B17,'PW G-Goats'!$B$5:$AI$24,10,FALSE)=" ",0,VLOOKUP($B17,'PW G-Goats'!$B$5:$AI$24,10,FALSE)),0)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IFERROR(IF(VLOOKUP($B17,'PW G-Breakaway'!$B$5:$AI$24,14,FALSE)=" ",0,VLOOKUP($B17,'PW G-Breakaway'!$B$5:$AI$24,14,FALSE)),0)+IFERROR(IF(VLOOKUP($B17,'PW G-Barrels'!$B$5:$AI$25,14,FALSE)=" ",0,VLOOKUP($B17,'PW G-Barrels'!$B$5:$AI$25,14,FALSE)),0)+IFERROR(IF(VLOOKUP($B17,'PW G-Poles'!$B$5:$AI$25,14,FALSE)=" ",0,VLOOKUP($B17,'PW G-Poles'!$B$5:$AI$25,14,FALSE)),0)+IFERROR(IF(VLOOKUP($B17,'PW G-Goats'!$B$5:$AI$24,14,FALSE)=" ",0,VLOOKUP($B17,'PW G-Goats'!$B$5:$AI$24,14,FALSE)),0)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IFERROR(IF(VLOOKUP($B17,'PW G-Breakaway'!$B$5:$AI$24,18,FALSE)=" ",0,VLOOKUP($B17,'PW G-Breakaway'!$B$5:$AI$24,18,FALSE)),0)+IFERROR(IF(VLOOKUP($B17,'PW G-Barrels'!$B$5:$AI$25,18,FALSE)=" ",0,VLOOKUP($B17,'PW G-Barrels'!$B$5:$AI$25,18,FALSE)),0)+IFERROR(IF(VLOOKUP($B17,'PW G-Poles'!$B$5:$AI$25,18,FALSE)=" ",0,VLOOKUP($B17,'PW G-Poles'!$B$5:$AI$25,18,FALSE)),0)+IFERROR(IF(VLOOKUP($B17,'PW G-Goats'!$B$5:$AI$24,18,FALSE)=" ",0,VLOOKUP($B17,'PW G-Goats'!$B$5:$AI$24,18,FALSE)),0)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IFERROR(IF(VLOOKUP($B17,'PW G-Breakaway'!$B$5:$AI$24,22,FALSE)=" ",0,VLOOKUP($B17,'PW G-Breakaway'!$B$5:$AI$24,22,FALSE)),0)+IFERROR(IF(VLOOKUP($B17,'PW G-Barrels'!$B$5:$AI$25,22,FALSE)=" ",0,VLOOKUP($B17,'PW G-Barrels'!$B$5:$AI$25,22,FALSE)),0)+IFERROR(IF(VLOOKUP($B17,'PW G-Poles'!$B$5:$AI$25,22,FALSE)=" ",0,VLOOKUP($B17,'PW G-Poles'!$B$5:$AI$25,22,FALSE)),0)+IFERROR(IF(VLOOKUP($B17,'PW G-Goats'!$B$5:$AI$24,22,FALSE)=" ",0,VLOOKUP($B17,'PW G-Goats'!$B$5:$AI$24,22,FALSE)),0)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IFERROR(IF(VLOOKUP($B17,'PW G-Breakaway'!$B$5:$AI$24,26,FALSE)=" ",0,VLOOKUP($B17,'PW G-Breakaway'!$B$5:$AI$24,26,FALSE)),0)+IFERROR(IF(VLOOKUP($B17,'PW G-Barrels'!$B$5:$AI$25,26,FALSE)=" ",0,VLOOKUP($B17,'PW G-Barrels'!$B$5:$AI$25,26,FALSE)),0)+IFERROR(IF(VLOOKUP($B17,'PW G-Poles'!$B$5:$AI$25,26,FALSE)=" ",0,VLOOKUP($B17,'PW G-Poles'!$B$5:$AI$25,26,FALSE)),0)+IFERROR(IF(VLOOKUP($B17,'PW G-Goats'!$B$5:$AI$24,26,FALSE)=" ",0,VLOOKUP($B17,'PW G-Goats'!$B$5:$AI$24,26,FALSE)),0)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IFERROR(IF(VLOOKUP($B17,'PW G-Breakaway'!$B$5:$AI$24,30,FALSE)=" ",0,VLOOKUP($B17,'PW G-Breakaway'!$B$5:$AI$24,30,FALSE)),0)+IFERROR(IF(VLOOKUP($B17,'PW G-Barrels'!$B$5:$AI$25,30,FALSE)=" ",0,VLOOKUP($B17,'PW G-Barrels'!$B$5:$AI$25,30,FALSE)),0)+IFERROR(IF(VLOOKUP($B17,'PW G-Poles'!$B$5:$AI$25,30,FALSE)=" ",0,VLOOKUP($B17,'PW G-Poles'!$B$5:$AI$25,30,FALSE)),0)+IFERROR(IF(VLOOKUP($B17,'PW G-Goats'!$B$5:$AI$24,30,FALSE)=" ",0,VLOOKUP($B17,'PW G-Goats'!$B$5:$AI$24,30,FALSE)),0)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IFERROR(IF(VLOOKUP($B17,'PW G-Breakaway'!$B$5:$AI$24,34,FALSE)=" ",0,VLOOKUP($B17,'PW G-Breakaway'!$B$5:$AI$24,34,FALSE)),0)+IFERROR(IF(VLOOKUP($B17,'PW G-Barrels'!$B$5:$AI$25,34,FALSE)=" ",0,VLOOKUP($B17,'PW G-Barrels'!$B$5:$AI$25,34,FALSE)),0)+IFERROR(IF(VLOOKUP($B17,'PW G-Poles'!$B$5:$AI$25,34,FALSE)=" ",0,VLOOKUP($B17,'PW G-Poles'!$B$5:$AI$25,34,FALSE)),0)+IFERROR(IF(VLOOKUP($B17,'PW G-Goats'!$B$5:$AI$24,34,FALSE)=" ",0,VLOOKUP($B17,'PW G-Goats'!$B$5:$AI$24,34,FALSE)),0)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18</v>
      </c>
      <c r="AB17" s="95">
        <f t="shared" si="16"/>
        <v>18</v>
      </c>
      <c r="AC17" s="91">
        <f t="shared" si="17"/>
        <v>13</v>
      </c>
    </row>
    <row r="18" spans="2:29" x14ac:dyDescent="0.25">
      <c r="B18" s="154" t="s">
        <v>88</v>
      </c>
      <c r="C18" s="120">
        <f>IFERROR(IF(VLOOKUP($B18,'PW G-Breakaway'!$B$5:$AI$24,6,FALSE)=" ",0,VLOOKUP($B18,'PW G-Breakaway'!$B$5:$AI$24,6,FALSE)),0)+IFERROR(IF(VLOOKUP($B18,'PW G-Barrels'!$B$5:$AI$25,6,FALSE)=" ",0,VLOOKUP($B18,'PW G-Barrels'!$B$5:$AI$25,6,FALSE)),0)+IFERROR(IF(VLOOKUP($B18,'PW G-Poles'!$B$5:$AI$25,6,FALSE)=" ",0,VLOOKUP($B18,'PW G-Poles'!$B$5:$AI$25,6,FALSE)),0)+IFERROR(IF(VLOOKUP($B18,'PW G-Goats'!$B$5:$AI$24,6,FALSE)=" ",0,VLOOKUP($B18,'PW G-Goats'!$B$5:$AI$24,6,FALSE)),0)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IFERROR(IF(VLOOKUP($B18,'PW G-Breakaway'!$B$5:$AI$24,10,FALSE)=" ",0,VLOOKUP($B18,'PW G-Breakaway'!$B$5:$AI$24,10,FALSE)),0)+IFERROR(IF(VLOOKUP($B18,'PW G-Barrels'!$B$5:$AI$25,10,FALSE)=" ",0,VLOOKUP($B18,'PW G-Barrels'!$B$5:$AI$25,10,FALSE)),0)+IFERROR(IF(VLOOKUP($B18,'PW G-Poles'!$B$5:$AI$25,10,FALSE)=" ",0,VLOOKUP($B18,'PW G-Poles'!$B$5:$AI$25,10,FALSE)),0)+IFERROR(IF(VLOOKUP($B18,'PW G-Goats'!$B$5:$AI$24,10,FALSE)=" ",0,VLOOKUP($B18,'PW G-Goats'!$B$5:$AI$24,10,FALSE)),0)</f>
        <v>3</v>
      </c>
      <c r="G18" s="95">
        <f t="shared" si="2"/>
        <v>3</v>
      </c>
      <c r="H18" s="91">
        <f t="shared" si="3"/>
        <v>11</v>
      </c>
      <c r="I18" s="121">
        <f>IFERROR(IF(VLOOKUP($B18,'PW G-Breakaway'!$B$5:$AI$24,14,FALSE)=" ",0,VLOOKUP($B18,'PW G-Breakaway'!$B$5:$AI$24,14,FALSE)),0)+IFERROR(IF(VLOOKUP($B18,'PW G-Barrels'!$B$5:$AI$25,14,FALSE)=" ",0,VLOOKUP($B18,'PW G-Barrels'!$B$5:$AI$25,14,FALSE)),0)+IFERROR(IF(VLOOKUP($B18,'PW G-Poles'!$B$5:$AI$25,14,FALSE)=" ",0,VLOOKUP($B18,'PW G-Poles'!$B$5:$AI$25,14,FALSE)),0)+IFERROR(IF(VLOOKUP($B18,'PW G-Goats'!$B$5:$AI$24,14,FALSE)=" ",0,VLOOKUP($B18,'PW G-Goats'!$B$5:$AI$24,14,FALSE)),0)</f>
        <v>6</v>
      </c>
      <c r="J18" s="95">
        <f t="shared" si="4"/>
        <v>6</v>
      </c>
      <c r="K18" s="91">
        <f t="shared" si="5"/>
        <v>9</v>
      </c>
      <c r="L18" s="121">
        <f>IFERROR(IF(VLOOKUP($B18,'PW G-Breakaway'!$B$5:$AI$24,18,FALSE)=" ",0,VLOOKUP($B18,'PW G-Breakaway'!$B$5:$AI$24,18,FALSE)),0)+IFERROR(IF(VLOOKUP($B18,'PW G-Barrels'!$B$5:$AI$25,18,FALSE)=" ",0,VLOOKUP($B18,'PW G-Barrels'!$B$5:$AI$25,18,FALSE)),0)+IFERROR(IF(VLOOKUP($B18,'PW G-Poles'!$B$5:$AI$25,18,FALSE)=" ",0,VLOOKUP($B18,'PW G-Poles'!$B$5:$AI$25,18,FALSE)),0)+IFERROR(IF(VLOOKUP($B18,'PW G-Goats'!$B$5:$AI$24,18,FALSE)=" ",0,VLOOKUP($B18,'PW G-Goats'!$B$5:$AI$24,18,FALSE)),0)</f>
        <v>3</v>
      </c>
      <c r="M18" s="95">
        <f t="shared" si="6"/>
        <v>3</v>
      </c>
      <c r="N18" s="91">
        <f t="shared" si="7"/>
        <v>10</v>
      </c>
      <c r="O18" s="121">
        <f>IFERROR(IF(VLOOKUP($B18,'PW G-Breakaway'!$B$5:$AI$24,22,FALSE)=" ",0,VLOOKUP($B18,'PW G-Breakaway'!$B$5:$AI$24,22,FALSE)),0)+IFERROR(IF(VLOOKUP($B18,'PW G-Barrels'!$B$5:$AI$25,22,FALSE)=" ",0,VLOOKUP($B18,'PW G-Barrels'!$B$5:$AI$25,22,FALSE)),0)+IFERROR(IF(VLOOKUP($B18,'PW G-Poles'!$B$5:$AI$25,22,FALSE)=" ",0,VLOOKUP($B18,'PW G-Poles'!$B$5:$AI$25,22,FALSE)),0)+IFERROR(IF(VLOOKUP($B18,'PW G-Goats'!$B$5:$AI$24,22,FALSE)=" ",0,VLOOKUP($B18,'PW G-Goats'!$B$5:$AI$24,22,FALSE)),0)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IFERROR(IF(VLOOKUP($B18,'PW G-Breakaway'!$B$5:$AI$24,26,FALSE)=" ",0,VLOOKUP($B18,'PW G-Breakaway'!$B$5:$AI$24,26,FALSE)),0)+IFERROR(IF(VLOOKUP($B18,'PW G-Barrels'!$B$5:$AI$25,26,FALSE)=" ",0,VLOOKUP($B18,'PW G-Barrels'!$B$5:$AI$25,26,FALSE)),0)+IFERROR(IF(VLOOKUP($B18,'PW G-Poles'!$B$5:$AI$25,26,FALSE)=" ",0,VLOOKUP($B18,'PW G-Poles'!$B$5:$AI$25,26,FALSE)),0)+IFERROR(IF(VLOOKUP($B18,'PW G-Goats'!$B$5:$AI$24,26,FALSE)=" ",0,VLOOKUP($B18,'PW G-Goats'!$B$5:$AI$24,26,FALSE)),0)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IFERROR(IF(VLOOKUP($B18,'PW G-Breakaway'!$B$5:$AI$24,30,FALSE)=" ",0,VLOOKUP($B18,'PW G-Breakaway'!$B$5:$AI$24,30,FALSE)),0)+IFERROR(IF(VLOOKUP($B18,'PW G-Barrels'!$B$5:$AI$25,30,FALSE)=" ",0,VLOOKUP($B18,'PW G-Barrels'!$B$5:$AI$25,30,FALSE)),0)+IFERROR(IF(VLOOKUP($B18,'PW G-Poles'!$B$5:$AI$25,30,FALSE)=" ",0,VLOOKUP($B18,'PW G-Poles'!$B$5:$AI$25,30,FALSE)),0)+IFERROR(IF(VLOOKUP($B18,'PW G-Goats'!$B$5:$AI$24,30,FALSE)=" ",0,VLOOKUP($B18,'PW G-Goats'!$B$5:$AI$24,30,FALSE)),0)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IFERROR(IF(VLOOKUP($B18,'PW G-Breakaway'!$B$5:$AI$24,34,FALSE)=" ",0,VLOOKUP($B18,'PW G-Breakaway'!$B$5:$AI$24,34,FALSE)),0)+IFERROR(IF(VLOOKUP($B18,'PW G-Barrels'!$B$5:$AI$25,34,FALSE)=" ",0,VLOOKUP($B18,'PW G-Barrels'!$B$5:$AI$25,34,FALSE)),0)+IFERROR(IF(VLOOKUP($B18,'PW G-Poles'!$B$5:$AI$25,34,FALSE)=" ",0,VLOOKUP($B18,'PW G-Poles'!$B$5:$AI$25,34,FALSE)),0)+IFERROR(IF(VLOOKUP($B18,'PW G-Goats'!$B$5:$AI$24,34,FALSE)=" ",0,VLOOKUP($B18,'PW G-Goats'!$B$5:$AI$24,34,FALSE)),0)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12</v>
      </c>
      <c r="AB18" s="95">
        <f t="shared" si="16"/>
        <v>12</v>
      </c>
      <c r="AC18" s="91">
        <f t="shared" si="17"/>
        <v>14</v>
      </c>
    </row>
    <row r="19" spans="2:29" x14ac:dyDescent="0.25">
      <c r="B19" s="142" t="s">
        <v>216</v>
      </c>
      <c r="C19" s="120">
        <f>IFERROR(IF(VLOOKUP($B19,'PW G-Breakaway'!$B$5:$AI$24,6,FALSE)=" ",0,VLOOKUP($B19,'PW G-Breakaway'!$B$5:$AI$24,6,FALSE)),0)+IFERROR(IF(VLOOKUP($B19,'PW G-Barrels'!$B$5:$AI$25,6,FALSE)=" ",0,VLOOKUP($B19,'PW G-Barrels'!$B$5:$AI$25,6,FALSE)),0)+IFERROR(IF(VLOOKUP($B19,'PW G-Poles'!$B$5:$AI$25,6,FALSE)=" ",0,VLOOKUP($B19,'PW G-Poles'!$B$5:$AI$25,6,FALSE)),0)+IFERROR(IF(VLOOKUP($B19,'PW G-Goats'!$B$5:$AI$24,6,FALSE)=" ",0,VLOOKUP($B19,'PW G-Goats'!$B$5:$AI$24,6,FALSE)),0)</f>
        <v>0</v>
      </c>
      <c r="D19" s="95" t="str">
        <f t="shared" si="0"/>
        <v xml:space="preserve"> </v>
      </c>
      <c r="E19" s="122" t="str">
        <f t="shared" si="1"/>
        <v xml:space="preserve"> </v>
      </c>
      <c r="F19" s="121">
        <f>IFERROR(IF(VLOOKUP($B19,'PW G-Breakaway'!$B$5:$AI$24,10,FALSE)=" ",0,VLOOKUP($B19,'PW G-Breakaway'!$B$5:$AI$24,10,FALSE)),0)+IFERROR(IF(VLOOKUP($B19,'PW G-Barrels'!$B$5:$AI$25,10,FALSE)=" ",0,VLOOKUP($B19,'PW G-Barrels'!$B$5:$AI$25,10,FALSE)),0)+IFERROR(IF(VLOOKUP($B19,'PW G-Poles'!$B$5:$AI$25,10,FALSE)=" ",0,VLOOKUP($B19,'PW G-Poles'!$B$5:$AI$25,10,FALSE)),0)+IFERROR(IF(VLOOKUP($B19,'PW G-Goats'!$B$5:$AI$24,10,FALSE)=" ",0,VLOOKUP($B19,'PW G-Goats'!$B$5:$AI$24,10,FALSE)),0)</f>
        <v>3</v>
      </c>
      <c r="G19" s="95">
        <f t="shared" si="2"/>
        <v>3</v>
      </c>
      <c r="H19" s="122">
        <f t="shared" si="3"/>
        <v>11</v>
      </c>
      <c r="I19" s="121">
        <f>IFERROR(IF(VLOOKUP($B19,'PW G-Breakaway'!$B$5:$AI$24,14,FALSE)=" ",0,VLOOKUP($B19,'PW G-Breakaway'!$B$5:$AI$24,14,FALSE)),0)+IFERROR(IF(VLOOKUP($B19,'PW G-Barrels'!$B$5:$AI$25,14,FALSE)=" ",0,VLOOKUP($B19,'PW G-Barrels'!$B$5:$AI$25,14,FALSE)),0)+IFERROR(IF(VLOOKUP($B19,'PW G-Poles'!$B$5:$AI$25,14,FALSE)=" ",0,VLOOKUP($B19,'PW G-Poles'!$B$5:$AI$25,14,FALSE)),0)+IFERROR(IF(VLOOKUP($B19,'PW G-Goats'!$B$5:$AI$24,14,FALSE)=" ",0,VLOOKUP($B19,'PW G-Goats'!$B$5:$AI$24,14,FALSE)),0)</f>
        <v>0</v>
      </c>
      <c r="J19" s="95" t="str">
        <f t="shared" si="4"/>
        <v xml:space="preserve"> </v>
      </c>
      <c r="K19" s="122" t="str">
        <f t="shared" si="5"/>
        <v xml:space="preserve"> </v>
      </c>
      <c r="L19" s="121">
        <f>IFERROR(IF(VLOOKUP($B19,'PW G-Breakaway'!$B$5:$AI$24,18,FALSE)=" ",0,VLOOKUP($B19,'PW G-Breakaway'!$B$5:$AI$24,18,FALSE)),0)+IFERROR(IF(VLOOKUP($B19,'PW G-Barrels'!$B$5:$AI$25,18,FALSE)=" ",0,VLOOKUP($B19,'PW G-Barrels'!$B$5:$AI$25,18,FALSE)),0)+IFERROR(IF(VLOOKUP($B19,'PW G-Poles'!$B$5:$AI$25,18,FALSE)=" ",0,VLOOKUP($B19,'PW G-Poles'!$B$5:$AI$25,18,FALSE)),0)+IFERROR(IF(VLOOKUP($B19,'PW G-Goats'!$B$5:$AI$24,18,FALSE)=" ",0,VLOOKUP($B19,'PW G-Goats'!$B$5:$AI$24,18,FALSE)),0)</f>
        <v>0</v>
      </c>
      <c r="M19" s="95" t="str">
        <f t="shared" si="6"/>
        <v xml:space="preserve"> </v>
      </c>
      <c r="N19" s="122" t="str">
        <f t="shared" si="7"/>
        <v xml:space="preserve"> </v>
      </c>
      <c r="O19" s="121">
        <f>IFERROR(IF(VLOOKUP($B19,'PW G-Breakaway'!$B$5:$AI$24,22,FALSE)=" ",0,VLOOKUP($B19,'PW G-Breakaway'!$B$5:$AI$24,22,FALSE)),0)+IFERROR(IF(VLOOKUP($B19,'PW G-Barrels'!$B$5:$AI$25,22,FALSE)=" ",0,VLOOKUP($B19,'PW G-Barrels'!$B$5:$AI$25,22,FALSE)),0)+IFERROR(IF(VLOOKUP($B19,'PW G-Poles'!$B$5:$AI$25,22,FALSE)=" ",0,VLOOKUP($B19,'PW G-Poles'!$B$5:$AI$25,22,FALSE)),0)+IFERROR(IF(VLOOKUP($B19,'PW G-Goats'!$B$5:$AI$24,22,FALSE)=" ",0,VLOOKUP($B19,'PW G-Goats'!$B$5:$AI$24,22,FALSE)),0)</f>
        <v>0</v>
      </c>
      <c r="P19" s="95" t="str">
        <f t="shared" si="8"/>
        <v xml:space="preserve"> </v>
      </c>
      <c r="Q19" s="122" t="str">
        <f t="shared" si="9"/>
        <v xml:space="preserve"> </v>
      </c>
      <c r="R19" s="121">
        <f>IFERROR(IF(VLOOKUP($B19,'PW G-Breakaway'!$B$5:$AI$24,26,FALSE)=" ",0,VLOOKUP($B19,'PW G-Breakaway'!$B$5:$AI$24,26,FALSE)),0)+IFERROR(IF(VLOOKUP($B19,'PW G-Barrels'!$B$5:$AI$25,26,FALSE)=" ",0,VLOOKUP($B19,'PW G-Barrels'!$B$5:$AI$25,26,FALSE)),0)+IFERROR(IF(VLOOKUP($B19,'PW G-Poles'!$B$5:$AI$25,26,FALSE)=" ",0,VLOOKUP($B19,'PW G-Poles'!$B$5:$AI$25,26,FALSE)),0)+IFERROR(IF(VLOOKUP($B19,'PW G-Goats'!$B$5:$AI$24,26,FALSE)=" ",0,VLOOKUP($B19,'PW G-Goats'!$B$5:$AI$24,26,FALSE)),0)</f>
        <v>0</v>
      </c>
      <c r="S19" s="95" t="str">
        <f t="shared" si="10"/>
        <v xml:space="preserve"> </v>
      </c>
      <c r="T19" s="122" t="str">
        <f t="shared" si="11"/>
        <v xml:space="preserve"> </v>
      </c>
      <c r="U19" s="121">
        <f>IFERROR(IF(VLOOKUP($B19,'PW G-Breakaway'!$B$5:$AI$24,30,FALSE)=" ",0,VLOOKUP($B19,'PW G-Breakaway'!$B$5:$AI$24,30,FALSE)),0)+IFERROR(IF(VLOOKUP($B19,'PW G-Barrels'!$B$5:$AI$25,30,FALSE)=" ",0,VLOOKUP($B19,'PW G-Barrels'!$B$5:$AI$25,30,FALSE)),0)+IFERROR(IF(VLOOKUP($B19,'PW G-Poles'!$B$5:$AI$25,30,FALSE)=" ",0,VLOOKUP($B19,'PW G-Poles'!$B$5:$AI$25,30,FALSE)),0)+IFERROR(IF(VLOOKUP($B19,'PW G-Goats'!$B$5:$AI$24,30,FALSE)=" ",0,VLOOKUP($B19,'PW G-Goats'!$B$5:$AI$24,30,FALSE)),0)</f>
        <v>0</v>
      </c>
      <c r="V19" s="95" t="str">
        <f t="shared" si="12"/>
        <v xml:space="preserve"> </v>
      </c>
      <c r="W19" s="122" t="str">
        <f t="shared" si="13"/>
        <v xml:space="preserve"> </v>
      </c>
      <c r="X19" s="121">
        <f>IFERROR(IF(VLOOKUP($B19,'PW G-Breakaway'!$B$5:$AI$24,34,FALSE)=" ",0,VLOOKUP($B19,'PW G-Breakaway'!$B$5:$AI$24,34,FALSE)),0)+IFERROR(IF(VLOOKUP($B19,'PW G-Barrels'!$B$5:$AI$25,34,FALSE)=" ",0,VLOOKUP($B19,'PW G-Barrels'!$B$5:$AI$25,34,FALSE)),0)+IFERROR(IF(VLOOKUP($B19,'PW G-Poles'!$B$5:$AI$25,34,FALSE)=" ",0,VLOOKUP($B19,'PW G-Poles'!$B$5:$AI$25,34,FALSE)),0)+IFERROR(IF(VLOOKUP($B19,'PW G-Goats'!$B$5:$AI$24,34,FALSE)=" ",0,VLOOKUP($B19,'PW G-Goats'!$B$5:$AI$24,34,FALSE)),0)</f>
        <v>0</v>
      </c>
      <c r="Y19" s="95" t="str">
        <f t="shared" si="14"/>
        <v xml:space="preserve"> </v>
      </c>
      <c r="Z19" s="122" t="str">
        <f t="shared" si="15"/>
        <v xml:space="preserve"> </v>
      </c>
      <c r="AA19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3</v>
      </c>
      <c r="AB19" s="95">
        <f t="shared" si="16"/>
        <v>3</v>
      </c>
      <c r="AC19" s="122">
        <f t="shared" si="17"/>
        <v>15</v>
      </c>
    </row>
    <row r="20" spans="2:29" x14ac:dyDescent="0.25">
      <c r="B20" s="142" t="s">
        <v>97</v>
      </c>
      <c r="C20" s="120">
        <f>IFERROR(IF(VLOOKUP($B20,'PW G-Breakaway'!$B$5:$AI$24,6,FALSE)=" ",0,VLOOKUP($B20,'PW G-Breakaway'!$B$5:$AI$24,6,FALSE)),0)+IFERROR(IF(VLOOKUP($B20,'PW G-Barrels'!$B$5:$AI$25,6,FALSE)=" ",0,VLOOKUP($B20,'PW G-Barrels'!$B$5:$AI$25,6,FALSE)),0)+IFERROR(IF(VLOOKUP($B20,'PW G-Poles'!$B$5:$AI$25,6,FALSE)=" ",0,VLOOKUP($B20,'PW G-Poles'!$B$5:$AI$25,6,FALSE)),0)+IFERROR(IF(VLOOKUP($B20,'PW G-Goats'!$B$5:$AI$24,6,FALSE)=" ",0,VLOOKUP($B20,'PW G-Goats'!$B$5:$AI$24,6,FALSE)),0)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IFERROR(IF(VLOOKUP($B20,'PW G-Breakaway'!$B$5:$AI$24,10,FALSE)=" ",0,VLOOKUP($B20,'PW G-Breakaway'!$B$5:$AI$24,10,FALSE)),0)+IFERROR(IF(VLOOKUP($B20,'PW G-Barrels'!$B$5:$AI$25,10,FALSE)=" ",0,VLOOKUP($B20,'PW G-Barrels'!$B$5:$AI$25,10,FALSE)),0)+IFERROR(IF(VLOOKUP($B20,'PW G-Poles'!$B$5:$AI$25,10,FALSE)=" ",0,VLOOKUP($B20,'PW G-Poles'!$B$5:$AI$25,10,FALSE)),0)+IFERROR(IF(VLOOKUP($B20,'PW G-Goats'!$B$5:$AI$24,10,FALSE)=" ",0,VLOOKUP($B20,'PW G-Goats'!$B$5:$AI$24,10,FALSE)),0)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IFERROR(IF(VLOOKUP($B20,'PW G-Breakaway'!$B$5:$AI$24,14,FALSE)=" ",0,VLOOKUP($B20,'PW G-Breakaway'!$B$5:$AI$24,14,FALSE)),0)+IFERROR(IF(VLOOKUP($B20,'PW G-Barrels'!$B$5:$AI$25,14,FALSE)=" ",0,VLOOKUP($B20,'PW G-Barrels'!$B$5:$AI$25,14,FALSE)),0)+IFERROR(IF(VLOOKUP($B20,'PW G-Poles'!$B$5:$AI$25,14,FALSE)=" ",0,VLOOKUP($B20,'PW G-Poles'!$B$5:$AI$25,14,FALSE)),0)+IFERROR(IF(VLOOKUP($B20,'PW G-Goats'!$B$5:$AI$24,14,FALSE)=" ",0,VLOOKUP($B20,'PW G-Goats'!$B$5:$AI$24,14,FALSE)),0)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IFERROR(IF(VLOOKUP($B20,'PW G-Breakaway'!$B$5:$AI$24,18,FALSE)=" ",0,VLOOKUP($B20,'PW G-Breakaway'!$B$5:$AI$24,18,FALSE)),0)+IFERROR(IF(VLOOKUP($B20,'PW G-Barrels'!$B$5:$AI$25,18,FALSE)=" ",0,VLOOKUP($B20,'PW G-Barrels'!$B$5:$AI$25,18,FALSE)),0)+IFERROR(IF(VLOOKUP($B20,'PW G-Poles'!$B$5:$AI$25,18,FALSE)=" ",0,VLOOKUP($B20,'PW G-Poles'!$B$5:$AI$25,18,FALSE)),0)+IFERROR(IF(VLOOKUP($B20,'PW G-Goats'!$B$5:$AI$24,18,FALSE)=" ",0,VLOOKUP($B20,'PW G-Goats'!$B$5:$AI$24,18,FALSE)),0)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IFERROR(IF(VLOOKUP($B20,'PW G-Breakaway'!$B$5:$AI$24,22,FALSE)=" ",0,VLOOKUP($B20,'PW G-Breakaway'!$B$5:$AI$24,22,FALSE)),0)+IFERROR(IF(VLOOKUP($B20,'PW G-Barrels'!$B$5:$AI$25,22,FALSE)=" ",0,VLOOKUP($B20,'PW G-Barrels'!$B$5:$AI$25,22,FALSE)),0)+IFERROR(IF(VLOOKUP($B20,'PW G-Poles'!$B$5:$AI$25,22,FALSE)=" ",0,VLOOKUP($B20,'PW G-Poles'!$B$5:$AI$25,22,FALSE)),0)+IFERROR(IF(VLOOKUP($B20,'PW G-Goats'!$B$5:$AI$24,22,FALSE)=" ",0,VLOOKUP($B20,'PW G-Goats'!$B$5:$AI$24,22,FALSE)),0)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IFERROR(IF(VLOOKUP($B20,'PW G-Breakaway'!$B$5:$AI$24,26,FALSE)=" ",0,VLOOKUP($B20,'PW G-Breakaway'!$B$5:$AI$24,26,FALSE)),0)+IFERROR(IF(VLOOKUP($B20,'PW G-Barrels'!$B$5:$AI$25,26,FALSE)=" ",0,VLOOKUP($B20,'PW G-Barrels'!$B$5:$AI$25,26,FALSE)),0)+IFERROR(IF(VLOOKUP($B20,'PW G-Poles'!$B$5:$AI$25,26,FALSE)=" ",0,VLOOKUP($B20,'PW G-Poles'!$B$5:$AI$25,26,FALSE)),0)+IFERROR(IF(VLOOKUP($B20,'PW G-Goats'!$B$5:$AI$24,26,FALSE)=" ",0,VLOOKUP($B20,'PW G-Goats'!$B$5:$AI$24,26,FALSE)),0)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IFERROR(IF(VLOOKUP($B20,'PW G-Breakaway'!$B$5:$AI$24,30,FALSE)=" ",0,VLOOKUP($B20,'PW G-Breakaway'!$B$5:$AI$24,30,FALSE)),0)+IFERROR(IF(VLOOKUP($B20,'PW G-Barrels'!$B$5:$AI$25,30,FALSE)=" ",0,VLOOKUP($B20,'PW G-Barrels'!$B$5:$AI$25,30,FALSE)),0)+IFERROR(IF(VLOOKUP($B20,'PW G-Poles'!$B$5:$AI$25,30,FALSE)=" ",0,VLOOKUP($B20,'PW G-Poles'!$B$5:$AI$25,30,FALSE)),0)+IFERROR(IF(VLOOKUP($B20,'PW G-Goats'!$B$5:$AI$24,30,FALSE)=" ",0,VLOOKUP($B20,'PW G-Goats'!$B$5:$AI$24,30,FALSE)),0)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IFERROR(IF(VLOOKUP($B20,'PW G-Breakaway'!$B$5:$AI$24,34,FALSE)=" ",0,VLOOKUP($B20,'PW G-Breakaway'!$B$5:$AI$24,34,FALSE)),0)+IFERROR(IF(VLOOKUP($B20,'PW G-Barrels'!$B$5:$AI$25,34,FALSE)=" ",0,VLOOKUP($B20,'PW G-Barrels'!$B$5:$AI$25,34,FALSE)),0)+IFERROR(IF(VLOOKUP($B20,'PW G-Poles'!$B$5:$AI$25,34,FALSE)=" ",0,VLOOKUP($B20,'PW G-Poles'!$B$5:$AI$25,34,FALSE)),0)+IFERROR(IF(VLOOKUP($B20,'PW G-Goats'!$B$5:$AI$24,34,FALSE)=" ",0,VLOOKUP($B20,'PW G-Goats'!$B$5:$AI$24,34,FALSE)),0)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25">
      <c r="B21" s="142" t="s">
        <v>215</v>
      </c>
      <c r="C21" s="120">
        <f>IFERROR(IF(VLOOKUP($B21,'PW G-Breakaway'!$B$5:$AI$24,6,FALSE)=" ",0,VLOOKUP($B21,'PW G-Breakaway'!$B$5:$AI$24,6,FALSE)),0)+IFERROR(IF(VLOOKUP($B21,'PW G-Barrels'!$B$5:$AI$25,6,FALSE)=" ",0,VLOOKUP($B21,'PW G-Barrels'!$B$5:$AI$25,6,FALSE)),0)+IFERROR(IF(VLOOKUP($B21,'PW G-Poles'!$B$5:$AI$25,6,FALSE)=" ",0,VLOOKUP($B21,'PW G-Poles'!$B$5:$AI$25,6,FALSE)),0)+IFERROR(IF(VLOOKUP($B21,'PW G-Goats'!$B$5:$AI$24,6,FALSE)=" ",0,VLOOKUP($B21,'PW G-Goats'!$B$5:$AI$24,6,FALSE)),0)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IFERROR(IF(VLOOKUP($B21,'PW G-Breakaway'!$B$5:$AI$24,10,FALSE)=" ",0,VLOOKUP($B21,'PW G-Breakaway'!$B$5:$AI$24,10,FALSE)),0)+IFERROR(IF(VLOOKUP($B21,'PW G-Barrels'!$B$5:$AI$25,10,FALSE)=" ",0,VLOOKUP($B21,'PW G-Barrels'!$B$5:$AI$25,10,FALSE)),0)+IFERROR(IF(VLOOKUP($B21,'PW G-Poles'!$B$5:$AI$25,10,FALSE)=" ",0,VLOOKUP($B21,'PW G-Poles'!$B$5:$AI$25,10,FALSE)),0)+IFERROR(IF(VLOOKUP($B21,'PW G-Goats'!$B$5:$AI$24,10,FALSE)=" ",0,VLOOKUP($B21,'PW G-Goats'!$B$5:$AI$24,10,FALSE)),0)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IFERROR(IF(VLOOKUP($B21,'PW G-Breakaway'!$B$5:$AI$24,14,FALSE)=" ",0,VLOOKUP($B21,'PW G-Breakaway'!$B$5:$AI$24,14,FALSE)),0)+IFERROR(IF(VLOOKUP($B21,'PW G-Barrels'!$B$5:$AI$25,14,FALSE)=" ",0,VLOOKUP($B21,'PW G-Barrels'!$B$5:$AI$25,14,FALSE)),0)+IFERROR(IF(VLOOKUP($B21,'PW G-Poles'!$B$5:$AI$25,14,FALSE)=" ",0,VLOOKUP($B21,'PW G-Poles'!$B$5:$AI$25,14,FALSE)),0)+IFERROR(IF(VLOOKUP($B21,'PW G-Goats'!$B$5:$AI$24,14,FALSE)=" ",0,VLOOKUP($B21,'PW G-Goats'!$B$5:$AI$24,14,FALSE)),0)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IFERROR(IF(VLOOKUP($B21,'PW G-Breakaway'!$B$5:$AI$24,18,FALSE)=" ",0,VLOOKUP($B21,'PW G-Breakaway'!$B$5:$AI$24,18,FALSE)),0)+IFERROR(IF(VLOOKUP($B21,'PW G-Barrels'!$B$5:$AI$25,18,FALSE)=" ",0,VLOOKUP($B21,'PW G-Barrels'!$B$5:$AI$25,18,FALSE)),0)+IFERROR(IF(VLOOKUP($B21,'PW G-Poles'!$B$5:$AI$25,18,FALSE)=" ",0,VLOOKUP($B21,'PW G-Poles'!$B$5:$AI$25,18,FALSE)),0)+IFERROR(IF(VLOOKUP($B21,'PW G-Goats'!$B$5:$AI$24,18,FALSE)=" ",0,VLOOKUP($B21,'PW G-Goats'!$B$5:$AI$24,18,FALSE)),0)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IFERROR(IF(VLOOKUP($B21,'PW G-Breakaway'!$B$5:$AI$24,22,FALSE)=" ",0,VLOOKUP($B21,'PW G-Breakaway'!$B$5:$AI$24,22,FALSE)),0)+IFERROR(IF(VLOOKUP($B21,'PW G-Barrels'!$B$5:$AI$25,22,FALSE)=" ",0,VLOOKUP($B21,'PW G-Barrels'!$B$5:$AI$25,22,FALSE)),0)+IFERROR(IF(VLOOKUP($B21,'PW G-Poles'!$B$5:$AI$25,22,FALSE)=" ",0,VLOOKUP($B21,'PW G-Poles'!$B$5:$AI$25,22,FALSE)),0)+IFERROR(IF(VLOOKUP($B21,'PW G-Goats'!$B$5:$AI$24,22,FALSE)=" ",0,VLOOKUP($B21,'PW G-Goats'!$B$5:$AI$24,22,FALSE)),0)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IFERROR(IF(VLOOKUP($B21,'PW G-Breakaway'!$B$5:$AI$24,26,FALSE)=" ",0,VLOOKUP($B21,'PW G-Breakaway'!$B$5:$AI$24,26,FALSE)),0)+IFERROR(IF(VLOOKUP($B21,'PW G-Barrels'!$B$5:$AI$25,26,FALSE)=" ",0,VLOOKUP($B21,'PW G-Barrels'!$B$5:$AI$25,26,FALSE)),0)+IFERROR(IF(VLOOKUP($B21,'PW G-Poles'!$B$5:$AI$25,26,FALSE)=" ",0,VLOOKUP($B21,'PW G-Poles'!$B$5:$AI$25,26,FALSE)),0)+IFERROR(IF(VLOOKUP($B21,'PW G-Goats'!$B$5:$AI$24,26,FALSE)=" ",0,VLOOKUP($B21,'PW G-Goats'!$B$5:$AI$24,26,FALSE)),0)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IFERROR(IF(VLOOKUP($B21,'PW G-Breakaway'!$B$5:$AI$24,30,FALSE)=" ",0,VLOOKUP($B21,'PW G-Breakaway'!$B$5:$AI$24,30,FALSE)),0)+IFERROR(IF(VLOOKUP($B21,'PW G-Barrels'!$B$5:$AI$25,30,FALSE)=" ",0,VLOOKUP($B21,'PW G-Barrels'!$B$5:$AI$25,30,FALSE)),0)+IFERROR(IF(VLOOKUP($B21,'PW G-Poles'!$B$5:$AI$25,30,FALSE)=" ",0,VLOOKUP($B21,'PW G-Poles'!$B$5:$AI$25,30,FALSE)),0)+IFERROR(IF(VLOOKUP($B21,'PW G-Goats'!$B$5:$AI$24,30,FALSE)=" ",0,VLOOKUP($B21,'PW G-Goats'!$B$5:$AI$24,30,FALSE)),0)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IFERROR(IF(VLOOKUP($B21,'PW G-Breakaway'!$B$5:$AI$24,34,FALSE)=" ",0,VLOOKUP($B21,'PW G-Breakaway'!$B$5:$AI$24,34,FALSE)),0)+IFERROR(IF(VLOOKUP($B21,'PW G-Barrels'!$B$5:$AI$25,34,FALSE)=" ",0,VLOOKUP($B21,'PW G-Barrels'!$B$5:$AI$25,34,FALSE)),0)+IFERROR(IF(VLOOKUP($B21,'PW G-Poles'!$B$5:$AI$25,34,FALSE)=" ",0,VLOOKUP($B21,'PW G-Poles'!$B$5:$AI$25,34,FALSE)),0)+IFERROR(IF(VLOOKUP($B21,'PW G-Goats'!$B$5:$AI$24,34,FALSE)=" ",0,VLOOKUP($B21,'PW G-Goats'!$B$5:$AI$24,34,FALSE)),0)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25">
      <c r="B22" s="142" t="s">
        <v>246</v>
      </c>
      <c r="C22" s="120">
        <f>IFERROR(IF(VLOOKUP($B22,'PW G-Breakaway'!$B$5:$AI$24,6,FALSE)=" ",0,VLOOKUP($B22,'PW G-Breakaway'!$B$5:$AI$24,6,FALSE)),0)+IFERROR(IF(VLOOKUP($B22,'PW G-Barrels'!$B$5:$AI$25,6,FALSE)=" ",0,VLOOKUP($B22,'PW G-Barrels'!$B$5:$AI$25,6,FALSE)),0)+IFERROR(IF(VLOOKUP($B22,'PW G-Poles'!$B$5:$AI$25,6,FALSE)=" ",0,VLOOKUP($B22,'PW G-Poles'!$B$5:$AI$25,6,FALSE)),0)+IFERROR(IF(VLOOKUP($B22,'PW G-Goats'!$B$5:$AI$24,6,FALSE)=" ",0,VLOOKUP($B22,'PW G-Goats'!$B$5:$AI$24,6,FALSE)),0)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IFERROR(IF(VLOOKUP($B22,'PW G-Breakaway'!$B$5:$AI$24,10,FALSE)=" ",0,VLOOKUP($B22,'PW G-Breakaway'!$B$5:$AI$24,10,FALSE)),0)+IFERROR(IF(VLOOKUP($B22,'PW G-Barrels'!$B$5:$AI$25,10,FALSE)=" ",0,VLOOKUP($B22,'PW G-Barrels'!$B$5:$AI$25,10,FALSE)),0)+IFERROR(IF(VLOOKUP($B22,'PW G-Poles'!$B$5:$AI$25,10,FALSE)=" ",0,VLOOKUP($B22,'PW G-Poles'!$B$5:$AI$25,10,FALSE)),0)+IFERROR(IF(VLOOKUP($B22,'PW G-Goats'!$B$5:$AI$24,10,FALSE)=" ",0,VLOOKUP($B22,'PW G-Goats'!$B$5:$AI$24,10,FALSE)),0)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IFERROR(IF(VLOOKUP($B22,'PW G-Breakaway'!$B$5:$AI$24,14,FALSE)=" ",0,VLOOKUP($B22,'PW G-Breakaway'!$B$5:$AI$24,14,FALSE)),0)+IFERROR(IF(VLOOKUP($B22,'PW G-Barrels'!$B$5:$AI$25,14,FALSE)=" ",0,VLOOKUP($B22,'PW G-Barrels'!$B$5:$AI$25,14,FALSE)),0)+IFERROR(IF(VLOOKUP($B22,'PW G-Poles'!$B$5:$AI$25,14,FALSE)=" ",0,VLOOKUP($B22,'PW G-Poles'!$B$5:$AI$25,14,FALSE)),0)+IFERROR(IF(VLOOKUP($B22,'PW G-Goats'!$B$5:$AI$24,14,FALSE)=" ",0,VLOOKUP($B22,'PW G-Goats'!$B$5:$AI$24,14,FALSE)),0)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IFERROR(IF(VLOOKUP($B22,'PW G-Breakaway'!$B$5:$AI$24,18,FALSE)=" ",0,VLOOKUP($B22,'PW G-Breakaway'!$B$5:$AI$24,18,FALSE)),0)+IFERROR(IF(VLOOKUP($B22,'PW G-Barrels'!$B$5:$AI$25,18,FALSE)=" ",0,VLOOKUP($B22,'PW G-Barrels'!$B$5:$AI$25,18,FALSE)),0)+IFERROR(IF(VLOOKUP($B22,'PW G-Poles'!$B$5:$AI$25,18,FALSE)=" ",0,VLOOKUP($B22,'PW G-Poles'!$B$5:$AI$25,18,FALSE)),0)+IFERROR(IF(VLOOKUP($B22,'PW G-Goats'!$B$5:$AI$24,18,FALSE)=" ",0,VLOOKUP($B22,'PW G-Goats'!$B$5:$AI$24,18,FALSE)),0)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IFERROR(IF(VLOOKUP($B22,'PW G-Breakaway'!$B$5:$AI$24,22,FALSE)=" ",0,VLOOKUP($B22,'PW G-Breakaway'!$B$5:$AI$24,22,FALSE)),0)+IFERROR(IF(VLOOKUP($B22,'PW G-Barrels'!$B$5:$AI$25,22,FALSE)=" ",0,VLOOKUP($B22,'PW G-Barrels'!$B$5:$AI$25,22,FALSE)),0)+IFERROR(IF(VLOOKUP($B22,'PW G-Poles'!$B$5:$AI$25,22,FALSE)=" ",0,VLOOKUP($B22,'PW G-Poles'!$B$5:$AI$25,22,FALSE)),0)+IFERROR(IF(VLOOKUP($B22,'PW G-Goats'!$B$5:$AI$24,22,FALSE)=" ",0,VLOOKUP($B22,'PW G-Goats'!$B$5:$AI$24,22,FALSE)),0)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IFERROR(IF(VLOOKUP($B22,'PW G-Breakaway'!$B$5:$AI$24,26,FALSE)=" ",0,VLOOKUP($B22,'PW G-Breakaway'!$B$5:$AI$24,26,FALSE)),0)+IFERROR(IF(VLOOKUP($B22,'PW G-Barrels'!$B$5:$AI$25,26,FALSE)=" ",0,VLOOKUP($B22,'PW G-Barrels'!$B$5:$AI$25,26,FALSE)),0)+IFERROR(IF(VLOOKUP($B22,'PW G-Poles'!$B$5:$AI$25,26,FALSE)=" ",0,VLOOKUP($B22,'PW G-Poles'!$B$5:$AI$25,26,FALSE)),0)+IFERROR(IF(VLOOKUP($B22,'PW G-Goats'!$B$5:$AI$24,26,FALSE)=" ",0,VLOOKUP($B22,'PW G-Goats'!$B$5:$AI$24,26,FALSE)),0)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IFERROR(IF(VLOOKUP($B22,'PW G-Breakaway'!$B$5:$AI$24,30,FALSE)=" ",0,VLOOKUP($B22,'PW G-Breakaway'!$B$5:$AI$24,30,FALSE)),0)+IFERROR(IF(VLOOKUP($B22,'PW G-Barrels'!$B$5:$AI$25,30,FALSE)=" ",0,VLOOKUP($B22,'PW G-Barrels'!$B$5:$AI$25,30,FALSE)),0)+IFERROR(IF(VLOOKUP($B22,'PW G-Poles'!$B$5:$AI$25,30,FALSE)=" ",0,VLOOKUP($B22,'PW G-Poles'!$B$5:$AI$25,30,FALSE)),0)+IFERROR(IF(VLOOKUP($B22,'PW G-Goats'!$B$5:$AI$24,30,FALSE)=" ",0,VLOOKUP($B22,'PW G-Goats'!$B$5:$AI$24,30,FALSE)),0)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IFERROR(IF(VLOOKUP($B22,'PW G-Breakaway'!$B$5:$AI$24,34,FALSE)=" ",0,VLOOKUP($B22,'PW G-Breakaway'!$B$5:$AI$24,34,FALSE)),0)+IFERROR(IF(VLOOKUP($B22,'PW G-Barrels'!$B$5:$AI$25,34,FALSE)=" ",0,VLOOKUP($B22,'PW G-Barrels'!$B$5:$AI$25,34,FALSE)),0)+IFERROR(IF(VLOOKUP($B22,'PW G-Poles'!$B$5:$AI$25,34,FALSE)=" ",0,VLOOKUP($B22,'PW G-Poles'!$B$5:$AI$25,34,FALSE)),0)+IFERROR(IF(VLOOKUP($B22,'PW G-Goats'!$B$5:$AI$24,34,FALSE)=" ",0,VLOOKUP($B22,'PW G-Goats'!$B$5:$AI$24,34,FALSE)),0)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25">
      <c r="B23" s="142" t="s">
        <v>245</v>
      </c>
      <c r="C23" s="120">
        <f>IFERROR(IF(VLOOKUP($B23,'PW G-Breakaway'!$B$5:$AI$24,6,FALSE)=" ",0,VLOOKUP($B23,'PW G-Breakaway'!$B$5:$AI$24,6,FALSE)),0)+IFERROR(IF(VLOOKUP($B23,'PW G-Barrels'!$B$5:$AI$25,6,FALSE)=" ",0,VLOOKUP($B23,'PW G-Barrels'!$B$5:$AI$25,6,FALSE)),0)+IFERROR(IF(VLOOKUP($B23,'PW G-Poles'!$B$5:$AI$25,6,FALSE)=" ",0,VLOOKUP($B23,'PW G-Poles'!$B$5:$AI$25,6,FALSE)),0)+IFERROR(IF(VLOOKUP($B23,'PW G-Goats'!$B$5:$AI$24,6,FALSE)=" ",0,VLOOKUP($B23,'PW G-Goats'!$B$5:$AI$24,6,FALSE)),0)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IFERROR(IF(VLOOKUP($B23,'PW G-Breakaway'!$B$5:$AI$24,10,FALSE)=" ",0,VLOOKUP($B23,'PW G-Breakaway'!$B$5:$AI$24,10,FALSE)),0)+IFERROR(IF(VLOOKUP($B23,'PW G-Barrels'!$B$5:$AI$25,10,FALSE)=" ",0,VLOOKUP($B23,'PW G-Barrels'!$B$5:$AI$25,10,FALSE)),0)+IFERROR(IF(VLOOKUP($B23,'PW G-Poles'!$B$5:$AI$25,10,FALSE)=" ",0,VLOOKUP($B23,'PW G-Poles'!$B$5:$AI$25,10,FALSE)),0)+IFERROR(IF(VLOOKUP($B23,'PW G-Goats'!$B$5:$AI$24,10,FALSE)=" ",0,VLOOKUP($B23,'PW G-Goats'!$B$5:$AI$24,10,FALSE)),0)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IFERROR(IF(VLOOKUP($B23,'PW G-Breakaway'!$B$5:$AI$24,14,FALSE)=" ",0,VLOOKUP($B23,'PW G-Breakaway'!$B$5:$AI$24,14,FALSE)),0)+IFERROR(IF(VLOOKUP($B23,'PW G-Barrels'!$B$5:$AI$25,14,FALSE)=" ",0,VLOOKUP($B23,'PW G-Barrels'!$B$5:$AI$25,14,FALSE)),0)+IFERROR(IF(VLOOKUP($B23,'PW G-Poles'!$B$5:$AI$25,14,FALSE)=" ",0,VLOOKUP($B23,'PW G-Poles'!$B$5:$AI$25,14,FALSE)),0)+IFERROR(IF(VLOOKUP($B23,'PW G-Goats'!$B$5:$AI$24,14,FALSE)=" ",0,VLOOKUP($B23,'PW G-Goats'!$B$5:$AI$24,14,FALSE)),0)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IFERROR(IF(VLOOKUP($B23,'PW G-Breakaway'!$B$5:$AI$24,18,FALSE)=" ",0,VLOOKUP($B23,'PW G-Breakaway'!$B$5:$AI$24,18,FALSE)),0)+IFERROR(IF(VLOOKUP($B23,'PW G-Barrels'!$B$5:$AI$25,18,FALSE)=" ",0,VLOOKUP($B23,'PW G-Barrels'!$B$5:$AI$25,18,FALSE)),0)+IFERROR(IF(VLOOKUP($B23,'PW G-Poles'!$B$5:$AI$25,18,FALSE)=" ",0,VLOOKUP($B23,'PW G-Poles'!$B$5:$AI$25,18,FALSE)),0)+IFERROR(IF(VLOOKUP($B23,'PW G-Goats'!$B$5:$AI$24,18,FALSE)=" ",0,VLOOKUP($B23,'PW G-Goats'!$B$5:$AI$24,18,FALSE)),0)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IFERROR(IF(VLOOKUP($B23,'PW G-Breakaway'!$B$5:$AI$24,22,FALSE)=" ",0,VLOOKUP($B23,'PW G-Breakaway'!$B$5:$AI$24,22,FALSE)),0)+IFERROR(IF(VLOOKUP($B23,'PW G-Barrels'!$B$5:$AI$25,22,FALSE)=" ",0,VLOOKUP($B23,'PW G-Barrels'!$B$5:$AI$25,22,FALSE)),0)+IFERROR(IF(VLOOKUP($B23,'PW G-Poles'!$B$5:$AI$25,22,FALSE)=" ",0,VLOOKUP($B23,'PW G-Poles'!$B$5:$AI$25,22,FALSE)),0)+IFERROR(IF(VLOOKUP($B23,'PW G-Goats'!$B$5:$AI$24,22,FALSE)=" ",0,VLOOKUP($B23,'PW G-Goats'!$B$5:$AI$24,22,FALSE)),0)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IFERROR(IF(VLOOKUP($B23,'PW G-Breakaway'!$B$5:$AI$24,26,FALSE)=" ",0,VLOOKUP($B23,'PW G-Breakaway'!$B$5:$AI$24,26,FALSE)),0)+IFERROR(IF(VLOOKUP($B23,'PW G-Barrels'!$B$5:$AI$25,26,FALSE)=" ",0,VLOOKUP($B23,'PW G-Barrels'!$B$5:$AI$25,26,FALSE)),0)+IFERROR(IF(VLOOKUP($B23,'PW G-Poles'!$B$5:$AI$25,26,FALSE)=" ",0,VLOOKUP($B23,'PW G-Poles'!$B$5:$AI$25,26,FALSE)),0)+IFERROR(IF(VLOOKUP($B23,'PW G-Goats'!$B$5:$AI$24,26,FALSE)=" ",0,VLOOKUP($B23,'PW G-Goats'!$B$5:$AI$24,26,FALSE)),0)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IFERROR(IF(VLOOKUP($B23,'PW G-Breakaway'!$B$5:$AI$24,30,FALSE)=" ",0,VLOOKUP($B23,'PW G-Breakaway'!$B$5:$AI$24,30,FALSE)),0)+IFERROR(IF(VLOOKUP($B23,'PW G-Barrels'!$B$5:$AI$25,30,FALSE)=" ",0,VLOOKUP($B23,'PW G-Barrels'!$B$5:$AI$25,30,FALSE)),0)+IFERROR(IF(VLOOKUP($B23,'PW G-Poles'!$B$5:$AI$25,30,FALSE)=" ",0,VLOOKUP($B23,'PW G-Poles'!$B$5:$AI$25,30,FALSE)),0)+IFERROR(IF(VLOOKUP($B23,'PW G-Goats'!$B$5:$AI$24,30,FALSE)=" ",0,VLOOKUP($B23,'PW G-Goats'!$B$5:$AI$24,30,FALSE)),0)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IFERROR(IF(VLOOKUP($B23,'PW G-Breakaway'!$B$5:$AI$24,34,FALSE)=" ",0,VLOOKUP($B23,'PW G-Breakaway'!$B$5:$AI$24,34,FALSE)),0)+IFERROR(IF(VLOOKUP($B23,'PW G-Barrels'!$B$5:$AI$25,34,FALSE)=" ",0,VLOOKUP($B23,'PW G-Barrels'!$B$5:$AI$25,34,FALSE)),0)+IFERROR(IF(VLOOKUP($B23,'PW G-Poles'!$B$5:$AI$25,34,FALSE)=" ",0,VLOOKUP($B23,'PW G-Poles'!$B$5:$AI$25,34,FALSE)),0)+IFERROR(IF(VLOOKUP($B23,'PW G-Goats'!$B$5:$AI$24,34,FALSE)=" ",0,VLOOKUP($B23,'PW G-Goats'!$B$5:$AI$24,34,FALSE)),0)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4" thickBot="1" x14ac:dyDescent="0.3">
      <c r="B24" s="151" t="s">
        <v>214</v>
      </c>
      <c r="C24" s="123">
        <f>IFERROR(IF(VLOOKUP($B24,'PW G-Breakaway'!$B$5:$AI$24,6,FALSE)=" ",0,VLOOKUP($B24,'PW G-Breakaway'!$B$5:$AI$24,6,FALSE)),0)+IFERROR(IF(VLOOKUP($B24,'PW G-Barrels'!$B$5:$AI$25,6,FALSE)=" ",0,VLOOKUP($B24,'PW G-Barrels'!$B$5:$AI$25,6,FALSE)),0)+IFERROR(IF(VLOOKUP($B24,'PW G-Poles'!$B$5:$AI$25,6,FALSE)=" ",0,VLOOKUP($B24,'PW G-Poles'!$B$5:$AI$25,6,FALSE)),0)+IFERROR(IF(VLOOKUP($B24,'PW G-Goats'!$B$5:$AI$24,6,FALSE)=" ",0,VLOOKUP($B24,'PW G-Goats'!$B$5:$AI$24,6,FALSE)),0)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IFERROR(IF(VLOOKUP($B24,'PW G-Breakaway'!$B$5:$AI$24,10,FALSE)=" ",0,VLOOKUP($B24,'PW G-Breakaway'!$B$5:$AI$24,10,FALSE)),0)+IFERROR(IF(VLOOKUP($B24,'PW G-Barrels'!$B$5:$AI$25,10,FALSE)=" ",0,VLOOKUP($B24,'PW G-Barrels'!$B$5:$AI$25,10,FALSE)),0)+IFERROR(IF(VLOOKUP($B24,'PW G-Poles'!$B$5:$AI$25,10,FALSE)=" ",0,VLOOKUP($B24,'PW G-Poles'!$B$5:$AI$25,10,FALSE)),0)+IFERROR(IF(VLOOKUP($B24,'PW G-Goats'!$B$5:$AI$24,10,FALSE)=" ",0,VLOOKUP($B24,'PW G-Goats'!$B$5:$AI$24,10,FALSE)),0)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IFERROR(IF(VLOOKUP($B24,'PW G-Breakaway'!$B$5:$AI$24,14,FALSE)=" ",0,VLOOKUP($B24,'PW G-Breakaway'!$B$5:$AI$24,14,FALSE)),0)+IFERROR(IF(VLOOKUP($B24,'PW G-Barrels'!$B$5:$AI$25,14,FALSE)=" ",0,VLOOKUP($B24,'PW G-Barrels'!$B$5:$AI$25,14,FALSE)),0)+IFERROR(IF(VLOOKUP($B24,'PW G-Poles'!$B$5:$AI$25,14,FALSE)=" ",0,VLOOKUP($B24,'PW G-Poles'!$B$5:$AI$25,14,FALSE)),0)+IFERROR(IF(VLOOKUP($B24,'PW G-Goats'!$B$5:$AI$24,14,FALSE)=" ",0,VLOOKUP($B24,'PW G-Goats'!$B$5:$AI$24,14,FALSE)),0)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IFERROR(IF(VLOOKUP($B24,'PW G-Breakaway'!$B$5:$AI$24,18,FALSE)=" ",0,VLOOKUP($B24,'PW G-Breakaway'!$B$5:$AI$24,18,FALSE)),0)+IFERROR(IF(VLOOKUP($B24,'PW G-Barrels'!$B$5:$AI$25,18,FALSE)=" ",0,VLOOKUP($B24,'PW G-Barrels'!$B$5:$AI$25,18,FALSE)),0)+IFERROR(IF(VLOOKUP($B24,'PW G-Poles'!$B$5:$AI$25,18,FALSE)=" ",0,VLOOKUP($B24,'PW G-Poles'!$B$5:$AI$25,18,FALSE)),0)+IFERROR(IF(VLOOKUP($B24,'PW G-Goats'!$B$5:$AI$24,18,FALSE)=" ",0,VLOOKUP($B24,'PW G-Goats'!$B$5:$AI$24,18,FALSE)),0)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IFERROR(IF(VLOOKUP($B24,'PW G-Breakaway'!$B$5:$AI$24,22,FALSE)=" ",0,VLOOKUP($B24,'PW G-Breakaway'!$B$5:$AI$24,22,FALSE)),0)+IFERROR(IF(VLOOKUP($B24,'PW G-Barrels'!$B$5:$AI$25,22,FALSE)=" ",0,VLOOKUP($B24,'PW G-Barrels'!$B$5:$AI$25,22,FALSE)),0)+IFERROR(IF(VLOOKUP($B24,'PW G-Poles'!$B$5:$AI$25,22,FALSE)=" ",0,VLOOKUP($B24,'PW G-Poles'!$B$5:$AI$25,22,FALSE)),0)+IFERROR(IF(VLOOKUP($B24,'PW G-Goats'!$B$5:$AI$24,22,FALSE)=" ",0,VLOOKUP($B24,'PW G-Goats'!$B$5:$AI$24,22,FALSE)),0)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IFERROR(IF(VLOOKUP($B24,'PW G-Breakaway'!$B$5:$AI$24,26,FALSE)=" ",0,VLOOKUP($B24,'PW G-Breakaway'!$B$5:$AI$24,26,FALSE)),0)+IFERROR(IF(VLOOKUP($B24,'PW G-Barrels'!$B$5:$AI$25,26,FALSE)=" ",0,VLOOKUP($B24,'PW G-Barrels'!$B$5:$AI$25,26,FALSE)),0)+IFERROR(IF(VLOOKUP($B24,'PW G-Poles'!$B$5:$AI$25,26,FALSE)=" ",0,VLOOKUP($B24,'PW G-Poles'!$B$5:$AI$25,26,FALSE)),0)+IFERROR(IF(VLOOKUP($B24,'PW G-Goats'!$B$5:$AI$24,26,FALSE)=" ",0,VLOOKUP($B24,'PW G-Goats'!$B$5:$AI$24,26,FALSE)),0)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IFERROR(IF(VLOOKUP($B24,'PW G-Breakaway'!$B$5:$AI$24,30,FALSE)=" ",0,VLOOKUP($B24,'PW G-Breakaway'!$B$5:$AI$24,30,FALSE)),0)+IFERROR(IF(VLOOKUP($B24,'PW G-Barrels'!$B$5:$AI$25,30,FALSE)=" ",0,VLOOKUP($B24,'PW G-Barrels'!$B$5:$AI$25,30,FALSE)),0)+IFERROR(IF(VLOOKUP($B24,'PW G-Poles'!$B$5:$AI$25,30,FALSE)=" ",0,VLOOKUP($B24,'PW G-Poles'!$B$5:$AI$25,30,FALSE)),0)+IFERROR(IF(VLOOKUP($B24,'PW G-Goats'!$B$5:$AI$24,30,FALSE)=" ",0,VLOOKUP($B24,'PW G-Goats'!$B$5:$AI$24,30,FALSE)),0)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IFERROR(IF(VLOOKUP($B24,'PW G-Breakaway'!$B$5:$AI$24,34,FALSE)=" ",0,VLOOKUP($B24,'PW G-Breakaway'!$B$5:$AI$24,34,FALSE)),0)+IFERROR(IF(VLOOKUP($B24,'PW G-Barrels'!$B$5:$AI$25,34,FALSE)=" ",0,VLOOKUP($B24,'PW G-Barrels'!$B$5:$AI$25,34,FALSE)),0)+IFERROR(IF(VLOOKUP($B24,'PW G-Poles'!$B$5:$AI$25,34,FALSE)=" ",0,VLOOKUP($B24,'PW G-Poles'!$B$5:$AI$25,34,FALSE)),0)+IFERROR(IF(VLOOKUP($B24,'PW G-Goats'!$B$5:$AI$24,34,FALSE)=" ",0,VLOOKUP($B24,'PW G-Goats'!$B$5:$AI$24,34,FALSE)),0)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Table634568910112334444025[[#This Row],[Points]]+Table634568910112334444025[[#This Row],[Points4]]+Table634568910112334444025[[#This Row],[Points43]]+Table634568910112334444025[[#This Row],[Points44]]+Table634568910112334444025[[#This Row],[Points45]]+Table634568910112334444025[[#This Row],[Points46]]+Table634568910112334444025[[#This Row],[Points47]]+Table634568910112334444025[[#This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4" thickBot="1" x14ac:dyDescent="0.3">
      <c r="B25" s="125" t="s">
        <v>236</v>
      </c>
    </row>
    <row r="27" spans="2:29" x14ac:dyDescent="0.25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25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XyybLX1NjvRbe5B0ljvHBwSndZg6dqoYS5q0wQ6fBsqZNe+ymEkGhd97gyCzA6+dPvvDHImLIadGxYuBOZKL8g==" saltValue="7qTSXdZzGodpXfXznow6lg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56C04-2673-4C40-BF4F-B9F420C0CACD}">
  <sheetPr codeName="Sheet56">
    <tabColor theme="5" tint="0.39997558519241921"/>
  </sheetPr>
  <dimension ref="B1:AL54"/>
  <sheetViews>
    <sheetView showGridLines="0" zoomScaleNormal="100" workbookViewId="0">
      <pane xSplit="2" topLeftCell="C1" activePane="topRight" state="frozen"/>
      <selection activeCell="E39" sqref="E39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7" customWidth="1"/>
    <col min="5" max="5" width="11.6640625" style="57" hidden="1" customWidth="1"/>
    <col min="6" max="6" width="11.6640625" style="57" customWidth="1"/>
    <col min="7" max="7" width="11.6640625" style="60" customWidth="1"/>
    <col min="8" max="8" width="11.6640625" style="57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7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103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4" t="s">
        <v>0</v>
      </c>
      <c r="I3" s="68"/>
      <c r="J3" s="68" t="s">
        <v>1</v>
      </c>
      <c r="K3" s="71" t="s">
        <v>2</v>
      </c>
      <c r="L3" s="144" t="s">
        <v>0</v>
      </c>
      <c r="M3" s="68"/>
      <c r="N3" s="68" t="s">
        <v>1</v>
      </c>
      <c r="O3" s="71" t="s">
        <v>2</v>
      </c>
      <c r="P3" s="144" t="s">
        <v>0</v>
      </c>
      <c r="Q3" s="68"/>
      <c r="R3" s="68" t="s">
        <v>1</v>
      </c>
      <c r="S3" s="71" t="s">
        <v>2</v>
      </c>
      <c r="T3" s="144" t="s">
        <v>0</v>
      </c>
      <c r="U3" s="68"/>
      <c r="V3" s="68" t="s">
        <v>1</v>
      </c>
      <c r="W3" s="71" t="s">
        <v>2</v>
      </c>
      <c r="X3" s="144" t="s">
        <v>0</v>
      </c>
      <c r="Y3" s="68"/>
      <c r="Z3" s="68" t="s">
        <v>1</v>
      </c>
      <c r="AA3" s="71" t="s">
        <v>2</v>
      </c>
      <c r="AB3" s="144" t="s">
        <v>0</v>
      </c>
      <c r="AC3" s="68"/>
      <c r="AD3" s="68" t="s">
        <v>1</v>
      </c>
      <c r="AE3" s="71" t="s">
        <v>2</v>
      </c>
      <c r="AF3" s="144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145" t="s">
        <v>0</v>
      </c>
      <c r="E4" s="78" t="s">
        <v>7</v>
      </c>
      <c r="F4" s="78" t="s">
        <v>1</v>
      </c>
      <c r="G4" s="81" t="s">
        <v>2</v>
      </c>
      <c r="H4" s="145" t="s">
        <v>17</v>
      </c>
      <c r="I4" s="78" t="s">
        <v>18</v>
      </c>
      <c r="J4" s="78" t="s">
        <v>8</v>
      </c>
      <c r="K4" s="81" t="s">
        <v>9</v>
      </c>
      <c r="L4" s="145" t="s">
        <v>10</v>
      </c>
      <c r="M4" s="78" t="s">
        <v>19</v>
      </c>
      <c r="N4" s="78" t="s">
        <v>20</v>
      </c>
      <c r="O4" s="81" t="s">
        <v>21</v>
      </c>
      <c r="P4" s="145" t="s">
        <v>22</v>
      </c>
      <c r="Q4" s="78" t="s">
        <v>11</v>
      </c>
      <c r="R4" s="78" t="s">
        <v>23</v>
      </c>
      <c r="S4" s="81" t="s">
        <v>24</v>
      </c>
      <c r="T4" s="145" t="s">
        <v>25</v>
      </c>
      <c r="U4" s="78" t="s">
        <v>26</v>
      </c>
      <c r="V4" s="78" t="s">
        <v>27</v>
      </c>
      <c r="W4" s="81" t="s">
        <v>28</v>
      </c>
      <c r="X4" s="145" t="s">
        <v>29</v>
      </c>
      <c r="Y4" s="78" t="s">
        <v>30</v>
      </c>
      <c r="Z4" s="78" t="s">
        <v>12</v>
      </c>
      <c r="AA4" s="81" t="s">
        <v>13</v>
      </c>
      <c r="AB4" s="145" t="s">
        <v>14</v>
      </c>
      <c r="AC4" s="78" t="s">
        <v>31</v>
      </c>
      <c r="AD4" s="78" t="s">
        <v>32</v>
      </c>
      <c r="AE4" s="81" t="s">
        <v>33</v>
      </c>
      <c r="AF4" s="145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131</v>
      </c>
      <c r="C5" s="84"/>
      <c r="D5" s="146">
        <v>65</v>
      </c>
      <c r="E5" s="86">
        <f t="shared" ref="E5:E24" si="0">IF(D5=0," ",_xlfn.RANK.AVG(D5,D$5:D$24,0))</f>
        <v>1.5</v>
      </c>
      <c r="F5" s="86">
        <f t="shared" ref="F5:F24" si="1">IF(D5=0," ",IF((RANK(D5,D$5:D$24,0)&gt;6)," ",RANK(D5,D$5:D$24,0)))</f>
        <v>1</v>
      </c>
      <c r="G5" s="87">
        <f>IF(Table6220273215[[#This Row],[Non-Member]]="X"," ",IF(F5=" "," ",IFERROR(VLOOKUP(E5,Points!$A$2:$B$14,2,FALSE)," ")))</f>
        <v>16.5</v>
      </c>
      <c r="H5" s="146">
        <v>69</v>
      </c>
      <c r="I5" s="86">
        <f t="shared" ref="I5:I24" si="2">IF(H5=0," ",_xlfn.RANK.AVG(H5,H$5:H$24,0))</f>
        <v>1</v>
      </c>
      <c r="J5" s="86">
        <f t="shared" ref="J5:J24" si="3">IF(H5=0," ",IF((RANK(H5,H$5:H$24,0)&gt;6)," ",RANK(H5,H$5:H$24,0)))</f>
        <v>1</v>
      </c>
      <c r="K5" s="87">
        <f>IF(Table6220273215[[#This Row],[Non-Member]]="X"," ",IF(J5=" "," ",IFERROR(VLOOKUP(I5,Points!$A$2:$B$14,2,FALSE)," ")))</f>
        <v>18</v>
      </c>
      <c r="L5" s="146">
        <v>64</v>
      </c>
      <c r="M5" s="86">
        <f t="shared" ref="M5:M24" si="4">IF(L5=0," ",_xlfn.RANK.AVG(L5,L$5:L$24,0))</f>
        <v>1</v>
      </c>
      <c r="N5" s="86">
        <f t="shared" ref="N5:N24" si="5">IF(L5=0," ",IF((RANK(L5,L$5:L$24,0)&gt;6)," ",RANK(L5,L$5:L$24,0)))</f>
        <v>1</v>
      </c>
      <c r="O5" s="87">
        <f>IF(Table6220273215[[#This Row],[Non-Member]]="X"," ",IF(N5=" "," ",IFERROR(VLOOKUP(M5,Points!$A$2:$B$14,2,FALSE)," ")))</f>
        <v>18</v>
      </c>
      <c r="P5" s="146">
        <v>60</v>
      </c>
      <c r="Q5" s="86">
        <f t="shared" ref="Q5:Q24" si="6">IF(P5=0," ",_xlfn.RANK.AVG(P5,P$5:P$24,0))</f>
        <v>1</v>
      </c>
      <c r="R5" s="86">
        <f t="shared" ref="R5:R24" si="7">IF(P5=0," ",IF((RANK(P5,P$5:P$24,0)&gt;6)," ",RANK(P5,P$5:P$24,0)))</f>
        <v>1</v>
      </c>
      <c r="S5" s="87">
        <f>IF(Table6220273215[[#This Row],[Non-Member]]="X"," ",IF(R5=" "," ",IFERROR(VLOOKUP(Q5,Points!$A$2:$B$14,2,FALSE)," ")))</f>
        <v>18</v>
      </c>
      <c r="T5" s="146">
        <v>67</v>
      </c>
      <c r="U5" s="86">
        <f t="shared" ref="U5:U24" si="8">IF(T5=0," ",_xlfn.RANK.AVG(T5,T$5:T$24,0))</f>
        <v>1</v>
      </c>
      <c r="V5" s="86">
        <f t="shared" ref="V5:V24" si="9">IF(T5=0," ",IF((RANK(T5,T$5:T$24,0)&gt;6)," ",RANK(T5,T$5:T$24,0)))</f>
        <v>1</v>
      </c>
      <c r="W5" s="87">
        <f>IF(Table6220273215[[#This Row],[Non-Member]]="X"," ",IF(V5=" "," ",IFERROR(VLOOKUP(U5,Points!$A$2:$B$14,2,FALSE)," ")))</f>
        <v>18</v>
      </c>
      <c r="X5" s="146">
        <v>52</v>
      </c>
      <c r="Y5" s="86">
        <f t="shared" ref="Y5:Y24" si="10">IF(X5=0," ",_xlfn.RANK.AVG(X5,X$5:X$24,0))</f>
        <v>3</v>
      </c>
      <c r="Z5" s="86">
        <f t="shared" ref="Z5:Z24" si="11">IF(X5=0," ",IF((RANK(X5,X$5:X$24,0)&gt;6)," ",RANK(X5,X$5:X$24,0)))</f>
        <v>3</v>
      </c>
      <c r="AA5" s="87">
        <f>IF(Table6220273215[[#This Row],[Non-Member]]="X"," ",IF(Z5=" "," ",IFERROR(VLOOKUP(Y5,Points!$A$2:$B$14,2,FALSE)," ")))</f>
        <v>12</v>
      </c>
      <c r="AB5" s="146">
        <v>0</v>
      </c>
      <c r="AC5" s="86" t="str">
        <f t="shared" ref="AC5:AC24" si="12">IF(AB5=0," ",_xlfn.RANK.AVG(AB5,AB$5:AB$24,0))</f>
        <v xml:space="preserve"> </v>
      </c>
      <c r="AD5" s="86" t="str">
        <f t="shared" ref="AD5:AD24" si="13">IF(AB5=0," ",IF((RANK(AB5,AB$5:AB$24,0)&gt;6)," ",RANK(AB5,AB$5:AB$24,0)))</f>
        <v xml:space="preserve"> </v>
      </c>
      <c r="AE5" s="87" t="str">
        <f>IF(Table6220273215[[#This Row],[Non-Member]]="X"," ",IF(AD5=" "," ",IFERROR(VLOOKUP(AC5,Points!$A$2:$B$14,2,FALSE)," ")))</f>
        <v xml:space="preserve"> </v>
      </c>
      <c r="AF5" s="146">
        <f t="shared" ref="AF5:AF24" si="14">IF(X5+AB5=0," ",X5+AB5)</f>
        <v>52</v>
      </c>
      <c r="AG5" s="89">
        <f t="shared" ref="AG5:AG24" si="15">IF(AF5=0," ",_xlfn.RANK.AVG(AF5,IF(AF$5:AF$24&gt;0,AF$5:AF$24,0),0))</f>
        <v>7</v>
      </c>
      <c r="AH5" s="86" t="str">
        <f t="shared" ref="AH5:AH24" si="16">IFERROR(IF(RANK(AF5,AF$5:AF$24,0)&gt;6," ",(IF(AF5,RANK(AF5,AF$5:AF$24,0)," ")))," ")</f>
        <v xml:space="preserve"> </v>
      </c>
      <c r="AI5" s="87" t="str">
        <f>IF(Table6220273215[[#This Row],[Non-Member]]="X"," ",IF(AH5=" "," ",IFERROR(VLOOKUP(AG5,Points!$A$2:$B$14,2,FALSE)," ")))</f>
        <v xml:space="preserve"> </v>
      </c>
      <c r="AJ5" s="86">
        <f>IF(Table6220273215[[#This Row],[Non-Member]]="X"," ",((IF(G5=" ",0,G5))+(IF(K5=" ",0,K5))+(IF(O5=" ",0,O5))+(IF(S5=" ",0,S5))+(IF(W5=" ",0,W5))+(IF(AA5=" ",0,AA5))+(IF(AE5=" ",0,AE5))+(IF(AI5=" ",0,AI5))))</f>
        <v>100.5</v>
      </c>
      <c r="AK5" s="88">
        <f t="shared" ref="AK5:AK24" si="17">IF(AJ5=0," ",AJ5)</f>
        <v>100.5</v>
      </c>
      <c r="AL5" s="89">
        <f t="shared" ref="AL5:AL24" si="18">IF(AK5=" "," ",RANK(AK5,$AK$5:$AK$24))</f>
        <v>1</v>
      </c>
    </row>
    <row r="6" spans="2:38" x14ac:dyDescent="0.25">
      <c r="B6" s="90" t="s">
        <v>130</v>
      </c>
      <c r="C6" s="91"/>
      <c r="D6" s="147">
        <v>0</v>
      </c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IF(Table6220273215[[#This Row],[Non-Member]]="X"," ",IF(F6=" "," ",IFERROR(VLOOKUP(E6,Points!$A$2:$B$14,2,FALSE)," ")))</f>
        <v xml:space="preserve"> </v>
      </c>
      <c r="H6" s="147">
        <v>67</v>
      </c>
      <c r="I6" s="93">
        <f t="shared" si="2"/>
        <v>2</v>
      </c>
      <c r="J6" s="93">
        <f t="shared" si="3"/>
        <v>2</v>
      </c>
      <c r="K6" s="94">
        <f>IF(Table6220273215[[#This Row],[Non-Member]]="X"," ",IF(J6=" "," ",IFERROR(VLOOKUP(I6,Points!$A$2:$B$14,2,FALSE)," ")))</f>
        <v>15</v>
      </c>
      <c r="L6" s="147">
        <v>53</v>
      </c>
      <c r="M6" s="93">
        <f t="shared" si="4"/>
        <v>2.5</v>
      </c>
      <c r="N6" s="93">
        <f t="shared" si="5"/>
        <v>2</v>
      </c>
      <c r="O6" s="94">
        <f>IF(Table6220273215[[#This Row],[Non-Member]]="X"," ",IF(N6=" "," ",IFERROR(VLOOKUP(M6,Points!$A$2:$B$14,2,FALSE)," ")))</f>
        <v>13.5</v>
      </c>
      <c r="P6" s="147">
        <v>38</v>
      </c>
      <c r="Q6" s="93">
        <f t="shared" si="6"/>
        <v>4</v>
      </c>
      <c r="R6" s="93">
        <f t="shared" si="7"/>
        <v>4</v>
      </c>
      <c r="S6" s="94">
        <f>IF(Table6220273215[[#This Row],[Non-Member]]="X"," ",IF(R6=" "," ",IFERROR(VLOOKUP(Q6,Points!$A$2:$B$14,2,FALSE)," ")))</f>
        <v>9</v>
      </c>
      <c r="T6" s="147">
        <v>64</v>
      </c>
      <c r="U6" s="93">
        <f t="shared" si="8"/>
        <v>2</v>
      </c>
      <c r="V6" s="93">
        <f t="shared" si="9"/>
        <v>2</v>
      </c>
      <c r="W6" s="94">
        <f>IF(Table6220273215[[#This Row],[Non-Member]]="X"," ",IF(V6=" "," ",IFERROR(VLOOKUP(U6,Points!$A$2:$B$14,2,FALSE)," ")))</f>
        <v>15</v>
      </c>
      <c r="X6" s="147">
        <v>54</v>
      </c>
      <c r="Y6" s="93">
        <f t="shared" si="10"/>
        <v>2</v>
      </c>
      <c r="Z6" s="93">
        <f t="shared" si="11"/>
        <v>2</v>
      </c>
      <c r="AA6" s="94">
        <f>IF(Table6220273215[[#This Row],[Non-Member]]="X"," ",IF(Z6=" "," ",IFERROR(VLOOKUP(Y6,Points!$A$2:$B$14,2,FALSE)," ")))</f>
        <v>15</v>
      </c>
      <c r="AB6" s="147">
        <v>59</v>
      </c>
      <c r="AC6" s="93">
        <f t="shared" si="12"/>
        <v>3</v>
      </c>
      <c r="AD6" s="93">
        <f t="shared" si="13"/>
        <v>3</v>
      </c>
      <c r="AE6" s="94">
        <f>IF(Table6220273215[[#This Row],[Non-Member]]="X"," ",IF(AD6=" "," ",IFERROR(VLOOKUP(AC6,Points!$A$2:$B$14,2,FALSE)," ")))</f>
        <v>12</v>
      </c>
      <c r="AF6" s="147">
        <f t="shared" si="14"/>
        <v>113</v>
      </c>
      <c r="AG6" s="96">
        <f t="shared" si="15"/>
        <v>1</v>
      </c>
      <c r="AH6" s="93">
        <f t="shared" si="16"/>
        <v>1</v>
      </c>
      <c r="AI6" s="94">
        <f>IF(Table6220273215[[#This Row],[Non-Member]]="X"," ",IF(AH6=" "," ",IFERROR(VLOOKUP(AG6,Points!$A$2:$B$14,2,FALSE)," ")))</f>
        <v>18</v>
      </c>
      <c r="AJ6" s="93">
        <f>IF(Table6220273215[[#This Row],[Non-Member]]="X"," ",((IF(G6=" ",0,G6))+(IF(K6=" ",0,K6))+(IF(O6=" ",0,O6))+(IF(S6=" ",0,S6))+(IF(W6=" ",0,W6))+(IF(AA6=" ",0,AA6))+(IF(AE6=" ",0,AE6))+(IF(AI6=" ",0,AI6))))</f>
        <v>97.5</v>
      </c>
      <c r="AK6" s="95">
        <f t="shared" si="17"/>
        <v>97.5</v>
      </c>
      <c r="AL6" s="96">
        <f t="shared" si="18"/>
        <v>2</v>
      </c>
    </row>
    <row r="7" spans="2:38" x14ac:dyDescent="0.25">
      <c r="B7" s="90" t="s">
        <v>139</v>
      </c>
      <c r="C7" s="91"/>
      <c r="D7" s="147">
        <v>65</v>
      </c>
      <c r="E7" s="93">
        <f t="shared" si="0"/>
        <v>1.5</v>
      </c>
      <c r="F7" s="93">
        <f t="shared" si="1"/>
        <v>1</v>
      </c>
      <c r="G7" s="94">
        <f>IF(Table6220273215[[#This Row],[Non-Member]]="X"," ",IF(F7=" "," ",IFERROR(VLOOKUP(E7,Points!$A$2:$B$14,2,FALSE)," ")))</f>
        <v>16.5</v>
      </c>
      <c r="H7" s="147">
        <v>52</v>
      </c>
      <c r="I7" s="93">
        <f t="shared" si="2"/>
        <v>8</v>
      </c>
      <c r="J7" s="93" t="str">
        <f t="shared" si="3"/>
        <v xml:space="preserve"> </v>
      </c>
      <c r="K7" s="94" t="str">
        <f>IF(Table6220273215[[#This Row],[Non-Member]]="X"," ",IF(J7=" "," ",IFERROR(VLOOKUP(I7,Points!$A$2:$B$14,2,FALSE)," ")))</f>
        <v xml:space="preserve"> </v>
      </c>
      <c r="L7" s="147">
        <v>50</v>
      </c>
      <c r="M7" s="93">
        <f t="shared" si="4"/>
        <v>4</v>
      </c>
      <c r="N7" s="93">
        <f t="shared" si="5"/>
        <v>4</v>
      </c>
      <c r="O7" s="94">
        <f>IF(Table6220273215[[#This Row],[Non-Member]]="X"," ",IF(N7=" "," ",IFERROR(VLOOKUP(M7,Points!$A$2:$B$14,2,FALSE)," ")))</f>
        <v>9</v>
      </c>
      <c r="P7" s="147">
        <v>51</v>
      </c>
      <c r="Q7" s="93">
        <f t="shared" si="6"/>
        <v>2</v>
      </c>
      <c r="R7" s="93">
        <f t="shared" si="7"/>
        <v>2</v>
      </c>
      <c r="S7" s="94">
        <f>IF(Table6220273215[[#This Row],[Non-Member]]="X"," ",IF(R7=" "," ",IFERROR(VLOOKUP(Q7,Points!$A$2:$B$14,2,FALSE)," ")))</f>
        <v>15</v>
      </c>
      <c r="T7" s="147">
        <v>0</v>
      </c>
      <c r="U7" s="93" t="str">
        <f t="shared" si="8"/>
        <v xml:space="preserve"> </v>
      </c>
      <c r="V7" s="93" t="str">
        <f t="shared" si="9"/>
        <v xml:space="preserve"> </v>
      </c>
      <c r="W7" s="94" t="str">
        <f>IF(Table6220273215[[#This Row],[Non-Member]]="X"," ",IF(V7=" "," ",IFERROR(VLOOKUP(U7,Points!$A$2:$B$14,2,FALSE)," ")))</f>
        <v xml:space="preserve"> </v>
      </c>
      <c r="X7" s="147">
        <v>0</v>
      </c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IF(Table6220273215[[#This Row],[Non-Member]]="X"," ",IF(Z7=" "," ",IFERROR(VLOOKUP(Y7,Points!$A$2:$B$14,2,FALSE)," ")))</f>
        <v xml:space="preserve"> </v>
      </c>
      <c r="AB7" s="147">
        <v>63</v>
      </c>
      <c r="AC7" s="93">
        <f t="shared" si="12"/>
        <v>1</v>
      </c>
      <c r="AD7" s="93">
        <f t="shared" si="13"/>
        <v>1</v>
      </c>
      <c r="AE7" s="94">
        <f>IF(Table6220273215[[#This Row],[Non-Member]]="X"," ",IF(AD7=" "," ",IFERROR(VLOOKUP(AC7,Points!$A$2:$B$14,2,FALSE)," ")))</f>
        <v>18</v>
      </c>
      <c r="AF7" s="147">
        <f t="shared" si="14"/>
        <v>63</v>
      </c>
      <c r="AG7" s="96">
        <f t="shared" si="15"/>
        <v>3</v>
      </c>
      <c r="AH7" s="93">
        <f t="shared" si="16"/>
        <v>3</v>
      </c>
      <c r="AI7" s="94">
        <f>IF(Table6220273215[[#This Row],[Non-Member]]="X"," ",IF(AH7=" "," ",IFERROR(VLOOKUP(AG7,Points!$A$2:$B$14,2,FALSE)," ")))</f>
        <v>12</v>
      </c>
      <c r="AJ7" s="93">
        <f>IF(Table6220273215[[#This Row],[Non-Member]]="X"," ",((IF(G7=" ",0,G7))+(IF(K7=" ",0,K7))+(IF(O7=" ",0,O7))+(IF(S7=" ",0,S7))+(IF(W7=" ",0,W7))+(IF(AA7=" ",0,AA7))+(IF(AE7=" ",0,AE7))+(IF(AI7=" ",0,AI7))))</f>
        <v>70.5</v>
      </c>
      <c r="AK7" s="95">
        <f t="shared" si="17"/>
        <v>70.5</v>
      </c>
      <c r="AL7" s="96">
        <f t="shared" si="18"/>
        <v>3</v>
      </c>
    </row>
    <row r="8" spans="2:38" x14ac:dyDescent="0.25">
      <c r="B8" s="90" t="s">
        <v>133</v>
      </c>
      <c r="C8" s="91"/>
      <c r="D8" s="147">
        <v>0</v>
      </c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IF(Table6220273215[[#This Row],[Non-Member]]="X"," ",IF(F8=" "," ",IFERROR(VLOOKUP(E8,Points!$A$2:$B$14,2,FALSE)," ")))</f>
        <v xml:space="preserve"> </v>
      </c>
      <c r="H8" s="147">
        <v>64</v>
      </c>
      <c r="I8" s="93">
        <f t="shared" si="2"/>
        <v>4.5</v>
      </c>
      <c r="J8" s="93">
        <f t="shared" si="3"/>
        <v>4</v>
      </c>
      <c r="K8" s="94">
        <f>IF(Table6220273215[[#This Row],[Non-Member]]="X"," ",IF(J8=" "," ",IFERROR(VLOOKUP(I8,Points!$A$2:$B$14,2,FALSE)," ")))</f>
        <v>7.5</v>
      </c>
      <c r="L8" s="147">
        <v>53</v>
      </c>
      <c r="M8" s="93">
        <f t="shared" si="4"/>
        <v>2.5</v>
      </c>
      <c r="N8" s="93">
        <f t="shared" si="5"/>
        <v>2</v>
      </c>
      <c r="O8" s="94">
        <f>IF(Table6220273215[[#This Row],[Non-Member]]="X"," ",IF(N8=" "," ",IFERROR(VLOOKUP(M8,Points!$A$2:$B$14,2,FALSE)," ")))</f>
        <v>13.5</v>
      </c>
      <c r="P8" s="147">
        <v>36</v>
      </c>
      <c r="Q8" s="93">
        <f t="shared" si="6"/>
        <v>5</v>
      </c>
      <c r="R8" s="93">
        <f t="shared" si="7"/>
        <v>5</v>
      </c>
      <c r="S8" s="94">
        <f>IF(Table6220273215[[#This Row],[Non-Member]]="X"," ",IF(R8=" "," ",IFERROR(VLOOKUP(Q8,Points!$A$2:$B$14,2,FALSE)," ")))</f>
        <v>6</v>
      </c>
      <c r="T8" s="147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IF(Table6220273215[[#This Row],[Non-Member]]="X"," ",IF(V8=" "," ",IFERROR(VLOOKUP(U8,Points!$A$2:$B$14,2,FALSE)," ")))</f>
        <v xml:space="preserve"> </v>
      </c>
      <c r="X8" s="147">
        <v>60</v>
      </c>
      <c r="Y8" s="93">
        <f t="shared" si="10"/>
        <v>1</v>
      </c>
      <c r="Z8" s="93">
        <f t="shared" si="11"/>
        <v>1</v>
      </c>
      <c r="AA8" s="94">
        <f>IF(Table6220273215[[#This Row],[Non-Member]]="X"," ",IF(Z8=" "," ",IFERROR(VLOOKUP(Y8,Points!$A$2:$B$14,2,FALSE)," ")))</f>
        <v>18</v>
      </c>
      <c r="AB8" s="147">
        <v>0</v>
      </c>
      <c r="AC8" s="93" t="str">
        <f t="shared" si="12"/>
        <v xml:space="preserve"> </v>
      </c>
      <c r="AD8" s="93" t="str">
        <f t="shared" si="13"/>
        <v xml:space="preserve"> </v>
      </c>
      <c r="AE8" s="94" t="str">
        <f>IF(Table6220273215[[#This Row],[Non-Member]]="X"," ",IF(AD8=" "," ",IFERROR(VLOOKUP(AC8,Points!$A$2:$B$14,2,FALSE)," ")))</f>
        <v xml:space="preserve"> </v>
      </c>
      <c r="AF8" s="147">
        <f t="shared" si="14"/>
        <v>60</v>
      </c>
      <c r="AG8" s="96">
        <f t="shared" si="15"/>
        <v>4</v>
      </c>
      <c r="AH8" s="93">
        <f t="shared" si="16"/>
        <v>4</v>
      </c>
      <c r="AI8" s="94">
        <f>IF(Table6220273215[[#This Row],[Non-Member]]="X"," ",IF(AH8=" "," ",IFERROR(VLOOKUP(AG8,Points!$A$2:$B$14,2,FALSE)," ")))</f>
        <v>9</v>
      </c>
      <c r="AJ8" s="93">
        <f>IF(Table6220273215[[#This Row],[Non-Member]]="X"," ",((IF(G8=" ",0,G8))+(IF(K8=" ",0,K8))+(IF(O8=" ",0,O8))+(IF(S8=" ",0,S8))+(IF(W8=" ",0,W8))+(IF(AA8=" ",0,AA8))+(IF(AE8=" ",0,AE8))+(IF(AI8=" ",0,AI8))))</f>
        <v>54</v>
      </c>
      <c r="AK8" s="95">
        <f t="shared" si="17"/>
        <v>54</v>
      </c>
      <c r="AL8" s="96">
        <f t="shared" si="18"/>
        <v>4</v>
      </c>
    </row>
    <row r="9" spans="2:38" x14ac:dyDescent="0.25">
      <c r="B9" s="90" t="s">
        <v>68</v>
      </c>
      <c r="C9" s="91"/>
      <c r="D9" s="147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IF(Table6220273215[[#This Row],[Non-Member]]="X"," ",IF(F9=" "," ",IFERROR(VLOOKUP(E9,Points!$A$2:$B$14,2,FALSE)," ")))</f>
        <v xml:space="preserve"> </v>
      </c>
      <c r="H9" s="147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IF(Table6220273215[[#This Row],[Non-Member]]="X"," ",IF(J9=" "," ",IFERROR(VLOOKUP(I9,Points!$A$2:$B$14,2,FALSE)," ")))</f>
        <v xml:space="preserve"> </v>
      </c>
      <c r="L9" s="147">
        <v>47</v>
      </c>
      <c r="M9" s="93">
        <f t="shared" si="4"/>
        <v>5</v>
      </c>
      <c r="N9" s="93">
        <f t="shared" si="5"/>
        <v>5</v>
      </c>
      <c r="O9" s="94">
        <f>IF(Table6220273215[[#This Row],[Non-Member]]="X"," ",IF(N9=" "," ",IFERROR(VLOOKUP(M9,Points!$A$2:$B$14,2,FALSE)," ")))</f>
        <v>6</v>
      </c>
      <c r="P9" s="147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IF(Table6220273215[[#This Row],[Non-Member]]="X"," ",IF(R9=" "," ",IFERROR(VLOOKUP(Q9,Points!$A$2:$B$14,2,FALSE)," ")))</f>
        <v xml:space="preserve"> </v>
      </c>
      <c r="T9" s="147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IF(Table6220273215[[#This Row],[Non-Member]]="X"," ",IF(V9=" "," ",IFERROR(VLOOKUP(U9,Points!$A$2:$B$14,2,FALSE)," ")))</f>
        <v xml:space="preserve"> </v>
      </c>
      <c r="X9" s="147">
        <v>50</v>
      </c>
      <c r="Y9" s="93">
        <f t="shared" si="10"/>
        <v>4</v>
      </c>
      <c r="Z9" s="93">
        <f t="shared" si="11"/>
        <v>4</v>
      </c>
      <c r="AA9" s="94">
        <f>IF(Table6220273215[[#This Row],[Non-Member]]="X"," ",IF(Z9=" "," ",IFERROR(VLOOKUP(Y9,Points!$A$2:$B$14,2,FALSE)," ")))</f>
        <v>9</v>
      </c>
      <c r="AB9" s="147">
        <v>60</v>
      </c>
      <c r="AC9" s="93">
        <f t="shared" si="12"/>
        <v>2</v>
      </c>
      <c r="AD9" s="93">
        <f t="shared" si="13"/>
        <v>2</v>
      </c>
      <c r="AE9" s="94">
        <f>IF(Table6220273215[[#This Row],[Non-Member]]="X"," ",IF(AD9=" "," ",IFERROR(VLOOKUP(AC9,Points!$A$2:$B$14,2,FALSE)," ")))</f>
        <v>15</v>
      </c>
      <c r="AF9" s="147">
        <f t="shared" si="14"/>
        <v>110</v>
      </c>
      <c r="AG9" s="96">
        <f t="shared" si="15"/>
        <v>2</v>
      </c>
      <c r="AH9" s="93">
        <f t="shared" si="16"/>
        <v>2</v>
      </c>
      <c r="AI9" s="94">
        <f>IF(Table6220273215[[#This Row],[Non-Member]]="X"," ",IF(AH9=" "," ",IFERROR(VLOOKUP(AG9,Points!$A$2:$B$14,2,FALSE)," ")))</f>
        <v>15</v>
      </c>
      <c r="AJ9" s="93">
        <f>IF(Table6220273215[[#This Row],[Non-Member]]="X"," ",((IF(G9=" ",0,G9))+(IF(K9=" ",0,K9))+(IF(O9=" ",0,O9))+(IF(S9=" ",0,S9))+(IF(W9=" ",0,W9))+(IF(AA9=" ",0,AA9))+(IF(AE9=" ",0,AE9))+(IF(AI9=" ",0,AI9))))</f>
        <v>45</v>
      </c>
      <c r="AK9" s="95">
        <f t="shared" si="17"/>
        <v>45</v>
      </c>
      <c r="AL9" s="96">
        <f t="shared" si="18"/>
        <v>5</v>
      </c>
    </row>
    <row r="10" spans="2:38" x14ac:dyDescent="0.25">
      <c r="B10" s="90" t="s">
        <v>69</v>
      </c>
      <c r="C10" s="91"/>
      <c r="D10" s="147">
        <v>55</v>
      </c>
      <c r="E10" s="93">
        <f t="shared" si="0"/>
        <v>3</v>
      </c>
      <c r="F10" s="93">
        <f t="shared" si="1"/>
        <v>3</v>
      </c>
      <c r="G10" s="94">
        <f>IF(Table6220273215[[#This Row],[Non-Member]]="X"," ",IF(F10=" "," ",IFERROR(VLOOKUP(E10,Points!$A$2:$B$14,2,FALSE)," ")))</f>
        <v>12</v>
      </c>
      <c r="H10" s="147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IF(Table6220273215[[#This Row],[Non-Member]]="X"," ",IF(J10=" "," ",IFERROR(VLOOKUP(I10,Points!$A$2:$B$14,2,FALSE)," ")))</f>
        <v xml:space="preserve"> </v>
      </c>
      <c r="L10" s="147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IF(Table6220273215[[#This Row],[Non-Member]]="X"," ",IF(N10=" "," ",IFERROR(VLOOKUP(M10,Points!$A$2:$B$14,2,FALSE)," ")))</f>
        <v xml:space="preserve"> </v>
      </c>
      <c r="P10" s="147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IF(Table6220273215[[#This Row],[Non-Member]]="X"," ",IF(R10=" "," ",IFERROR(VLOOKUP(Q10,Points!$A$2:$B$14,2,FALSE)," ")))</f>
        <v xml:space="preserve"> </v>
      </c>
      <c r="T10" s="147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IF(Table6220273215[[#This Row],[Non-Member]]="X"," ",IF(V10=" "," ",IFERROR(VLOOKUP(U10,Points!$A$2:$B$14,2,FALSE)," ")))</f>
        <v xml:space="preserve"> </v>
      </c>
      <c r="X10" s="147">
        <v>0</v>
      </c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IF(Table6220273215[[#This Row],[Non-Member]]="X"," ",IF(Z10=" "," ",IFERROR(VLOOKUP(Y10,Points!$A$2:$B$14,2,FALSE)," ")))</f>
        <v xml:space="preserve"> </v>
      </c>
      <c r="AB10" s="147">
        <v>58</v>
      </c>
      <c r="AC10" s="93">
        <f t="shared" si="12"/>
        <v>4</v>
      </c>
      <c r="AD10" s="93">
        <f t="shared" si="13"/>
        <v>4</v>
      </c>
      <c r="AE10" s="94">
        <f>IF(Table6220273215[[#This Row],[Non-Member]]="X"," ",IF(AD10=" "," ",IFERROR(VLOOKUP(AC10,Points!$A$2:$B$14,2,FALSE)," ")))</f>
        <v>9</v>
      </c>
      <c r="AF10" s="147">
        <f t="shared" si="14"/>
        <v>58</v>
      </c>
      <c r="AG10" s="96">
        <f t="shared" si="15"/>
        <v>5</v>
      </c>
      <c r="AH10" s="93">
        <f t="shared" si="16"/>
        <v>5</v>
      </c>
      <c r="AI10" s="94">
        <f>IF(Table6220273215[[#This Row],[Non-Member]]="X"," ",IF(AH10=" "," ",IFERROR(VLOOKUP(AG10,Points!$A$2:$B$14,2,FALSE)," ")))</f>
        <v>6</v>
      </c>
      <c r="AJ10" s="93">
        <f>IF(Table6220273215[[#This Row],[Non-Member]]="X"," ",((IF(G10=" ",0,G10))+(IF(K10=" ",0,K10))+(IF(O10=" ",0,O10))+(IF(S10=" ",0,S10))+(IF(W10=" ",0,W10))+(IF(AA10=" ",0,AA10))+(IF(AE10=" ",0,AE10))+(IF(AI10=" ",0,AI10))))</f>
        <v>27</v>
      </c>
      <c r="AK10" s="95">
        <f t="shared" si="17"/>
        <v>27</v>
      </c>
      <c r="AL10" s="96">
        <f t="shared" si="18"/>
        <v>6</v>
      </c>
    </row>
    <row r="11" spans="2:38" x14ac:dyDescent="0.25">
      <c r="B11" s="90" t="s">
        <v>71</v>
      </c>
      <c r="C11" s="91"/>
      <c r="D11" s="147">
        <v>0</v>
      </c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IF(Table6220273215[[#This Row],[Non-Member]]="X"," ",IF(F11=" "," ",IFERROR(VLOOKUP(E11,Points!$A$2:$B$14,2,FALSE)," ")))</f>
        <v xml:space="preserve"> </v>
      </c>
      <c r="H11" s="147">
        <v>66</v>
      </c>
      <c r="I11" s="93">
        <f t="shared" si="2"/>
        <v>3</v>
      </c>
      <c r="J11" s="93">
        <f t="shared" si="3"/>
        <v>3</v>
      </c>
      <c r="K11" s="94">
        <f>IF(Table6220273215[[#This Row],[Non-Member]]="X"," ",IF(J11=" "," ",IFERROR(VLOOKUP(I11,Points!$A$2:$B$14,2,FALSE)," ")))</f>
        <v>12</v>
      </c>
      <c r="L11" s="147">
        <v>44</v>
      </c>
      <c r="M11" s="93">
        <f t="shared" si="4"/>
        <v>6</v>
      </c>
      <c r="N11" s="93">
        <f t="shared" si="5"/>
        <v>6</v>
      </c>
      <c r="O11" s="94">
        <f>IF(Table6220273215[[#This Row],[Non-Member]]="X"," ",IF(N11=" "," ",IFERROR(VLOOKUP(M11,Points!$A$2:$B$14,2,FALSE)," ")))</f>
        <v>3</v>
      </c>
      <c r="P11" s="147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IF(Table6220273215[[#This Row],[Non-Member]]="X"," ",IF(R11=" "," ",IFERROR(VLOOKUP(Q11,Points!$A$2:$B$14,2,FALSE)," ")))</f>
        <v xml:space="preserve"> </v>
      </c>
      <c r="T11" s="147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IF(Table6220273215[[#This Row],[Non-Member]]="X"," ",IF(V11=" "," ",IFERROR(VLOOKUP(U11,Points!$A$2:$B$14,2,FALSE)," ")))</f>
        <v xml:space="preserve"> </v>
      </c>
      <c r="X11" s="147">
        <v>0</v>
      </c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IF(Table6220273215[[#This Row],[Non-Member]]="X"," ",IF(Z11=" "," ",IFERROR(VLOOKUP(Y11,Points!$A$2:$B$14,2,FALSE)," ")))</f>
        <v xml:space="preserve"> </v>
      </c>
      <c r="AB11" s="147">
        <v>57</v>
      </c>
      <c r="AC11" s="93">
        <f t="shared" si="12"/>
        <v>5</v>
      </c>
      <c r="AD11" s="93">
        <f t="shared" si="13"/>
        <v>5</v>
      </c>
      <c r="AE11" s="94">
        <f>IF(Table6220273215[[#This Row],[Non-Member]]="X"," ",IF(AD11=" "," ",IFERROR(VLOOKUP(AC11,Points!$A$2:$B$14,2,FALSE)," ")))</f>
        <v>6</v>
      </c>
      <c r="AF11" s="147">
        <f t="shared" si="14"/>
        <v>57</v>
      </c>
      <c r="AG11" s="96">
        <f t="shared" si="15"/>
        <v>6</v>
      </c>
      <c r="AH11" s="93">
        <f t="shared" si="16"/>
        <v>6</v>
      </c>
      <c r="AI11" s="94">
        <f>IF(Table6220273215[[#This Row],[Non-Member]]="X"," ",IF(AH11=" "," ",IFERROR(VLOOKUP(AG11,Points!$A$2:$B$14,2,FALSE)," ")))</f>
        <v>3</v>
      </c>
      <c r="AJ11" s="93">
        <f>IF(Table6220273215[[#This Row],[Non-Member]]="X"," ",((IF(G11=" ",0,G11))+(IF(K11=" ",0,K11))+(IF(O11=" ",0,O11))+(IF(S11=" ",0,S11))+(IF(W11=" ",0,W11))+(IF(AA11=" ",0,AA11))+(IF(AE11=" ",0,AE11))+(IF(AI11=" ",0,AI11))))</f>
        <v>24</v>
      </c>
      <c r="AK11" s="95">
        <f t="shared" si="17"/>
        <v>24</v>
      </c>
      <c r="AL11" s="96">
        <f t="shared" si="18"/>
        <v>7</v>
      </c>
    </row>
    <row r="12" spans="2:38" x14ac:dyDescent="0.25">
      <c r="B12" s="90" t="s">
        <v>67</v>
      </c>
      <c r="C12" s="91"/>
      <c r="D12" s="147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IF(Table6220273215[[#This Row],[Non-Member]]="X"," ",IF(F12=" "," ",IFERROR(VLOOKUP(E12,Points!$A$2:$B$14,2,FALSE)," ")))</f>
        <v xml:space="preserve"> </v>
      </c>
      <c r="H12" s="147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IF(Table6220273215[[#This Row],[Non-Member]]="X"," ",IF(J12=" "," ",IFERROR(VLOOKUP(I12,Points!$A$2:$B$14,2,FALSE)," ")))</f>
        <v xml:space="preserve"> </v>
      </c>
      <c r="L12" s="150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IF(Table6220273215[[#This Row],[Non-Member]]="X"," ",IF(N12=" "," ",IFERROR(VLOOKUP(M12,Points!$A$2:$B$14,2,FALSE)," ")))</f>
        <v xml:space="preserve"> </v>
      </c>
      <c r="P12" s="147">
        <v>40</v>
      </c>
      <c r="Q12" s="93">
        <f t="shared" si="6"/>
        <v>3</v>
      </c>
      <c r="R12" s="93">
        <f t="shared" si="7"/>
        <v>3</v>
      </c>
      <c r="S12" s="94">
        <f>IF(Table6220273215[[#This Row],[Non-Member]]="X"," ",IF(R12=" "," ",IFERROR(VLOOKUP(Q12,Points!$A$2:$B$14,2,FALSE)," ")))</f>
        <v>12</v>
      </c>
      <c r="T12" s="147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IF(Table6220273215[[#This Row],[Non-Member]]="X"," ",IF(V12=" "," ",IFERROR(VLOOKUP(U12,Points!$A$2:$B$14,2,FALSE)," ")))</f>
        <v xml:space="preserve"> </v>
      </c>
      <c r="X12" s="147">
        <v>0</v>
      </c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IF(Table6220273215[[#This Row],[Non-Member]]="X"," ",IF(Z12=" "," ",IFERROR(VLOOKUP(Y12,Points!$A$2:$B$14,2,FALSE)," ")))</f>
        <v xml:space="preserve"> </v>
      </c>
      <c r="AB12" s="150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IF(Table6220273215[[#This Row],[Non-Member]]="X"," ",IF(AD12=" "," ",IFERROR(VLOOKUP(AC12,Points!$A$2:$B$14,2,FALSE)," ")))</f>
        <v xml:space="preserve"> </v>
      </c>
      <c r="AF12" s="147" t="str">
        <f t="shared" si="14"/>
        <v xml:space="preserve"> </v>
      </c>
      <c r="AG12" s="96" t="e">
        <f t="shared" si="15"/>
        <v>#VALUE!</v>
      </c>
      <c r="AH12" s="93" t="str">
        <f t="shared" si="16"/>
        <v xml:space="preserve"> </v>
      </c>
      <c r="AI12" s="94" t="str">
        <f>IF(Table6220273215[[#This Row],[Non-Member]]="X"," ",IF(AH12=" "," ",IFERROR(VLOOKUP(AG12,Points!$A$2:$B$14,2,FALSE)," ")))</f>
        <v xml:space="preserve"> </v>
      </c>
      <c r="AJ12" s="93">
        <f>IF(Table6220273215[[#This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7"/>
        <v>12</v>
      </c>
      <c r="AL12" s="96">
        <f t="shared" si="18"/>
        <v>8</v>
      </c>
    </row>
    <row r="13" spans="2:38" x14ac:dyDescent="0.25">
      <c r="B13" s="90" t="s">
        <v>132</v>
      </c>
      <c r="C13" s="91"/>
      <c r="D13" s="147">
        <v>0</v>
      </c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IF(Table6220273215[[#This Row],[Non-Member]]="X"," ",IF(F13=" "," ",IFERROR(VLOOKUP(E13,Points!$A$2:$B$14,2,FALSE)," ")))</f>
        <v xml:space="preserve"> </v>
      </c>
      <c r="H13" s="147">
        <v>57</v>
      </c>
      <c r="I13" s="97">
        <f t="shared" si="2"/>
        <v>6</v>
      </c>
      <c r="J13" s="93">
        <f t="shared" si="3"/>
        <v>6</v>
      </c>
      <c r="K13" s="94">
        <f>IF(Table6220273215[[#This Row],[Non-Member]]="X"," ",IF(J13=" "," ",IFERROR(VLOOKUP(I13,Points!$A$2:$B$14,2,FALSE)," ")))</f>
        <v>3</v>
      </c>
      <c r="L13" s="147">
        <v>0</v>
      </c>
      <c r="M13" s="97" t="str">
        <f t="shared" si="4"/>
        <v xml:space="preserve"> </v>
      </c>
      <c r="N13" s="93" t="str">
        <f t="shared" si="5"/>
        <v xml:space="preserve"> </v>
      </c>
      <c r="O13" s="94" t="str">
        <f>IF(Table6220273215[[#This Row],[Non-Member]]="X"," ",IF(N13=" "," ",IFERROR(VLOOKUP(M13,Points!$A$2:$B$14,2,FALSE)," ")))</f>
        <v xml:space="preserve"> </v>
      </c>
      <c r="P13" s="147">
        <v>34</v>
      </c>
      <c r="Q13" s="97">
        <f t="shared" si="6"/>
        <v>6</v>
      </c>
      <c r="R13" s="93">
        <f t="shared" si="7"/>
        <v>6</v>
      </c>
      <c r="S13" s="94">
        <f>IF(Table6220273215[[#This Row],[Non-Member]]="X"," ",IF(R13=" "," ",IFERROR(VLOOKUP(Q13,Points!$A$2:$B$14,2,FALSE)," ")))</f>
        <v>3</v>
      </c>
      <c r="T13" s="147">
        <v>0</v>
      </c>
      <c r="U13" s="97" t="str">
        <f t="shared" si="8"/>
        <v xml:space="preserve"> </v>
      </c>
      <c r="V13" s="93" t="str">
        <f t="shared" si="9"/>
        <v xml:space="preserve"> </v>
      </c>
      <c r="W13" s="94" t="str">
        <f>IF(Table6220273215[[#This Row],[Non-Member]]="X"," ",IF(V13=" "," ",IFERROR(VLOOKUP(U13,Points!$A$2:$B$14,2,FALSE)," ")))</f>
        <v xml:space="preserve"> </v>
      </c>
      <c r="X13" s="147">
        <v>0</v>
      </c>
      <c r="Y13" s="97" t="str">
        <f t="shared" si="10"/>
        <v xml:space="preserve"> </v>
      </c>
      <c r="Z13" s="93" t="str">
        <f t="shared" si="11"/>
        <v xml:space="preserve"> </v>
      </c>
      <c r="AA13" s="94" t="str">
        <f>IF(Table6220273215[[#This Row],[Non-Member]]="X"," ",IF(Z13=" "," ",IFERROR(VLOOKUP(Y13,Points!$A$2:$B$14,2,FALSE)," ")))</f>
        <v xml:space="preserve"> </v>
      </c>
      <c r="AB13" s="147">
        <v>0</v>
      </c>
      <c r="AC13" s="97" t="str">
        <f t="shared" si="12"/>
        <v xml:space="preserve"> </v>
      </c>
      <c r="AD13" s="93" t="str">
        <f t="shared" si="13"/>
        <v xml:space="preserve"> </v>
      </c>
      <c r="AE13" s="94" t="str">
        <f>IF(Table6220273215[[#This Row],[Non-Member]]="X"," ",IF(AD13=" "," ",IFERROR(VLOOKUP(AC13,Points!$A$2:$B$14,2,FALSE)," ")))</f>
        <v xml:space="preserve"> </v>
      </c>
      <c r="AF13" s="147" t="str">
        <f t="shared" si="14"/>
        <v xml:space="preserve"> </v>
      </c>
      <c r="AG13" s="98" t="e">
        <f t="shared" si="15"/>
        <v>#VALUE!</v>
      </c>
      <c r="AH13" s="93" t="str">
        <f t="shared" si="16"/>
        <v xml:space="preserve"> </v>
      </c>
      <c r="AI13" s="94" t="str">
        <f>IF(Table6220273215[[#This Row],[Non-Member]]="X"," ",IF(AH13=" "," ",IFERROR(VLOOKUP(AG13,Points!$A$2:$B$14,2,FALSE)," ")))</f>
        <v xml:space="preserve"> </v>
      </c>
      <c r="AJ13" s="97">
        <f>IF(Table6220273215[[#This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8">
        <f t="shared" si="18"/>
        <v>9</v>
      </c>
    </row>
    <row r="14" spans="2:38" x14ac:dyDescent="0.25">
      <c r="B14" s="90" t="s">
        <v>218</v>
      </c>
      <c r="C14" s="91"/>
      <c r="D14" s="147">
        <v>0</v>
      </c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IF(Table6220273215[[#This Row],[Non-Member]]="X"," ",IF(F14=" "," ",IFERROR(VLOOKUP(E14,Points!$A$2:$B$14,2,FALSE)," ")))</f>
        <v xml:space="preserve"> </v>
      </c>
      <c r="H14" s="147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IF(Table6220273215[[#This Row],[Non-Member]]="X"," ",IF(J14=" "," ",IFERROR(VLOOKUP(I14,Points!$A$2:$B$14,2,FALSE)," ")))</f>
        <v xml:space="preserve"> </v>
      </c>
      <c r="L14" s="147">
        <v>34</v>
      </c>
      <c r="M14" s="93">
        <f t="shared" si="4"/>
        <v>7.5</v>
      </c>
      <c r="N14" s="93" t="str">
        <f t="shared" si="5"/>
        <v xml:space="preserve"> </v>
      </c>
      <c r="O14" s="94" t="str">
        <f>IF(Table6220273215[[#This Row],[Non-Member]]="X"," ",IF(N14=" "," ",IFERROR(VLOOKUP(M14,Points!$A$2:$B$14,2,FALSE)," ")))</f>
        <v xml:space="preserve"> </v>
      </c>
      <c r="P14" s="147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IF(Table6220273215[[#This Row],[Non-Member]]="X"," ",IF(R14=" "," ",IFERROR(VLOOKUP(Q14,Points!$A$2:$B$14,2,FALSE)," ")))</f>
        <v xml:space="preserve"> </v>
      </c>
      <c r="T14" s="147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IF(Table6220273215[[#This Row],[Non-Member]]="X"," ",IF(V14=" "," ",IFERROR(VLOOKUP(U14,Points!$A$2:$B$14,2,FALSE)," ")))</f>
        <v xml:space="preserve"> </v>
      </c>
      <c r="X14" s="147">
        <v>0</v>
      </c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IF(Table6220273215[[#This Row],[Non-Member]]="X"," ",IF(Z14=" "," ",IFERROR(VLOOKUP(Y14,Points!$A$2:$B$14,2,FALSE)," ")))</f>
        <v xml:space="preserve"> </v>
      </c>
      <c r="AB14" s="147">
        <v>0</v>
      </c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IF(Table6220273215[[#This Row],[Non-Member]]="X"," ",IF(AD14=" "," ",IFERROR(VLOOKUP(AC14,Points!$A$2:$B$14,2,FALSE)," ")))</f>
        <v xml:space="preserve"> </v>
      </c>
      <c r="AF14" s="147" t="str">
        <f t="shared" si="14"/>
        <v xml:space="preserve"> </v>
      </c>
      <c r="AG14" s="96" t="e">
        <f t="shared" si="15"/>
        <v>#VALUE!</v>
      </c>
      <c r="AH14" s="93" t="str">
        <f t="shared" si="16"/>
        <v xml:space="preserve"> </v>
      </c>
      <c r="AI14" s="94" t="str">
        <f>IF(Table6220273215[[#This Row],[Non-Member]]="X"," ",IF(AH14=" "," ",IFERROR(VLOOKUP(AG14,Points!$A$2:$B$14,2,FALSE)," ")))</f>
        <v xml:space="preserve"> </v>
      </c>
      <c r="AJ14" s="93">
        <f>IF(Table6220273215[[#This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25">
      <c r="B15" s="90" t="s">
        <v>219</v>
      </c>
      <c r="C15" s="91"/>
      <c r="D15" s="147">
        <v>0</v>
      </c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IF(Table6220273215[[#This Row],[Non-Member]]="X"," ",IF(F15=" "," ",IFERROR(VLOOKUP(E15,Points!$A$2:$B$14,2,FALSE)," ")))</f>
        <v xml:space="preserve"> </v>
      </c>
      <c r="H15" s="147">
        <v>54</v>
      </c>
      <c r="I15" s="93">
        <f t="shared" si="2"/>
        <v>7</v>
      </c>
      <c r="J15" s="93" t="str">
        <f t="shared" si="3"/>
        <v xml:space="preserve"> </v>
      </c>
      <c r="K15" s="94" t="str">
        <f>IF(Table6220273215[[#This Row],[Non-Member]]="X"," ",IF(J15=" "," ",IFERROR(VLOOKUP(I15,Points!$A$2:$B$14,2,FALSE)," ")))</f>
        <v xml:space="preserve"> </v>
      </c>
      <c r="L15" s="147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IF(Table6220273215[[#This Row],[Non-Member]]="X"," ",IF(N15=" "," ",IFERROR(VLOOKUP(M15,Points!$A$2:$B$14,2,FALSE)," ")))</f>
        <v xml:space="preserve"> </v>
      </c>
      <c r="P15" s="147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IF(Table6220273215[[#This Row],[Non-Member]]="X"," ",IF(R15=" "," ",IFERROR(VLOOKUP(Q15,Points!$A$2:$B$14,2,FALSE)," ")))</f>
        <v xml:space="preserve"> </v>
      </c>
      <c r="T15" s="147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IF(Table6220273215[[#This Row],[Non-Member]]="X"," ",IF(V15=" "," ",IFERROR(VLOOKUP(U15,Points!$A$2:$B$14,2,FALSE)," ")))</f>
        <v xml:space="preserve"> </v>
      </c>
      <c r="X15" s="147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IF(Table6220273215[[#This Row],[Non-Member]]="X"," ",IF(Z15=" "," ",IFERROR(VLOOKUP(Y15,Points!$A$2:$B$14,2,FALSE)," ")))</f>
        <v xml:space="preserve"> </v>
      </c>
      <c r="AB15" s="147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IF(Table6220273215[[#This Row],[Non-Member]]="X"," ",IF(AD15=" "," ",IFERROR(VLOOKUP(AC15,Points!$A$2:$B$14,2,FALSE)," ")))</f>
        <v xml:space="preserve"> </v>
      </c>
      <c r="AF15" s="147" t="str">
        <f t="shared" si="14"/>
        <v xml:space="preserve"> </v>
      </c>
      <c r="AG15" s="96" t="e">
        <f t="shared" si="15"/>
        <v>#VALUE!</v>
      </c>
      <c r="AH15" s="93" t="str">
        <f t="shared" si="16"/>
        <v xml:space="preserve"> </v>
      </c>
      <c r="AI15" s="94" t="str">
        <f>IF(Table6220273215[[#This Row],[Non-Member]]="X"," ",IF(AH15=" "," ",IFERROR(VLOOKUP(AG15,Points!$A$2:$B$14,2,FALSE)," ")))</f>
        <v xml:space="preserve"> </v>
      </c>
      <c r="AJ15" s="93">
        <f>IF(Table6220273215[[#This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 t="s">
        <v>247</v>
      </c>
      <c r="C16" s="91" t="s">
        <v>95</v>
      </c>
      <c r="D16" s="147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IF(Table6220273215[[#This Row],[Non-Member]]="X"," ",IF(F16=" "," ",IFERROR(VLOOKUP(E16,Points!$A$2:$B$14,2,FALSE)," ")))</f>
        <v xml:space="preserve"> </v>
      </c>
      <c r="H16" s="147">
        <v>64</v>
      </c>
      <c r="I16" s="93">
        <f t="shared" si="2"/>
        <v>4.5</v>
      </c>
      <c r="J16" s="93">
        <f t="shared" si="3"/>
        <v>4</v>
      </c>
      <c r="K16" s="94" t="str">
        <f>IF(Table6220273215[[#This Row],[Non-Member]]="X"," ",IF(J16=" "," ",IFERROR(VLOOKUP(I16,Points!$A$2:$B$14,2,FALSE)," ")))</f>
        <v xml:space="preserve"> </v>
      </c>
      <c r="L16" s="147">
        <v>34</v>
      </c>
      <c r="M16" s="93">
        <f t="shared" si="4"/>
        <v>7.5</v>
      </c>
      <c r="N16" s="93" t="str">
        <f t="shared" si="5"/>
        <v xml:space="preserve"> </v>
      </c>
      <c r="O16" s="94" t="str">
        <f>IF(Table6220273215[[#This Row],[Non-Member]]="X"," ",IF(N16=" "," ",IFERROR(VLOOKUP(M16,Points!$A$2:$B$14,2,FALSE)," ")))</f>
        <v xml:space="preserve"> </v>
      </c>
      <c r="P16" s="147">
        <v>0</v>
      </c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IF(Table6220273215[[#This Row],[Non-Member]]="X"," ",IF(R16=" "," ",IFERROR(VLOOKUP(Q16,Points!$A$2:$B$14,2,FALSE)," ")))</f>
        <v xml:space="preserve"> </v>
      </c>
      <c r="T16" s="147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IF(Table6220273215[[#This Row],[Non-Member]]="X"," ",IF(V16=" "," ",IFERROR(VLOOKUP(U16,Points!$A$2:$B$14,2,FALSE)," ")))</f>
        <v xml:space="preserve"> </v>
      </c>
      <c r="X16" s="147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IF(Table6220273215[[#This Row],[Non-Member]]="X"," ",IF(Z16=" "," ",IFERROR(VLOOKUP(Y16,Points!$A$2:$B$14,2,FALSE)," ")))</f>
        <v xml:space="preserve"> </v>
      </c>
      <c r="AB16" s="147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IF(Table6220273215[[#This Row],[Non-Member]]="X"," ",IF(AD16=" "," ",IFERROR(VLOOKUP(AC16,Points!$A$2:$B$14,2,FALSE)," ")))</f>
        <v xml:space="preserve"> </v>
      </c>
      <c r="AF16" s="147" t="str">
        <f t="shared" si="14"/>
        <v xml:space="preserve"> </v>
      </c>
      <c r="AG16" s="96" t="e">
        <f t="shared" si="15"/>
        <v>#VALUE!</v>
      </c>
      <c r="AH16" s="93" t="str">
        <f t="shared" si="16"/>
        <v xml:space="preserve"> </v>
      </c>
      <c r="AI16" s="94" t="str">
        <f>IF(Table6220273215[[#This Row],[Non-Member]]="X"," ",IF(AH16=" "," ",IFERROR(VLOOKUP(AG16,Points!$A$2:$B$14,2,FALSE)," ")))</f>
        <v xml:space="preserve"> </v>
      </c>
      <c r="AJ16" s="93" t="str">
        <f>IF(Table6220273215[[#This Row],[Non-Member]]="X"," ",((IF(G16=" ",0,G16))+(IF(K16=" ",0,K16))+(IF(O16=" ",0,O16))+(IF(S16=" ",0,S16))+(IF(W16=" ",0,W16))+(IF(AA16=" ",0,AA16))+(IF(AE16=" ",0,AE16))+(IF(AI16=" ",0,AI16))))</f>
        <v xml:space="preserve"> 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25">
      <c r="B17" s="90" t="s">
        <v>248</v>
      </c>
      <c r="C17" s="91"/>
      <c r="D17" s="147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IF(Table6220273215[[#This Row],[Non-Member]]="X"," ",IF(F17=" "," ",IFERROR(VLOOKUP(E17,Points!$A$2:$B$14,2,FALSE)," ")))</f>
        <v xml:space="preserve"> </v>
      </c>
      <c r="H17" s="147">
        <v>0</v>
      </c>
      <c r="I17" s="97" t="str">
        <f t="shared" si="2"/>
        <v xml:space="preserve"> </v>
      </c>
      <c r="J17" s="93" t="str">
        <f t="shared" si="3"/>
        <v xml:space="preserve"> </v>
      </c>
      <c r="K17" s="94" t="str">
        <f>IF(Table6220273215[[#This Row],[Non-Member]]="X"," ",IF(J17=" "," ",IFERROR(VLOOKUP(I17,Points!$A$2:$B$14,2,FALSE)," ")))</f>
        <v xml:space="preserve"> </v>
      </c>
      <c r="L17" s="147"/>
      <c r="M17" s="97" t="str">
        <f t="shared" si="4"/>
        <v xml:space="preserve"> </v>
      </c>
      <c r="N17" s="93" t="str">
        <f t="shared" si="5"/>
        <v xml:space="preserve"> </v>
      </c>
      <c r="O17" s="94" t="str">
        <f>IF(Table6220273215[[#This Row],[Non-Member]]="X"," ",IF(N17=" "," ",IFERROR(VLOOKUP(M17,Points!$A$2:$B$14,2,FALSE)," ")))</f>
        <v xml:space="preserve"> </v>
      </c>
      <c r="P17" s="147"/>
      <c r="Q17" s="97" t="str">
        <f t="shared" si="6"/>
        <v xml:space="preserve"> </v>
      </c>
      <c r="R17" s="93" t="str">
        <f t="shared" si="7"/>
        <v xml:space="preserve"> </v>
      </c>
      <c r="S17" s="94" t="str">
        <f>IF(Table6220273215[[#This Row],[Non-Member]]="X"," ",IF(R17=" "," ",IFERROR(VLOOKUP(Q17,Points!$A$2:$B$14,2,FALSE)," ")))</f>
        <v xml:space="preserve"> </v>
      </c>
      <c r="T17" s="147"/>
      <c r="U17" s="97" t="str">
        <f t="shared" si="8"/>
        <v xml:space="preserve"> </v>
      </c>
      <c r="V17" s="93" t="str">
        <f t="shared" si="9"/>
        <v xml:space="preserve"> </v>
      </c>
      <c r="W17" s="94" t="str">
        <f>IF(Table6220273215[[#This Row],[Non-Member]]="X"," ",IF(V17=" "," ",IFERROR(VLOOKUP(U17,Points!$A$2:$B$14,2,FALSE)," ")))</f>
        <v xml:space="preserve"> </v>
      </c>
      <c r="X17" s="147"/>
      <c r="Y17" s="97" t="str">
        <f t="shared" si="10"/>
        <v xml:space="preserve"> </v>
      </c>
      <c r="Z17" s="93" t="str">
        <f t="shared" si="11"/>
        <v xml:space="preserve"> </v>
      </c>
      <c r="AA17" s="94" t="str">
        <f>IF(Table6220273215[[#This Row],[Non-Member]]="X"," ",IF(Z17=" "," ",IFERROR(VLOOKUP(Y17,Points!$A$2:$B$14,2,FALSE)," ")))</f>
        <v xml:space="preserve"> </v>
      </c>
      <c r="AB17" s="147"/>
      <c r="AC17" s="97" t="str">
        <f t="shared" si="12"/>
        <v xml:space="preserve"> </v>
      </c>
      <c r="AD17" s="93" t="str">
        <f t="shared" si="13"/>
        <v xml:space="preserve"> </v>
      </c>
      <c r="AE17" s="94" t="str">
        <f>IF(Table6220273215[[#This Row],[Non-Member]]="X"," ",IF(AD17=" "," ",IFERROR(VLOOKUP(AC17,Points!$A$2:$B$14,2,FALSE)," ")))</f>
        <v xml:space="preserve"> </v>
      </c>
      <c r="AF17" s="147" t="str">
        <f t="shared" si="14"/>
        <v xml:space="preserve"> </v>
      </c>
      <c r="AG17" s="98" t="e">
        <f t="shared" si="15"/>
        <v>#VALUE!</v>
      </c>
      <c r="AH17" s="93" t="str">
        <f t="shared" si="16"/>
        <v xml:space="preserve"> </v>
      </c>
      <c r="AI17" s="94" t="str">
        <f>IF(Table6220273215[[#This Row],[Non-Member]]="X"," ",IF(AH17=" "," ",IFERROR(VLOOKUP(AG17,Points!$A$2:$B$14,2,FALSE)," ")))</f>
        <v xml:space="preserve"> </v>
      </c>
      <c r="AJ17" s="97">
        <f>IF(Table6220273215[[#This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25">
      <c r="B18" s="90"/>
      <c r="C18" s="91"/>
      <c r="D18" s="147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IF(Table6220273215[[#This Row],[Non-Member]]="X"," ",IF(F18=" "," ",IFERROR(VLOOKUP(E18,Points!$A$2:$B$14,2,FALSE)," ")))</f>
        <v xml:space="preserve"> </v>
      </c>
      <c r="H18" s="147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IF(Table6220273215[[#This Row],[Non-Member]]="X"," ",IF(J18=" "," ",IFERROR(VLOOKUP(I18,Points!$A$2:$B$14,2,FALSE)," ")))</f>
        <v xml:space="preserve"> </v>
      </c>
      <c r="L18" s="147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IF(Table6220273215[[#This Row],[Non-Member]]="X"," ",IF(N18=" "," ",IFERROR(VLOOKUP(M18,Points!$A$2:$B$14,2,FALSE)," ")))</f>
        <v xml:space="preserve"> </v>
      </c>
      <c r="P18" s="147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IF(Table6220273215[[#This Row],[Non-Member]]="X"," ",IF(R18=" "," ",IFERROR(VLOOKUP(Q18,Points!$A$2:$B$14,2,FALSE)," ")))</f>
        <v xml:space="preserve"> </v>
      </c>
      <c r="T18" s="147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IF(Table6220273215[[#This Row],[Non-Member]]="X"," ",IF(V18=" "," ",IFERROR(VLOOKUP(U18,Points!$A$2:$B$14,2,FALSE)," ")))</f>
        <v xml:space="preserve"> </v>
      </c>
      <c r="X18" s="147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IF(Table6220273215[[#This Row],[Non-Member]]="X"," ",IF(Z18=" "," ",IFERROR(VLOOKUP(Y18,Points!$A$2:$B$14,2,FALSE)," ")))</f>
        <v xml:space="preserve"> </v>
      </c>
      <c r="AB18" s="147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IF(Table6220273215[[#This Row],[Non-Member]]="X"," ",IF(AD18=" "," ",IFERROR(VLOOKUP(AC18,Points!$A$2:$B$14,2,FALSE)," ")))</f>
        <v xml:space="preserve"> </v>
      </c>
      <c r="AF18" s="147" t="str">
        <f t="shared" si="14"/>
        <v xml:space="preserve"> </v>
      </c>
      <c r="AG18" s="96" t="e">
        <f t="shared" si="15"/>
        <v>#VALUE!</v>
      </c>
      <c r="AH18" s="93" t="str">
        <f t="shared" si="16"/>
        <v xml:space="preserve"> </v>
      </c>
      <c r="AI18" s="94" t="str">
        <f>IF(Table6220273215[[#This Row],[Non-Member]]="X"," ",IF(AH18=" "," ",IFERROR(VLOOKUP(AG18,Points!$A$2:$B$14,2,FALSE)," ")))</f>
        <v xml:space="preserve"> </v>
      </c>
      <c r="AJ18" s="93">
        <f>IF(Table6220273215[[#This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25">
      <c r="B19" s="90"/>
      <c r="C19" s="91"/>
      <c r="D19" s="147"/>
      <c r="E19" s="97" t="str">
        <f t="shared" si="0"/>
        <v xml:space="preserve"> </v>
      </c>
      <c r="F19" s="97" t="str">
        <f t="shared" si="1"/>
        <v xml:space="preserve"> </v>
      </c>
      <c r="G19" s="94" t="str">
        <f>IF(Table6220273215[[#This Row],[Non-Member]]="X"," ",IF(F19=" "," ",IFERROR(VLOOKUP(E19,Points!$A$2:$B$14,2,FALSE)," ")))</f>
        <v xml:space="preserve"> </v>
      </c>
      <c r="H19" s="147"/>
      <c r="I19" s="97" t="str">
        <f t="shared" si="2"/>
        <v xml:space="preserve"> </v>
      </c>
      <c r="J19" s="93" t="str">
        <f t="shared" si="3"/>
        <v xml:space="preserve"> </v>
      </c>
      <c r="K19" s="94" t="str">
        <f>IF(Table6220273215[[#This Row],[Non-Member]]="X"," ",IF(J19=" "," ",IFERROR(VLOOKUP(I19,Points!$A$2:$B$14,2,FALSE)," ")))</f>
        <v xml:space="preserve"> </v>
      </c>
      <c r="L19" s="147"/>
      <c r="M19" s="97" t="str">
        <f t="shared" si="4"/>
        <v xml:space="preserve"> </v>
      </c>
      <c r="N19" s="93" t="str">
        <f t="shared" si="5"/>
        <v xml:space="preserve"> </v>
      </c>
      <c r="O19" s="94" t="str">
        <f>IF(Table6220273215[[#This Row],[Non-Member]]="X"," ",IF(N19=" "," ",IFERROR(VLOOKUP(M19,Points!$A$2:$B$14,2,FALSE)," ")))</f>
        <v xml:space="preserve"> </v>
      </c>
      <c r="P19" s="147"/>
      <c r="Q19" s="97" t="str">
        <f t="shared" si="6"/>
        <v xml:space="preserve"> </v>
      </c>
      <c r="R19" s="93" t="str">
        <f t="shared" si="7"/>
        <v xml:space="preserve"> </v>
      </c>
      <c r="S19" s="94" t="str">
        <f>IF(Table6220273215[[#This Row],[Non-Member]]="X"," ",IF(R19=" "," ",IFERROR(VLOOKUP(Q19,Points!$A$2:$B$14,2,FALSE)," ")))</f>
        <v xml:space="preserve"> </v>
      </c>
      <c r="T19" s="147"/>
      <c r="U19" s="97" t="str">
        <f t="shared" si="8"/>
        <v xml:space="preserve"> </v>
      </c>
      <c r="V19" s="93" t="str">
        <f t="shared" si="9"/>
        <v xml:space="preserve"> </v>
      </c>
      <c r="W19" s="94" t="str">
        <f>IF(Table6220273215[[#This Row],[Non-Member]]="X"," ",IF(V19=" "," ",IFERROR(VLOOKUP(U19,Points!$A$2:$B$14,2,FALSE)," ")))</f>
        <v xml:space="preserve"> </v>
      </c>
      <c r="X19" s="147"/>
      <c r="Y19" s="97" t="str">
        <f t="shared" si="10"/>
        <v xml:space="preserve"> </v>
      </c>
      <c r="Z19" s="93" t="str">
        <f t="shared" si="11"/>
        <v xml:space="preserve"> </v>
      </c>
      <c r="AA19" s="94" t="str">
        <f>IF(Table6220273215[[#This Row],[Non-Member]]="X"," ",IF(Z19=" "," ",IFERROR(VLOOKUP(Y19,Points!$A$2:$B$14,2,FALSE)," ")))</f>
        <v xml:space="preserve"> </v>
      </c>
      <c r="AB19" s="147"/>
      <c r="AC19" s="97" t="str">
        <f t="shared" si="12"/>
        <v xml:space="preserve"> </v>
      </c>
      <c r="AD19" s="93" t="str">
        <f t="shared" si="13"/>
        <v xml:space="preserve"> </v>
      </c>
      <c r="AE19" s="94" t="str">
        <f>IF(Table6220273215[[#This Row],[Non-Member]]="X"," ",IF(AD19=" "," ",IFERROR(VLOOKUP(AC19,Points!$A$2:$B$14,2,FALSE)," ")))</f>
        <v xml:space="preserve"> </v>
      </c>
      <c r="AF19" s="147" t="str">
        <f t="shared" si="14"/>
        <v xml:space="preserve"> </v>
      </c>
      <c r="AG19" s="98" t="e">
        <f t="shared" si="15"/>
        <v>#VALUE!</v>
      </c>
      <c r="AH19" s="93" t="str">
        <f t="shared" si="16"/>
        <v xml:space="preserve"> </v>
      </c>
      <c r="AI19" s="94" t="str">
        <f>IF(Table6220273215[[#This Row],[Non-Member]]="X"," ",IF(AH19=" "," ",IFERROR(VLOOKUP(AG19,Points!$A$2:$B$14,2,FALSE)," ")))</f>
        <v xml:space="preserve"> </v>
      </c>
      <c r="AJ19" s="97">
        <f>IF(Table6220273215[[#This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8" t="str">
        <f t="shared" si="18"/>
        <v xml:space="preserve"> </v>
      </c>
    </row>
    <row r="20" spans="2:38" x14ac:dyDescent="0.25">
      <c r="B20" s="90"/>
      <c r="C20" s="91"/>
      <c r="D20" s="147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IF(Table6220273215[[#This Row],[Non-Member]]="X"," ",IF(F20=" "," ",IFERROR(VLOOKUP(E20,Points!$A$2:$B$14,2,FALSE)," ")))</f>
        <v xml:space="preserve"> </v>
      </c>
      <c r="H20" s="147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IF(Table6220273215[[#This Row],[Non-Member]]="X"," ",IF(J20=" "," ",IFERROR(VLOOKUP(I20,Points!$A$2:$B$14,2,FALSE)," ")))</f>
        <v xml:space="preserve"> </v>
      </c>
      <c r="L20" s="147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IF(Table6220273215[[#This Row],[Non-Member]]="X"," ",IF(N20=" "," ",IFERROR(VLOOKUP(M20,Points!$A$2:$B$14,2,FALSE)," ")))</f>
        <v xml:space="preserve"> </v>
      </c>
      <c r="P20" s="147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IF(Table6220273215[[#This Row],[Non-Member]]="X"," ",IF(R20=" "," ",IFERROR(VLOOKUP(Q20,Points!$A$2:$B$14,2,FALSE)," ")))</f>
        <v xml:space="preserve"> </v>
      </c>
      <c r="T20" s="147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IF(Table6220273215[[#This Row],[Non-Member]]="X"," ",IF(V20=" "," ",IFERROR(VLOOKUP(U20,Points!$A$2:$B$14,2,FALSE)," ")))</f>
        <v xml:space="preserve"> </v>
      </c>
      <c r="X20" s="147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IF(Table6220273215[[#This Row],[Non-Member]]="X"," ",IF(Z20=" "," ",IFERROR(VLOOKUP(Y20,Points!$A$2:$B$14,2,FALSE)," ")))</f>
        <v xml:space="preserve"> </v>
      </c>
      <c r="AB20" s="147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IF(Table6220273215[[#This Row],[Non-Member]]="X"," ",IF(AD20=" "," ",IFERROR(VLOOKUP(AC20,Points!$A$2:$B$14,2,FALSE)," ")))</f>
        <v xml:space="preserve"> </v>
      </c>
      <c r="AF20" s="147" t="str">
        <f t="shared" si="14"/>
        <v xml:space="preserve"> </v>
      </c>
      <c r="AG20" s="96" t="e">
        <f t="shared" si="15"/>
        <v>#VALUE!</v>
      </c>
      <c r="AH20" s="93" t="str">
        <f t="shared" si="16"/>
        <v xml:space="preserve"> </v>
      </c>
      <c r="AI20" s="94" t="str">
        <f>IF(Table6220273215[[#This Row],[Non-Member]]="X"," ",IF(AH20=" "," ",IFERROR(VLOOKUP(AG20,Points!$A$2:$B$14,2,FALSE)," ")))</f>
        <v xml:space="preserve"> </v>
      </c>
      <c r="AJ20" s="93">
        <f>IF(Table6220273215[[#This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147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IF(Table6220273215[[#This Row],[Non-Member]]="X"," ",IF(F21=" "," ",IFERROR(VLOOKUP(E21,Points!$A$2:$B$14,2,FALSE)," ")))</f>
        <v xml:space="preserve"> </v>
      </c>
      <c r="H21" s="147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IF(Table6220273215[[#This Row],[Non-Member]]="X"," ",IF(J21=" "," ",IFERROR(VLOOKUP(I21,Points!$A$2:$B$14,2,FALSE)," ")))</f>
        <v xml:space="preserve"> </v>
      </c>
      <c r="L21" s="147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IF(Table6220273215[[#This Row],[Non-Member]]="X"," ",IF(N21=" "," ",IFERROR(VLOOKUP(M21,Points!$A$2:$B$14,2,FALSE)," ")))</f>
        <v xml:space="preserve"> </v>
      </c>
      <c r="P21" s="147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IF(Table6220273215[[#This Row],[Non-Member]]="X"," ",IF(R21=" "," ",IFERROR(VLOOKUP(Q21,Points!$A$2:$B$14,2,FALSE)," ")))</f>
        <v xml:space="preserve"> </v>
      </c>
      <c r="T21" s="147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IF(Table6220273215[[#This Row],[Non-Member]]="X"," ",IF(V21=" "," ",IFERROR(VLOOKUP(U21,Points!$A$2:$B$14,2,FALSE)," ")))</f>
        <v xml:space="preserve"> </v>
      </c>
      <c r="X21" s="147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IF(Table6220273215[[#This Row],[Non-Member]]="X"," ",IF(Z21=" "," ",IFERROR(VLOOKUP(Y21,Points!$A$2:$B$14,2,FALSE)," ")))</f>
        <v xml:space="preserve"> </v>
      </c>
      <c r="AB21" s="147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IF(Table6220273215[[#This Row],[Non-Member]]="X"," ",IF(AD21=" "," ",IFERROR(VLOOKUP(AC21,Points!$A$2:$B$14,2,FALSE)," ")))</f>
        <v xml:space="preserve"> </v>
      </c>
      <c r="AF21" s="147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IF(Table6220273215[[#This Row],[Non-Member]]="X"," ",IF(AH21=" "," ",IFERROR(VLOOKUP(AG21,Points!$A$2:$B$14,2,FALSE)," ")))</f>
        <v xml:space="preserve"> </v>
      </c>
      <c r="AJ21" s="93">
        <f>IF(Table6220273215[[#This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147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IF(Table6220273215[[#This Row],[Non-Member]]="X"," ",IF(F22=" "," ",IFERROR(VLOOKUP(E22,Points!$A$2:$B$14,2,FALSE)," ")))</f>
        <v xml:space="preserve"> </v>
      </c>
      <c r="H22" s="147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IF(Table6220273215[[#This Row],[Non-Member]]="X"," ",IF(J22=" "," ",IFERROR(VLOOKUP(I22,Points!$A$2:$B$14,2,FALSE)," ")))</f>
        <v xml:space="preserve"> </v>
      </c>
      <c r="L22" s="147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IF(Table6220273215[[#This Row],[Non-Member]]="X"," ",IF(N22=" "," ",IFERROR(VLOOKUP(M22,Points!$A$2:$B$14,2,FALSE)," ")))</f>
        <v xml:space="preserve"> </v>
      </c>
      <c r="P22" s="147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IF(Table6220273215[[#This Row],[Non-Member]]="X"," ",IF(R22=" "," ",IFERROR(VLOOKUP(Q22,Points!$A$2:$B$14,2,FALSE)," ")))</f>
        <v xml:space="preserve"> </v>
      </c>
      <c r="T22" s="147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IF(Table6220273215[[#This Row],[Non-Member]]="X"," ",IF(V22=" "," ",IFERROR(VLOOKUP(U22,Points!$A$2:$B$14,2,FALSE)," ")))</f>
        <v xml:space="preserve"> </v>
      </c>
      <c r="X22" s="147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IF(Table6220273215[[#This Row],[Non-Member]]="X"," ",IF(Z22=" "," ",IFERROR(VLOOKUP(Y22,Points!$A$2:$B$14,2,FALSE)," ")))</f>
        <v xml:space="preserve"> </v>
      </c>
      <c r="AB22" s="147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IF(Table6220273215[[#This Row],[Non-Member]]="X"," ",IF(AD22=" "," ",IFERROR(VLOOKUP(AC22,Points!$A$2:$B$14,2,FALSE)," ")))</f>
        <v xml:space="preserve"> </v>
      </c>
      <c r="AF22" s="147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IF(Table6220273215[[#This Row],[Non-Member]]="X"," ",IF(AH22=" "," ",IFERROR(VLOOKUP(AG22,Points!$A$2:$B$14,2,FALSE)," ")))</f>
        <v xml:space="preserve"> </v>
      </c>
      <c r="AJ22" s="93">
        <f>IF(Table6220273215[[#This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147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IF(Table6220273215[[#This Row],[Non-Member]]="X"," ",IF(F23=" "," ",IFERROR(VLOOKUP(E23,Points!$A$2:$B$14,2,FALSE)," ")))</f>
        <v xml:space="preserve"> </v>
      </c>
      <c r="H23" s="147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IF(Table6220273215[[#This Row],[Non-Member]]="X"," ",IF(J23=" "," ",IFERROR(VLOOKUP(I23,Points!$A$2:$B$14,2,FALSE)," ")))</f>
        <v xml:space="preserve"> </v>
      </c>
      <c r="L23" s="147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IF(Table6220273215[[#This Row],[Non-Member]]="X"," ",IF(N23=" "," ",IFERROR(VLOOKUP(M23,Points!$A$2:$B$14,2,FALSE)," ")))</f>
        <v xml:space="preserve"> </v>
      </c>
      <c r="P23" s="147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IF(Table6220273215[[#This Row],[Non-Member]]="X"," ",IF(R23=" "," ",IFERROR(VLOOKUP(Q23,Points!$A$2:$B$14,2,FALSE)," ")))</f>
        <v xml:space="preserve"> </v>
      </c>
      <c r="T23" s="147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IF(Table6220273215[[#This Row],[Non-Member]]="X"," ",IF(V23=" "," ",IFERROR(VLOOKUP(U23,Points!$A$2:$B$14,2,FALSE)," ")))</f>
        <v xml:space="preserve"> </v>
      </c>
      <c r="X23" s="147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IF(Table6220273215[[#This Row],[Non-Member]]="X"," ",IF(Z23=" "," ",IFERROR(VLOOKUP(Y23,Points!$A$2:$B$14,2,FALSE)," ")))</f>
        <v xml:space="preserve"> </v>
      </c>
      <c r="AB23" s="147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IF(Table6220273215[[#This Row],[Non-Member]]="X"," ",IF(AD23=" "," ",IFERROR(VLOOKUP(AC23,Points!$A$2:$B$14,2,FALSE)," ")))</f>
        <v xml:space="preserve"> </v>
      </c>
      <c r="AF23" s="147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IF(Table6220273215[[#This Row],[Non-Member]]="X"," ",IF(AH23=" "," ",IFERROR(VLOOKUP(AG23,Points!$A$2:$B$14,2,FALSE)," ")))</f>
        <v xml:space="preserve"> </v>
      </c>
      <c r="AJ23" s="93">
        <f>IF(Table6220273215[[#This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48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IF(Table6220273215[[#This Row],[Non-Member]]="X"," ",IF(F24=" "," ",IFERROR(VLOOKUP(E24,Points!$A$2:$B$14,2,FALSE)," ")))</f>
        <v xml:space="preserve"> </v>
      </c>
      <c r="H24" s="147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IF(Table6220273215[[#This Row],[Non-Member]]="X"," ",IF(J24=" "," ",IFERROR(VLOOKUP(I24,Points!$A$2:$B$14,2,FALSE)," ")))</f>
        <v xml:space="preserve"> </v>
      </c>
      <c r="L24" s="147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IF(Table6220273215[[#This Row],[Non-Member]]="X"," ",IF(N24=" "," ",IFERROR(VLOOKUP(M24,Points!$A$2:$B$14,2,FALSE)," ")))</f>
        <v xml:space="preserve"> </v>
      </c>
      <c r="P24" s="147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IF(Table6220273215[[#This Row],[Non-Member]]="X"," ",IF(R24=" "," ",IFERROR(VLOOKUP(Q24,Points!$A$2:$B$14,2,FALSE)," ")))</f>
        <v xml:space="preserve"> </v>
      </c>
      <c r="T24" s="147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IF(Table6220273215[[#This Row],[Non-Member]]="X"," ",IF(V24=" "," ",IFERROR(VLOOKUP(U24,Points!$A$2:$B$14,2,FALSE)," ")))</f>
        <v xml:space="preserve"> </v>
      </c>
      <c r="X24" s="147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IF(Table6220273215[[#This Row],[Non-Member]]="X"," ",IF(Z24=" "," ",IFERROR(VLOOKUP(Y24,Points!$A$2:$B$14,2,FALSE)," ")))</f>
        <v xml:space="preserve"> </v>
      </c>
      <c r="AB24" s="147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IF(Table6220273215[[#This Row],[Non-Member]]="X"," ",IF(AD24=" "," ",IFERROR(VLOOKUP(AC24,Points!$A$2:$B$14,2,FALSE)," ")))</f>
        <v xml:space="preserve"> </v>
      </c>
      <c r="AF24" s="147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IF(Table6220273215[[#This Row],[Non-Member]]="X"," ",IF(AH24=" "," ",IFERROR(VLOOKUP(AG24,Points!$A$2:$B$14,2,FALSE)," ")))</f>
        <v xml:space="preserve"> </v>
      </c>
      <c r="AJ24" s="93">
        <f>IF(Table6220273215[[#This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7"/>
    </row>
    <row r="54" ht="13.5" customHeight="1" x14ac:dyDescent="0.25"/>
  </sheetData>
  <sheetProtection algorithmName="SHA-512" hashValue="fU7y4m3ExckVf01IhnjjZg+vu/O4ViktD+cND+XG86d1IxA207QiijNbEiieRkyGC9Gxq0532G0f/siF0FC1qg==" saltValue="KQQEOszLIiFpfKwybM/0Y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CFD9A-06B0-4870-ADAB-EE0BE15726A7}">
  <sheetPr codeName="Sheet57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104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131</v>
      </c>
      <c r="C5" s="84"/>
      <c r="D5" s="85">
        <v>15.97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IF(Table622027323316[[#This Row],[Non-Member]]="X"," ",IF(F5=" "," ",IFERROR(VLOOKUP(E5,Points!$A$2:$B$14,2,FALSE)," ")))</f>
        <v>18</v>
      </c>
      <c r="H5" s="85">
        <v>14.03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IF(Table622027323316[[#This Row],[Non-Member]]="X"," ",IF(J5=" "," ",IFERROR(VLOOKUP(I5,Points!$A$2:$B$14,2,FALSE)," ")))</f>
        <v>18</v>
      </c>
      <c r="L5" s="85">
        <v>12.12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IF(Table622027323316[[#This Row],[Non-Member]]="X"," ",IF(N5=" "," ",IFERROR(VLOOKUP(M5,Points!$A$2:$B$14,2,FALSE)," ")))</f>
        <v>18</v>
      </c>
      <c r="P5" s="85">
        <v>12.98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IF(Table622027323316[[#This Row],[Non-Member]]="X"," ",IF(R5=" "," ",IFERROR(VLOOKUP(Q5,Points!$A$2:$B$14,2,FALSE)," ")))</f>
        <v>18</v>
      </c>
      <c r="T5" s="85">
        <v>16.670000000000002</v>
      </c>
      <c r="U5" s="86">
        <f t="shared" ref="U5:U24" si="8">IF(T5=0," ",_xlfn.RANK.AVG(T5,T$5:T$24,1)-COUNTIF(T$5:T$24,0))</f>
        <v>4</v>
      </c>
      <c r="V5" s="86">
        <f t="shared" ref="V5:V24" si="9">IF(T5=0," ",IF((RANK(T5,T$5:T$24,1)-COUNTIF(T$5:T$24,0)&gt;6)," ",RANK(T5,T$5:T$24,1)-COUNTIF(T$5:T$24,0)))</f>
        <v>4</v>
      </c>
      <c r="W5" s="87">
        <f>IF(Table622027323316[[#This Row],[Non-Member]]="X"," ",IF(V5=" "," ",IFERROR(VLOOKUP(U5,Points!$A$2:$B$14,2,FALSE)," ")))</f>
        <v>9</v>
      </c>
      <c r="X5" s="85">
        <v>11.25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IF(Table622027323316[[#This Row],[Non-Member]]="X"," ",IF(Z5=" "," ",IFERROR(VLOOKUP(Y5,Points!$A$2:$B$14,2,FALSE)," ")))</f>
        <v>18</v>
      </c>
      <c r="AB5" s="85">
        <v>11.73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IF(Table622027323316[[#This Row],[Non-Member]]="X"," ",IF(AD5=" "," ",IFERROR(VLOOKUP(AC5,Points!$A$2:$B$14,2,FALSE)," ")))</f>
        <v>18</v>
      </c>
      <c r="AF5" s="85">
        <f t="shared" ref="AF5:AF24" si="14">IF(OR(X5=0,AB5=0)," ",X5+AB5)</f>
        <v>22.98</v>
      </c>
      <c r="AG5" s="86">
        <f t="shared" ref="AG5:AG24" si="15">IF(OR(AF5=0,AF5=" ")," ",_xlfn.RANK.AVG(AF5,AF$5:AF$24,1)-COUNTIF(AF$5:AF$24,0))</f>
        <v>1</v>
      </c>
      <c r="AH5" s="86">
        <f t="shared" ref="AH5:AH24" si="16">IF(OR(AF5=0,AF5=" ")," ",IF((RANK(AF5,AF$5:AF$24,1)-COUNTIF(AF$5:AF$24,0)&gt;6)," ",RANK(AF5,AF$5:AF$24,1)-COUNTIF(AF$5:AF$24,0)))</f>
        <v>1</v>
      </c>
      <c r="AI5" s="87">
        <f>IF(Table622027323316[[#This Row],[Non-Member]]="X"," ",IF(AH5=" "," ",IFERROR(VLOOKUP(AG5,Points!$A$2:$B$14,2,FALSE)," ")))</f>
        <v>18</v>
      </c>
      <c r="AJ5" s="86">
        <f>IF(Table622027323316[[#This Row],[Non-Member]]="X"," ",((IF(G5=" ",0,G5))+(IF(K5=" ",0,K5))+(IF(O5=" ",0,O5))+(IF(S5=" ",0,S5))+(IF(W5=" ",0,W5))+(IF(AA5=" ",0,AA5))+(IF(AE5=" ",0,AE5))+(IF(AI5=" ",0,AI5))))</f>
        <v>135</v>
      </c>
      <c r="AK5" s="88">
        <f t="shared" ref="AK5:AK24" si="17">IF(AJ5=0," ",AJ5)</f>
        <v>135</v>
      </c>
      <c r="AL5" s="89">
        <f t="shared" ref="AL5:AL24" si="18">IF(AK5=" "," ",RANK(AK5,$AK$5:$AK$24))</f>
        <v>1</v>
      </c>
    </row>
    <row r="6" spans="2:38" x14ac:dyDescent="0.25">
      <c r="B6" s="90" t="s">
        <v>132</v>
      </c>
      <c r="C6" s="91"/>
      <c r="D6" s="92">
        <v>22.07</v>
      </c>
      <c r="E6" s="93">
        <f t="shared" si="0"/>
        <v>5</v>
      </c>
      <c r="F6" s="93">
        <f t="shared" si="1"/>
        <v>5</v>
      </c>
      <c r="G6" s="94">
        <f>IF(Table622027323316[[#This Row],[Non-Member]]="X"," ",IF(F6=" "," ",IFERROR(VLOOKUP(E6,Points!$A$2:$B$14,2,FALSE)," ")))</f>
        <v>6</v>
      </c>
      <c r="H6" s="92">
        <v>15.25</v>
      </c>
      <c r="I6" s="93">
        <f t="shared" si="2"/>
        <v>2</v>
      </c>
      <c r="J6" s="93">
        <f t="shared" si="3"/>
        <v>2</v>
      </c>
      <c r="K6" s="94">
        <f>IF(Table622027323316[[#This Row],[Non-Member]]="X"," ",IF(J6=" "," ",IFERROR(VLOOKUP(I6,Points!$A$2:$B$14,2,FALSE)," ")))</f>
        <v>15</v>
      </c>
      <c r="L6" s="92">
        <v>14.02</v>
      </c>
      <c r="M6" s="93">
        <f t="shared" si="4"/>
        <v>3</v>
      </c>
      <c r="N6" s="93">
        <f t="shared" si="5"/>
        <v>3</v>
      </c>
      <c r="O6" s="94">
        <f>IF(Table622027323316[[#This Row],[Non-Member]]="X"," ",IF(N6=" "," ",IFERROR(VLOOKUP(M6,Points!$A$2:$B$14,2,FALSE)," ")))</f>
        <v>12</v>
      </c>
      <c r="P6" s="92">
        <v>22.32</v>
      </c>
      <c r="Q6" s="93">
        <f t="shared" si="6"/>
        <v>10</v>
      </c>
      <c r="R6" s="93" t="str">
        <f t="shared" si="7"/>
        <v xml:space="preserve"> </v>
      </c>
      <c r="S6" s="94" t="str">
        <f>IF(Table622027323316[[#This Row],[Non-Member]]="X"," ",IF(R6=" "," ",IFERROR(VLOOKUP(Q6,Points!$A$2:$B$14,2,FALSE)," ")))</f>
        <v xml:space="preserve"> </v>
      </c>
      <c r="T6" s="92">
        <v>15.75</v>
      </c>
      <c r="U6" s="93">
        <f t="shared" si="8"/>
        <v>3</v>
      </c>
      <c r="V6" s="93">
        <f t="shared" si="9"/>
        <v>3</v>
      </c>
      <c r="W6" s="94">
        <f>IF(Table622027323316[[#This Row],[Non-Member]]="X"," ",IF(V6=" "," ",IFERROR(VLOOKUP(U6,Points!$A$2:$B$14,2,FALSE)," ")))</f>
        <v>12</v>
      </c>
      <c r="X6" s="92">
        <v>17.12</v>
      </c>
      <c r="Y6" s="93">
        <f t="shared" si="10"/>
        <v>5.5</v>
      </c>
      <c r="Z6" s="93">
        <f t="shared" si="11"/>
        <v>5</v>
      </c>
      <c r="AA6" s="94">
        <f>IF(Table622027323316[[#This Row],[Non-Member]]="X"," ",IF(Z6=" "," ",IFERROR(VLOOKUP(Y6,Points!$A$2:$B$14,2,FALSE)," ")))</f>
        <v>4.5</v>
      </c>
      <c r="AB6" s="92">
        <v>12.87</v>
      </c>
      <c r="AC6" s="93">
        <f t="shared" si="12"/>
        <v>2</v>
      </c>
      <c r="AD6" s="93">
        <f t="shared" si="13"/>
        <v>2</v>
      </c>
      <c r="AE6" s="94">
        <f>IF(Table622027323316[[#This Row],[Non-Member]]="X"," ",IF(AD6=" "," ",IFERROR(VLOOKUP(AC6,Points!$A$2:$B$14,2,FALSE)," ")))</f>
        <v>15</v>
      </c>
      <c r="AF6" s="92">
        <f t="shared" si="14"/>
        <v>29.990000000000002</v>
      </c>
      <c r="AG6" s="93">
        <f t="shared" si="15"/>
        <v>2</v>
      </c>
      <c r="AH6" s="93">
        <f t="shared" si="16"/>
        <v>2</v>
      </c>
      <c r="AI6" s="94">
        <f>IF(Table622027323316[[#This Row],[Non-Member]]="X"," ",IF(AH6=" "," ",IFERROR(VLOOKUP(AG6,Points!$A$2:$B$14,2,FALSE)," ")))</f>
        <v>15</v>
      </c>
      <c r="AJ6" s="93">
        <f>IF(Table622027323316[[#This Row],[Non-Member]]="X"," ",((IF(G6=" ",0,G6))+(IF(K6=" ",0,K6))+(IF(O6=" ",0,O6))+(IF(S6=" ",0,S6))+(IF(W6=" ",0,W6))+(IF(AA6=" ",0,AA6))+(IF(AE6=" ",0,AE6))+(IF(AI6=" ",0,AI6))))</f>
        <v>79.5</v>
      </c>
      <c r="AK6" s="95">
        <f t="shared" si="17"/>
        <v>79.5</v>
      </c>
      <c r="AL6" s="96">
        <f t="shared" si="18"/>
        <v>2</v>
      </c>
    </row>
    <row r="7" spans="2:38" x14ac:dyDescent="0.25">
      <c r="B7" s="90" t="s">
        <v>130</v>
      </c>
      <c r="C7" s="91"/>
      <c r="D7" s="92">
        <v>34.39</v>
      </c>
      <c r="E7" s="93">
        <f t="shared" si="0"/>
        <v>10</v>
      </c>
      <c r="F7" s="93" t="str">
        <f t="shared" si="1"/>
        <v xml:space="preserve"> </v>
      </c>
      <c r="G7" s="94" t="str">
        <f>IF(Table622027323316[[#This Row],[Non-Member]]="X"," ",IF(F7=" "," ",IFERROR(VLOOKUP(E7,Points!$A$2:$B$14,2,FALSE)," ")))</f>
        <v xml:space="preserve"> </v>
      </c>
      <c r="H7" s="92">
        <v>22.5</v>
      </c>
      <c r="I7" s="93">
        <f t="shared" si="2"/>
        <v>11</v>
      </c>
      <c r="J7" s="93" t="str">
        <f t="shared" si="3"/>
        <v xml:space="preserve"> </v>
      </c>
      <c r="K7" s="94" t="str">
        <f>IF(Table622027323316[[#This Row],[Non-Member]]="X"," ",IF(J7=" "," ",IFERROR(VLOOKUP(I7,Points!$A$2:$B$14,2,FALSE)," ")))</f>
        <v xml:space="preserve"> </v>
      </c>
      <c r="L7" s="92">
        <v>15.08</v>
      </c>
      <c r="M7" s="93">
        <f t="shared" si="4"/>
        <v>4</v>
      </c>
      <c r="N7" s="93">
        <f t="shared" si="5"/>
        <v>4</v>
      </c>
      <c r="O7" s="94">
        <f>IF(Table622027323316[[#This Row],[Non-Member]]="X"," ",IF(N7=" "," ",IFERROR(VLOOKUP(M7,Points!$A$2:$B$14,2,FALSE)," ")))</f>
        <v>9</v>
      </c>
      <c r="P7" s="92">
        <v>14.4</v>
      </c>
      <c r="Q7" s="93">
        <f t="shared" si="6"/>
        <v>2</v>
      </c>
      <c r="R7" s="93">
        <f t="shared" si="7"/>
        <v>2</v>
      </c>
      <c r="S7" s="94">
        <f>IF(Table622027323316[[#This Row],[Non-Member]]="X"," ",IF(R7=" "," ",IFERROR(VLOOKUP(Q7,Points!$A$2:$B$14,2,FALSE)," ")))</f>
        <v>15</v>
      </c>
      <c r="T7" s="92">
        <v>15.63</v>
      </c>
      <c r="U7" s="93">
        <f t="shared" si="8"/>
        <v>2</v>
      </c>
      <c r="V7" s="93">
        <f t="shared" si="9"/>
        <v>2</v>
      </c>
      <c r="W7" s="94">
        <f>IF(Table622027323316[[#This Row],[Non-Member]]="X"," ",IF(V7=" "," ",IFERROR(VLOOKUP(U7,Points!$A$2:$B$14,2,FALSE)," ")))</f>
        <v>15</v>
      </c>
      <c r="X7" s="92">
        <v>13.84</v>
      </c>
      <c r="Y7" s="93">
        <f t="shared" si="10"/>
        <v>2</v>
      </c>
      <c r="Z7" s="93">
        <f t="shared" si="11"/>
        <v>2</v>
      </c>
      <c r="AA7" s="94">
        <f>IF(Table622027323316[[#This Row],[Non-Member]]="X"," ",IF(Z7=" "," ",IFERROR(VLOOKUP(Y7,Points!$A$2:$B$14,2,FALSE)," ")))</f>
        <v>15</v>
      </c>
      <c r="AB7" s="92">
        <v>18.54</v>
      </c>
      <c r="AC7" s="93">
        <f t="shared" si="12"/>
        <v>6</v>
      </c>
      <c r="AD7" s="93">
        <f t="shared" si="13"/>
        <v>6</v>
      </c>
      <c r="AE7" s="94">
        <f>IF(Table622027323316[[#This Row],[Non-Member]]="X"," ",IF(AD7=" "," ",IFERROR(VLOOKUP(AC7,Points!$A$2:$B$14,2,FALSE)," ")))</f>
        <v>3</v>
      </c>
      <c r="AF7" s="92">
        <f t="shared" si="14"/>
        <v>32.379999999999995</v>
      </c>
      <c r="AG7" s="93">
        <f t="shared" si="15"/>
        <v>3</v>
      </c>
      <c r="AH7" s="93">
        <f t="shared" si="16"/>
        <v>3</v>
      </c>
      <c r="AI7" s="94">
        <f>IF(Table622027323316[[#This Row],[Non-Member]]="X"," ",IF(AH7=" "," ",IFERROR(VLOOKUP(AG7,Points!$A$2:$B$14,2,FALSE)," ")))</f>
        <v>12</v>
      </c>
      <c r="AJ7" s="93">
        <f>IF(Table622027323316[[#This Row],[Non-Member]]="X"," ",((IF(G7=" ",0,G7))+(IF(K7=" ",0,K7))+(IF(O7=" ",0,O7))+(IF(S7=" ",0,S7))+(IF(W7=" ",0,W7))+(IF(AA7=" ",0,AA7))+(IF(AE7=" ",0,AE7))+(IF(AI7=" ",0,AI7))))</f>
        <v>69</v>
      </c>
      <c r="AK7" s="95">
        <f t="shared" si="17"/>
        <v>69</v>
      </c>
      <c r="AL7" s="96">
        <f t="shared" si="18"/>
        <v>3</v>
      </c>
    </row>
    <row r="8" spans="2:38" x14ac:dyDescent="0.25">
      <c r="B8" s="90" t="s">
        <v>133</v>
      </c>
      <c r="C8" s="91"/>
      <c r="D8" s="92">
        <v>17.3</v>
      </c>
      <c r="E8" s="93">
        <f t="shared" si="0"/>
        <v>2</v>
      </c>
      <c r="F8" s="93">
        <f t="shared" si="1"/>
        <v>2</v>
      </c>
      <c r="G8" s="94">
        <f>IF(Table622027323316[[#This Row],[Non-Member]]="X"," ",IF(F8=" "," ",IFERROR(VLOOKUP(E8,Points!$A$2:$B$14,2,FALSE)," ")))</f>
        <v>15</v>
      </c>
      <c r="H8" s="92">
        <v>16.09</v>
      </c>
      <c r="I8" s="93">
        <f t="shared" si="2"/>
        <v>3</v>
      </c>
      <c r="J8" s="93">
        <f t="shared" si="3"/>
        <v>3</v>
      </c>
      <c r="K8" s="94">
        <f>IF(Table622027323316[[#This Row],[Non-Member]]="X"," ",IF(J8=" "," ",IFERROR(VLOOKUP(I8,Points!$A$2:$B$14,2,FALSE)," ")))</f>
        <v>12</v>
      </c>
      <c r="L8" s="92">
        <v>18.2</v>
      </c>
      <c r="M8" s="93">
        <f t="shared" si="4"/>
        <v>7</v>
      </c>
      <c r="N8" s="93" t="str">
        <f t="shared" si="5"/>
        <v xml:space="preserve"> </v>
      </c>
      <c r="O8" s="94" t="str">
        <f>IF(Table622027323316[[#This Row],[Non-Member]]="X"," ",IF(N8=" "," ",IFERROR(VLOOKUP(M8,Points!$A$2:$B$14,2,FALSE)," ")))</f>
        <v xml:space="preserve"> </v>
      </c>
      <c r="P8" s="92">
        <v>17.89</v>
      </c>
      <c r="Q8" s="93">
        <f t="shared" si="6"/>
        <v>6</v>
      </c>
      <c r="R8" s="93">
        <f t="shared" si="7"/>
        <v>6</v>
      </c>
      <c r="S8" s="94">
        <f>IF(Table622027323316[[#This Row],[Non-Member]]="X"," ",IF(R8=" "," ",IFERROR(VLOOKUP(Q8,Points!$A$2:$B$14,2,FALSE)," ")))</f>
        <v>3</v>
      </c>
      <c r="T8" s="92"/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IF(Table622027323316[[#This Row],[Non-Member]]="X"," ",IF(V8=" "," ",IFERROR(VLOOKUP(U8,Points!$A$2:$B$14,2,FALSE)," ")))</f>
        <v xml:space="preserve"> </v>
      </c>
      <c r="X8" s="92">
        <v>15.78</v>
      </c>
      <c r="Y8" s="93">
        <f t="shared" si="10"/>
        <v>4</v>
      </c>
      <c r="Z8" s="93">
        <f t="shared" si="11"/>
        <v>4</v>
      </c>
      <c r="AA8" s="94">
        <f>IF(Table622027323316[[#This Row],[Non-Member]]="X"," ",IF(Z8=" "," ",IFERROR(VLOOKUP(Y8,Points!$A$2:$B$14,2,FALSE)," ")))</f>
        <v>9</v>
      </c>
      <c r="AB8" s="92">
        <v>17.809999999999999</v>
      </c>
      <c r="AC8" s="93">
        <f t="shared" si="12"/>
        <v>5</v>
      </c>
      <c r="AD8" s="93">
        <f t="shared" si="13"/>
        <v>5</v>
      </c>
      <c r="AE8" s="94">
        <f>IF(Table622027323316[[#This Row],[Non-Member]]="X"," ",IF(AD8=" "," ",IFERROR(VLOOKUP(AC8,Points!$A$2:$B$14,2,FALSE)," ")))</f>
        <v>6</v>
      </c>
      <c r="AF8" s="92">
        <f t="shared" si="14"/>
        <v>33.589999999999996</v>
      </c>
      <c r="AG8" s="93">
        <f t="shared" si="15"/>
        <v>4</v>
      </c>
      <c r="AH8" s="93">
        <f t="shared" si="16"/>
        <v>4</v>
      </c>
      <c r="AI8" s="94">
        <f>IF(Table622027323316[[#This Row],[Non-Member]]="X"," ",IF(AH8=" "," ",IFERROR(VLOOKUP(AG8,Points!$A$2:$B$14,2,FALSE)," ")))</f>
        <v>9</v>
      </c>
      <c r="AJ8" s="93">
        <f>IF(Table622027323316[[#This Row],[Non-Member]]="X"," ",((IF(G8=" ",0,G8))+(IF(K8=" ",0,K8))+(IF(O8=" ",0,O8))+(IF(S8=" ",0,S8))+(IF(W8=" ",0,W8))+(IF(AA8=" ",0,AA8))+(IF(AE8=" ",0,AE8))+(IF(AI8=" ",0,AI8))))</f>
        <v>54</v>
      </c>
      <c r="AK8" s="95">
        <f t="shared" si="17"/>
        <v>54</v>
      </c>
      <c r="AL8" s="96">
        <f t="shared" si="18"/>
        <v>4</v>
      </c>
    </row>
    <row r="9" spans="2:38" x14ac:dyDescent="0.25">
      <c r="B9" s="90" t="s">
        <v>139</v>
      </c>
      <c r="C9" s="91"/>
      <c r="D9" s="92">
        <v>17.95</v>
      </c>
      <c r="E9" s="93">
        <f t="shared" si="0"/>
        <v>3</v>
      </c>
      <c r="F9" s="93">
        <f t="shared" si="1"/>
        <v>3</v>
      </c>
      <c r="G9" s="94">
        <f>IF(Table622027323316[[#This Row],[Non-Member]]="X"," ",IF(F9=" "," ",IFERROR(VLOOKUP(E9,Points!$A$2:$B$14,2,FALSE)," ")))</f>
        <v>12</v>
      </c>
      <c r="H9" s="92">
        <v>17</v>
      </c>
      <c r="I9" s="93">
        <f t="shared" si="2"/>
        <v>4</v>
      </c>
      <c r="J9" s="93">
        <f t="shared" si="3"/>
        <v>4</v>
      </c>
      <c r="K9" s="94">
        <f>IF(Table622027323316[[#This Row],[Non-Member]]="X"," ",IF(J9=" "," ",IFERROR(VLOOKUP(I9,Points!$A$2:$B$14,2,FALSE)," ")))</f>
        <v>9</v>
      </c>
      <c r="L9" s="92">
        <v>16.86</v>
      </c>
      <c r="M9" s="93">
        <f t="shared" si="4"/>
        <v>6</v>
      </c>
      <c r="N9" s="93">
        <f t="shared" si="5"/>
        <v>6</v>
      </c>
      <c r="O9" s="94">
        <f>IF(Table622027323316[[#This Row],[Non-Member]]="X"," ",IF(N9=" "," ",IFERROR(VLOOKUP(M9,Points!$A$2:$B$14,2,FALSE)," ")))</f>
        <v>3</v>
      </c>
      <c r="P9" s="92">
        <v>17.93</v>
      </c>
      <c r="Q9" s="93">
        <f t="shared" si="6"/>
        <v>7</v>
      </c>
      <c r="R9" s="93" t="str">
        <f t="shared" si="7"/>
        <v xml:space="preserve"> </v>
      </c>
      <c r="S9" s="94" t="str">
        <f>IF(Table622027323316[[#This Row],[Non-Member]]="X"," ",IF(R9=" "," ",IFERROR(VLOOKUP(Q9,Points!$A$2:$B$14,2,FALSE)," ")))</f>
        <v xml:space="preserve"> </v>
      </c>
      <c r="T9" s="92">
        <v>19</v>
      </c>
      <c r="U9" s="93">
        <f t="shared" si="8"/>
        <v>7</v>
      </c>
      <c r="V9" s="93" t="str">
        <f t="shared" si="9"/>
        <v xml:space="preserve"> </v>
      </c>
      <c r="W9" s="94" t="str">
        <f>IF(Table622027323316[[#This Row],[Non-Member]]="X"," ",IF(V9=" "," ",IFERROR(VLOOKUP(U9,Points!$A$2:$B$14,2,FALSE)," ")))</f>
        <v xml:space="preserve"> </v>
      </c>
      <c r="X9" s="92">
        <v>18.71</v>
      </c>
      <c r="Y9" s="93">
        <f t="shared" si="10"/>
        <v>7</v>
      </c>
      <c r="Z9" s="93" t="str">
        <f t="shared" si="11"/>
        <v xml:space="preserve"> </v>
      </c>
      <c r="AA9" s="94" t="str">
        <f>IF(Table622027323316[[#This Row],[Non-Member]]="X"," ",IF(Z9=" "," ",IFERROR(VLOOKUP(Y9,Points!$A$2:$B$14,2,FALSE)," ")))</f>
        <v xml:space="preserve"> </v>
      </c>
      <c r="AB9" s="92">
        <v>15.03</v>
      </c>
      <c r="AC9" s="93">
        <f t="shared" si="12"/>
        <v>3</v>
      </c>
      <c r="AD9" s="93">
        <f t="shared" si="13"/>
        <v>3</v>
      </c>
      <c r="AE9" s="94">
        <f>IF(Table622027323316[[#This Row],[Non-Member]]="X"," ",IF(AD9=" "," ",IFERROR(VLOOKUP(AC9,Points!$A$2:$B$14,2,FALSE)," ")))</f>
        <v>12</v>
      </c>
      <c r="AF9" s="92">
        <f t="shared" si="14"/>
        <v>33.74</v>
      </c>
      <c r="AG9" s="93">
        <f t="shared" si="15"/>
        <v>5</v>
      </c>
      <c r="AH9" s="93">
        <f t="shared" si="16"/>
        <v>5</v>
      </c>
      <c r="AI9" s="94">
        <f>IF(Table622027323316[[#This Row],[Non-Member]]="X"," ",IF(AH9=" "," ",IFERROR(VLOOKUP(AG9,Points!$A$2:$B$14,2,FALSE)," ")))</f>
        <v>6</v>
      </c>
      <c r="AJ9" s="93">
        <f>IF(Table622027323316[[#This Row],[Non-Member]]="X"," ",((IF(G9=" ",0,G9))+(IF(K9=" ",0,K9))+(IF(O9=" ",0,O9))+(IF(S9=" ",0,S9))+(IF(W9=" ",0,W9))+(IF(AA9=" ",0,AA9))+(IF(AE9=" ",0,AE9))+(IF(AI9=" ",0,AI9))))</f>
        <v>42</v>
      </c>
      <c r="AK9" s="95">
        <f t="shared" si="17"/>
        <v>42</v>
      </c>
      <c r="AL9" s="96">
        <f t="shared" si="18"/>
        <v>5</v>
      </c>
    </row>
    <row r="10" spans="2:38" x14ac:dyDescent="0.25">
      <c r="B10" s="90" t="s">
        <v>68</v>
      </c>
      <c r="C10" s="91"/>
      <c r="D10" s="92">
        <v>19.260000000000002</v>
      </c>
      <c r="E10" s="93">
        <f t="shared" si="0"/>
        <v>4</v>
      </c>
      <c r="F10" s="93">
        <f t="shared" si="1"/>
        <v>4</v>
      </c>
      <c r="G10" s="94">
        <f>IF(Table622027323316[[#This Row],[Non-Member]]="X"," ",IF(F10=" "," ",IFERROR(VLOOKUP(E10,Points!$A$2:$B$14,2,FALSE)," ")))</f>
        <v>9</v>
      </c>
      <c r="H10" s="92">
        <v>18.41</v>
      </c>
      <c r="I10" s="93">
        <f t="shared" si="2"/>
        <v>7</v>
      </c>
      <c r="J10" s="93" t="str">
        <f t="shared" si="3"/>
        <v xml:space="preserve"> </v>
      </c>
      <c r="K10" s="94" t="str">
        <f>IF(Table622027323316[[#This Row],[Non-Member]]="X"," ",IF(J10=" "," ",IFERROR(VLOOKUP(I10,Points!$A$2:$B$14,2,FALSE)," ")))</f>
        <v xml:space="preserve"> </v>
      </c>
      <c r="L10" s="92">
        <v>16.62</v>
      </c>
      <c r="M10" s="93">
        <f t="shared" si="4"/>
        <v>5</v>
      </c>
      <c r="N10" s="93">
        <f t="shared" si="5"/>
        <v>5</v>
      </c>
      <c r="O10" s="94">
        <f>IF(Table622027323316[[#This Row],[Non-Member]]="X"," ",IF(N10=" "," ",IFERROR(VLOOKUP(M10,Points!$A$2:$B$14,2,FALSE)," ")))</f>
        <v>6</v>
      </c>
      <c r="P10" s="92">
        <v>22.96</v>
      </c>
      <c r="Q10" s="93">
        <f t="shared" si="6"/>
        <v>11</v>
      </c>
      <c r="R10" s="93" t="str">
        <f t="shared" si="7"/>
        <v xml:space="preserve"> </v>
      </c>
      <c r="S10" s="94" t="str">
        <f>IF(Table622027323316[[#This Row],[Non-Member]]="X"," ",IF(R10=" "," ",IFERROR(VLOOKUP(Q10,Points!$A$2:$B$14,2,FALSE)," ")))</f>
        <v xml:space="preserve"> </v>
      </c>
      <c r="T10" s="92">
        <v>18.05</v>
      </c>
      <c r="U10" s="93">
        <f t="shared" si="8"/>
        <v>5</v>
      </c>
      <c r="V10" s="93">
        <f t="shared" si="9"/>
        <v>5</v>
      </c>
      <c r="W10" s="94">
        <f>IF(Table622027323316[[#This Row],[Non-Member]]="X"," ",IF(V10=" "," ",IFERROR(VLOOKUP(U10,Points!$A$2:$B$14,2,FALSE)," ")))</f>
        <v>6</v>
      </c>
      <c r="X10" s="92">
        <v>17.12</v>
      </c>
      <c r="Y10" s="93">
        <f t="shared" si="10"/>
        <v>5.5</v>
      </c>
      <c r="Z10" s="93">
        <f t="shared" si="11"/>
        <v>5</v>
      </c>
      <c r="AA10" s="94">
        <f>IF(Table622027323316[[#This Row],[Non-Member]]="X"," ",IF(Z10=" "," ",IFERROR(VLOOKUP(Y10,Points!$A$2:$B$14,2,FALSE)," ")))</f>
        <v>4.5</v>
      </c>
      <c r="AB10" s="92">
        <v>16.84</v>
      </c>
      <c r="AC10" s="93">
        <f t="shared" si="12"/>
        <v>4</v>
      </c>
      <c r="AD10" s="93">
        <f t="shared" si="13"/>
        <v>4</v>
      </c>
      <c r="AE10" s="94">
        <f>IF(Table622027323316[[#This Row],[Non-Member]]="X"," ",IF(AD10=" "," ",IFERROR(VLOOKUP(AC10,Points!$A$2:$B$14,2,FALSE)," ")))</f>
        <v>9</v>
      </c>
      <c r="AF10" s="92">
        <f t="shared" si="14"/>
        <v>33.96</v>
      </c>
      <c r="AG10" s="93">
        <f t="shared" si="15"/>
        <v>6</v>
      </c>
      <c r="AH10" s="93">
        <f t="shared" si="16"/>
        <v>6</v>
      </c>
      <c r="AI10" s="94">
        <f>IF(Table622027323316[[#This Row],[Non-Member]]="X"," ",IF(AH10=" "," ",IFERROR(VLOOKUP(AG10,Points!$A$2:$B$14,2,FALSE)," ")))</f>
        <v>3</v>
      </c>
      <c r="AJ10" s="93">
        <f>IF(Table622027323316[[#This Row],[Non-Member]]="X"," ",((IF(G10=" ",0,G10))+(IF(K10=" ",0,K10))+(IF(O10=" ",0,O10))+(IF(S10=" ",0,S10))+(IF(W10=" ",0,W10))+(IF(AA10=" ",0,AA10))+(IF(AE10=" ",0,AE10))+(IF(AI10=" ",0,AI10))))</f>
        <v>37.5</v>
      </c>
      <c r="AK10" s="95">
        <f t="shared" si="17"/>
        <v>37.5</v>
      </c>
      <c r="AL10" s="96">
        <f t="shared" si="18"/>
        <v>6</v>
      </c>
    </row>
    <row r="11" spans="2:38" x14ac:dyDescent="0.25">
      <c r="B11" s="90" t="s">
        <v>71</v>
      </c>
      <c r="C11" s="91"/>
      <c r="D11" s="92">
        <v>33.369999999999997</v>
      </c>
      <c r="E11" s="93">
        <f t="shared" si="0"/>
        <v>9</v>
      </c>
      <c r="F11" s="93" t="str">
        <f t="shared" si="1"/>
        <v xml:space="preserve"> </v>
      </c>
      <c r="G11" s="94" t="str">
        <f>IF(Table622027323316[[#This Row],[Non-Member]]="X"," ",IF(F11=" "," ",IFERROR(VLOOKUP(E11,Points!$A$2:$B$14,2,FALSE)," ")))</f>
        <v xml:space="preserve"> </v>
      </c>
      <c r="H11" s="92">
        <v>17.809999999999999</v>
      </c>
      <c r="I11" s="93">
        <f t="shared" si="2"/>
        <v>6</v>
      </c>
      <c r="J11" s="93">
        <f t="shared" si="3"/>
        <v>6</v>
      </c>
      <c r="K11" s="94">
        <f>IF(Table622027323316[[#This Row],[Non-Member]]="X"," ",IF(J11=" "," ",IFERROR(VLOOKUP(I11,Points!$A$2:$B$14,2,FALSE)," ")))</f>
        <v>3</v>
      </c>
      <c r="L11" s="92">
        <v>18.32</v>
      </c>
      <c r="M11" s="93">
        <f t="shared" si="4"/>
        <v>8</v>
      </c>
      <c r="N11" s="93" t="str">
        <f t="shared" si="5"/>
        <v xml:space="preserve"> </v>
      </c>
      <c r="O11" s="94" t="str">
        <f>IF(Table622027323316[[#This Row],[Non-Member]]="X"," ",IF(N11=" "," ",IFERROR(VLOOKUP(M11,Points!$A$2:$B$14,2,FALSE)," ")))</f>
        <v xml:space="preserve"> </v>
      </c>
      <c r="P11" s="92">
        <v>19.34</v>
      </c>
      <c r="Q11" s="93">
        <f t="shared" si="6"/>
        <v>8</v>
      </c>
      <c r="R11" s="93" t="str">
        <f t="shared" si="7"/>
        <v xml:space="preserve"> </v>
      </c>
      <c r="S11" s="94" t="str">
        <f>IF(Table622027323316[[#This Row],[Non-Member]]="X"," ",IF(R11=" "," ",IFERROR(VLOOKUP(Q11,Points!$A$2:$B$14,2,FALSE)," ")))</f>
        <v xml:space="preserve"> </v>
      </c>
      <c r="T11" s="92">
        <v>13.91</v>
      </c>
      <c r="U11" s="93">
        <f t="shared" si="8"/>
        <v>1</v>
      </c>
      <c r="V11" s="93">
        <f t="shared" si="9"/>
        <v>1</v>
      </c>
      <c r="W11" s="94">
        <f>IF(Table622027323316[[#This Row],[Non-Member]]="X"," ",IF(V11=" "," ",IFERROR(VLOOKUP(U11,Points!$A$2:$B$14,2,FALSE)," ")))</f>
        <v>18</v>
      </c>
      <c r="X11" s="92">
        <v>14.87</v>
      </c>
      <c r="Y11" s="93">
        <f t="shared" si="10"/>
        <v>3</v>
      </c>
      <c r="Z11" s="93">
        <f t="shared" si="11"/>
        <v>3</v>
      </c>
      <c r="AA11" s="94">
        <f>IF(Table622027323316[[#This Row],[Non-Member]]="X"," ",IF(Z11=" "," ",IFERROR(VLOOKUP(Y11,Points!$A$2:$B$14,2,FALSE)," ")))</f>
        <v>12</v>
      </c>
      <c r="AB11" s="92">
        <v>21.81</v>
      </c>
      <c r="AC11" s="93">
        <f t="shared" si="12"/>
        <v>8</v>
      </c>
      <c r="AD11" s="93" t="str">
        <f t="shared" si="13"/>
        <v xml:space="preserve"> </v>
      </c>
      <c r="AE11" s="94" t="str">
        <f>IF(Table622027323316[[#This Row],[Non-Member]]="X"," ",IF(AD11=" "," ",IFERROR(VLOOKUP(AC11,Points!$A$2:$B$14,2,FALSE)," ")))</f>
        <v xml:space="preserve"> </v>
      </c>
      <c r="AF11" s="92">
        <f t="shared" si="14"/>
        <v>36.68</v>
      </c>
      <c r="AG11" s="93">
        <f t="shared" si="15"/>
        <v>7</v>
      </c>
      <c r="AH11" s="93" t="str">
        <f t="shared" si="16"/>
        <v xml:space="preserve"> </v>
      </c>
      <c r="AI11" s="94" t="str">
        <f>IF(Table622027323316[[#This Row],[Non-Member]]="X"," ",IF(AH11=" "," ",IFERROR(VLOOKUP(AG11,Points!$A$2:$B$14,2,FALSE)," ")))</f>
        <v xml:space="preserve"> </v>
      </c>
      <c r="AJ11" s="93">
        <f>IF(Table622027323316[[#This Row],[Non-Member]]="X"," ",((IF(G11=" ",0,G11))+(IF(K11=" ",0,K11))+(IF(O11=" ",0,O11))+(IF(S11=" ",0,S11))+(IF(W11=" ",0,W11))+(IF(AA11=" ",0,AA11))+(IF(AE11=" ",0,AE11))+(IF(AI11=" ",0,AI11))))</f>
        <v>33</v>
      </c>
      <c r="AK11" s="95">
        <f t="shared" si="17"/>
        <v>33</v>
      </c>
      <c r="AL11" s="96">
        <f t="shared" si="18"/>
        <v>7</v>
      </c>
    </row>
    <row r="12" spans="2:38" x14ac:dyDescent="0.25">
      <c r="B12" s="90" t="s">
        <v>140</v>
      </c>
      <c r="C12" s="91"/>
      <c r="D12" s="92">
        <v>23.95</v>
      </c>
      <c r="E12" s="93">
        <f t="shared" si="0"/>
        <v>6</v>
      </c>
      <c r="F12" s="93">
        <f t="shared" si="1"/>
        <v>6</v>
      </c>
      <c r="G12" s="94">
        <f>IF(Table622027323316[[#This Row],[Non-Member]]="X"," ",IF(F12=" "," ",IFERROR(VLOOKUP(E12,Points!$A$2:$B$14,2,FALSE)," ")))</f>
        <v>3</v>
      </c>
      <c r="H12" s="92">
        <v>19</v>
      </c>
      <c r="I12" s="93">
        <f t="shared" si="2"/>
        <v>8</v>
      </c>
      <c r="J12" s="93" t="str">
        <f t="shared" si="3"/>
        <v xml:space="preserve"> </v>
      </c>
      <c r="K12" s="94" t="str">
        <f>IF(Table622027323316[[#This Row],[Non-Member]]="X"," ",IF(J12=" "," ",IFERROR(VLOOKUP(I12,Points!$A$2:$B$14,2,FALSE)," ")))</f>
        <v xml:space="preserve"> </v>
      </c>
      <c r="L12" s="92">
        <v>22.45</v>
      </c>
      <c r="M12" s="93">
        <f t="shared" si="4"/>
        <v>11</v>
      </c>
      <c r="N12" s="93" t="str">
        <f t="shared" si="5"/>
        <v xml:space="preserve"> </v>
      </c>
      <c r="O12" s="94" t="str">
        <f>IF(Table622027323316[[#This Row],[Non-Member]]="X"," ",IF(N12=" "," ",IFERROR(VLOOKUP(M12,Points!$A$2:$B$14,2,FALSE)," ")))</f>
        <v xml:space="preserve"> </v>
      </c>
      <c r="P12" s="92">
        <v>17.260000000000002</v>
      </c>
      <c r="Q12" s="93">
        <f t="shared" si="6"/>
        <v>5</v>
      </c>
      <c r="R12" s="93">
        <f t="shared" si="7"/>
        <v>5</v>
      </c>
      <c r="S12" s="94">
        <f>IF(Table622027323316[[#This Row],[Non-Member]]="X"," ",IF(R12=" "," ",IFERROR(VLOOKUP(Q12,Points!$A$2:$B$14,2,FALSE)," ")))</f>
        <v>6</v>
      </c>
      <c r="T12" s="92">
        <v>18.600000000000001</v>
      </c>
      <c r="U12" s="93">
        <f t="shared" si="8"/>
        <v>6</v>
      </c>
      <c r="V12" s="93">
        <f t="shared" si="9"/>
        <v>6</v>
      </c>
      <c r="W12" s="94">
        <f>IF(Table622027323316[[#This Row],[Non-Member]]="X"," ",IF(V12=" "," ",IFERROR(VLOOKUP(U12,Points!$A$2:$B$14,2,FALSE)," ")))</f>
        <v>3</v>
      </c>
      <c r="X12" s="92">
        <v>19.600000000000001</v>
      </c>
      <c r="Y12" s="93">
        <f t="shared" si="10"/>
        <v>8</v>
      </c>
      <c r="Z12" s="93" t="str">
        <f t="shared" si="11"/>
        <v xml:space="preserve"> </v>
      </c>
      <c r="AA12" s="94" t="str">
        <f>IF(Table622027323316[[#This Row],[Non-Member]]="X"," ",IF(Z12=" "," ",IFERROR(VLOOKUP(Y12,Points!$A$2:$B$14,2,FALSE)," ")))</f>
        <v xml:space="preserve"> </v>
      </c>
      <c r="AB12" s="92">
        <v>18.66</v>
      </c>
      <c r="AC12" s="93">
        <f t="shared" si="12"/>
        <v>7</v>
      </c>
      <c r="AD12" s="93" t="str">
        <f t="shared" si="13"/>
        <v xml:space="preserve"> </v>
      </c>
      <c r="AE12" s="94" t="str">
        <f>IF(Table622027323316[[#This Row],[Non-Member]]="X"," ",IF(AD12=" "," ",IFERROR(VLOOKUP(AC12,Points!$A$2:$B$14,2,FALSE)," ")))</f>
        <v xml:space="preserve"> </v>
      </c>
      <c r="AF12" s="92">
        <f t="shared" si="14"/>
        <v>38.260000000000005</v>
      </c>
      <c r="AG12" s="93">
        <f t="shared" si="15"/>
        <v>8</v>
      </c>
      <c r="AH12" s="93" t="str">
        <f t="shared" si="16"/>
        <v xml:space="preserve"> </v>
      </c>
      <c r="AI12" s="94" t="str">
        <f>IF(Table622027323316[[#This Row],[Non-Member]]="X"," ",IF(AH12=" "," ",IFERROR(VLOOKUP(AG12,Points!$A$2:$B$14,2,FALSE)," ")))</f>
        <v xml:space="preserve"> </v>
      </c>
      <c r="AJ12" s="93">
        <f>IF(Table622027323316[[#This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7"/>
        <v>12</v>
      </c>
      <c r="AL12" s="96">
        <f t="shared" si="18"/>
        <v>8</v>
      </c>
    </row>
    <row r="13" spans="2:38" x14ac:dyDescent="0.25">
      <c r="B13" s="90" t="s">
        <v>218</v>
      </c>
      <c r="C13" s="91"/>
      <c r="D13" s="92">
        <v>0</v>
      </c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IF(Table622027323316[[#This Row],[Non-Member]]="X"," ",IF(F13=" "," ",IFERROR(VLOOKUP(E13,Points!$A$2:$B$14,2,FALSE)," ")))</f>
        <v xml:space="preserve"> </v>
      </c>
      <c r="H13" s="92">
        <v>40.9</v>
      </c>
      <c r="I13" s="93">
        <f t="shared" si="2"/>
        <v>12</v>
      </c>
      <c r="J13" s="93" t="str">
        <f t="shared" si="3"/>
        <v xml:space="preserve"> </v>
      </c>
      <c r="K13" s="94" t="str">
        <f>IF(Table622027323316[[#This Row],[Non-Member]]="X"," ",IF(J13=" "," ",IFERROR(VLOOKUP(I13,Points!$A$2:$B$14,2,FALSE)," ")))</f>
        <v xml:space="preserve"> </v>
      </c>
      <c r="L13" s="92">
        <v>34.64</v>
      </c>
      <c r="M13" s="93">
        <f t="shared" si="4"/>
        <v>13</v>
      </c>
      <c r="N13" s="93" t="str">
        <f t="shared" si="5"/>
        <v xml:space="preserve"> </v>
      </c>
      <c r="O13" s="94" t="str">
        <f>IF(Table622027323316[[#This Row],[Non-Member]]="X"," ",IF(N13=" "," ",IFERROR(VLOOKUP(M13,Points!$A$2:$B$14,2,FALSE)," ")))</f>
        <v xml:space="preserve"> </v>
      </c>
      <c r="P13" s="92">
        <v>50.62</v>
      </c>
      <c r="Q13" s="93">
        <f t="shared" si="6"/>
        <v>13</v>
      </c>
      <c r="R13" s="93" t="str">
        <f t="shared" si="7"/>
        <v xml:space="preserve"> </v>
      </c>
      <c r="S13" s="94" t="str">
        <f>IF(Table622027323316[[#This Row],[Non-Member]]="X"," ",IF(R13=" "," ",IFERROR(VLOOKUP(Q13,Points!$A$2:$B$14,2,FALSE)," ")))</f>
        <v xml:space="preserve"> </v>
      </c>
      <c r="T13" s="92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IF(Table622027323316[[#This Row],[Non-Member]]="X"," ",IF(V13=" "," ",IFERROR(VLOOKUP(U13,Points!$A$2:$B$14,2,FALSE)," ")))</f>
        <v xml:space="preserve"> </v>
      </c>
      <c r="X13" s="92">
        <v>31.91</v>
      </c>
      <c r="Y13" s="93">
        <f t="shared" si="10"/>
        <v>11</v>
      </c>
      <c r="Z13" s="93" t="str">
        <f t="shared" si="11"/>
        <v xml:space="preserve"> </v>
      </c>
      <c r="AA13" s="94" t="str">
        <f>IF(Table622027323316[[#This Row],[Non-Member]]="X"," ",IF(Z13=" "," ",IFERROR(VLOOKUP(Y13,Points!$A$2:$B$14,2,FALSE)," ")))</f>
        <v xml:space="preserve"> </v>
      </c>
      <c r="AB13" s="92">
        <v>26.57</v>
      </c>
      <c r="AC13" s="93">
        <f t="shared" si="12"/>
        <v>10</v>
      </c>
      <c r="AD13" s="93" t="str">
        <f t="shared" si="13"/>
        <v xml:space="preserve"> </v>
      </c>
      <c r="AE13" s="94" t="str">
        <f>IF(Table622027323316[[#This Row],[Non-Member]]="X"," ",IF(AD13=" "," ",IFERROR(VLOOKUP(AC13,Points!$A$2:$B$14,2,FALSE)," ")))</f>
        <v xml:space="preserve"> </v>
      </c>
      <c r="AF13" s="92">
        <f t="shared" si="14"/>
        <v>58.480000000000004</v>
      </c>
      <c r="AG13" s="93">
        <f t="shared" si="15"/>
        <v>11</v>
      </c>
      <c r="AH13" s="93" t="str">
        <f t="shared" si="16"/>
        <v xml:space="preserve"> </v>
      </c>
      <c r="AI13" s="94" t="str">
        <f>IF(Table622027323316[[#This Row],[Non-Member]]="X"," ",IF(AH13=" "," ",IFERROR(VLOOKUP(AG13,Points!$A$2:$B$14,2,FALSE)," ")))</f>
        <v xml:space="preserve"> </v>
      </c>
      <c r="AJ13" s="93">
        <f>IF(Table622027323316[[#This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25">
      <c r="B14" s="90" t="s">
        <v>282</v>
      </c>
      <c r="C14" s="91" t="s">
        <v>95</v>
      </c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IF(Table622027323316[[#This Row],[Non-Member]]="X"," ",IF(F14=" "," ",IFERROR(VLOOKUP(E14,Points!$A$2:$B$14,2,FALSE)," ")))</f>
        <v xml:space="preserve"> </v>
      </c>
      <c r="H14" s="92"/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IF(Table622027323316[[#This Row],[Non-Member]]="X"," ",IF(J14=" "," ",IFERROR(VLOOKUP(I14,Points!$A$2:$B$14,2,FALSE)," ")))</f>
        <v xml:space="preserve"> </v>
      </c>
      <c r="L14" s="92">
        <v>19.78</v>
      </c>
      <c r="M14" s="97">
        <f t="shared" si="4"/>
        <v>9</v>
      </c>
      <c r="N14" s="97" t="str">
        <f t="shared" si="5"/>
        <v xml:space="preserve"> </v>
      </c>
      <c r="O14" s="94" t="str">
        <f>IF(Table622027323316[[#This Row],[Non-Member]]="X"," ",IF(N14=" "," ",IFERROR(VLOOKUP(M14,Points!$A$2:$B$14,2,FALSE)," ")))</f>
        <v xml:space="preserve"> </v>
      </c>
      <c r="P14" s="92">
        <v>16.600000000000001</v>
      </c>
      <c r="Q14" s="97">
        <f t="shared" si="6"/>
        <v>4</v>
      </c>
      <c r="R14" s="97">
        <f t="shared" si="7"/>
        <v>4</v>
      </c>
      <c r="S14" s="94" t="str">
        <f>IF(Table622027323316[[#This Row],[Non-Member]]="X"," ",IF(R14=" "," ",IFERROR(VLOOKUP(Q14,Points!$A$2:$B$14,2,FALSE)," ")))</f>
        <v xml:space="preserve"> </v>
      </c>
      <c r="T14" s="92"/>
      <c r="U14" s="97" t="str">
        <f t="shared" si="8"/>
        <v xml:space="preserve"> </v>
      </c>
      <c r="V14" s="97" t="str">
        <f t="shared" si="9"/>
        <v xml:space="preserve"> </v>
      </c>
      <c r="W14" s="94" t="str">
        <f>IF(Table622027323316[[#This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IF(Table622027323316[[#This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IF(Table622027323316[[#This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7" t="str">
        <f t="shared" si="15"/>
        <v xml:space="preserve"> </v>
      </c>
      <c r="AH14" s="97" t="str">
        <f t="shared" si="16"/>
        <v xml:space="preserve"> </v>
      </c>
      <c r="AI14" s="94" t="str">
        <f>IF(Table622027323316[[#This Row],[Non-Member]]="X"," ",IF(AH14=" "," ",IFERROR(VLOOKUP(AG14,Points!$A$2:$B$14,2,FALSE)," ")))</f>
        <v xml:space="preserve"> </v>
      </c>
      <c r="AJ14" s="97" t="str">
        <f>IF(Table622027323316[[#This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7"/>
        <v xml:space="preserve"> </v>
      </c>
      <c r="AL14" s="98" t="str">
        <f t="shared" si="18"/>
        <v xml:space="preserve"> </v>
      </c>
    </row>
    <row r="15" spans="2:38" x14ac:dyDescent="0.25">
      <c r="B15" s="90" t="s">
        <v>69</v>
      </c>
      <c r="C15" s="91"/>
      <c r="D15" s="92">
        <v>29.67</v>
      </c>
      <c r="E15" s="93">
        <f t="shared" si="0"/>
        <v>8</v>
      </c>
      <c r="F15" s="93" t="str">
        <f t="shared" si="1"/>
        <v xml:space="preserve"> </v>
      </c>
      <c r="G15" s="94" t="str">
        <f>IF(Table622027323316[[#This Row],[Non-Member]]="X"," ",IF(F15=" "," ",IFERROR(VLOOKUP(E15,Points!$A$2:$B$14,2,FALSE)," ")))</f>
        <v xml:space="preserve"> </v>
      </c>
      <c r="H15" s="92">
        <v>22.06</v>
      </c>
      <c r="I15" s="93">
        <f t="shared" si="2"/>
        <v>10</v>
      </c>
      <c r="J15" s="93" t="str">
        <f t="shared" si="3"/>
        <v xml:space="preserve"> </v>
      </c>
      <c r="K15" s="94" t="str">
        <f>IF(Table622027323316[[#This Row],[Non-Member]]="X"," ",IF(J15=" "," ",IFERROR(VLOOKUP(I15,Points!$A$2:$B$14,2,FALSE)," ")))</f>
        <v xml:space="preserve"> </v>
      </c>
      <c r="L15" s="92">
        <v>20.3</v>
      </c>
      <c r="M15" s="93">
        <f t="shared" si="4"/>
        <v>10</v>
      </c>
      <c r="N15" s="93" t="str">
        <f t="shared" si="5"/>
        <v xml:space="preserve"> </v>
      </c>
      <c r="O15" s="94" t="str">
        <f>IF(Table622027323316[[#This Row],[Non-Member]]="X"," ",IF(N15=" "," ",IFERROR(VLOOKUP(M15,Points!$A$2:$B$14,2,FALSE)," ")))</f>
        <v xml:space="preserve"> </v>
      </c>
      <c r="P15" s="92">
        <v>19.559999999999999</v>
      </c>
      <c r="Q15" s="93">
        <f t="shared" si="6"/>
        <v>9</v>
      </c>
      <c r="R15" s="93" t="str">
        <f t="shared" si="7"/>
        <v xml:space="preserve"> </v>
      </c>
      <c r="S15" s="94" t="str">
        <f>IF(Table622027323316[[#This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IF(Table622027323316[[#This Row],[Non-Member]]="X"," ",IF(V15=" "," ",IFERROR(VLOOKUP(U15,Points!$A$2:$B$14,2,FALSE)," ")))</f>
        <v xml:space="preserve"> </v>
      </c>
      <c r="X15" s="92">
        <v>22.31</v>
      </c>
      <c r="Y15" s="93">
        <f t="shared" si="10"/>
        <v>10</v>
      </c>
      <c r="Z15" s="93" t="str">
        <f t="shared" si="11"/>
        <v xml:space="preserve"> </v>
      </c>
      <c r="AA15" s="94" t="str">
        <f>IF(Table622027323316[[#This Row],[Non-Member]]="X"," ",IF(Z15=" "," ",IFERROR(VLOOKUP(Y15,Points!$A$2:$B$14,2,FALSE)," ")))</f>
        <v xml:space="preserve"> </v>
      </c>
      <c r="AB15" s="92">
        <v>23.56</v>
      </c>
      <c r="AC15" s="93">
        <f t="shared" si="12"/>
        <v>9</v>
      </c>
      <c r="AD15" s="93" t="str">
        <f t="shared" si="13"/>
        <v xml:space="preserve"> </v>
      </c>
      <c r="AE15" s="94" t="str">
        <f>IF(Table622027323316[[#This Row],[Non-Member]]="X"," ",IF(AD15=" "," ",IFERROR(VLOOKUP(AC15,Points!$A$2:$B$14,2,FALSE)," ")))</f>
        <v xml:space="preserve"> </v>
      </c>
      <c r="AF15" s="92">
        <f t="shared" si="14"/>
        <v>45.87</v>
      </c>
      <c r="AG15" s="93">
        <f t="shared" si="15"/>
        <v>9</v>
      </c>
      <c r="AH15" s="93" t="str">
        <f t="shared" si="16"/>
        <v xml:space="preserve"> </v>
      </c>
      <c r="AI15" s="94" t="str">
        <f>IF(Table622027323316[[#This Row],[Non-Member]]="X"," ",IF(AH15=" "," ",IFERROR(VLOOKUP(AG15,Points!$A$2:$B$14,2,FALSE)," ")))</f>
        <v xml:space="preserve"> </v>
      </c>
      <c r="AJ15" s="93">
        <f>IF(Table622027323316[[#This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 t="s">
        <v>67</v>
      </c>
      <c r="C16" s="91"/>
      <c r="D16" s="92">
        <v>28.95</v>
      </c>
      <c r="E16" s="93">
        <f t="shared" si="0"/>
        <v>7</v>
      </c>
      <c r="F16" s="93" t="str">
        <f t="shared" si="1"/>
        <v xml:space="preserve"> </v>
      </c>
      <c r="G16" s="94" t="str">
        <f>IF(Table622027323316[[#This Row],[Non-Member]]="X"," ",IF(F16=" "," ",IFERROR(VLOOKUP(E16,Points!$A$2:$B$14,2,FALSE)," ")))</f>
        <v xml:space="preserve"> </v>
      </c>
      <c r="H16" s="92">
        <v>20.78</v>
      </c>
      <c r="I16" s="93">
        <f t="shared" si="2"/>
        <v>9</v>
      </c>
      <c r="J16" s="93" t="str">
        <f t="shared" si="3"/>
        <v xml:space="preserve"> </v>
      </c>
      <c r="K16" s="94" t="str">
        <f>IF(Table622027323316[[#This Row],[Non-Member]]="X"," ",IF(J16=" "," ",IFERROR(VLOOKUP(I16,Points!$A$2:$B$14,2,FALSE)," ")))</f>
        <v xml:space="preserve"> </v>
      </c>
      <c r="L16" s="92">
        <v>28.83</v>
      </c>
      <c r="M16" s="93">
        <f t="shared" si="4"/>
        <v>12</v>
      </c>
      <c r="N16" s="93" t="str">
        <f t="shared" si="5"/>
        <v xml:space="preserve"> </v>
      </c>
      <c r="O16" s="94" t="str">
        <f>IF(Table622027323316[[#This Row],[Non-Member]]="X"," ",IF(N16=" "," ",IFERROR(VLOOKUP(M16,Points!$A$2:$B$14,2,FALSE)," ")))</f>
        <v xml:space="preserve"> </v>
      </c>
      <c r="P16" s="92">
        <v>23.57</v>
      </c>
      <c r="Q16" s="93">
        <f t="shared" si="6"/>
        <v>12</v>
      </c>
      <c r="R16" s="93" t="str">
        <f t="shared" si="7"/>
        <v xml:space="preserve"> </v>
      </c>
      <c r="S16" s="94" t="str">
        <f>IF(Table622027323316[[#This Row],[Non-Member]]="X"," ",IF(R16=" "," ",IFERROR(VLOOKUP(Q16,Points!$A$2:$B$14,2,FALSE)," ")))</f>
        <v xml:space="preserve"> </v>
      </c>
      <c r="T16" s="92">
        <v>21.75</v>
      </c>
      <c r="U16" s="93">
        <f t="shared" si="8"/>
        <v>8</v>
      </c>
      <c r="V16" s="93" t="str">
        <f t="shared" si="9"/>
        <v xml:space="preserve"> </v>
      </c>
      <c r="W16" s="94" t="str">
        <f>IF(Table622027323316[[#This Row],[Non-Member]]="X"," ",IF(V16=" "," ",IFERROR(VLOOKUP(U16,Points!$A$2:$B$14,2,FALSE)," ")))</f>
        <v xml:space="preserve"> </v>
      </c>
      <c r="X16" s="92">
        <v>20.399999999999999</v>
      </c>
      <c r="Y16" s="93">
        <f t="shared" si="10"/>
        <v>9</v>
      </c>
      <c r="Z16" s="93" t="str">
        <f t="shared" si="11"/>
        <v xml:space="preserve"> </v>
      </c>
      <c r="AA16" s="94" t="str">
        <f>IF(Table622027323316[[#This Row],[Non-Member]]="X"," ",IF(Z16=" "," ",IFERROR(VLOOKUP(Y16,Points!$A$2:$B$14,2,FALSE)," ")))</f>
        <v xml:space="preserve"> </v>
      </c>
      <c r="AB16" s="92">
        <v>29.56</v>
      </c>
      <c r="AC16" s="93">
        <f t="shared" si="12"/>
        <v>11</v>
      </c>
      <c r="AD16" s="93" t="str">
        <f t="shared" si="13"/>
        <v xml:space="preserve"> </v>
      </c>
      <c r="AE16" s="94" t="str">
        <f>IF(Table622027323316[[#This Row],[Non-Member]]="X"," ",IF(AD16=" "," ",IFERROR(VLOOKUP(AC16,Points!$A$2:$B$14,2,FALSE)," ")))</f>
        <v xml:space="preserve"> </v>
      </c>
      <c r="AF16" s="92">
        <f t="shared" si="14"/>
        <v>49.959999999999994</v>
      </c>
      <c r="AG16" s="93">
        <f t="shared" si="15"/>
        <v>10</v>
      </c>
      <c r="AH16" s="93" t="str">
        <f t="shared" si="16"/>
        <v xml:space="preserve"> </v>
      </c>
      <c r="AI16" s="94" t="str">
        <f>IF(Table622027323316[[#This Row],[Non-Member]]="X"," ",IF(AH16=" "," ",IFERROR(VLOOKUP(AG16,Points!$A$2:$B$14,2,FALSE)," ")))</f>
        <v xml:space="preserve"> </v>
      </c>
      <c r="AJ16" s="93">
        <f>IF(Table622027323316[[#This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25">
      <c r="B17" s="90" t="s">
        <v>247</v>
      </c>
      <c r="C17" s="91" t="s">
        <v>95</v>
      </c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IF(Table622027323316[[#This Row],[Non-Member]]="X"," ",IF(F17=" "," ",IFERROR(VLOOKUP(E17,Points!$A$2:$B$14,2,FALSE)," ")))</f>
        <v xml:space="preserve"> </v>
      </c>
      <c r="H17" s="92">
        <v>17.59</v>
      </c>
      <c r="I17" s="97">
        <f t="shared" si="2"/>
        <v>5</v>
      </c>
      <c r="J17" s="97">
        <f t="shared" si="3"/>
        <v>5</v>
      </c>
      <c r="K17" s="94" t="str">
        <f>IF(Table622027323316[[#This Row],[Non-Member]]="X"," ",IF(J17=" "," ",IFERROR(VLOOKUP(I17,Points!$A$2:$B$14,2,FALSE)," ")))</f>
        <v xml:space="preserve"> </v>
      </c>
      <c r="L17" s="92">
        <v>12.58</v>
      </c>
      <c r="M17" s="97">
        <f t="shared" si="4"/>
        <v>2</v>
      </c>
      <c r="N17" s="97">
        <f t="shared" si="5"/>
        <v>2</v>
      </c>
      <c r="O17" s="94" t="str">
        <f>IF(Table622027323316[[#This Row],[Non-Member]]="X"," ",IF(N17=" "," ",IFERROR(VLOOKUP(M17,Points!$A$2:$B$14,2,FALSE)," ")))</f>
        <v xml:space="preserve"> </v>
      </c>
      <c r="P17" s="92">
        <v>14.5</v>
      </c>
      <c r="Q17" s="97">
        <f t="shared" si="6"/>
        <v>3</v>
      </c>
      <c r="R17" s="97">
        <f t="shared" si="7"/>
        <v>3</v>
      </c>
      <c r="S17" s="94" t="str">
        <f>IF(Table622027323316[[#This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IF(Table622027323316[[#This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IF(Table622027323316[[#This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IF(Table622027323316[[#This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IF(Table622027323316[[#This Row],[Non-Member]]="X"," ",IF(AH17=" "," ",IFERROR(VLOOKUP(AG17,Points!$A$2:$B$14,2,FALSE)," ")))</f>
        <v xml:space="preserve"> </v>
      </c>
      <c r="AJ17" s="97" t="str">
        <f>IF(Table622027323316[[#This Row],[Non-Member]]="X"," ",((IF(G17=" ",0,G17))+(IF(K17=" ",0,K17))+(IF(O17=" ",0,O17))+(IF(S17=" ",0,S17))+(IF(W17=" ",0,W17))+(IF(AA17=" ",0,AA17))+(IF(AE17=" ",0,AE17))+(IF(AI17=" ",0,AI17))))</f>
        <v xml:space="preserve"> 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IF(Table622027323316[[#This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IF(Table622027323316[[#This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IF(Table622027323316[[#This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IF(Table622027323316[[#This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IF(Table622027323316[[#This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IF(Table622027323316[[#This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IF(Table622027323316[[#This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IF(Table622027323316[[#This Row],[Non-Member]]="X"," ",IF(AH18=" "," ",IFERROR(VLOOKUP(AG18,Points!$A$2:$B$14,2,FALSE)," ")))</f>
        <v xml:space="preserve"> </v>
      </c>
      <c r="AJ18" s="97">
        <f>IF(Table622027323316[[#This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IF(Table622027323316[[#This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IF(Table622027323316[[#This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IF(Table622027323316[[#This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IF(Table622027323316[[#This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IF(Table622027323316[[#This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IF(Table622027323316[[#This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IF(Table622027323316[[#This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IF(Table622027323316[[#This Row],[Non-Member]]="X"," ",IF(AH19=" "," ",IFERROR(VLOOKUP(AG19,Points!$A$2:$B$14,2,FALSE)," ")))</f>
        <v xml:space="preserve"> </v>
      </c>
      <c r="AJ19" s="93">
        <f>IF(Table622027323316[[#This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IF(Table622027323316[[#This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IF(Table622027323316[[#This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IF(Table622027323316[[#This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IF(Table622027323316[[#This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IF(Table622027323316[[#This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IF(Table622027323316[[#This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IF(Table622027323316[[#This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IF(Table622027323316[[#This Row],[Non-Member]]="X"," ",IF(AH20=" "," ",IFERROR(VLOOKUP(AG20,Points!$A$2:$B$14,2,FALSE)," ")))</f>
        <v xml:space="preserve"> </v>
      </c>
      <c r="AJ20" s="93">
        <f>IF(Table622027323316[[#This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IF(Table622027323316[[#This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IF(Table622027323316[[#This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IF(Table622027323316[[#This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IF(Table622027323316[[#This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IF(Table622027323316[[#This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IF(Table622027323316[[#This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IF(Table622027323316[[#This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IF(Table622027323316[[#This Row],[Non-Member]]="X"," ",IF(AH21=" "," ",IFERROR(VLOOKUP(AG21,Points!$A$2:$B$14,2,FALSE)," ")))</f>
        <v xml:space="preserve"> </v>
      </c>
      <c r="AJ21" s="93">
        <f>IF(Table622027323316[[#This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IF(Table622027323316[[#This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IF(Table622027323316[[#This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IF(Table622027323316[[#This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IF(Table622027323316[[#This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IF(Table622027323316[[#This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IF(Table622027323316[[#This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IF(Table622027323316[[#This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IF(Table622027323316[[#This Row],[Non-Member]]="X"," ",IF(AH22=" "," ",IFERROR(VLOOKUP(AG22,Points!$A$2:$B$14,2,FALSE)," ")))</f>
        <v xml:space="preserve"> </v>
      </c>
      <c r="AJ22" s="93">
        <f>IF(Table622027323316[[#This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IF(Table622027323316[[#This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IF(Table622027323316[[#This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IF(Table622027323316[[#This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IF(Table622027323316[[#This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IF(Table622027323316[[#This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IF(Table622027323316[[#This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IF(Table622027323316[[#This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IF(Table622027323316[[#This Row],[Non-Member]]="X"," ",IF(AH23=" "," ",IFERROR(VLOOKUP(AG23,Points!$A$2:$B$14,2,FALSE)," ")))</f>
        <v xml:space="preserve"> </v>
      </c>
      <c r="AJ23" s="93">
        <f>IF(Table622027323316[[#This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IF(Table622027323316[[#This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IF(Table622027323316[[#This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IF(Table622027323316[[#This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IF(Table622027323316[[#This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IF(Table622027323316[[#This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IF(Table622027323316[[#This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IF(Table622027323316[[#This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IF(Table622027323316[[#This Row],[Non-Member]]="X"," ",IF(AH24=" "," ",IFERROR(VLOOKUP(AG24,Points!$A$2:$B$14,2,FALSE)," ")))</f>
        <v xml:space="preserve"> </v>
      </c>
      <c r="AJ24" s="93">
        <f>IF(Table622027323316[[#This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nNCu88v0qSfzvP+Xvuy9vvDR6nld5LjLKKfDmkx2fRF/8b7PRvuXWVWYBcnkcdrJUfDZ1p6XwI/0CyJcgxA9cQ==" saltValue="SitXTlR/hGoV9mvBG5cGw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C66E7-DE2D-4316-B777-BE2E507C9756}">
  <sheetPr codeName="Sheet58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105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131</v>
      </c>
      <c r="C5" s="84"/>
      <c r="D5" s="85">
        <v>11.73</v>
      </c>
      <c r="E5" s="86">
        <f t="shared" ref="E5:E24" si="0">IF(D5=0," ",_xlfn.RANK.AVG(D5,D$5:D$24,1)-COUNTIF(D$5:D$24,0))</f>
        <v>2</v>
      </c>
      <c r="F5" s="86">
        <f t="shared" ref="F5:F24" si="1">IF(D5=0," ",IF((RANK(D5,D$5:D$24,1)-COUNTIF(D$5:D$24,0)&gt;6)," ",RANK(D5,D$5:D$24,1)-COUNTIF(D$5:D$24,0)))</f>
        <v>2</v>
      </c>
      <c r="G5" s="87">
        <f>IF(Table62202732333417[[#This Row],[Non-Member]]="X"," ",IF(F5=" "," ",IFERROR(VLOOKUP(E5,Points!$A$2:$B$14,2,FALSE)," ")))</f>
        <v>15</v>
      </c>
      <c r="H5" s="85">
        <v>10.760999999999999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IF(Table62202732333417[[#This Row],[Non-Member]]="X"," ",IF(J5=" "," ",IFERROR(VLOOKUP(I5,Points!$A$2:$B$14,2,FALSE)," ")))</f>
        <v>15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IF(Table62202732333417[[#This Row],[Non-Member]]="X"," ",IF(N5=" "," ",IFERROR(VLOOKUP(M5,Points!$A$2:$B$14,2,FALSE)," ")))</f>
        <v xml:space="preserve"> </v>
      </c>
      <c r="P5" s="85">
        <v>0</v>
      </c>
      <c r="Q5" s="86" t="str">
        <f t="shared" ref="Q5:Q24" si="6">IF(P5=0," ",_xlfn.RANK.AVG(P5,P$5:P$24,1)-COUNTIF(P$5:P$24,0))</f>
        <v xml:space="preserve"> </v>
      </c>
      <c r="R5" s="86" t="str">
        <f t="shared" ref="R5:R24" si="7">IF(P5=0," ",IF((RANK(P5,P$5:P$24,1)-COUNTIF(P$5:P$24,0)&gt;6)," ",RANK(P5,P$5:P$24,1)-COUNTIF(P$5:P$24,0)))</f>
        <v xml:space="preserve"> </v>
      </c>
      <c r="S5" s="87" t="str">
        <f>IF(Table62202732333417[[#This Row],[Non-Member]]="X"," ",IF(R5=" "," ",IFERROR(VLOOKUP(Q5,Points!$A$2:$B$14,2,FALSE)," ")))</f>
        <v xml:space="preserve"> </v>
      </c>
      <c r="T5" s="85">
        <v>0</v>
      </c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IF(Table62202732333417[[#This Row],[Non-Member]]="X"," ",IF(V5=" "," ",IFERROR(VLOOKUP(U5,Points!$A$2:$B$14,2,FALSE)," ")))</f>
        <v xml:space="preserve"> </v>
      </c>
      <c r="X5" s="85">
        <v>9.56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IF(Table62202732333417[[#This Row],[Non-Member]]="X"," ",IF(Z5=" "," ",IFERROR(VLOOKUP(Y5,Points!$A$2:$B$14,2,FALSE)," ")))</f>
        <v>18</v>
      </c>
      <c r="AB5" s="85">
        <v>9.6560000000000006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IF(Table62202732333417[[#This Row],[Non-Member]]="X"," ",IF(AD5=" "," ",IFERROR(VLOOKUP(AC5,Points!$A$2:$B$14,2,FALSE)," ")))</f>
        <v>18</v>
      </c>
      <c r="AF5" s="85">
        <f>IF(OR(X5=0,AB5=0)," ",X5+AB5)</f>
        <v>19.216000000000001</v>
      </c>
      <c r="AG5" s="86">
        <f>IF(OR(AF5=0,AF5=" ")," ",_xlfn.RANK.AVG(AF5,AF$5:AF$24,1)-COUNTIF(AF$5:AF$24,0))</f>
        <v>1</v>
      </c>
      <c r="AH5" s="86">
        <f>IF(OR(AF5=0,AF5=" ")," ",IF((RANK(AF5,AF$5:AF$24,1)-COUNTIF(AF$5:AF$24,0)&gt;6)," ",RANK(AF5,AF$5:AF$24,1)-COUNTIF(AF$5:AF$24,0)))</f>
        <v>1</v>
      </c>
      <c r="AI5" s="87">
        <f>IF(Table62202732333417[[#This Row],[Non-Member]]="X"," ",IF(AH5=" "," ",IFERROR(VLOOKUP(AG5,Points!$A$2:$B$14,2,FALSE)," ")))</f>
        <v>18</v>
      </c>
      <c r="AJ5" s="86">
        <f>IF(Table62202732333417[[#This Row],[Non-Member]]="X"," ",((IF(G5=" ",0,G5))+(IF(K5=" ",0,K5))+(IF(O5=" ",0,O5))+(IF(S5=" ",0,S5))+(IF(W5=" ",0,W5))+(IF(AA5=" ",0,AA5))+(IF(AE5=" ",0,AE5))+(IF(AI5=" ",0,AI5))))</f>
        <v>84</v>
      </c>
      <c r="AK5" s="88">
        <f t="shared" ref="AK5:AK24" si="14">IF(AJ5=0," ",AJ5)</f>
        <v>84</v>
      </c>
      <c r="AL5" s="89">
        <f t="shared" ref="AL5:AL24" si="15">IF(AK5=" "," ",RANK(AK5,$AK$5:$AK$24))</f>
        <v>1</v>
      </c>
    </row>
    <row r="6" spans="2:38" x14ac:dyDescent="0.25">
      <c r="B6" s="90" t="s">
        <v>139</v>
      </c>
      <c r="C6" s="91"/>
      <c r="D6" s="92">
        <v>11.643000000000001</v>
      </c>
      <c r="E6" s="93">
        <f t="shared" si="0"/>
        <v>1</v>
      </c>
      <c r="F6" s="93">
        <f t="shared" si="1"/>
        <v>1</v>
      </c>
      <c r="G6" s="94">
        <f>IF(Table62202732333417[[#This Row],[Non-Member]]="X"," ",IF(F6=" "," ",IFERROR(VLOOKUP(E6,Points!$A$2:$B$14,2,FALSE)," ")))</f>
        <v>18</v>
      </c>
      <c r="H6" s="92">
        <v>10.422000000000001</v>
      </c>
      <c r="I6" s="93">
        <f t="shared" si="2"/>
        <v>1</v>
      </c>
      <c r="J6" s="93">
        <f t="shared" si="3"/>
        <v>1</v>
      </c>
      <c r="K6" s="94">
        <f>IF(Table62202732333417[[#This Row],[Non-Member]]="X"," ",IF(J6=" "," ",IFERROR(VLOOKUP(I6,Points!$A$2:$B$14,2,FALSE)," ")))</f>
        <v>18</v>
      </c>
      <c r="L6" s="92">
        <v>21.361999999999998</v>
      </c>
      <c r="M6" s="93">
        <f t="shared" si="4"/>
        <v>4</v>
      </c>
      <c r="N6" s="93">
        <f t="shared" si="5"/>
        <v>4</v>
      </c>
      <c r="O6" s="94">
        <f>IF(Table62202732333417[[#This Row],[Non-Member]]="X"," ",IF(N6=" "," ",IFERROR(VLOOKUP(M6,Points!$A$2:$B$14,2,FALSE)," ")))</f>
        <v>9</v>
      </c>
      <c r="P6" s="92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IF(Table62202732333417[[#This Row],[Non-Member]]="X"," ",IF(R6=" "," ",IFERROR(VLOOKUP(Q6,Points!$A$2:$B$14,2,FALSE)," ")))</f>
        <v xml:space="preserve"> </v>
      </c>
      <c r="T6" s="92">
        <v>10.654</v>
      </c>
      <c r="U6" s="93">
        <f t="shared" si="8"/>
        <v>1</v>
      </c>
      <c r="V6" s="93">
        <f t="shared" si="9"/>
        <v>1</v>
      </c>
      <c r="W6" s="94">
        <f>IF(Table62202732333417[[#This Row],[Non-Member]]="X"," ",IF(V6=" "," ",IFERROR(VLOOKUP(U6,Points!$A$2:$B$14,2,FALSE)," ")))</f>
        <v>18</v>
      </c>
      <c r="X6" s="92">
        <v>10.412000000000001</v>
      </c>
      <c r="Y6" s="93">
        <f t="shared" si="10"/>
        <v>3</v>
      </c>
      <c r="Z6" s="93">
        <f t="shared" si="11"/>
        <v>3</v>
      </c>
      <c r="AA6" s="94">
        <f>IF(Table62202732333417[[#This Row],[Non-Member]]="X"," ",IF(Z6=" "," ",IFERROR(VLOOKUP(Y6,Points!$A$2:$B$14,2,FALSE)," ")))</f>
        <v>12</v>
      </c>
      <c r="AB6" s="92">
        <v>0</v>
      </c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IF(Table62202732333417[[#This Row],[Non-Member]]="X"," ",IF(AD6=" "," ",IFERROR(VLOOKUP(AC6,Points!$A$2:$B$14,2,FALSE)," ")))</f>
        <v xml:space="preserve"> </v>
      </c>
      <c r="AF6" s="163" t="s">
        <v>288</v>
      </c>
      <c r="AG6" s="93">
        <v>6</v>
      </c>
      <c r="AH6" s="93">
        <v>6</v>
      </c>
      <c r="AI6" s="94">
        <f>IF(Table62202732333417[[#This Row],[Non-Member]]="X"," ",IF(AH6=" "," ",IFERROR(VLOOKUP(AG6,Points!$A$2:$B$14,2,FALSE)," ")))</f>
        <v>3</v>
      </c>
      <c r="AJ6" s="93">
        <f>IF(Table62202732333417[[#This Row],[Non-Member]]="X"," ",((IF(G6=" ",0,G6))+(IF(K6=" ",0,K6))+(IF(O6=" ",0,O6))+(IF(S6=" ",0,S6))+(IF(W6=" ",0,W6))+(IF(AA6=" ",0,AA6))+(IF(AE6=" ",0,AE6))+(IF(AI6=" ",0,AI6))))</f>
        <v>78</v>
      </c>
      <c r="AK6" s="95">
        <f t="shared" si="14"/>
        <v>78</v>
      </c>
      <c r="AL6" s="96">
        <f t="shared" si="15"/>
        <v>2</v>
      </c>
    </row>
    <row r="7" spans="2:38" x14ac:dyDescent="0.25">
      <c r="B7" s="90" t="s">
        <v>68</v>
      </c>
      <c r="C7" s="91"/>
      <c r="D7" s="92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IF(Table62202732333417[[#This Row],[Non-Member]]="X"," ",IF(F7=" "," ",IFERROR(VLOOKUP(E7,Points!$A$2:$B$14,2,FALSE)," ")))</f>
        <v xml:space="preserve"> </v>
      </c>
      <c r="H7" s="92">
        <v>13.404999999999999</v>
      </c>
      <c r="I7" s="93">
        <f t="shared" si="2"/>
        <v>6</v>
      </c>
      <c r="J7" s="93">
        <f t="shared" si="3"/>
        <v>6</v>
      </c>
      <c r="K7" s="94">
        <f>IF(Table62202732333417[[#This Row],[Non-Member]]="X"," ",IF(J7=" "," ",IFERROR(VLOOKUP(I7,Points!$A$2:$B$14,2,FALSE)," ")))</f>
        <v>3</v>
      </c>
      <c r="L7" s="92">
        <v>18.376999999999999</v>
      </c>
      <c r="M7" s="93">
        <f t="shared" si="4"/>
        <v>3</v>
      </c>
      <c r="N7" s="93">
        <f t="shared" si="5"/>
        <v>3</v>
      </c>
      <c r="O7" s="94">
        <f>IF(Table62202732333417[[#This Row],[Non-Member]]="X"," ",IF(N7=" "," ",IFERROR(VLOOKUP(M7,Points!$A$2:$B$14,2,FALSE)," ")))</f>
        <v>12</v>
      </c>
      <c r="P7" s="92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IF(Table62202732333417[[#This Row],[Non-Member]]="X"," ",IF(R7=" "," ",IFERROR(VLOOKUP(Q7,Points!$A$2:$B$14,2,FALSE)," ")))</f>
        <v xml:space="preserve"> </v>
      </c>
      <c r="T7" s="92">
        <v>11.596</v>
      </c>
      <c r="U7" s="93">
        <f t="shared" si="8"/>
        <v>2</v>
      </c>
      <c r="V7" s="93">
        <f t="shared" si="9"/>
        <v>2</v>
      </c>
      <c r="W7" s="94">
        <f>IF(Table62202732333417[[#This Row],[Non-Member]]="X"," ",IF(V7=" "," ",IFERROR(VLOOKUP(U7,Points!$A$2:$B$14,2,FALSE)," ")))</f>
        <v>15</v>
      </c>
      <c r="X7" s="92">
        <v>10.346</v>
      </c>
      <c r="Y7" s="93">
        <f t="shared" si="10"/>
        <v>2</v>
      </c>
      <c r="Z7" s="93">
        <f t="shared" si="11"/>
        <v>2</v>
      </c>
      <c r="AA7" s="94">
        <f>IF(Table62202732333417[[#This Row],[Non-Member]]="X"," ",IF(Z7=" "," ",IFERROR(VLOOKUP(Y7,Points!$A$2:$B$14,2,FALSE)," ")))</f>
        <v>15</v>
      </c>
      <c r="AB7" s="92">
        <v>10.303000000000001</v>
      </c>
      <c r="AC7" s="93">
        <f t="shared" si="12"/>
        <v>2</v>
      </c>
      <c r="AD7" s="93">
        <f t="shared" si="13"/>
        <v>2</v>
      </c>
      <c r="AE7" s="94">
        <f>IF(Table62202732333417[[#This Row],[Non-Member]]="X"," ",IF(AD7=" "," ",IFERROR(VLOOKUP(AC7,Points!$A$2:$B$14,2,FALSE)," ")))</f>
        <v>15</v>
      </c>
      <c r="AF7" s="92">
        <f t="shared" ref="AF7:AF24" si="16">IF(OR(X7=0,AB7=0)," ",X7+AB7)</f>
        <v>20.649000000000001</v>
      </c>
      <c r="AG7" s="93">
        <f t="shared" ref="AG7:AG24" si="17">IF(OR(AF7=0,AF7=" ")," ",_xlfn.RANK.AVG(AF7,AF$5:AF$24,1)-COUNTIF(AF$5:AF$24,0))</f>
        <v>2</v>
      </c>
      <c r="AH7" s="93">
        <f t="shared" ref="AH7:AH24" si="18">IF(OR(AF7=0,AF7=" ")," ",IF((RANK(AF7,AF$5:AF$24,1)-COUNTIF(AF$5:AF$24,0)&gt;6)," ",RANK(AF7,AF$5:AF$24,1)-COUNTIF(AF$5:AF$24,0)))</f>
        <v>2</v>
      </c>
      <c r="AI7" s="94">
        <f>IF(Table62202732333417[[#This Row],[Non-Member]]="X"," ",IF(AH7=" "," ",IFERROR(VLOOKUP(AG7,Points!$A$2:$B$14,2,FALSE)," ")))</f>
        <v>15</v>
      </c>
      <c r="AJ7" s="93">
        <f>IF(Table62202732333417[[#This Row],[Non-Member]]="X"," ",((IF(G7=" ",0,G7))+(IF(K7=" ",0,K7))+(IF(O7=" ",0,O7))+(IF(S7=" ",0,S7))+(IF(W7=" ",0,W7))+(IF(AA7=" ",0,AA7))+(IF(AE7=" ",0,AE7))+(IF(AI7=" ",0,AI7))))</f>
        <v>75</v>
      </c>
      <c r="AK7" s="95">
        <f t="shared" si="14"/>
        <v>75</v>
      </c>
      <c r="AL7" s="96">
        <f t="shared" si="15"/>
        <v>3</v>
      </c>
    </row>
    <row r="8" spans="2:38" x14ac:dyDescent="0.25">
      <c r="B8" s="90" t="s">
        <v>220</v>
      </c>
      <c r="C8" s="91"/>
      <c r="D8" s="92">
        <v>15.193</v>
      </c>
      <c r="E8" s="93">
        <f t="shared" si="0"/>
        <v>4</v>
      </c>
      <c r="F8" s="93">
        <f t="shared" si="1"/>
        <v>4</v>
      </c>
      <c r="G8" s="94">
        <f>IF(Table62202732333417[[#This Row],[Non-Member]]="X"," ",IF(F8=" "," ",IFERROR(VLOOKUP(E8,Points!$A$2:$B$14,2,FALSE)," ")))</f>
        <v>9</v>
      </c>
      <c r="H8" s="92">
        <v>16.259</v>
      </c>
      <c r="I8" s="93">
        <f t="shared" si="2"/>
        <v>7</v>
      </c>
      <c r="J8" s="93" t="str">
        <f t="shared" si="3"/>
        <v xml:space="preserve"> </v>
      </c>
      <c r="K8" s="94" t="str">
        <f>IF(Table62202732333417[[#This Row],[Non-Member]]="X"," ",IF(J8=" "," ",IFERROR(VLOOKUP(I8,Points!$A$2:$B$14,2,FALSE)," ")))</f>
        <v xml:space="preserve"> </v>
      </c>
      <c r="L8" s="92">
        <v>23.451000000000001</v>
      </c>
      <c r="M8" s="93">
        <f t="shared" si="4"/>
        <v>5</v>
      </c>
      <c r="N8" s="93">
        <f t="shared" si="5"/>
        <v>5</v>
      </c>
      <c r="O8" s="94">
        <f>IF(Table62202732333417[[#This Row],[Non-Member]]="X"," ",IF(N8=" "," ",IFERROR(VLOOKUP(M8,Points!$A$2:$B$14,2,FALSE)," ")))</f>
        <v>6</v>
      </c>
      <c r="P8" s="92">
        <v>13.629</v>
      </c>
      <c r="Q8" s="93">
        <f t="shared" si="6"/>
        <v>2</v>
      </c>
      <c r="R8" s="93">
        <f t="shared" si="7"/>
        <v>2</v>
      </c>
      <c r="S8" s="94">
        <f>IF(Table62202732333417[[#This Row],[Non-Member]]="X"," ",IF(R8=" "," ",IFERROR(VLOOKUP(Q8,Points!$A$2:$B$14,2,FALSE)," ")))</f>
        <v>15</v>
      </c>
      <c r="T8" s="92">
        <v>13.77</v>
      </c>
      <c r="U8" s="93">
        <f t="shared" si="8"/>
        <v>5</v>
      </c>
      <c r="V8" s="93">
        <f t="shared" si="9"/>
        <v>5</v>
      </c>
      <c r="W8" s="94">
        <f>IF(Table62202732333417[[#This Row],[Non-Member]]="X"," ",IF(V8=" "," ",IFERROR(VLOOKUP(U8,Points!$A$2:$B$14,2,FALSE)," ")))</f>
        <v>6</v>
      </c>
      <c r="X8" s="92">
        <v>13.699</v>
      </c>
      <c r="Y8" s="93">
        <f t="shared" si="10"/>
        <v>5</v>
      </c>
      <c r="Z8" s="93">
        <f t="shared" si="11"/>
        <v>5</v>
      </c>
      <c r="AA8" s="94">
        <f>IF(Table62202732333417[[#This Row],[Non-Member]]="X"," ",IF(Z8=" "," ",IFERROR(VLOOKUP(Y8,Points!$A$2:$B$14,2,FALSE)," ")))</f>
        <v>6</v>
      </c>
      <c r="AB8" s="92">
        <v>13.468999999999999</v>
      </c>
      <c r="AC8" s="93">
        <f t="shared" si="12"/>
        <v>6</v>
      </c>
      <c r="AD8" s="93">
        <f t="shared" si="13"/>
        <v>6</v>
      </c>
      <c r="AE8" s="94">
        <f>IF(Table62202732333417[[#This Row],[Non-Member]]="X"," ",IF(AD8=" "," ",IFERROR(VLOOKUP(AC8,Points!$A$2:$B$14,2,FALSE)," ")))</f>
        <v>3</v>
      </c>
      <c r="AF8" s="92">
        <f t="shared" si="16"/>
        <v>27.167999999999999</v>
      </c>
      <c r="AG8" s="93">
        <f t="shared" si="17"/>
        <v>3</v>
      </c>
      <c r="AH8" s="93">
        <f t="shared" si="18"/>
        <v>3</v>
      </c>
      <c r="AI8" s="94">
        <f>IF(Table62202732333417[[#This Row],[Non-Member]]="X"," ",IF(AH8=" "," ",IFERROR(VLOOKUP(AG8,Points!$A$2:$B$14,2,FALSE)," ")))</f>
        <v>12</v>
      </c>
      <c r="AJ8" s="93">
        <f>IF(Table62202732333417[[#This Row],[Non-Member]]="X"," ",((IF(G8=" ",0,G8))+(IF(K8=" ",0,K8))+(IF(O8=" ",0,O8))+(IF(S8=" ",0,S8))+(IF(W8=" ",0,W8))+(IF(AA8=" ",0,AA8))+(IF(AE8=" ",0,AE8))+(IF(AI8=" ",0,AI8))))</f>
        <v>57</v>
      </c>
      <c r="AK8" s="95">
        <f t="shared" si="14"/>
        <v>57</v>
      </c>
      <c r="AL8" s="96">
        <f t="shared" si="15"/>
        <v>4</v>
      </c>
    </row>
    <row r="9" spans="2:38" x14ac:dyDescent="0.25">
      <c r="B9" s="90" t="s">
        <v>140</v>
      </c>
      <c r="C9" s="91"/>
      <c r="D9" s="92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IF(Table62202732333417[[#This Row],[Non-Member]]="X"," ",IF(F9=" "," ",IFERROR(VLOOKUP(E9,Points!$A$2:$B$14,2,FALSE)," ")))</f>
        <v xml:space="preserve"> </v>
      </c>
      <c r="H9" s="92">
        <v>10.929</v>
      </c>
      <c r="I9" s="93">
        <f t="shared" si="2"/>
        <v>4</v>
      </c>
      <c r="J9" s="93">
        <f t="shared" si="3"/>
        <v>4</v>
      </c>
      <c r="K9" s="94">
        <f>IF(Table62202732333417[[#This Row],[Non-Member]]="X"," ",IF(J9=" "," ",IFERROR(VLOOKUP(I9,Points!$A$2:$B$14,2,FALSE)," ")))</f>
        <v>9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IF(Table62202732333417[[#This Row],[Non-Member]]="X"," ",IF(N9=" "," ",IFERROR(VLOOKUP(M9,Points!$A$2:$B$14,2,FALSE)," ")))</f>
        <v xml:space="preserve"> 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IF(Table62202732333417[[#This Row],[Non-Member]]="X"," ",IF(R9=" "," ",IFERROR(VLOOKUP(Q9,Points!$A$2:$B$14,2,FALSE)," ")))</f>
        <v xml:space="preserve"> </v>
      </c>
      <c r="T9" s="92">
        <v>12.121</v>
      </c>
      <c r="U9" s="93">
        <f t="shared" si="8"/>
        <v>3</v>
      </c>
      <c r="V9" s="93">
        <f t="shared" si="9"/>
        <v>3</v>
      </c>
      <c r="W9" s="94">
        <f>IF(Table62202732333417[[#This Row],[Non-Member]]="X"," ",IF(V9=" "," ",IFERROR(VLOOKUP(U9,Points!$A$2:$B$14,2,FALSE)," ")))</f>
        <v>12</v>
      </c>
      <c r="X9" s="92">
        <v>17.548999999999999</v>
      </c>
      <c r="Y9" s="93">
        <f t="shared" si="10"/>
        <v>6</v>
      </c>
      <c r="Z9" s="93">
        <f t="shared" si="11"/>
        <v>6</v>
      </c>
      <c r="AA9" s="94">
        <f>IF(Table62202732333417[[#This Row],[Non-Member]]="X"," ",IF(Z9=" "," ",IFERROR(VLOOKUP(Y9,Points!$A$2:$B$14,2,FALSE)," ")))</f>
        <v>3</v>
      </c>
      <c r="AB9" s="92">
        <v>10.458</v>
      </c>
      <c r="AC9" s="93">
        <f t="shared" si="12"/>
        <v>3</v>
      </c>
      <c r="AD9" s="93">
        <f t="shared" si="13"/>
        <v>3</v>
      </c>
      <c r="AE9" s="94">
        <f>IF(Table62202732333417[[#This Row],[Non-Member]]="X"," ",IF(AD9=" "," ",IFERROR(VLOOKUP(AC9,Points!$A$2:$B$14,2,FALSE)," ")))</f>
        <v>12</v>
      </c>
      <c r="AF9" s="92">
        <f t="shared" si="16"/>
        <v>28.006999999999998</v>
      </c>
      <c r="AG9" s="93">
        <f t="shared" si="17"/>
        <v>4</v>
      </c>
      <c r="AH9" s="93">
        <f t="shared" si="18"/>
        <v>4</v>
      </c>
      <c r="AI9" s="94">
        <f>IF(Table62202732333417[[#This Row],[Non-Member]]="X"," ",IF(AH9=" "," ",IFERROR(VLOOKUP(AG9,Points!$A$2:$B$14,2,FALSE)," ")))</f>
        <v>9</v>
      </c>
      <c r="AJ9" s="93">
        <f>IF(Table62202732333417[[#This Row],[Non-Member]]="X"," ",((IF(G9=" ",0,G9))+(IF(K9=" ",0,K9))+(IF(O9=" ",0,O9))+(IF(S9=" ",0,S9))+(IF(W9=" ",0,W9))+(IF(AA9=" ",0,AA9))+(IF(AE9=" ",0,AE9))+(IF(AI9=" ",0,AI9))))</f>
        <v>45</v>
      </c>
      <c r="AK9" s="95">
        <f t="shared" si="14"/>
        <v>45</v>
      </c>
      <c r="AL9" s="96">
        <f t="shared" si="15"/>
        <v>5</v>
      </c>
    </row>
    <row r="10" spans="2:38" x14ac:dyDescent="0.25">
      <c r="B10" s="90" t="s">
        <v>71</v>
      </c>
      <c r="C10" s="91"/>
      <c r="D10" s="92">
        <v>12.714</v>
      </c>
      <c r="E10" s="93">
        <f t="shared" si="0"/>
        <v>3</v>
      </c>
      <c r="F10" s="93">
        <f t="shared" si="1"/>
        <v>3</v>
      </c>
      <c r="G10" s="94">
        <f>IF(Table62202732333417[[#This Row],[Non-Member]]="X"," ",IF(F10=" "," ",IFERROR(VLOOKUP(E10,Points!$A$2:$B$14,2,FALSE)," ")))</f>
        <v>12</v>
      </c>
      <c r="H10" s="92">
        <v>12.712</v>
      </c>
      <c r="I10" s="93">
        <f t="shared" si="2"/>
        <v>5</v>
      </c>
      <c r="J10" s="93">
        <f t="shared" si="3"/>
        <v>5</v>
      </c>
      <c r="K10" s="94">
        <f>IF(Table62202732333417[[#This Row],[Non-Member]]="X"," ",IF(J10=" "," ",IFERROR(VLOOKUP(I10,Points!$A$2:$B$14,2,FALSE)," ")))</f>
        <v>6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IF(Table62202732333417[[#This Row],[Non-Member]]="X"," ",IF(N10=" "," ",IFERROR(VLOOKUP(M10,Points!$A$2:$B$14,2,FALSE)," ")))</f>
        <v xml:space="preserve"> </v>
      </c>
      <c r="P10" s="92">
        <v>18.405000000000001</v>
      </c>
      <c r="Q10" s="93">
        <f t="shared" si="6"/>
        <v>3</v>
      </c>
      <c r="R10" s="93">
        <f t="shared" si="7"/>
        <v>3</v>
      </c>
      <c r="S10" s="94">
        <f>IF(Table62202732333417[[#This Row],[Non-Member]]="X"," ",IF(R10=" "," ",IFERROR(VLOOKUP(Q10,Points!$A$2:$B$14,2,FALSE)," ")))</f>
        <v>12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IF(Table62202732333417[[#This Row],[Non-Member]]="X"," ",IF(V10=" "," ",IFERROR(VLOOKUP(U10,Points!$A$2:$B$14,2,FALSE)," ")))</f>
        <v xml:space="preserve"> </v>
      </c>
      <c r="X10" s="92">
        <v>10.912000000000001</v>
      </c>
      <c r="Y10" s="93">
        <f t="shared" si="10"/>
        <v>4</v>
      </c>
      <c r="Z10" s="93">
        <f t="shared" si="11"/>
        <v>4</v>
      </c>
      <c r="AA10" s="94">
        <f>IF(Table62202732333417[[#This Row],[Non-Member]]="X"," ",IF(Z10=" "," ",IFERROR(VLOOKUP(Y10,Points!$A$2:$B$14,2,FALSE)," ")))</f>
        <v>9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IF(Table62202732333417[[#This Row],[Non-Member]]="X"," ",IF(AD10=" "," ",IFERROR(VLOOKUP(AC10,Points!$A$2:$B$14,2,FALSE)," ")))</f>
        <v xml:space="preserve"> </v>
      </c>
      <c r="AF10" s="92" t="str">
        <f t="shared" si="16"/>
        <v xml:space="preserve"> </v>
      </c>
      <c r="AG10" s="93" t="str">
        <f t="shared" si="17"/>
        <v xml:space="preserve"> </v>
      </c>
      <c r="AH10" s="93" t="str">
        <f t="shared" si="18"/>
        <v xml:space="preserve"> </v>
      </c>
      <c r="AI10" s="94" t="str">
        <f>IF(Table62202732333417[[#This Row],[Non-Member]]="X"," ",IF(AH10=" "," ",IFERROR(VLOOKUP(AG10,Points!$A$2:$B$14,2,FALSE)," ")))</f>
        <v xml:space="preserve"> </v>
      </c>
      <c r="AJ10" s="93">
        <f>IF(Table62202732333417[[#This Row],[Non-Member]]="X"," ",((IF(G10=" ",0,G10))+(IF(K10=" ",0,K10))+(IF(O10=" ",0,O10))+(IF(S10=" ",0,S10))+(IF(W10=" ",0,W10))+(IF(AA10=" ",0,AA10))+(IF(AE10=" ",0,AE10))+(IF(AI10=" ",0,AI10))))</f>
        <v>39</v>
      </c>
      <c r="AK10" s="95">
        <f t="shared" si="14"/>
        <v>39</v>
      </c>
      <c r="AL10" s="96">
        <f t="shared" si="15"/>
        <v>6</v>
      </c>
    </row>
    <row r="11" spans="2:38" x14ac:dyDescent="0.25">
      <c r="B11" s="90" t="s">
        <v>218</v>
      </c>
      <c r="C11" s="91"/>
      <c r="D11" s="92">
        <v>26.981000000000002</v>
      </c>
      <c r="E11" s="93">
        <f t="shared" si="0"/>
        <v>6</v>
      </c>
      <c r="F11" s="93">
        <f t="shared" si="1"/>
        <v>6</v>
      </c>
      <c r="G11" s="94">
        <f>IF(Table62202732333417[[#This Row],[Non-Member]]="X"," ",IF(F11=" "," ",IFERROR(VLOOKUP(E11,Points!$A$2:$B$14,2,FALSE)," ")))</f>
        <v>3</v>
      </c>
      <c r="H11" s="92">
        <v>17.683</v>
      </c>
      <c r="I11" s="93">
        <f t="shared" si="2"/>
        <v>8</v>
      </c>
      <c r="J11" s="93" t="str">
        <f t="shared" si="3"/>
        <v xml:space="preserve"> </v>
      </c>
      <c r="K11" s="94" t="str">
        <f>IF(Table62202732333417[[#This Row],[Non-Member]]="X"," ",IF(J11=" "," ",IFERROR(VLOOKUP(I11,Points!$A$2:$B$14,2,FALSE)," ")))</f>
        <v xml:space="preserve"> </v>
      </c>
      <c r="L11" s="92">
        <v>15.734</v>
      </c>
      <c r="M11" s="93">
        <f t="shared" si="4"/>
        <v>2</v>
      </c>
      <c r="N11" s="93">
        <f t="shared" si="5"/>
        <v>2</v>
      </c>
      <c r="O11" s="94">
        <f>IF(Table62202732333417[[#This Row],[Non-Member]]="X"," ",IF(N11=" "," ",IFERROR(VLOOKUP(M11,Points!$A$2:$B$14,2,FALSE)," ")))</f>
        <v>15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IF(Table62202732333417[[#This Row],[Non-Member]]="X"," ",IF(R11=" "," ",IFERROR(VLOOKUP(Q11,Points!$A$2:$B$14,2,FALSE)," ")))</f>
        <v xml:space="preserve"> </v>
      </c>
      <c r="T11" s="92">
        <v>0</v>
      </c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IF(Table62202732333417[[#This Row],[Non-Member]]="X"," ",IF(V11=" "," ",IFERROR(VLOOKUP(U11,Points!$A$2:$B$14,2,FALSE)," ")))</f>
        <v xml:space="preserve"> </v>
      </c>
      <c r="X11" s="92">
        <v>20.983000000000001</v>
      </c>
      <c r="Y11" s="93">
        <f t="shared" si="10"/>
        <v>7</v>
      </c>
      <c r="Z11" s="93" t="str">
        <f t="shared" si="11"/>
        <v xml:space="preserve"> </v>
      </c>
      <c r="AA11" s="94" t="str">
        <f>IF(Table62202732333417[[#This Row],[Non-Member]]="X"," ",IF(Z11=" "," ",IFERROR(VLOOKUP(Y11,Points!$A$2:$B$14,2,FALSE)," ")))</f>
        <v xml:space="preserve"> </v>
      </c>
      <c r="AB11" s="92">
        <v>11.678000000000001</v>
      </c>
      <c r="AC11" s="93">
        <f t="shared" si="12"/>
        <v>4</v>
      </c>
      <c r="AD11" s="93">
        <f t="shared" si="13"/>
        <v>4</v>
      </c>
      <c r="AE11" s="94">
        <f>IF(Table62202732333417[[#This Row],[Non-Member]]="X"," ",IF(AD11=" "," ",IFERROR(VLOOKUP(AC11,Points!$A$2:$B$14,2,FALSE)," ")))</f>
        <v>9</v>
      </c>
      <c r="AF11" s="92">
        <f t="shared" si="16"/>
        <v>32.661000000000001</v>
      </c>
      <c r="AG11" s="93">
        <f t="shared" si="17"/>
        <v>5</v>
      </c>
      <c r="AH11" s="93">
        <f t="shared" si="18"/>
        <v>5</v>
      </c>
      <c r="AI11" s="94">
        <f>IF(Table62202732333417[[#This Row],[Non-Member]]="X"," ",IF(AH11=" "," ",IFERROR(VLOOKUP(AG11,Points!$A$2:$B$14,2,FALSE)," ")))</f>
        <v>6</v>
      </c>
      <c r="AJ11" s="93">
        <f>IF(Table62202732333417[[#This Row],[Non-Member]]="X"," ",((IF(G11=" ",0,G11))+(IF(K11=" ",0,K11))+(IF(O11=" ",0,O11))+(IF(S11=" ",0,S11))+(IF(W11=" ",0,W11))+(IF(AA11=" ",0,AA11))+(IF(AE11=" ",0,AE11))+(IF(AI11=" ",0,AI11))))</f>
        <v>33</v>
      </c>
      <c r="AK11" s="95">
        <f t="shared" si="14"/>
        <v>33</v>
      </c>
      <c r="AL11" s="96">
        <f t="shared" si="15"/>
        <v>7</v>
      </c>
    </row>
    <row r="12" spans="2:38" x14ac:dyDescent="0.25">
      <c r="B12" s="90" t="s">
        <v>69</v>
      </c>
      <c r="C12" s="91"/>
      <c r="D12" s="92">
        <v>23.928999999999998</v>
      </c>
      <c r="E12" s="93">
        <f t="shared" si="0"/>
        <v>5</v>
      </c>
      <c r="F12" s="93">
        <f t="shared" si="1"/>
        <v>5</v>
      </c>
      <c r="G12" s="94">
        <f>IF(Table62202732333417[[#This Row],[Non-Member]]="X"," ",IF(F12=" "," ",IFERROR(VLOOKUP(E12,Points!$A$2:$B$14,2,FALSE)," ")))</f>
        <v>6</v>
      </c>
      <c r="H12" s="92">
        <v>31.225999999999999</v>
      </c>
      <c r="I12" s="93">
        <f t="shared" si="2"/>
        <v>10</v>
      </c>
      <c r="J12" s="93" t="str">
        <f t="shared" si="3"/>
        <v xml:space="preserve"> </v>
      </c>
      <c r="K12" s="94" t="str">
        <f>IF(Table62202732333417[[#This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IF(Table62202732333417[[#This Row],[Non-Member]]="X"," ",IF(V12=" "," ",IFERROR(VLOOKUP(U12,Points!$A$2:$B$14,2,FALSE)," ")))</f>
        <v xml:space="preserve"> </v>
      </c>
      <c r="X12" s="92">
        <v>0</v>
      </c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IF(Table62202732333417[[#This Row],[Non-Member]]="X"," ",IF(Z12=" "," ",IFERROR(VLOOKUP(Y12,Points!$A$2:$B$14,2,FALSE)," ")))</f>
        <v xml:space="preserve"> </v>
      </c>
      <c r="AB12" s="92">
        <v>13.451000000000001</v>
      </c>
      <c r="AC12" s="93">
        <f t="shared" si="12"/>
        <v>5</v>
      </c>
      <c r="AD12" s="93">
        <f t="shared" si="13"/>
        <v>5</v>
      </c>
      <c r="AE12" s="94">
        <f>IF(Table62202732333417[[#This Row],[Non-Member]]="X"," ",IF(AD12=" "," ",IFERROR(VLOOKUP(AC12,Points!$A$2:$B$14,2,FALSE)," ")))</f>
        <v>6</v>
      </c>
      <c r="AF12" s="92" t="str">
        <f t="shared" si="16"/>
        <v xml:space="preserve"> </v>
      </c>
      <c r="AG12" s="93" t="str">
        <f t="shared" si="17"/>
        <v xml:space="preserve"> </v>
      </c>
      <c r="AH12" s="93" t="str">
        <f t="shared" si="18"/>
        <v xml:space="preserve"> </v>
      </c>
      <c r="AI12" s="94" t="str">
        <f>IF(Table62202732333417[[#This Row],[Non-Member]]="X"," ",IF(AH12=" "," ",IFERROR(VLOOKUP(AG12,Points!$A$2:$B$14,2,FALSE)," ")))</f>
        <v xml:space="preserve"> </v>
      </c>
      <c r="AJ12" s="93">
        <f>IF(Table62202732333417[[#This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4"/>
        <v>12</v>
      </c>
      <c r="AL12" s="96">
        <f t="shared" si="15"/>
        <v>8</v>
      </c>
    </row>
    <row r="13" spans="2:38" x14ac:dyDescent="0.25">
      <c r="B13" s="90" t="s">
        <v>132</v>
      </c>
      <c r="C13" s="91"/>
      <c r="D13" s="92">
        <v>0</v>
      </c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IF(Table62202732333417[[#This Row],[Non-Member]]="X"," ",IF(F13=" "," ",IFERROR(VLOOKUP(E13,Points!$A$2:$B$14,2,FALSE)," ")))</f>
        <v xml:space="preserve"> </v>
      </c>
      <c r="H13" s="92">
        <v>18.420999999999999</v>
      </c>
      <c r="I13" s="93">
        <f t="shared" si="2"/>
        <v>9</v>
      </c>
      <c r="J13" s="93" t="str">
        <f t="shared" si="3"/>
        <v xml:space="preserve"> </v>
      </c>
      <c r="K13" s="94" t="str">
        <f>IF(Table62202732333417[[#This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IF(Table62202732333417[[#This Row],[Non-Member]]="X"," ",IF(N13=" "," ",IFERROR(VLOOKUP(M13,Points!$A$2:$B$14,2,FALSE)," ")))</f>
        <v xml:space="preserve"> 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IF(Table62202732333417[[#This Row],[Non-Member]]="X"," ",IF(R13=" "," ",IFERROR(VLOOKUP(Q13,Points!$A$2:$B$14,2,FALSE)," ")))</f>
        <v xml:space="preserve"> </v>
      </c>
      <c r="T13" s="92">
        <v>12.616</v>
      </c>
      <c r="U13" s="93">
        <f t="shared" si="8"/>
        <v>4</v>
      </c>
      <c r="V13" s="93">
        <f t="shared" si="9"/>
        <v>4</v>
      </c>
      <c r="W13" s="94">
        <f>IF(Table62202732333417[[#This Row],[Non-Member]]="X"," ",IF(V13=" "," ",IFERROR(VLOOKUP(U13,Points!$A$2:$B$14,2,FALSE)," ")))</f>
        <v>9</v>
      </c>
      <c r="X13" s="92">
        <v>0</v>
      </c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IF(Table62202732333417[[#This Row],[Non-Member]]="X"," ",IF(Z13=" "," ",IFERROR(VLOOKUP(Y13,Points!$A$2:$B$14,2,FALSE)," ")))</f>
        <v xml:space="preserve"> </v>
      </c>
      <c r="AB13" s="92">
        <v>0</v>
      </c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IF(Table62202732333417[[#This Row],[Non-Member]]="X"," ",IF(AH13=" "," ",IFERROR(VLOOKUP(AG13,Points!$A$2:$B$14,2,FALSE)," ")))</f>
        <v xml:space="preserve"> </v>
      </c>
      <c r="AJ13" s="93">
        <f>IF(Table62202732333417[[#This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4"/>
        <v>9</v>
      </c>
      <c r="AL13" s="96">
        <f t="shared" si="15"/>
        <v>9</v>
      </c>
    </row>
    <row r="14" spans="2:38" x14ac:dyDescent="0.25">
      <c r="B14" s="90" t="s">
        <v>282</v>
      </c>
      <c r="C14" s="91" t="s">
        <v>95</v>
      </c>
      <c r="D14" s="92"/>
      <c r="E14" s="97" t="str">
        <f t="shared" si="0"/>
        <v xml:space="preserve"> </v>
      </c>
      <c r="F14" s="97" t="str">
        <f t="shared" si="1"/>
        <v xml:space="preserve"> </v>
      </c>
      <c r="G14" s="94" t="str">
        <f>IF(Table62202732333417[[#This Row],[Non-Member]]="X"," ",IF(F14=" "," ",IFERROR(VLOOKUP(E14,Points!$A$2:$B$14,2,FALSE)," ")))</f>
        <v xml:space="preserve"> </v>
      </c>
      <c r="H14" s="92"/>
      <c r="I14" s="97" t="str">
        <f t="shared" si="2"/>
        <v xml:space="preserve"> </v>
      </c>
      <c r="J14" s="97" t="str">
        <f t="shared" si="3"/>
        <v xml:space="preserve"> </v>
      </c>
      <c r="K14" s="94" t="str">
        <f>IF(Table62202732333417[[#This Row],[Non-Member]]="X"," ",IF(J14=" "," ",IFERROR(VLOOKUP(I14,Points!$A$2:$B$14,2,FALSE)," ")))</f>
        <v xml:space="preserve"> </v>
      </c>
      <c r="L14" s="138">
        <v>0</v>
      </c>
      <c r="M14" s="97" t="str">
        <f t="shared" si="4"/>
        <v xml:space="preserve"> </v>
      </c>
      <c r="N14" s="97" t="str">
        <f t="shared" si="5"/>
        <v xml:space="preserve"> </v>
      </c>
      <c r="O14" s="94" t="str">
        <f>IF(Table62202732333417[[#This Row],[Non-Member]]="X"," ",IF(N14=" "," ",IFERROR(VLOOKUP(M14,Points!$A$2:$B$14,2,FALSE)," ")))</f>
        <v xml:space="preserve"> </v>
      </c>
      <c r="P14" s="92">
        <v>20.962</v>
      </c>
      <c r="Q14" s="97">
        <f t="shared" si="6"/>
        <v>4</v>
      </c>
      <c r="R14" s="97">
        <f t="shared" si="7"/>
        <v>4</v>
      </c>
      <c r="S14" s="94" t="str">
        <f>IF(Table62202732333417[[#This Row],[Non-Member]]="X"," ",IF(R14=" "," ",IFERROR(VLOOKUP(Q14,Points!$A$2:$B$14,2,FALSE)," ")))</f>
        <v xml:space="preserve"> </v>
      </c>
      <c r="T14" s="92"/>
      <c r="U14" s="97" t="str">
        <f t="shared" si="8"/>
        <v xml:space="preserve"> </v>
      </c>
      <c r="V14" s="97" t="str">
        <f t="shared" si="9"/>
        <v xml:space="preserve"> </v>
      </c>
      <c r="W14" s="94" t="str">
        <f>IF(Table62202732333417[[#This Row],[Non-Member]]="X"," ",IF(V14=" "," ",IFERROR(VLOOKUP(U14,Points!$A$2:$B$14,2,FALSE)," ")))</f>
        <v xml:space="preserve"> </v>
      </c>
      <c r="X14" s="92"/>
      <c r="Y14" s="97" t="str">
        <f t="shared" si="10"/>
        <v xml:space="preserve"> </v>
      </c>
      <c r="Z14" s="97" t="str">
        <f t="shared" si="11"/>
        <v xml:space="preserve"> </v>
      </c>
      <c r="AA14" s="94" t="str">
        <f>IF(Table62202732333417[[#This Row],[Non-Member]]="X"," ",IF(Z14=" "," ",IFERROR(VLOOKUP(Y14,Points!$A$2:$B$14,2,FALSE)," ")))</f>
        <v xml:space="preserve"> </v>
      </c>
      <c r="AB14" s="92"/>
      <c r="AC14" s="97" t="str">
        <f t="shared" si="12"/>
        <v xml:space="preserve"> </v>
      </c>
      <c r="AD14" s="97" t="str">
        <f t="shared" si="13"/>
        <v xml:space="preserve"> </v>
      </c>
      <c r="AE14" s="94" t="str">
        <f>IF(Table62202732333417[[#This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7" t="str">
        <f t="shared" si="17"/>
        <v xml:space="preserve"> </v>
      </c>
      <c r="AH14" s="97" t="str">
        <f t="shared" si="18"/>
        <v xml:space="preserve"> </v>
      </c>
      <c r="AI14" s="94" t="str">
        <f>IF(Table62202732333417[[#This Row],[Non-Member]]="X"," ",IF(AH14=" "," ",IFERROR(VLOOKUP(AG14,Points!$A$2:$B$14,2,FALSE)," ")))</f>
        <v xml:space="preserve"> </v>
      </c>
      <c r="AJ14" s="97" t="str">
        <f>IF(Table62202732333417[[#This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4"/>
        <v xml:space="preserve"> </v>
      </c>
      <c r="AL14" s="98" t="str">
        <f t="shared" si="15"/>
        <v xml:space="preserve"> </v>
      </c>
    </row>
    <row r="15" spans="2:38" x14ac:dyDescent="0.25">
      <c r="B15" s="90" t="s">
        <v>247</v>
      </c>
      <c r="C15" s="91" t="s">
        <v>95</v>
      </c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IF(Table62202732333417[[#This Row],[Non-Member]]="X"," ",IF(F15=" "," ",IFERROR(VLOOKUP(E15,Points!$A$2:$B$14,2,FALSE)," ")))</f>
        <v xml:space="preserve"> </v>
      </c>
      <c r="H15" s="92">
        <v>10.771000000000001</v>
      </c>
      <c r="I15" s="93">
        <f t="shared" si="2"/>
        <v>3</v>
      </c>
      <c r="J15" s="93">
        <f t="shared" si="3"/>
        <v>3</v>
      </c>
      <c r="K15" s="94" t="str">
        <f>IF(Table62202732333417[[#This Row],[Non-Member]]="X"," ",IF(J15=" "," ",IFERROR(VLOOKUP(I15,Points!$A$2:$B$14,2,FALSE)," ")))</f>
        <v xml:space="preserve"> </v>
      </c>
      <c r="L15" s="92">
        <v>10.148999999999999</v>
      </c>
      <c r="M15" s="93">
        <f t="shared" si="4"/>
        <v>1</v>
      </c>
      <c r="N15" s="93">
        <f t="shared" si="5"/>
        <v>1</v>
      </c>
      <c r="O15" s="94" t="str">
        <f>IF(Table62202732333417[[#This Row],[Non-Member]]="X"," ",IF(N15=" "," ",IFERROR(VLOOKUP(M15,Points!$A$2:$B$14,2,FALSE)," ")))</f>
        <v xml:space="preserve"> </v>
      </c>
      <c r="P15" s="92">
        <v>10.531000000000001</v>
      </c>
      <c r="Q15" s="93">
        <f t="shared" si="6"/>
        <v>1</v>
      </c>
      <c r="R15" s="93">
        <f t="shared" si="7"/>
        <v>1</v>
      </c>
      <c r="S15" s="94" t="str">
        <f>IF(Table62202732333417[[#This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3" t="str">
        <f t="shared" si="17"/>
        <v xml:space="preserve"> </v>
      </c>
      <c r="AH15" s="93" t="str">
        <f t="shared" si="18"/>
        <v xml:space="preserve"> </v>
      </c>
      <c r="AI15" s="94" t="str">
        <f>IF(Table62202732333417[[#This Row],[Non-Member]]="X"," ",IF(AH15=" "," ",IFERROR(VLOOKUP(AG15,Points!$A$2:$B$14,2,FALSE)," ")))</f>
        <v xml:space="preserve"> </v>
      </c>
      <c r="AJ15" s="93" t="str">
        <f>IF(Table62202732333417[[#This Row],[Non-Member]]="X"," ",((IF(G15=" ",0,G15))+(IF(K15=" ",0,K15))+(IF(O15=" ",0,O15))+(IF(S15=" ",0,S15))+(IF(W15=" ",0,W15))+(IF(AA15=" ",0,AA15))+(IF(AE15=" ",0,AE15))+(IF(AI15=" ",0,AI15))))</f>
        <v xml:space="preserve"> 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25">
      <c r="B16" s="90"/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IF(Table62202732333417[[#This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IF(Table62202732333417[[#This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IF(Table62202732333417[[#This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IF(Table62202732333417[[#This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IF(Table62202732333417[[#This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IF(Table62202732333417[[#This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IF(Table62202732333417[[#This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3" t="str">
        <f t="shared" si="17"/>
        <v xml:space="preserve"> </v>
      </c>
      <c r="AH16" s="93" t="str">
        <f t="shared" si="18"/>
        <v xml:space="preserve"> </v>
      </c>
      <c r="AI16" s="94" t="str">
        <f>IF(Table62202732333417[[#This Row],[Non-Member]]="X"," ",IF(AH16=" "," ",IFERROR(VLOOKUP(AG16,Points!$A$2:$B$14,2,FALSE)," ")))</f>
        <v xml:space="preserve"> </v>
      </c>
      <c r="AJ16" s="93">
        <f>IF(Table62202732333417[[#This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25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7" t="str">
        <f t="shared" si="17"/>
        <v xml:space="preserve"> </v>
      </c>
      <c r="AH17" s="97" t="str">
        <f t="shared" si="18"/>
        <v xml:space="preserve"> </v>
      </c>
      <c r="AI17" s="94" t="str">
        <f>IF(Table62202732333417[[#This Row],[Non-Member]]="X"," ",IF(AH17=" "," ",IFERROR(VLOOKUP(AG17,Points!$A$2:$B$14,2,FALSE)," ")))</f>
        <v xml:space="preserve"> </v>
      </c>
      <c r="AJ17" s="97">
        <f>IF(Table62202732333417[[#This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7" t="str">
        <f t="shared" si="17"/>
        <v xml:space="preserve"> </v>
      </c>
      <c r="AH18" s="97" t="str">
        <f t="shared" si="18"/>
        <v xml:space="preserve"> </v>
      </c>
      <c r="AI18" s="94" t="str">
        <f>IF(Table62202732333417[[#This Row],[Non-Member]]="X"," ",IF(AH18=" "," ",IFERROR(VLOOKUP(AG18,Points!$A$2:$B$14,2,FALSE)," ")))</f>
        <v xml:space="preserve"> </v>
      </c>
      <c r="AJ18" s="97">
        <f>IF(Table62202732333417[[#This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IF(Table62202732333417[[#This Row],[Non-Member]]="X"," ",IF(AH19=" "," ",IFERROR(VLOOKUP(AG19,Points!$A$2:$B$14,2,FALSE)," ")))</f>
        <v xml:space="preserve"> </v>
      </c>
      <c r="AJ19" s="93">
        <f>IF(Table62202732333417[[#This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IF(Table62202732333417[[#This Row],[Non-Member]]="X"," ",IF(AH20=" "," ",IFERROR(VLOOKUP(AG20,Points!$A$2:$B$14,2,FALSE)," ")))</f>
        <v xml:space="preserve"> </v>
      </c>
      <c r="AJ20" s="93">
        <f>IF(Table62202732333417[[#This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IF(Table62202732333417[[#This Row],[Non-Member]]="X"," ",IF(AH21=" "," ",IFERROR(VLOOKUP(AG21,Points!$A$2:$B$14,2,FALSE)," ")))</f>
        <v xml:space="preserve"> </v>
      </c>
      <c r="AJ21" s="93">
        <f>IF(Table62202732333417[[#This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IF(Table62202732333417[[#This Row],[Non-Member]]="X"," ",IF(AH22=" "," ",IFERROR(VLOOKUP(AG22,Points!$A$2:$B$14,2,FALSE)," ")))</f>
        <v xml:space="preserve"> </v>
      </c>
      <c r="AJ22" s="93">
        <f>IF(Table62202732333417[[#This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IF(Table62202732333417[[#This Row],[Non-Member]]="X"," ",IF(AH23=" "," ",IFERROR(VLOOKUP(AG23,Points!$A$2:$B$14,2,FALSE)," ")))</f>
        <v xml:space="preserve"> </v>
      </c>
      <c r="AJ23" s="93">
        <f>IF(Table62202732333417[[#This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IF(Table62202732333417[[#This Row],[Non-Member]]="X"," ",IF(AH24=" "," ",IFERROR(VLOOKUP(AG24,Points!$A$2:$B$14,2,FALSE)," ")))</f>
        <v xml:space="preserve"> </v>
      </c>
      <c r="AJ24" s="93">
        <f>IF(Table62202732333417[[#This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0sYS14VNFZBHEXpQBmUu9W1Wllk9MRGmIVKT/KHa4qmUXLlnzIh7f/HQJ4u00QNdLMsY+MUhBwL8qU6faxuQQg==" saltValue="oUyMsE+pFDkvVkXTGWQHI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ignoredErrors>
    <ignoredError sqref="AF6:AH6" calculatedColumn="1"/>
  </ignoredErrors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E3E26-B68C-4ED6-AEDE-86DA7E0CFC2D}">
  <sheetPr codeName="Sheet59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107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220</v>
      </c>
      <c r="C5" s="84"/>
      <c r="D5" s="85">
        <v>41.07</v>
      </c>
      <c r="E5" s="86">
        <f t="shared" ref="E5:E24" si="0">IF(D5=0," ",_xlfn.RANK.AVG(D5,D$5:D$24,1)-COUNTIF(D$5:D$24,0))</f>
        <v>2</v>
      </c>
      <c r="F5" s="86">
        <f t="shared" ref="F5:F24" si="1">IF(D5=0," ",IF((RANK(D5,D$5:D$24,1)-COUNTIF(D$5:D$24,0)&gt;6)," ",RANK(D5,D$5:D$24,1)-COUNTIF(D$5:D$24,0)))</f>
        <v>2</v>
      </c>
      <c r="G5" s="87">
        <f>IF(Table6220273233341718[[#This Row],[Non-Member]]="X"," ",IF(F5=" "," ",IFERROR(VLOOKUP(E5,Points!$A$2:$B$14,2,FALSE)," ")))</f>
        <v>15</v>
      </c>
      <c r="H5" s="85">
        <v>0</v>
      </c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IF(Table6220273233341718[[#This Row],[Non-Member]]="X"," ",IF(J5=" "," ",IFERROR(VLOOKUP(I5,Points!$A$2:$B$14,2,FALSE)," ")))</f>
        <v xml:space="preserve"> 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IF(Table6220273233341718[[#This Row],[Non-Member]]="X"," ",IF(N5=" "," ",IFERROR(VLOOKUP(M5,Points!$A$2:$B$14,2,FALSE)," ")))</f>
        <v xml:space="preserve"> </v>
      </c>
      <c r="P5" s="85">
        <v>37.78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IF(Table6220273233341718[[#This Row],[Non-Member]]="X"," ",IF(R5=" "," ",IFERROR(VLOOKUP(Q5,Points!$A$2:$B$14,2,FALSE)," ")))</f>
        <v>15</v>
      </c>
      <c r="T5" s="85">
        <v>0</v>
      </c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IF(Table6220273233341718[[#This Row],[Non-Member]]="X"," ",IF(V5=" "," ",IFERROR(VLOOKUP(U5,Points!$A$2:$B$14,2,FALSE)," ")))</f>
        <v xml:space="preserve"> </v>
      </c>
      <c r="X5" s="85">
        <v>0</v>
      </c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IF(Table6220273233341718[[#This Row],[Non-Member]]="X"," ",IF(Z5=" "," ",IFERROR(VLOOKUP(Y5,Points!$A$2:$B$14,2,FALSE)," ")))</f>
        <v xml:space="preserve"> </v>
      </c>
      <c r="AB5" s="85">
        <v>13.6</v>
      </c>
      <c r="AC5" s="86">
        <f t="shared" ref="AC5:AC24" si="12">IF(AB5=0," ",_xlfn.RANK.AVG(AB5,AB$5:AB$24,1)-COUNTIF(AB$5:AB$24,0))</f>
        <v>3</v>
      </c>
      <c r="AD5" s="86">
        <f t="shared" ref="AD5:AD24" si="13">IF(AB5=0," ",IF((RANK(AB5,AB$5:AB$24,1)-COUNTIF(AB$5:AB$24,0)&gt;6)," ",RANK(AB5,AB$5:AB$24,1)-COUNTIF(AB$5:AB$24,0)))</f>
        <v>3</v>
      </c>
      <c r="AE5" s="87">
        <f>IF(Table6220273233341718[[#This Row],[Non-Member]]="X"," ",IF(AD5=" "," ",IFERROR(VLOOKUP(AC5,Points!$A$2:$B$14,2,FALSE)," ")))</f>
        <v>12</v>
      </c>
      <c r="AF5" s="85" t="s">
        <v>289</v>
      </c>
      <c r="AG5" s="86">
        <v>3</v>
      </c>
      <c r="AH5" s="86">
        <v>3</v>
      </c>
      <c r="AI5" s="87">
        <f>IF(Table6220273233341718[[#This Row],[Non-Member]]="X"," ",IF(AH5=" "," ",IFERROR(VLOOKUP(AG5,Points!$A$2:$B$14,2,FALSE)," ")))</f>
        <v>12</v>
      </c>
      <c r="AJ5" s="86">
        <f>IF(Table6220273233341718[[#This Row],[Non-Member]]="X"," ",((IF(G5=" ",0,G5))+(IF(K5=" ",0,K5))+(IF(O5=" ",0,O5))+(IF(S5=" ",0,S5))+(IF(W5=" ",0,W5))+(IF(AA5=" ",0,AA5))+(IF(AE5=" ",0,AE5))+(IF(AI5=" ",0,AI5))))</f>
        <v>54</v>
      </c>
      <c r="AK5" s="88">
        <f t="shared" ref="AK5:AK24" si="14">IF(AJ5=0," ",AJ5)</f>
        <v>54</v>
      </c>
      <c r="AL5" s="89">
        <f t="shared" ref="AL5:AL24" si="15">IF(AK5=" "," ",RANK(AK5,$AK$5:$AK$24))</f>
        <v>1</v>
      </c>
    </row>
    <row r="6" spans="2:38" x14ac:dyDescent="0.25">
      <c r="B6" s="90" t="s">
        <v>71</v>
      </c>
      <c r="C6" s="91"/>
      <c r="D6" s="92">
        <v>0</v>
      </c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IF(Table6220273233341718[[#This Row],[Non-Member]]="X"," ",IF(F6=" "," ",IFERROR(VLOOKUP(E6,Points!$A$2:$B$14,2,FALSE)," ")))</f>
        <v xml:space="preserve"> </v>
      </c>
      <c r="H6" s="92">
        <v>3.03</v>
      </c>
      <c r="I6" s="93">
        <f t="shared" si="2"/>
        <v>1</v>
      </c>
      <c r="J6" s="93">
        <f t="shared" si="3"/>
        <v>1</v>
      </c>
      <c r="K6" s="94">
        <f>IF(Table6220273233341718[[#This Row],[Non-Member]]="X"," ",IF(J6=" "," ",IFERROR(VLOOKUP(I6,Points!$A$2:$B$14,2,FALSE)," ")))</f>
        <v>18</v>
      </c>
      <c r="L6" s="92">
        <v>13.3</v>
      </c>
      <c r="M6" s="93">
        <f t="shared" si="4"/>
        <v>1</v>
      </c>
      <c r="N6" s="93">
        <f t="shared" si="5"/>
        <v>1</v>
      </c>
      <c r="O6" s="94">
        <f>IF(Table6220273233341718[[#This Row],[Non-Member]]="X"," ",IF(N6=" "," ",IFERROR(VLOOKUP(M6,Points!$A$2:$B$14,2,FALSE)," ")))</f>
        <v>18</v>
      </c>
      <c r="P6" s="92">
        <v>4.34</v>
      </c>
      <c r="Q6" s="93">
        <f t="shared" si="6"/>
        <v>1</v>
      </c>
      <c r="R6" s="93">
        <f t="shared" si="7"/>
        <v>1</v>
      </c>
      <c r="S6" s="94">
        <f>IF(Table6220273233341718[[#This Row],[Non-Member]]="X"," ",IF(R6=" "," ",IFERROR(VLOOKUP(Q6,Points!$A$2:$B$14,2,FALSE)," ")))</f>
        <v>18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IF(Table6220273233341718[[#This Row],[Non-Member]]="X"," ",IF(V6=" "," ",IFERROR(VLOOKUP(U6,Points!$A$2:$B$14,2,FALSE)," ")))</f>
        <v xml:space="preserve"> </v>
      </c>
      <c r="X6" s="92">
        <v>0</v>
      </c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IF(Table6220273233341718[[#This Row],[Non-Member]]="X"," ",IF(Z6=" "," ",IFERROR(VLOOKUP(Y6,Points!$A$2:$B$14,2,FALSE)," ")))</f>
        <v xml:space="preserve"> </v>
      </c>
      <c r="AB6" s="92">
        <v>0</v>
      </c>
      <c r="AC6" s="93" t="str">
        <f t="shared" si="12"/>
        <v xml:space="preserve"> </v>
      </c>
      <c r="AD6" s="93" t="str">
        <f t="shared" si="13"/>
        <v xml:space="preserve"> </v>
      </c>
      <c r="AE6" s="94" t="str">
        <f>IF(Table6220273233341718[[#This Row],[Non-Member]]="X"," ",IF(AD6=" "," ",IFERROR(VLOOKUP(AC6,Points!$A$2:$B$14,2,FALSE)," ")))</f>
        <v xml:space="preserve"> </v>
      </c>
      <c r="AF6" s="92" t="str">
        <f>IF(OR(X6=0,AB6=0)," ",X6+AB6)</f>
        <v xml:space="preserve"> </v>
      </c>
      <c r="AG6" s="93" t="str">
        <f>IF(OR(AF6=0,AF6=" ")," ",_xlfn.RANK.AVG(AF6,AF$5:AF$24,1)-COUNTIF(AF$5:AF$24,0))</f>
        <v xml:space="preserve"> </v>
      </c>
      <c r="AH6" s="93" t="str">
        <f>IF(OR(AF6=0,AF6=" ")," ",IF((RANK(AF6,AF$5:AF$24,1)-COUNTIF(AF$5:AF$24,0)&gt;6)," ",RANK(AF6,AF$5:AF$24,1)-COUNTIF(AF$5:AF$24,0)))</f>
        <v xml:space="preserve"> </v>
      </c>
      <c r="AI6" s="94" t="str">
        <f>IF(Table6220273233341718[[#This Row],[Non-Member]]="X"," ",IF(AH6=" "," ",IFERROR(VLOOKUP(AG6,Points!$A$2:$B$14,2,FALSE)," ")))</f>
        <v xml:space="preserve"> </v>
      </c>
      <c r="AJ6" s="93">
        <f>IF(Table6220273233341718[[#This Row],[Non-Member]]="X"," ",((IF(G6=" ",0,G6))+(IF(K6=" ",0,K6))+(IF(O6=" ",0,O6))+(IF(S6=" ",0,S6))+(IF(W6=" ",0,W6))+(IF(AA6=" ",0,AA6))+(IF(AE6=" ",0,AE6))+(IF(AI6=" ",0,AI6))))</f>
        <v>54</v>
      </c>
      <c r="AK6" s="95">
        <f t="shared" si="14"/>
        <v>54</v>
      </c>
      <c r="AL6" s="96">
        <f t="shared" si="15"/>
        <v>1</v>
      </c>
    </row>
    <row r="7" spans="2:38" x14ac:dyDescent="0.25">
      <c r="B7" s="90" t="s">
        <v>131</v>
      </c>
      <c r="C7" s="91"/>
      <c r="D7" s="92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IF(Table6220273233341718[[#This Row],[Non-Member]]="X"," ",IF(F7=" "," ",IFERROR(VLOOKUP(E7,Points!$A$2:$B$14,2,FALSE)," ")))</f>
        <v xml:space="preserve"> </v>
      </c>
      <c r="H7" s="92">
        <v>0</v>
      </c>
      <c r="I7" s="93" t="str">
        <f t="shared" si="2"/>
        <v xml:space="preserve"> </v>
      </c>
      <c r="J7" s="93" t="str">
        <f t="shared" si="3"/>
        <v xml:space="preserve"> </v>
      </c>
      <c r="K7" s="94" t="str">
        <f>IF(Table6220273233341718[[#This Row],[Non-Member]]="X"," ",IF(J7=" "," ",IFERROR(VLOOKUP(I7,Points!$A$2:$B$14,2,FALSE)," ")))</f>
        <v xml:space="preserve"> 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IF(Table6220273233341718[[#This Row],[Non-Member]]="X"," ",IF(N7=" "," ",IFERROR(VLOOKUP(M7,Points!$A$2:$B$14,2,FALSE)," ")))</f>
        <v xml:space="preserve"> </v>
      </c>
      <c r="P7" s="92">
        <v>0</v>
      </c>
      <c r="Q7" s="93" t="str">
        <f t="shared" si="6"/>
        <v xml:space="preserve"> </v>
      </c>
      <c r="R7" s="93" t="str">
        <f t="shared" si="7"/>
        <v xml:space="preserve"> </v>
      </c>
      <c r="S7" s="94" t="str">
        <f>IF(Table6220273233341718[[#This Row],[Non-Member]]="X"," ",IF(R7=" "," ",IFERROR(VLOOKUP(Q7,Points!$A$2:$B$14,2,FALSE)," ")))</f>
        <v xml:space="preserve"> </v>
      </c>
      <c r="T7" s="92">
        <v>3.65</v>
      </c>
      <c r="U7" s="93">
        <f t="shared" si="8"/>
        <v>1</v>
      </c>
      <c r="V7" s="93">
        <f t="shared" si="9"/>
        <v>1</v>
      </c>
      <c r="W7" s="94">
        <f>IF(Table6220273233341718[[#This Row],[Non-Member]]="X"," ",IF(V7=" "," ",IFERROR(VLOOKUP(U7,Points!$A$2:$B$14,2,FALSE)," ")))</f>
        <v>18</v>
      </c>
      <c r="X7" s="92">
        <v>0</v>
      </c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IF(Table6220273233341718[[#This Row],[Non-Member]]="X"," ",IF(Z7=" "," ",IFERROR(VLOOKUP(Y7,Points!$A$2:$B$14,2,FALSE)," ")))</f>
        <v xml:space="preserve"> </v>
      </c>
      <c r="AB7" s="92">
        <v>3.41</v>
      </c>
      <c r="AC7" s="93">
        <f t="shared" si="12"/>
        <v>1</v>
      </c>
      <c r="AD7" s="93">
        <f t="shared" si="13"/>
        <v>1</v>
      </c>
      <c r="AE7" s="94">
        <f>IF(Table6220273233341718[[#This Row],[Non-Member]]="X"," ",IF(AD7=" "," ",IFERROR(VLOOKUP(AC7,Points!$A$2:$B$14,2,FALSE)," ")))</f>
        <v>18</v>
      </c>
      <c r="AF7" s="92" t="s">
        <v>290</v>
      </c>
      <c r="AG7" s="93">
        <v>1</v>
      </c>
      <c r="AH7" s="93">
        <v>1</v>
      </c>
      <c r="AI7" s="94">
        <f>IF(Table6220273233341718[[#This Row],[Non-Member]]="X"," ",IF(AH7=" "," ",IFERROR(VLOOKUP(AG7,Points!$A$2:$B$14,2,FALSE)," ")))</f>
        <v>18</v>
      </c>
      <c r="AJ7" s="93">
        <f>IF(Table6220273233341718[[#This Row],[Non-Member]]="X"," ",((IF(G7=" ",0,G7))+(IF(K7=" ",0,K7))+(IF(O7=" ",0,O7))+(IF(S7=" ",0,S7))+(IF(W7=" ",0,W7))+(IF(AA7=" ",0,AA7))+(IF(AE7=" ",0,AE7))+(IF(AI7=" ",0,AI7))))</f>
        <v>54</v>
      </c>
      <c r="AK7" s="95">
        <f t="shared" si="14"/>
        <v>54</v>
      </c>
      <c r="AL7" s="96">
        <f t="shared" si="15"/>
        <v>1</v>
      </c>
    </row>
    <row r="8" spans="2:38" x14ac:dyDescent="0.25">
      <c r="B8" s="90" t="s">
        <v>68</v>
      </c>
      <c r="C8" s="91"/>
      <c r="D8" s="92">
        <v>0</v>
      </c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IF(Table6220273233341718[[#This Row],[Non-Member]]="X"," ",IF(F8=" "," ",IFERROR(VLOOKUP(E8,Points!$A$2:$B$14,2,FALSE)," ")))</f>
        <v xml:space="preserve"> </v>
      </c>
      <c r="H8" s="92">
        <v>0</v>
      </c>
      <c r="I8" s="93" t="str">
        <f t="shared" si="2"/>
        <v xml:space="preserve"> </v>
      </c>
      <c r="J8" s="93" t="str">
        <f t="shared" si="3"/>
        <v xml:space="preserve"> </v>
      </c>
      <c r="K8" s="94" t="str">
        <f>IF(Table6220273233341718[[#This Row],[Non-Member]]="X"," ",IF(J8=" "," ",IFERROR(VLOOKUP(I8,Points!$A$2:$B$14,2,FALSE)," ")))</f>
        <v xml:space="preserve"> </v>
      </c>
      <c r="L8" s="92">
        <v>0</v>
      </c>
      <c r="M8" s="93" t="str">
        <f t="shared" si="4"/>
        <v xml:space="preserve"> </v>
      </c>
      <c r="N8" s="93" t="str">
        <f t="shared" si="5"/>
        <v xml:space="preserve"> </v>
      </c>
      <c r="O8" s="94" t="str">
        <f>IF(Table6220273233341718[[#This Row],[Non-Member]]="X"," ",IF(N8=" "," ",IFERROR(VLOOKUP(M8,Points!$A$2:$B$14,2,FALSE)," ")))</f>
        <v xml:space="preserve"> </v>
      </c>
      <c r="P8" s="92">
        <v>0</v>
      </c>
      <c r="Q8" s="93" t="str">
        <f t="shared" si="6"/>
        <v xml:space="preserve"> </v>
      </c>
      <c r="R8" s="93" t="str">
        <f t="shared" si="7"/>
        <v xml:space="preserve"> </v>
      </c>
      <c r="S8" s="94" t="str">
        <f>IF(Table6220273233341718[[#This Row],[Non-Member]]="X"," ",IF(R8=" "," ",IFERROR(VLOOKUP(Q8,Points!$A$2:$B$14,2,FALSE)," ")))</f>
        <v xml:space="preserve"> 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IF(Table6220273233341718[[#This Row],[Non-Member]]="X"," ",IF(V8=" "," ",IFERROR(VLOOKUP(U8,Points!$A$2:$B$14,2,FALSE)," ")))</f>
        <v xml:space="preserve"> </v>
      </c>
      <c r="X8" s="92">
        <v>0</v>
      </c>
      <c r="Y8" s="93" t="str">
        <f t="shared" si="10"/>
        <v xml:space="preserve"> </v>
      </c>
      <c r="Z8" s="93" t="str">
        <f t="shared" si="11"/>
        <v xml:space="preserve"> </v>
      </c>
      <c r="AA8" s="94" t="str">
        <f>IF(Table6220273233341718[[#This Row],[Non-Member]]="X"," ",IF(Z8=" "," ",IFERROR(VLOOKUP(Y8,Points!$A$2:$B$14,2,FALSE)," ")))</f>
        <v xml:space="preserve"> </v>
      </c>
      <c r="AB8" s="92">
        <v>9.16</v>
      </c>
      <c r="AC8" s="93">
        <f t="shared" si="12"/>
        <v>2</v>
      </c>
      <c r="AD8" s="93">
        <f t="shared" si="13"/>
        <v>2</v>
      </c>
      <c r="AE8" s="94">
        <f>IF(Table6220273233341718[[#This Row],[Non-Member]]="X"," ",IF(AD8=" "," ",IFERROR(VLOOKUP(AC8,Points!$A$2:$B$14,2,FALSE)," ")))</f>
        <v>15</v>
      </c>
      <c r="AF8" s="92" t="s">
        <v>291</v>
      </c>
      <c r="AG8" s="93">
        <v>2</v>
      </c>
      <c r="AH8" s="93">
        <v>2</v>
      </c>
      <c r="AI8" s="94">
        <f>IF(Table6220273233341718[[#This Row],[Non-Member]]="X"," ",IF(AH8=" "," ",IFERROR(VLOOKUP(AG8,Points!$A$2:$B$14,2,FALSE)," ")))</f>
        <v>15</v>
      </c>
      <c r="AJ8" s="93">
        <f>IF(Table6220273233341718[[#This Row],[Non-Member]]="X"," ",((IF(G8=" ",0,G8))+(IF(K8=" ",0,K8))+(IF(O8=" ",0,O8))+(IF(S8=" ",0,S8))+(IF(W8=" ",0,W8))+(IF(AA8=" ",0,AA8))+(IF(AE8=" ",0,AE8))+(IF(AI8=" ",0,AI8))))</f>
        <v>30</v>
      </c>
      <c r="AK8" s="95">
        <f t="shared" si="14"/>
        <v>30</v>
      </c>
      <c r="AL8" s="96">
        <f t="shared" si="15"/>
        <v>4</v>
      </c>
    </row>
    <row r="9" spans="2:38" x14ac:dyDescent="0.25">
      <c r="B9" s="90" t="s">
        <v>140</v>
      </c>
      <c r="C9" s="91"/>
      <c r="D9" s="92">
        <v>5.95</v>
      </c>
      <c r="E9" s="93">
        <f t="shared" si="0"/>
        <v>1</v>
      </c>
      <c r="F9" s="93">
        <f t="shared" si="1"/>
        <v>1</v>
      </c>
      <c r="G9" s="94">
        <f>IF(Table6220273233341718[[#This Row],[Non-Member]]="X"," ",IF(F9=" "," ",IFERROR(VLOOKUP(E9,Points!$A$2:$B$14,2,FALSE)," ")))</f>
        <v>18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IF(Table6220273233341718[[#This Row],[Non-Member]]="X"," ",IF(J9=" "," ",IFERROR(VLOOKUP(I9,Points!$A$2:$B$14,2,FALSE)," ")))</f>
        <v xml:space="preserve"> 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IF(Table6220273233341718[[#This Row],[Non-Member]]="X"," ",IF(N9=" "," ",IFERROR(VLOOKUP(M9,Points!$A$2:$B$14,2,FALSE)," ")))</f>
        <v xml:space="preserve"> 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IF(Table6220273233341718[[#This Row],[Non-Member]]="X"," ",IF(R9=" "," ",IFERROR(VLOOKUP(Q9,Points!$A$2:$B$14,2,FALSE)," ")))</f>
        <v xml:space="preserve"> 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IF(Table6220273233341718[[#This Row],[Non-Member]]="X"," ",IF(V9=" "," ",IFERROR(VLOOKUP(U9,Points!$A$2:$B$14,2,FALSE)," ")))</f>
        <v xml:space="preserve"> </v>
      </c>
      <c r="X9" s="92">
        <v>0</v>
      </c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IF(Table6220273233341718[[#This Row],[Non-Member]]="X"," ",IF(Z9=" "," ",IFERROR(VLOOKUP(Y9,Points!$A$2:$B$14,2,FALSE)," ")))</f>
        <v xml:space="preserve"> </v>
      </c>
      <c r="AB9" s="92">
        <v>0</v>
      </c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IF(Table6220273233341718[[#This Row],[Non-Member]]="X"," ",IF(AD9=" "," ",IFERROR(VLOOKUP(AC9,Points!$A$2:$B$14,2,FALSE)," ")))</f>
        <v xml:space="preserve"> </v>
      </c>
      <c r="AF9" s="92" t="str">
        <f t="shared" ref="AF9:AF24" si="16">IF(OR(X9=0,AB9=0)," ",X9+AB9)</f>
        <v xml:space="preserve"> </v>
      </c>
      <c r="AG9" s="93" t="str">
        <f t="shared" ref="AG9:AG24" si="17">IF(OR(AF9=0,AF9=" ")," ",_xlfn.RANK.AVG(AF9,AF$5:AF$24,1)-COUNTIF(AF$5:AF$24,0))</f>
        <v xml:space="preserve"> </v>
      </c>
      <c r="AH9" s="93" t="str">
        <f t="shared" ref="AH9:AH24" si="18">IF(OR(AF9=0,AF9=" ")," ",IF((RANK(AF9,AF$5:AF$24,1)-COUNTIF(AF$5:AF$24,0)&gt;6)," ",RANK(AF9,AF$5:AF$24,1)-COUNTIF(AF$5:AF$24,0)))</f>
        <v xml:space="preserve"> </v>
      </c>
      <c r="AI9" s="94" t="str">
        <f>IF(Table6220273233341718[[#This Row],[Non-Member]]="X"," ",IF(AH9=" "," ",IFERROR(VLOOKUP(AG9,Points!$A$2:$B$14,2,FALSE)," ")))</f>
        <v xml:space="preserve"> </v>
      </c>
      <c r="AJ9" s="93">
        <f>IF(Table6220273233341718[[#This Row],[Non-Member]]="X"," ",((IF(G9=" ",0,G9))+(IF(K9=" ",0,K9))+(IF(O9=" ",0,O9))+(IF(S9=" ",0,S9))+(IF(W9=" ",0,W9))+(IF(AA9=" ",0,AA9))+(IF(AE9=" ",0,AE9))+(IF(AI9=" ",0,AI9))))</f>
        <v>18</v>
      </c>
      <c r="AK9" s="95">
        <f t="shared" si="14"/>
        <v>18</v>
      </c>
      <c r="AL9" s="96">
        <f t="shared" si="15"/>
        <v>5</v>
      </c>
    </row>
    <row r="10" spans="2:38" x14ac:dyDescent="0.25">
      <c r="B10" s="90" t="s">
        <v>139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IF(Table6220273233341718[[#This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IF(Table6220273233341718[[#This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IF(Table6220273233341718[[#This Row],[Non-Member]]="X"," ",IF(N10=" "," ",IFERROR(VLOOKUP(M10,Points!$A$2:$B$14,2,FALSE)," ")))</f>
        <v xml:space="preserve"> 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IF(Table6220273233341718[[#This Row],[Non-Member]]="X"," ",IF(R10=" "," ",IFERROR(VLOOKUP(Q10,Points!$A$2:$B$14,2,FALSE)," ")))</f>
        <v xml:space="preserve"> </v>
      </c>
      <c r="T10" s="92">
        <v>4.1500000000000004</v>
      </c>
      <c r="U10" s="93">
        <f t="shared" si="8"/>
        <v>2</v>
      </c>
      <c r="V10" s="93">
        <f t="shared" si="9"/>
        <v>2</v>
      </c>
      <c r="W10" s="94">
        <f>IF(Table6220273233341718[[#This Row],[Non-Member]]="X"," ",IF(V10=" "," ",IFERROR(VLOOKUP(U10,Points!$A$2:$B$14,2,FALSE)," ")))</f>
        <v>15</v>
      </c>
      <c r="X10" s="92">
        <v>0</v>
      </c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IF(Table6220273233341718[[#This Row],[Non-Member]]="X"," ",IF(Z10=" "," ",IFERROR(VLOOKUP(Y10,Points!$A$2:$B$14,2,FALSE)," ")))</f>
        <v xml:space="preserve"> 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IF(Table6220273233341718[[#This Row],[Non-Member]]="X"," ",IF(AD10=" "," ",IFERROR(VLOOKUP(AC10,Points!$A$2:$B$14,2,FALSE)," ")))</f>
        <v xml:space="preserve"> </v>
      </c>
      <c r="AF10" s="92" t="str">
        <f t="shared" si="16"/>
        <v xml:space="preserve"> </v>
      </c>
      <c r="AG10" s="93" t="str">
        <f t="shared" si="17"/>
        <v xml:space="preserve"> </v>
      </c>
      <c r="AH10" s="93" t="str">
        <f t="shared" si="18"/>
        <v xml:space="preserve"> </v>
      </c>
      <c r="AI10" s="94" t="str">
        <f>IF(Table6220273233341718[[#This Row],[Non-Member]]="X"," ",IF(AH10=" "," ",IFERROR(VLOOKUP(AG10,Points!$A$2:$B$14,2,FALSE)," ")))</f>
        <v xml:space="preserve"> </v>
      </c>
      <c r="AJ10" s="93">
        <f>IF(Table6220273233341718[[#This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4"/>
        <v>15</v>
      </c>
      <c r="AL10" s="96">
        <f t="shared" si="15"/>
        <v>6</v>
      </c>
    </row>
    <row r="11" spans="2:38" x14ac:dyDescent="0.25">
      <c r="B11" s="90" t="s">
        <v>282</v>
      </c>
      <c r="C11" s="91" t="s">
        <v>95</v>
      </c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IF(Table6220273233341718[[#This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IF(Table6220273233341718[[#This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IF(Table6220273233341718[[#This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IF(Table6220273233341718[[#This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IF(Table6220273233341718[[#This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IF(Table6220273233341718[[#This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IF(Table6220273233341718[[#This Row],[Non-Member]]="X"," ",IF(AD11=" "," ",IFERROR(VLOOKUP(AC11,Points!$A$2:$B$14,2,FALSE)," ")))</f>
        <v xml:space="preserve"> </v>
      </c>
      <c r="AF11" s="92" t="str">
        <f t="shared" si="16"/>
        <v xml:space="preserve"> </v>
      </c>
      <c r="AG11" s="93" t="str">
        <f t="shared" si="17"/>
        <v xml:space="preserve"> </v>
      </c>
      <c r="AH11" s="93" t="str">
        <f t="shared" si="18"/>
        <v xml:space="preserve"> </v>
      </c>
      <c r="AI11" s="94" t="str">
        <f>IF(Table6220273233341718[[#This Row],[Non-Member]]="X"," ",IF(AH11=" "," ",IFERROR(VLOOKUP(AG11,Points!$A$2:$B$14,2,FALSE)," ")))</f>
        <v xml:space="preserve"> </v>
      </c>
      <c r="AJ11" s="93" t="str">
        <f>IF(Table6220273233341718[[#This Row],[Non-Member]]="X"," ",((IF(G11=" ",0,G11))+(IF(K11=" ",0,K11))+(IF(O11=" ",0,O11))+(IF(S11=" ",0,S11))+(IF(W11=" ",0,W11))+(IF(AA11=" ",0,AA11))+(IF(AE11=" ",0,AE11))+(IF(AI11=" ",0,AI11))))</f>
        <v xml:space="preserve"> </v>
      </c>
      <c r="AK11" s="95" t="str">
        <f t="shared" si="14"/>
        <v xml:space="preserve"> </v>
      </c>
      <c r="AL11" s="96" t="str">
        <f t="shared" si="15"/>
        <v xml:space="preserve"> </v>
      </c>
    </row>
    <row r="12" spans="2:38" x14ac:dyDescent="0.25">
      <c r="B12" s="90" t="s">
        <v>132</v>
      </c>
      <c r="C12" s="91"/>
      <c r="D12" s="92">
        <v>0</v>
      </c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IF(Table6220273233341718[[#This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IF(Table6220273233341718[[#This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IF(Table6220273233341718[[#This Row],[Non-Member]]="X"," ",IF(N12=" "," ",IFERROR(VLOOKUP(M12,Points!$A$2:$B$14,2,FALSE)," ")))</f>
        <v xml:space="preserve"> </v>
      </c>
      <c r="P12" s="92">
        <v>0</v>
      </c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IF(Table6220273233341718[[#This Row],[Non-Member]]="X"," ",IF(R12=" "," ",IFERROR(VLOOKUP(Q12,Points!$A$2:$B$14,2,FALSE)," ")))</f>
        <v xml:space="preserve"> </v>
      </c>
      <c r="T12" s="92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IF(Table6220273233341718[[#This Row],[Non-Member]]="X"," ",IF(V12=" "," ",IFERROR(VLOOKUP(U12,Points!$A$2:$B$14,2,FALSE)," ")))</f>
        <v xml:space="preserve"> </v>
      </c>
      <c r="X12" s="92">
        <v>0</v>
      </c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IF(Table6220273233341718[[#This Row],[Non-Member]]="X"," ",IF(Z12=" "," ",IFERROR(VLOOKUP(Y12,Points!$A$2:$B$14,2,FALSE)," ")))</f>
        <v xml:space="preserve"> 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IF(Table6220273233341718[[#This Row],[Non-Member]]="X"," ",IF(AD12=" "," ",IFERROR(VLOOKUP(AC12,Points!$A$2:$B$14,2,FALSE)," ")))</f>
        <v xml:space="preserve"> </v>
      </c>
      <c r="AF12" s="92" t="str">
        <f t="shared" si="16"/>
        <v xml:space="preserve"> </v>
      </c>
      <c r="AG12" s="93" t="str">
        <f t="shared" si="17"/>
        <v xml:space="preserve"> </v>
      </c>
      <c r="AH12" s="93" t="str">
        <f t="shared" si="18"/>
        <v xml:space="preserve"> </v>
      </c>
      <c r="AI12" s="94" t="str">
        <f>IF(Table6220273233341718[[#This Row],[Non-Member]]="X"," ",IF(AH12=" "," ",IFERROR(VLOOKUP(AG12,Points!$A$2:$B$14,2,FALSE)," ")))</f>
        <v xml:space="preserve"> </v>
      </c>
      <c r="AJ12" s="93">
        <f>IF(Table6220273233341718[[#This Row],[Non-Member]]="X"," ",((IF(G12=" ",0,G12))+(IF(K12=" ",0,K12))+(IF(O12=" ",0,O12))+(IF(S12=" ",0,S12))+(IF(W12=" ",0,W12))+(IF(AA12=" ",0,AA12))+(IF(AE12=" ",0,AE12))+(IF(AI12=" ",0,AI12))))</f>
        <v>0</v>
      </c>
      <c r="AK12" s="95" t="str">
        <f t="shared" si="14"/>
        <v xml:space="preserve"> </v>
      </c>
      <c r="AL12" s="96" t="str">
        <f t="shared" si="15"/>
        <v xml:space="preserve"> </v>
      </c>
    </row>
    <row r="13" spans="2:38" x14ac:dyDescent="0.25">
      <c r="B13" s="90" t="s">
        <v>130</v>
      </c>
      <c r="C13" s="91"/>
      <c r="D13" s="92">
        <v>0</v>
      </c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IF(Table6220273233341718[[#This Row],[Non-Member]]="X"," ",IF(F13=" "," ",IFERROR(VLOOKUP(E13,Points!$A$2:$B$14,2,FALSE)," ")))</f>
        <v xml:space="preserve"> </v>
      </c>
      <c r="H13" s="92">
        <v>0</v>
      </c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IF(Table6220273233341718[[#This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IF(Table6220273233341718[[#This Row],[Non-Member]]="X"," ",IF(N13=" "," ",IFERROR(VLOOKUP(M13,Points!$A$2:$B$14,2,FALSE)," ")))</f>
        <v xml:space="preserve"> </v>
      </c>
      <c r="P13" s="92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IF(Table6220273233341718[[#This Row],[Non-Member]]="X"," ",IF(R13=" "," ",IFERROR(VLOOKUP(Q13,Points!$A$2:$B$14,2,FALSE)," ")))</f>
        <v xml:space="preserve"> </v>
      </c>
      <c r="T13" s="92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IF(Table6220273233341718[[#This Row],[Non-Member]]="X"," ",IF(V13=" "," ",IFERROR(VLOOKUP(U13,Points!$A$2:$B$14,2,FALSE)," ")))</f>
        <v xml:space="preserve"> </v>
      </c>
      <c r="X13" s="92">
        <v>0</v>
      </c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IF(Table6220273233341718[[#This Row],[Non-Member]]="X"," ",IF(Z13=" "," ",IFERROR(VLOOKUP(Y13,Points!$A$2:$B$14,2,FALSE)," ")))</f>
        <v xml:space="preserve"> </v>
      </c>
      <c r="AB13" s="92">
        <v>0</v>
      </c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IF(Table6220273233341718[[#This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IF(Table6220273233341718[[#This Row],[Non-Member]]="X"," ",IF(AH13=" "," ",IFERROR(VLOOKUP(AG13,Points!$A$2:$B$14,2,FALSE)," ")))</f>
        <v xml:space="preserve"> </v>
      </c>
      <c r="AJ13" s="93">
        <f>IF(Table6220273233341718[[#This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4"/>
        <v xml:space="preserve"> </v>
      </c>
      <c r="AL13" s="96" t="str">
        <f t="shared" si="15"/>
        <v xml:space="preserve"> </v>
      </c>
    </row>
    <row r="14" spans="2:38" x14ac:dyDescent="0.25">
      <c r="B14" s="90" t="s">
        <v>247</v>
      </c>
      <c r="C14" s="91" t="s">
        <v>95</v>
      </c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IF(Table6220273233341718[[#This Row],[Non-Member]]="X"," ",IF(F14=" "," ",IFERROR(VLOOKUP(E14,Points!$A$2:$B$14,2,FALSE)," ")))</f>
        <v xml:space="preserve"> </v>
      </c>
      <c r="H14" s="92">
        <v>5.99</v>
      </c>
      <c r="I14" s="93">
        <f t="shared" si="2"/>
        <v>2</v>
      </c>
      <c r="J14" s="93">
        <f t="shared" si="3"/>
        <v>2</v>
      </c>
      <c r="K14" s="94" t="str">
        <f>IF(Table6220273233341718[[#This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IF(Table6220273233341718[[#This Row],[Non-Member]]="X"," ",IF(N14=" "," ",IFERROR(VLOOKUP(M14,Points!$A$2:$B$14,2,FALSE)," ")))</f>
        <v xml:space="preserve"> 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IF(Table6220273233341718[[#This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IF(Table6220273233341718[[#This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IF(Table6220273233341718[[#This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IF(Table6220273233341718[[#This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IF(Table6220273233341718[[#This Row],[Non-Member]]="X"," ",IF(AH14=" "," ",IFERROR(VLOOKUP(AG14,Points!$A$2:$B$14,2,FALSE)," ")))</f>
        <v xml:space="preserve"> </v>
      </c>
      <c r="AJ14" s="93" t="str">
        <f>IF(Table6220273233341718[[#This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25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IF(Table6220273233341718[[#This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IF(Table6220273233341718[[#This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IF(Table6220273233341718[[#This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IF(Table6220273233341718[[#This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IF(Table6220273233341718[[#This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IF(Table6220273233341718[[#This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IF(Table6220273233341718[[#This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3" t="str">
        <f t="shared" si="17"/>
        <v xml:space="preserve"> </v>
      </c>
      <c r="AH15" s="93" t="str">
        <f t="shared" si="18"/>
        <v xml:space="preserve"> </v>
      </c>
      <c r="AI15" s="94" t="str">
        <f>IF(Table6220273233341718[[#This Row],[Non-Member]]="X"," ",IF(AH15=" "," ",IFERROR(VLOOKUP(AG15,Points!$A$2:$B$14,2,FALSE)," ")))</f>
        <v xml:space="preserve"> </v>
      </c>
      <c r="AJ15" s="93">
        <f>IF(Table6220273233341718[[#This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25">
      <c r="B16" s="90"/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IF(Table6220273233341718[[#This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IF(Table6220273233341718[[#This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IF(Table6220273233341718[[#This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IF(Table6220273233341718[[#This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IF(Table6220273233341718[[#This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IF(Table6220273233341718[[#This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IF(Table6220273233341718[[#This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7" t="str">
        <f t="shared" si="17"/>
        <v xml:space="preserve"> </v>
      </c>
      <c r="AH16" s="97" t="str">
        <f t="shared" si="18"/>
        <v xml:space="preserve"> </v>
      </c>
      <c r="AI16" s="94" t="str">
        <f>IF(Table6220273233341718[[#This Row],[Non-Member]]="X"," ",IF(AH16=" "," ",IFERROR(VLOOKUP(AG16,Points!$A$2:$B$14,2,FALSE)," ")))</f>
        <v xml:space="preserve"> </v>
      </c>
      <c r="AJ16" s="97">
        <f>IF(Table6220273233341718[[#This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8" t="str">
        <f t="shared" si="15"/>
        <v xml:space="preserve"> </v>
      </c>
    </row>
    <row r="17" spans="2:38" x14ac:dyDescent="0.25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IF(Table6220273233341718[[#This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IF(Table6220273233341718[[#This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IF(Table6220273233341718[[#This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IF(Table6220273233341718[[#This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IF(Table6220273233341718[[#This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IF(Table6220273233341718[[#This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IF(Table6220273233341718[[#This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7" t="str">
        <f t="shared" si="17"/>
        <v xml:space="preserve"> </v>
      </c>
      <c r="AH17" s="97" t="str">
        <f t="shared" si="18"/>
        <v xml:space="preserve"> </v>
      </c>
      <c r="AI17" s="94" t="str">
        <f>IF(Table6220273233341718[[#This Row],[Non-Member]]="X"," ",IF(AH17=" "," ",IFERROR(VLOOKUP(AG17,Points!$A$2:$B$14,2,FALSE)," ")))</f>
        <v xml:space="preserve"> </v>
      </c>
      <c r="AJ17" s="97">
        <f>IF(Table6220273233341718[[#This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IF(Table6220273233341718[[#This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IF(Table6220273233341718[[#This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IF(Table6220273233341718[[#This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IF(Table6220273233341718[[#This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IF(Table6220273233341718[[#This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IF(Table6220273233341718[[#This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IF(Table6220273233341718[[#This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7" t="str">
        <f t="shared" si="17"/>
        <v xml:space="preserve"> </v>
      </c>
      <c r="AH18" s="97" t="str">
        <f t="shared" si="18"/>
        <v xml:space="preserve"> </v>
      </c>
      <c r="AI18" s="94" t="str">
        <f>IF(Table6220273233341718[[#This Row],[Non-Member]]="X"," ",IF(AH18=" "," ",IFERROR(VLOOKUP(AG18,Points!$A$2:$B$14,2,FALSE)," ")))</f>
        <v xml:space="preserve"> </v>
      </c>
      <c r="AJ18" s="97">
        <f>IF(Table6220273233341718[[#This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IF(Table6220273233341718[[#This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IF(Table6220273233341718[[#This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IF(Table6220273233341718[[#This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IF(Table6220273233341718[[#This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IF(Table6220273233341718[[#This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IF(Table6220273233341718[[#This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IF(Table6220273233341718[[#This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IF(Table6220273233341718[[#This Row],[Non-Member]]="X"," ",IF(AH19=" "," ",IFERROR(VLOOKUP(AG19,Points!$A$2:$B$14,2,FALSE)," ")))</f>
        <v xml:space="preserve"> </v>
      </c>
      <c r="AJ19" s="93">
        <f>IF(Table6220273233341718[[#This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IF(Table6220273233341718[[#This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IF(Table6220273233341718[[#This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IF(Table6220273233341718[[#This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IF(Table6220273233341718[[#This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IF(Table6220273233341718[[#This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IF(Table6220273233341718[[#This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IF(Table6220273233341718[[#This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IF(Table6220273233341718[[#This Row],[Non-Member]]="X"," ",IF(AH20=" "," ",IFERROR(VLOOKUP(AG20,Points!$A$2:$B$14,2,FALSE)," ")))</f>
        <v xml:space="preserve"> </v>
      </c>
      <c r="AJ20" s="93">
        <f>IF(Table6220273233341718[[#This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IF(Table6220273233341718[[#This Row],[Non-Member]]="X"," ",IF(AH21=" "," ",IFERROR(VLOOKUP(AG21,Points!$A$2:$B$14,2,FALSE)," ")))</f>
        <v xml:space="preserve"> </v>
      </c>
      <c r="AJ21" s="93">
        <f>IF(Table6220273233341718[[#This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IF(Table6220273233341718[[#This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IF(Table6220273233341718[[#This Row],[Non-Member]]="X"," ",IF(AH22=" "," ",IFERROR(VLOOKUP(AG22,Points!$A$2:$B$14,2,FALSE)," ")))</f>
        <v xml:space="preserve"> </v>
      </c>
      <c r="AJ22" s="93">
        <f>IF(Table6220273233341718[[#This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IF(Table6220273233341718[[#This Row],[Non-Member]]="X"," ",IF(AH23=" "," ",IFERROR(VLOOKUP(AG23,Points!$A$2:$B$14,2,FALSE)," ")))</f>
        <v xml:space="preserve"> </v>
      </c>
      <c r="AJ23" s="93">
        <f>IF(Table6220273233341718[[#This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IF(Table6220273233341718[[#This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IF(Table6220273233341718[[#This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IF(Table6220273233341718[[#This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IF(Table6220273233341718[[#This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IF(Table6220273233341718[[#This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IF(Table6220273233341718[[#This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IF(Table6220273233341718[[#This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IF(Table6220273233341718[[#This Row],[Non-Member]]="X"," ",IF(AH24=" "," ",IFERROR(VLOOKUP(AG24,Points!$A$2:$B$14,2,FALSE)," ")))</f>
        <v xml:space="preserve"> </v>
      </c>
      <c r="AJ24" s="93">
        <f>IF(Table6220273233341718[[#This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ewHnN6H3mJ9hq9cs33And7W9w0s/vOXpeU2bm0r1aorlZ9Kzxzi8RVv/aSJIVxhTZHXn00YxOBNTP99iDTlz0Q==" saltValue="Drd3icSU7qPdIfg4JvsnF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ignoredErrors>
    <ignoredError sqref="AF5:AH8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2F11C-FCB8-424C-B5F7-031186F3C462}">
  <sheetPr codeName="Sheet81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F34" sqref="F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122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164</v>
      </c>
      <c r="C5" s="84"/>
      <c r="D5" s="85">
        <v>0</v>
      </c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IF(Table6220273233373839234349[[#This Row],[Non-Member]]="X"," ",IF(F5=" "," ",IFERROR(VLOOKUP(E5,Points!$A$2:$B$14,2,FALSE)," ")))</f>
        <v xml:space="preserve"> </v>
      </c>
      <c r="H5" s="85">
        <v>8.81</v>
      </c>
      <c r="I5" s="86">
        <f t="shared" ref="I5:I24" si="2">IF(H5=0," ",_xlfn.RANK.AVG(H5,H$5:H$24,1)-COUNTIF(H$5:H$24,0))</f>
        <v>2</v>
      </c>
      <c r="J5" s="86">
        <f t="shared" ref="J5:J24" si="3">IF(H5=0," ",IF((RANK(H5,H$5:H$24,1)-COUNTIF(H$5:H$24,0)&gt;6)," ",RANK(H5,H$5:H$24,1)-COUNTIF(H$5:H$24,0)))</f>
        <v>2</v>
      </c>
      <c r="K5" s="87">
        <f>IF(Table6220273233373839234349[[#This Row],[Non-Member]]="X"," ",IF(J5=" "," ",IFERROR(VLOOKUP(I5,Points!$A$2:$B$14,2,FALSE)," ")))</f>
        <v>15</v>
      </c>
      <c r="L5" s="85">
        <v>8.8699999999999992</v>
      </c>
      <c r="M5" s="86">
        <f t="shared" ref="M5:M24" si="4">IF(L5=0," ",_xlfn.RANK.AVG(L5,L$5:L$24,1)-COUNTIF(L$5:L$24,0))</f>
        <v>3</v>
      </c>
      <c r="N5" s="86">
        <f t="shared" ref="N5:N24" si="5">IF(L5=0," ",IF((RANK(L5,L$5:L$24,1)-COUNTIF(L$5:L$24,0)&gt;6)," ",RANK(L5,L$5:L$24,1)-COUNTIF(L$5:L$24,0)))</f>
        <v>3</v>
      </c>
      <c r="O5" s="87">
        <f>IF(Table6220273233373839234349[[#This Row],[Non-Member]]="X"," ",IF(N5=" "," ",IFERROR(VLOOKUP(M5,Points!$A$2:$B$14,2,FALSE)," ")))</f>
        <v>12</v>
      </c>
      <c r="P5" s="85">
        <v>7.8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IF(Table6220273233373839234349[[#This Row],[Non-Member]]="X"," ",IF(R5=" "," ",IFERROR(VLOOKUP(Q5,Points!$A$2:$B$14,2,FALSE)," ")))</f>
        <v>18</v>
      </c>
      <c r="T5" s="85">
        <v>9.5299999999999994</v>
      </c>
      <c r="U5" s="86">
        <f t="shared" ref="U5:U24" si="8">IF(T5=0," ",_xlfn.RANK.AVG(T5,T$5:T$24,1)-COUNTIF(T$5:T$24,0))</f>
        <v>1</v>
      </c>
      <c r="V5" s="86">
        <f t="shared" ref="V5:V24" si="9">IF(T5=0," ",IF((RANK(T5,T$5:T$24,1)-COUNTIF(T$5:T$24,0)&gt;6)," ",RANK(T5,T$5:T$24,1)-COUNTIF(T$5:T$24,0)))</f>
        <v>1</v>
      </c>
      <c r="W5" s="87">
        <f>IF(Table6220273233373839234349[[#This Row],[Non-Member]]="X"," ",IF(V5=" "," ",IFERROR(VLOOKUP(U5,Points!$A$2:$B$14,2,FALSE)," ")))</f>
        <v>18</v>
      </c>
      <c r="X5" s="85">
        <v>9.18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IF(Table6220273233373839234349[[#This Row],[Non-Member]]="X"," ",IF(Z5=" "," ",IFERROR(VLOOKUP(Y5,Points!$A$2:$B$14,2,FALSE)," ")))</f>
        <v>18</v>
      </c>
      <c r="AB5" s="85">
        <v>7.87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IF(Table6220273233373839234349[[#This Row],[Non-Member]]="X"," ",IF(AD5=" "," ",IFERROR(VLOOKUP(AC5,Points!$A$2:$B$14,2,FALSE)," ")))</f>
        <v>18</v>
      </c>
      <c r="AF5" s="85">
        <f t="shared" ref="AF5:AF24" si="14">IF(OR(X5=0,AB5=0)," ",X5+AB5)</f>
        <v>17.05</v>
      </c>
      <c r="AG5" s="86">
        <f t="shared" ref="AG5:AG24" si="15">IF(OR(AF5=0,AF5=" ")," ",_xlfn.RANK.AVG(AF5,AF$5:AF$24,1)-COUNTIF(AF$5:AF$24,0))</f>
        <v>1</v>
      </c>
      <c r="AH5" s="86">
        <f t="shared" ref="AH5:AH24" si="16">IF(OR(AF5=0,AF5=" ")," ",IF((RANK(AF5,AF$5:AF$24,1)-COUNTIF(AF$5:AF$24,0)&gt;6)," ",RANK(AF5,AF$5:AF$24,1)-COUNTIF(AF$5:AF$24,0)))</f>
        <v>1</v>
      </c>
      <c r="AI5" s="87">
        <f>IF(Table6220273233373839234349[[#This Row],[Non-Member]]="X"," ",IF(AH5=" "," ",IFERROR(VLOOKUP(AG5,Points!$A$2:$B$14,2,FALSE)," ")))</f>
        <v>18</v>
      </c>
      <c r="AJ5" s="86">
        <f>IF(Table6220273233373839234349[[#This Row],[Non-Member]]="X"," ",((IF(G5=" ",0,G5))+(IF(K5=" ",0,K5))+(IF(O5=" ",0,O5))+(IF(S5=" ",0,S5))+(IF(W5=" ",0,W5))+(IF(AA5=" ",0,AA5))+(IF(AE5=" ",0,AE5))+(IF(AI5=" ",0,AI5))))</f>
        <v>117</v>
      </c>
      <c r="AK5" s="88">
        <f t="shared" ref="AK5:AK24" si="17">IF(AJ5=0," ",AJ5)</f>
        <v>117</v>
      </c>
      <c r="AL5" s="89">
        <f t="shared" ref="AL5:AL24" si="18">IF(AK5=" "," ",RANK(AK5,$AK$5:$AK$24))</f>
        <v>1</v>
      </c>
    </row>
    <row r="6" spans="2:38" x14ac:dyDescent="0.25">
      <c r="B6" s="90" t="s">
        <v>161</v>
      </c>
      <c r="C6" s="91"/>
      <c r="D6" s="92">
        <v>0</v>
      </c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IF(Table6220273233373839234349[[#This Row],[Non-Member]]="X"," ",IF(F6=" "," ",IFERROR(VLOOKUP(E6,Points!$A$2:$B$14,2,FALSE)," ")))</f>
        <v xml:space="preserve"> </v>
      </c>
      <c r="H6" s="92">
        <v>13.4</v>
      </c>
      <c r="I6" s="93">
        <f t="shared" si="2"/>
        <v>5</v>
      </c>
      <c r="J6" s="93">
        <f t="shared" si="3"/>
        <v>5</v>
      </c>
      <c r="K6" s="94">
        <f>IF(Table6220273233373839234349[[#This Row],[Non-Member]]="X"," ",IF(J6=" "," ",IFERROR(VLOOKUP(I6,Points!$A$2:$B$14,2,FALSE)," ")))</f>
        <v>6</v>
      </c>
      <c r="L6" s="92">
        <v>13</v>
      </c>
      <c r="M6" s="93">
        <f t="shared" si="4"/>
        <v>5</v>
      </c>
      <c r="N6" s="93">
        <f t="shared" si="5"/>
        <v>5</v>
      </c>
      <c r="O6" s="94">
        <f>IF(Table6220273233373839234349[[#This Row],[Non-Member]]="X"," ",IF(N6=" "," ",IFERROR(VLOOKUP(M6,Points!$A$2:$B$14,2,FALSE)," ")))</f>
        <v>6</v>
      </c>
      <c r="P6" s="92">
        <v>11.03</v>
      </c>
      <c r="Q6" s="93">
        <f t="shared" si="6"/>
        <v>5</v>
      </c>
      <c r="R6" s="93">
        <f t="shared" si="7"/>
        <v>5</v>
      </c>
      <c r="S6" s="94">
        <f>IF(Table6220273233373839234349[[#This Row],[Non-Member]]="X"," ",IF(R6=" "," ",IFERROR(VLOOKUP(Q6,Points!$A$2:$B$14,2,FALSE)," ")))</f>
        <v>6</v>
      </c>
      <c r="T6" s="92">
        <v>10.26</v>
      </c>
      <c r="U6" s="93">
        <f t="shared" si="8"/>
        <v>3</v>
      </c>
      <c r="V6" s="93">
        <f t="shared" si="9"/>
        <v>3</v>
      </c>
      <c r="W6" s="94">
        <f>IF(Table6220273233373839234349[[#This Row],[Non-Member]]="X"," ",IF(V6=" "," ",IFERROR(VLOOKUP(U6,Points!$A$2:$B$14,2,FALSE)," ")))</f>
        <v>12</v>
      </c>
      <c r="X6" s="92">
        <v>10.78</v>
      </c>
      <c r="Y6" s="93">
        <f t="shared" si="10"/>
        <v>2</v>
      </c>
      <c r="Z6" s="93">
        <f t="shared" si="11"/>
        <v>2</v>
      </c>
      <c r="AA6" s="94">
        <f>IF(Table6220273233373839234349[[#This Row],[Non-Member]]="X"," ",IF(Z6=" "," ",IFERROR(VLOOKUP(Y6,Points!$A$2:$B$14,2,FALSE)," ")))</f>
        <v>15</v>
      </c>
      <c r="AB6" s="92">
        <v>9.81</v>
      </c>
      <c r="AC6" s="93">
        <f t="shared" si="12"/>
        <v>2</v>
      </c>
      <c r="AD6" s="93">
        <f t="shared" si="13"/>
        <v>2</v>
      </c>
      <c r="AE6" s="94">
        <f>IF(Table6220273233373839234349[[#This Row],[Non-Member]]="X"," ",IF(AD6=" "," ",IFERROR(VLOOKUP(AC6,Points!$A$2:$B$14,2,FALSE)," ")))</f>
        <v>15</v>
      </c>
      <c r="AF6" s="92">
        <f t="shared" si="14"/>
        <v>20.59</v>
      </c>
      <c r="AG6" s="93">
        <f t="shared" si="15"/>
        <v>2</v>
      </c>
      <c r="AH6" s="93">
        <f t="shared" si="16"/>
        <v>2</v>
      </c>
      <c r="AI6" s="94">
        <f>IF(Table6220273233373839234349[[#This Row],[Non-Member]]="X"," ",IF(AH6=" "," ",IFERROR(VLOOKUP(AG6,Points!$A$2:$B$14,2,FALSE)," ")))</f>
        <v>15</v>
      </c>
      <c r="AJ6" s="93">
        <f>IF(Table6220273233373839234349[[#This Row],[Non-Member]]="X"," ",((IF(G6=" ",0,G6))+(IF(K6=" ",0,K6))+(IF(O6=" ",0,O6))+(IF(S6=" ",0,S6))+(IF(W6=" ",0,W6))+(IF(AA6=" ",0,AA6))+(IF(AE6=" ",0,AE6))+(IF(AI6=" ",0,AI6))))</f>
        <v>75</v>
      </c>
      <c r="AK6" s="95">
        <f t="shared" si="17"/>
        <v>75</v>
      </c>
      <c r="AL6" s="96">
        <f t="shared" si="18"/>
        <v>2</v>
      </c>
    </row>
    <row r="7" spans="2:38" x14ac:dyDescent="0.25">
      <c r="B7" s="90" t="s">
        <v>169</v>
      </c>
      <c r="C7" s="91"/>
      <c r="D7" s="92">
        <v>8.52</v>
      </c>
      <c r="E7" s="93">
        <f t="shared" si="0"/>
        <v>1</v>
      </c>
      <c r="F7" s="93">
        <f t="shared" si="1"/>
        <v>1</v>
      </c>
      <c r="G7" s="94">
        <f>IF(Table6220273233373839234349[[#This Row],[Non-Member]]="X"," ",IF(F7=" "," ",IFERROR(VLOOKUP(E7,Points!$A$2:$B$14,2,FALSE)," ")))</f>
        <v>18</v>
      </c>
      <c r="H7" s="92">
        <v>8.5</v>
      </c>
      <c r="I7" s="93">
        <f t="shared" si="2"/>
        <v>1</v>
      </c>
      <c r="J7" s="93">
        <f t="shared" si="3"/>
        <v>1</v>
      </c>
      <c r="K7" s="94">
        <f>IF(Table6220273233373839234349[[#This Row],[Non-Member]]="X"," ",IF(J7=" "," ",IFERROR(VLOOKUP(I7,Points!$A$2:$B$14,2,FALSE)," ")))</f>
        <v>18</v>
      </c>
      <c r="L7" s="92">
        <v>8.5399999999999991</v>
      </c>
      <c r="M7" s="93">
        <f t="shared" si="4"/>
        <v>2</v>
      </c>
      <c r="N7" s="93">
        <f t="shared" si="5"/>
        <v>2</v>
      </c>
      <c r="O7" s="94">
        <f>IF(Table6220273233373839234349[[#This Row],[Non-Member]]="X"," ",IF(N7=" "," ",IFERROR(VLOOKUP(M7,Points!$A$2:$B$14,2,FALSE)," ")))</f>
        <v>15</v>
      </c>
      <c r="P7" s="92">
        <v>9.67</v>
      </c>
      <c r="Q7" s="93">
        <f t="shared" si="6"/>
        <v>3</v>
      </c>
      <c r="R7" s="93">
        <f t="shared" si="7"/>
        <v>3</v>
      </c>
      <c r="S7" s="94">
        <f>IF(Table6220273233373839234349[[#This Row],[Non-Member]]="X"," ",IF(R7=" "," ",IFERROR(VLOOKUP(Q7,Points!$A$2:$B$14,2,FALSE)," ")))</f>
        <v>12</v>
      </c>
      <c r="T7" s="92">
        <v>10.41</v>
      </c>
      <c r="U7" s="93">
        <f t="shared" si="8"/>
        <v>4</v>
      </c>
      <c r="V7" s="93">
        <f t="shared" si="9"/>
        <v>4</v>
      </c>
      <c r="W7" s="94">
        <f>IF(Table6220273233373839234349[[#This Row],[Non-Member]]="X"," ",IF(V7=" "," ",IFERROR(VLOOKUP(U7,Points!$A$2:$B$14,2,FALSE)," ")))</f>
        <v>9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IF(Table6220273233373839234349[[#This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IF(Table6220273233373839234349[[#This Row],[Non-Member]]="X"," ",IF(AD7=" "," ",IFERROR(VLOOKUP(AC7,Points!$A$2:$B$14,2,FALSE)," ")))</f>
        <v xml:space="preserve"> </v>
      </c>
      <c r="AF7" s="92" t="str">
        <f t="shared" si="14"/>
        <v xml:space="preserve"> </v>
      </c>
      <c r="AG7" s="93" t="str">
        <f t="shared" si="15"/>
        <v xml:space="preserve"> </v>
      </c>
      <c r="AH7" s="93" t="str">
        <f t="shared" si="16"/>
        <v xml:space="preserve"> </v>
      </c>
      <c r="AI7" s="94" t="str">
        <f>IF(Table6220273233373839234349[[#This Row],[Non-Member]]="X"," ",IF(AH7=" "," ",IFERROR(VLOOKUP(AG7,Points!$A$2:$B$14,2,FALSE)," ")))</f>
        <v xml:space="preserve"> </v>
      </c>
      <c r="AJ7" s="93">
        <f>IF(Table6220273233373839234349[[#This Row],[Non-Member]]="X"," ",((IF(G7=" ",0,G7))+(IF(K7=" ",0,K7))+(IF(O7=" ",0,O7))+(IF(S7=" ",0,S7))+(IF(W7=" ",0,W7))+(IF(AA7=" ",0,AA7))+(IF(AE7=" ",0,AE7))+(IF(AI7=" ",0,AI7))))</f>
        <v>72</v>
      </c>
      <c r="AK7" s="95">
        <f t="shared" si="17"/>
        <v>72</v>
      </c>
      <c r="AL7" s="96">
        <f t="shared" si="18"/>
        <v>3</v>
      </c>
    </row>
    <row r="8" spans="2:38" x14ac:dyDescent="0.25">
      <c r="B8" s="90" t="s">
        <v>259</v>
      </c>
      <c r="C8" s="91"/>
      <c r="D8" s="92"/>
      <c r="E8" s="97" t="str">
        <f t="shared" si="0"/>
        <v xml:space="preserve"> </v>
      </c>
      <c r="F8" s="97" t="str">
        <f t="shared" si="1"/>
        <v xml:space="preserve"> </v>
      </c>
      <c r="G8" s="94" t="str">
        <f>IF(Table6220273233373839234349[[#This Row],[Non-Member]]="X"," ",IF(F8=" "," ",IFERROR(VLOOKUP(E8,Points!$A$2:$B$14,2,FALSE)," ")))</f>
        <v xml:space="preserve"> </v>
      </c>
      <c r="H8" s="92">
        <v>9.5</v>
      </c>
      <c r="I8" s="97">
        <f t="shared" si="2"/>
        <v>4</v>
      </c>
      <c r="J8" s="97">
        <f t="shared" si="3"/>
        <v>4</v>
      </c>
      <c r="K8" s="94">
        <f>IF(Table6220273233373839234349[[#This Row],[Non-Member]]="X"," ",IF(J8=" "," ",IFERROR(VLOOKUP(I8,Points!$A$2:$B$14,2,FALSE)," ")))</f>
        <v>9</v>
      </c>
      <c r="L8" s="92">
        <v>0</v>
      </c>
      <c r="M8" s="97" t="str">
        <f t="shared" si="4"/>
        <v xml:space="preserve"> </v>
      </c>
      <c r="N8" s="97" t="str">
        <f t="shared" si="5"/>
        <v xml:space="preserve"> </v>
      </c>
      <c r="O8" s="94" t="str">
        <f>IF(Table6220273233373839234349[[#This Row],[Non-Member]]="X"," ",IF(N8=" "," ",IFERROR(VLOOKUP(M8,Points!$A$2:$B$14,2,FALSE)," ")))</f>
        <v xml:space="preserve"> </v>
      </c>
      <c r="P8" s="92">
        <v>9.9</v>
      </c>
      <c r="Q8" s="97">
        <f t="shared" si="6"/>
        <v>4</v>
      </c>
      <c r="R8" s="97">
        <f t="shared" si="7"/>
        <v>4</v>
      </c>
      <c r="S8" s="94">
        <f>IF(Table6220273233373839234349[[#This Row],[Non-Member]]="X"," ",IF(R8=" "," ",IFERROR(VLOOKUP(Q8,Points!$A$2:$B$14,2,FALSE)," ")))</f>
        <v>9</v>
      </c>
      <c r="T8" s="92">
        <v>9.56</v>
      </c>
      <c r="U8" s="97">
        <f t="shared" si="8"/>
        <v>2</v>
      </c>
      <c r="V8" s="97">
        <f t="shared" si="9"/>
        <v>2</v>
      </c>
      <c r="W8" s="94">
        <f>IF(Table6220273233373839234349[[#This Row],[Non-Member]]="X"," ",IF(V8=" "," ",IFERROR(VLOOKUP(U8,Points!$A$2:$B$14,2,FALSE)," ")))</f>
        <v>15</v>
      </c>
      <c r="X8" s="92">
        <v>12.81</v>
      </c>
      <c r="Y8" s="97">
        <f t="shared" si="10"/>
        <v>3</v>
      </c>
      <c r="Z8" s="97">
        <f t="shared" si="11"/>
        <v>3</v>
      </c>
      <c r="AA8" s="94">
        <f>IF(Table6220273233373839234349[[#This Row],[Non-Member]]="X"," ",IF(Z8=" "," ",IFERROR(VLOOKUP(Y8,Points!$A$2:$B$14,2,FALSE)," ")))</f>
        <v>12</v>
      </c>
      <c r="AB8" s="92">
        <v>11.53</v>
      </c>
      <c r="AC8" s="97">
        <f t="shared" si="12"/>
        <v>3</v>
      </c>
      <c r="AD8" s="97">
        <f t="shared" si="13"/>
        <v>3</v>
      </c>
      <c r="AE8" s="94">
        <f>IF(Table6220273233373839234349[[#This Row],[Non-Member]]="X"," ",IF(AD8=" "," ",IFERROR(VLOOKUP(AC8,Points!$A$2:$B$14,2,FALSE)," ")))</f>
        <v>12</v>
      </c>
      <c r="AF8" s="92">
        <f t="shared" si="14"/>
        <v>24.34</v>
      </c>
      <c r="AG8" s="97">
        <f t="shared" si="15"/>
        <v>3</v>
      </c>
      <c r="AH8" s="97">
        <f t="shared" si="16"/>
        <v>3</v>
      </c>
      <c r="AI8" s="94">
        <f>IF(Table6220273233373839234349[[#This Row],[Non-Member]]="X"," ",IF(AH8=" "," ",IFERROR(VLOOKUP(AG8,Points!$A$2:$B$14,2,FALSE)," ")))</f>
        <v>12</v>
      </c>
      <c r="AJ8" s="97">
        <f>IF(Table6220273233373839234349[[#This Row],[Non-Member]]="X"," ",((IF(G8=" ",0,G8))+(IF(K8=" ",0,K8))+(IF(O8=" ",0,O8))+(IF(S8=" ",0,S8))+(IF(W8=" ",0,W8))+(IF(AA8=" ",0,AA8))+(IF(AE8=" ",0,AE8))+(IF(AI8=" ",0,AI8))))</f>
        <v>69</v>
      </c>
      <c r="AK8" s="95">
        <f t="shared" si="17"/>
        <v>69</v>
      </c>
      <c r="AL8" s="98">
        <f t="shared" si="18"/>
        <v>4</v>
      </c>
    </row>
    <row r="9" spans="2:38" x14ac:dyDescent="0.25">
      <c r="B9" s="90" t="s">
        <v>186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IF(Table6220273233373839234349[[#This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IF(Table6220273233373839234349[[#This Row],[Non-Member]]="X"," ",IF(J9=" "," ",IFERROR(VLOOKUP(I9,Points!$A$2:$B$14,2,FALSE)," ")))</f>
        <v xml:space="preserve"> </v>
      </c>
      <c r="L9" s="92">
        <v>29.49</v>
      </c>
      <c r="M9" s="93">
        <f t="shared" si="4"/>
        <v>6</v>
      </c>
      <c r="N9" s="93">
        <f t="shared" si="5"/>
        <v>6</v>
      </c>
      <c r="O9" s="94">
        <f>IF(Table6220273233373839234349[[#This Row],[Non-Member]]="X"," ",IF(N9=" "," ",IFERROR(VLOOKUP(M9,Points!$A$2:$B$14,2,FALSE)," ")))</f>
        <v>3</v>
      </c>
      <c r="P9" s="92">
        <v>12.31</v>
      </c>
      <c r="Q9" s="93">
        <f t="shared" si="6"/>
        <v>6</v>
      </c>
      <c r="R9" s="93">
        <f t="shared" si="7"/>
        <v>6</v>
      </c>
      <c r="S9" s="94">
        <f>IF(Table6220273233373839234349[[#This Row],[Non-Member]]="X"," ",IF(R9=" "," ",IFERROR(VLOOKUP(Q9,Points!$A$2:$B$14,2,FALSE)," ")))</f>
        <v>3</v>
      </c>
      <c r="T9" s="92">
        <v>13.5</v>
      </c>
      <c r="U9" s="93">
        <f t="shared" si="8"/>
        <v>5</v>
      </c>
      <c r="V9" s="93">
        <f t="shared" si="9"/>
        <v>5</v>
      </c>
      <c r="W9" s="94">
        <f>IF(Table6220273233373839234349[[#This Row],[Non-Member]]="X"," ",IF(V9=" "," ",IFERROR(VLOOKUP(U9,Points!$A$2:$B$14,2,FALSE)," ")))</f>
        <v>6</v>
      </c>
      <c r="X9" s="92">
        <v>21.06</v>
      </c>
      <c r="Y9" s="93">
        <f t="shared" si="10"/>
        <v>4</v>
      </c>
      <c r="Z9" s="93">
        <f t="shared" si="11"/>
        <v>4</v>
      </c>
      <c r="AA9" s="94">
        <f>IF(Table6220273233373839234349[[#This Row],[Non-Member]]="X"," ",IF(Z9=" "," ",IFERROR(VLOOKUP(Y9,Points!$A$2:$B$14,2,FALSE)," ")))</f>
        <v>9</v>
      </c>
      <c r="AB9" s="92">
        <v>12.03</v>
      </c>
      <c r="AC9" s="93">
        <f t="shared" si="12"/>
        <v>4</v>
      </c>
      <c r="AD9" s="93">
        <f t="shared" si="13"/>
        <v>4</v>
      </c>
      <c r="AE9" s="94">
        <f>IF(Table6220273233373839234349[[#This Row],[Non-Member]]="X"," ",IF(AD9=" "," ",IFERROR(VLOOKUP(AC9,Points!$A$2:$B$14,2,FALSE)," ")))</f>
        <v>9</v>
      </c>
      <c r="AF9" s="92">
        <f t="shared" si="14"/>
        <v>33.089999999999996</v>
      </c>
      <c r="AG9" s="93">
        <f t="shared" si="15"/>
        <v>4</v>
      </c>
      <c r="AH9" s="93">
        <f t="shared" si="16"/>
        <v>4</v>
      </c>
      <c r="AI9" s="94">
        <f>IF(Table6220273233373839234349[[#This Row],[Non-Member]]="X"," ",IF(AH9=" "," ",IFERROR(VLOOKUP(AG9,Points!$A$2:$B$14,2,FALSE)," ")))</f>
        <v>9</v>
      </c>
      <c r="AJ9" s="93">
        <f>IF(Table6220273233373839234349[[#This Row],[Non-Member]]="X"," ",((IF(G9=" ",0,G9))+(IF(K9=" ",0,K9))+(IF(O9=" ",0,O9))+(IF(S9=" ",0,S9))+(IF(W9=" ",0,W9))+(IF(AA9=" ",0,AA9))+(IF(AE9=" ",0,AE9))+(IF(AI9=" ",0,AI9))))</f>
        <v>39</v>
      </c>
      <c r="AK9" s="95">
        <f t="shared" si="17"/>
        <v>39</v>
      </c>
      <c r="AL9" s="96">
        <f t="shared" si="18"/>
        <v>5</v>
      </c>
    </row>
    <row r="10" spans="2:38" x14ac:dyDescent="0.25">
      <c r="B10" s="90" t="s">
        <v>168</v>
      </c>
      <c r="C10" s="91"/>
      <c r="D10" s="92">
        <v>11.13</v>
      </c>
      <c r="E10" s="97">
        <f t="shared" si="0"/>
        <v>2</v>
      </c>
      <c r="F10" s="97">
        <f t="shared" si="1"/>
        <v>2</v>
      </c>
      <c r="G10" s="94">
        <f>IF(Table6220273233373839234349[[#This Row],[Non-Member]]="X"," ",IF(F10=" "," ",IFERROR(VLOOKUP(E10,Points!$A$2:$B$14,2,FALSE)," ")))</f>
        <v>15</v>
      </c>
      <c r="H10" s="92">
        <v>9.31</v>
      </c>
      <c r="I10" s="97">
        <f t="shared" si="2"/>
        <v>3</v>
      </c>
      <c r="J10" s="97">
        <f t="shared" si="3"/>
        <v>3</v>
      </c>
      <c r="K10" s="94">
        <f>IF(Table6220273233373839234349[[#This Row],[Non-Member]]="X"," ",IF(J10=" "," ",IFERROR(VLOOKUP(I10,Points!$A$2:$B$14,2,FALSE)," ")))</f>
        <v>12</v>
      </c>
      <c r="L10" s="92">
        <v>12.32</v>
      </c>
      <c r="M10" s="97">
        <f t="shared" si="4"/>
        <v>4</v>
      </c>
      <c r="N10" s="97">
        <f t="shared" si="5"/>
        <v>4</v>
      </c>
      <c r="O10" s="94">
        <f>IF(Table6220273233373839234349[[#This Row],[Non-Member]]="X"," ",IF(N10=" "," ",IFERROR(VLOOKUP(M10,Points!$A$2:$B$14,2,FALSE)," ")))</f>
        <v>9</v>
      </c>
      <c r="P10" s="138">
        <v>0</v>
      </c>
      <c r="Q10" s="97" t="str">
        <f t="shared" si="6"/>
        <v xml:space="preserve"> </v>
      </c>
      <c r="R10" s="97" t="str">
        <f t="shared" si="7"/>
        <v xml:space="preserve"> </v>
      </c>
      <c r="S10" s="94" t="str">
        <f>IF(Table6220273233373839234349[[#This Row],[Non-Member]]="X"," ",IF(R10=" "," ",IFERROR(VLOOKUP(Q10,Points!$A$2:$B$14,2,FALSE)," ")))</f>
        <v xml:space="preserve"> </v>
      </c>
      <c r="T10" s="92"/>
      <c r="U10" s="97" t="str">
        <f t="shared" si="8"/>
        <v xml:space="preserve"> </v>
      </c>
      <c r="V10" s="97" t="str">
        <f t="shared" si="9"/>
        <v xml:space="preserve"> </v>
      </c>
      <c r="W10" s="94" t="str">
        <f>IF(Table6220273233373839234349[[#This Row],[Non-Member]]="X"," ",IF(V10=" "," ",IFERROR(VLOOKUP(U10,Points!$A$2:$B$14,2,FALSE)," ")))</f>
        <v xml:space="preserve"> 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 t="str">
        <f>IF(Table6220273233373839234349[[#This Row],[Non-Member]]="X"," ",IF(Z10=" "," ",IFERROR(VLOOKUP(Y10,Points!$A$2:$B$14,2,FALSE)," ")))</f>
        <v xml:space="preserve"> </v>
      </c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IF(Table6220273233373839234349[[#This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7" t="str">
        <f t="shared" si="15"/>
        <v xml:space="preserve"> </v>
      </c>
      <c r="AH10" s="97" t="str">
        <f t="shared" si="16"/>
        <v xml:space="preserve"> </v>
      </c>
      <c r="AI10" s="94" t="str">
        <f>IF(Table6220273233373839234349[[#This Row],[Non-Member]]="X"," ",IF(AH10=" "," ",IFERROR(VLOOKUP(AG10,Points!$A$2:$B$14,2,FALSE)," ")))</f>
        <v xml:space="preserve"> </v>
      </c>
      <c r="AJ10" s="97">
        <f>IF(Table6220273233373839234349[[#This Row],[Non-Member]]="X"," ",((IF(G10=" ",0,G10))+(IF(K10=" ",0,K10))+(IF(O10=" ",0,O10))+(IF(S10=" ",0,S10))+(IF(W10=" ",0,W10))+(IF(AA10=" ",0,AA10))+(IF(AE10=" ",0,AE10))+(IF(AI10=" ",0,AI10))))</f>
        <v>36</v>
      </c>
      <c r="AK10" s="95">
        <f t="shared" si="17"/>
        <v>36</v>
      </c>
      <c r="AL10" s="98">
        <f t="shared" si="18"/>
        <v>6</v>
      </c>
    </row>
    <row r="11" spans="2:38" x14ac:dyDescent="0.25">
      <c r="B11" s="90" t="s">
        <v>264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IF(Table6220273233373839234349[[#This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IF(Table6220273233373839234349[[#This Row],[Non-Member]]="X"," ",IF(J11=" "," ",IFERROR(VLOOKUP(I11,Points!$A$2:$B$14,2,FALSE)," ")))</f>
        <v xml:space="preserve"> </v>
      </c>
      <c r="L11" s="92">
        <v>8.19</v>
      </c>
      <c r="M11" s="93">
        <f t="shared" si="4"/>
        <v>1</v>
      </c>
      <c r="N11" s="93">
        <f t="shared" si="5"/>
        <v>1</v>
      </c>
      <c r="O11" s="94">
        <f>IF(Table6220273233373839234349[[#This Row],[Non-Member]]="X"," ",IF(N11=" "," ",IFERROR(VLOOKUP(M11,Points!$A$2:$B$14,2,FALSE)," ")))</f>
        <v>18</v>
      </c>
      <c r="P11" s="92">
        <v>8.99</v>
      </c>
      <c r="Q11" s="93">
        <f t="shared" si="6"/>
        <v>2</v>
      </c>
      <c r="R11" s="93">
        <f t="shared" si="7"/>
        <v>2</v>
      </c>
      <c r="S11" s="94">
        <f>IF(Table6220273233373839234349[[#This Row],[Non-Member]]="X"," ",IF(R11=" "," ",IFERROR(VLOOKUP(Q11,Points!$A$2:$B$14,2,FALSE)," ")))</f>
        <v>15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IF(Table6220273233373839234349[[#This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IF(Table6220273233373839234349[[#This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IF(Table6220273233373839234349[[#This Row],[Non-Member]]="X"," ",IF(AD11=" "," ",IFERROR(VLOOKUP(AC11,Points!$A$2:$B$14,2,FALSE)," ")))</f>
        <v xml:space="preserve"> </v>
      </c>
      <c r="AF11" s="92" t="str">
        <f t="shared" si="14"/>
        <v xml:space="preserve"> </v>
      </c>
      <c r="AG11" s="93" t="str">
        <f t="shared" si="15"/>
        <v xml:space="preserve"> </v>
      </c>
      <c r="AH11" s="93" t="str">
        <f t="shared" si="16"/>
        <v xml:space="preserve"> </v>
      </c>
      <c r="AI11" s="94" t="str">
        <f>IF(Table6220273233373839234349[[#This Row],[Non-Member]]="X"," ",IF(AH11=" "," ",IFERROR(VLOOKUP(AG11,Points!$A$2:$B$14,2,FALSE)," ")))</f>
        <v xml:space="preserve"> </v>
      </c>
      <c r="AJ11" s="93">
        <f>IF(Table6220273233373839234349[[#This Row],[Non-Member]]="X"," ",((IF(G11=" ",0,G11))+(IF(K11=" ",0,K11))+(IF(O11=" ",0,O11))+(IF(S11=" ",0,S11))+(IF(W11=" ",0,W11))+(IF(AA11=" ",0,AA11))+(IF(AE11=" ",0,AE11))+(IF(AI11=" ",0,AI11))))</f>
        <v>33</v>
      </c>
      <c r="AK11" s="95">
        <f t="shared" si="17"/>
        <v>33</v>
      </c>
      <c r="AL11" s="96">
        <f t="shared" si="18"/>
        <v>7</v>
      </c>
    </row>
    <row r="12" spans="2:38" x14ac:dyDescent="0.25">
      <c r="B12" s="90" t="s">
        <v>167</v>
      </c>
      <c r="C12" s="91"/>
      <c r="D12" s="92">
        <v>0</v>
      </c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IF(Table6220273233373839234349[[#This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IF(Table6220273233373839234349[[#This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IF(Table6220273233373839234349[[#This Row],[Non-Member]]="X"," ",IF(N12=" "," ",IFERROR(VLOOKUP(M12,Points!$A$2:$B$14,2,FALSE)," ")))</f>
        <v xml:space="preserve"> </v>
      </c>
      <c r="P12" s="92">
        <v>15.39</v>
      </c>
      <c r="Q12" s="93">
        <f t="shared" si="6"/>
        <v>7</v>
      </c>
      <c r="R12" s="93" t="str">
        <f t="shared" si="7"/>
        <v xml:space="preserve"> </v>
      </c>
      <c r="S12" s="94" t="str">
        <f>IF(Table6220273233373839234349[[#This Row],[Non-Member]]="X"," ",IF(R12=" "," ",IFERROR(VLOOKUP(Q12,Points!$A$2:$B$14,2,FALSE)," ")))</f>
        <v xml:space="preserve"> </v>
      </c>
      <c r="T12" s="92">
        <v>32.64</v>
      </c>
      <c r="U12" s="93">
        <f t="shared" si="8"/>
        <v>6</v>
      </c>
      <c r="V12" s="93">
        <f t="shared" si="9"/>
        <v>6</v>
      </c>
      <c r="W12" s="94">
        <f>IF(Table6220273233373839234349[[#This Row],[Non-Member]]="X"," ",IF(V12=" "," ",IFERROR(VLOOKUP(U12,Points!$A$2:$B$14,2,FALSE)," ")))</f>
        <v>3</v>
      </c>
      <c r="X12" s="92">
        <v>24.41</v>
      </c>
      <c r="Y12" s="93">
        <f t="shared" si="10"/>
        <v>5</v>
      </c>
      <c r="Z12" s="93">
        <f t="shared" si="11"/>
        <v>5</v>
      </c>
      <c r="AA12" s="94">
        <f>IF(Table6220273233373839234349[[#This Row],[Non-Member]]="X"," ",IF(Z12=" "," ",IFERROR(VLOOKUP(Y12,Points!$A$2:$B$14,2,FALSE)," ")))</f>
        <v>6</v>
      </c>
      <c r="AB12" s="92">
        <v>13.96</v>
      </c>
      <c r="AC12" s="93">
        <f t="shared" si="12"/>
        <v>5</v>
      </c>
      <c r="AD12" s="93">
        <f t="shared" si="13"/>
        <v>5</v>
      </c>
      <c r="AE12" s="94">
        <f>IF(Table6220273233373839234349[[#This Row],[Non-Member]]="X"," ",IF(AD12=" "," ",IFERROR(VLOOKUP(AC12,Points!$A$2:$B$14,2,FALSE)," ")))</f>
        <v>6</v>
      </c>
      <c r="AF12" s="92">
        <f t="shared" si="14"/>
        <v>38.370000000000005</v>
      </c>
      <c r="AG12" s="93">
        <f t="shared" si="15"/>
        <v>5</v>
      </c>
      <c r="AH12" s="93">
        <f t="shared" si="16"/>
        <v>5</v>
      </c>
      <c r="AI12" s="94">
        <f>IF(Table6220273233373839234349[[#This Row],[Non-Member]]="X"," ",IF(AH12=" "," ",IFERROR(VLOOKUP(AG12,Points!$A$2:$B$14,2,FALSE)," ")))</f>
        <v>6</v>
      </c>
      <c r="AJ12" s="93">
        <f>IF(Table6220273233373839234349[[#This Row],[Non-Member]]="X"," ",((IF(G12=" ",0,G12))+(IF(K12=" ",0,K12))+(IF(O12=" ",0,O12))+(IF(S12=" ",0,S12))+(IF(W12=" ",0,W12))+(IF(AA12=" ",0,AA12))+(IF(AE12=" ",0,AE12))+(IF(AI12=" ",0,AI12))))</f>
        <v>21</v>
      </c>
      <c r="AK12" s="95">
        <f t="shared" si="17"/>
        <v>21</v>
      </c>
      <c r="AL12" s="96">
        <f t="shared" si="18"/>
        <v>8</v>
      </c>
    </row>
    <row r="13" spans="2:38" x14ac:dyDescent="0.25">
      <c r="B13" s="90" t="s">
        <v>258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IF(Table6220273233373839234349[[#This Row],[Non-Member]]="X"," ",IF(F13=" "," ",IFERROR(VLOOKUP(E13,Points!$A$2:$B$14,2,FALSE)," ")))</f>
        <v xml:space="preserve"> </v>
      </c>
      <c r="H13" s="92">
        <v>21.44</v>
      </c>
      <c r="I13" s="93">
        <f t="shared" si="2"/>
        <v>6</v>
      </c>
      <c r="J13" s="93">
        <f t="shared" si="3"/>
        <v>6</v>
      </c>
      <c r="K13" s="94">
        <f>IF(Table6220273233373839234349[[#This Row],[Non-Member]]="X"," ",IF(J13=" "," ",IFERROR(VLOOKUP(I13,Points!$A$2:$B$14,2,FALSE)," ")))</f>
        <v>3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IF(Table6220273233373839234349[[#This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IF(Table6220273233373839234349[[#This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IF(Table6220273233373839234349[[#This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IF(Table6220273233373839234349[[#This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IF(Table6220273233373839234349[[#This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IF(Table6220273233373839234349[[#This Row],[Non-Member]]="X"," ",IF(AH13=" "," ",IFERROR(VLOOKUP(AG13,Points!$A$2:$B$14,2,FALSE)," ")))</f>
        <v xml:space="preserve"> </v>
      </c>
      <c r="AJ13" s="93">
        <f>IF(Table6220273233373839234349[[#This Row],[Non-Member]]="X"," ",((IF(G13=" ",0,G13))+(IF(K13=" ",0,K13))+(IF(O13=" ",0,O13))+(IF(S13=" ",0,S13))+(IF(W13=" ",0,W13))+(IF(AA13=" ",0,AA13))+(IF(AE13=" ",0,AE13))+(IF(AI13=" ",0,AI13))))</f>
        <v>3</v>
      </c>
      <c r="AK13" s="95">
        <f t="shared" si="17"/>
        <v>3</v>
      </c>
      <c r="AL13" s="96">
        <f t="shared" si="18"/>
        <v>9</v>
      </c>
    </row>
    <row r="14" spans="2:38" x14ac:dyDescent="0.25">
      <c r="B14" s="90" t="s">
        <v>187</v>
      </c>
      <c r="C14" s="91"/>
      <c r="D14" s="92">
        <v>0</v>
      </c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IF(Table6220273233373839234349[[#This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IF(Table6220273233373839234349[[#This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IF(Table6220273233373839234349[[#This Row],[Non-Member]]="X"," ",IF(N14=" "," ",IFERROR(VLOOKUP(M14,Points!$A$2:$B$14,2,FALSE)," ")))</f>
        <v xml:space="preserve"> </v>
      </c>
      <c r="P14" s="92">
        <v>34.85</v>
      </c>
      <c r="Q14" s="93">
        <f t="shared" si="6"/>
        <v>8</v>
      </c>
      <c r="R14" s="93" t="str">
        <f t="shared" si="7"/>
        <v xml:space="preserve"> </v>
      </c>
      <c r="S14" s="94" t="str">
        <f>IF(Table6220273233373839234349[[#This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IF(Table6220273233373839234349[[#This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IF(Table6220273233373839234349[[#This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IF(Table6220273233373839234349[[#This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IF(Table6220273233373839234349[[#This Row],[Non-Member]]="X"," ",IF(AH14=" "," ",IFERROR(VLOOKUP(AG14,Points!$A$2:$B$14,2,FALSE)," ")))</f>
        <v xml:space="preserve"> </v>
      </c>
      <c r="AJ14" s="93">
        <f>IF(Table6220273233373839234349[[#This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25">
      <c r="B15" s="90"/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IF(Table6220273233373839234349[[#This Row],[Non-Member]]="X"," ",IF(F15=" "," ",IFERROR(VLOOKUP(E15,Points!$A$2:$B$14,2,FALSE)," ")))</f>
        <v xml:space="preserve"> </v>
      </c>
      <c r="H15" s="92"/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IF(Table6220273233373839234349[[#This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IF(Table6220273233373839234349[[#This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IF(Table6220273233373839234349[[#This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IF(Table6220273233373839234349[[#This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IF(Table6220273233373839234349[[#This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IF(Table6220273233373839234349[[#This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7" t="str">
        <f t="shared" si="15"/>
        <v xml:space="preserve"> </v>
      </c>
      <c r="AH15" s="97" t="str">
        <f t="shared" si="16"/>
        <v xml:space="preserve"> </v>
      </c>
      <c r="AI15" s="94" t="str">
        <f>IF(Table6220273233373839234349[[#This Row],[Non-Member]]="X"," ",IF(AH15=" "," ",IFERROR(VLOOKUP(AG15,Points!$A$2:$B$14,2,FALSE)," ")))</f>
        <v xml:space="preserve"> </v>
      </c>
      <c r="AJ15" s="97">
        <f>IF(Table6220273233373839234349[[#This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8" t="str">
        <f t="shared" si="18"/>
        <v xml:space="preserve"> </v>
      </c>
    </row>
    <row r="16" spans="2:38" x14ac:dyDescent="0.25">
      <c r="B16" s="90"/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IF(Table6220273233373839234349[[#This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IF(Table6220273233373839234349[[#This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IF(Table6220273233373839234349[[#This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IF(Table6220273233373839234349[[#This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IF(Table6220273233373839234349[[#This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IF(Table6220273233373839234349[[#This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IF(Table6220273233373839234349[[#This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3" t="str">
        <f t="shared" si="15"/>
        <v xml:space="preserve"> </v>
      </c>
      <c r="AH16" s="93" t="str">
        <f t="shared" si="16"/>
        <v xml:space="preserve"> </v>
      </c>
      <c r="AI16" s="94" t="str">
        <f>IF(Table6220273233373839234349[[#This Row],[Non-Member]]="X"," ",IF(AH16=" "," ",IFERROR(VLOOKUP(AG16,Points!$A$2:$B$14,2,FALSE)," ")))</f>
        <v xml:space="preserve"> </v>
      </c>
      <c r="AJ16" s="93">
        <f>IF(Table6220273233373839234349[[#This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25">
      <c r="B17" s="90"/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IF(Table6220273233373839234349[[#This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IF(Table6220273233373839234349[[#This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IF(Table6220273233373839234349[[#This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IF(Table6220273233373839234349[[#This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IF(Table6220273233373839234349[[#This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IF(Table6220273233373839234349[[#This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IF(Table6220273233373839234349[[#This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IF(Table6220273233373839234349[[#This Row],[Non-Member]]="X"," ",IF(AH17=" "," ",IFERROR(VLOOKUP(AG17,Points!$A$2:$B$14,2,FALSE)," ")))</f>
        <v xml:space="preserve"> </v>
      </c>
      <c r="AJ17" s="93">
        <f>IF(Table6220273233373839234349[[#This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25">
      <c r="B18" s="90"/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IF(Table6220273233373839234349[[#This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IF(Table6220273233373839234349[[#This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IF(Table6220273233373839234349[[#This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IF(Table6220273233373839234349[[#This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IF(Table6220273233373839234349[[#This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IF(Table6220273233373839234349[[#This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IF(Table6220273233373839234349[[#This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IF(Table6220273233373839234349[[#This Row],[Non-Member]]="X"," ",IF(AH18=" "," ",IFERROR(VLOOKUP(AG18,Points!$A$2:$B$14,2,FALSE)," ")))</f>
        <v xml:space="preserve"> </v>
      </c>
      <c r="AJ18" s="93">
        <f>IF(Table6220273233373839234349[[#This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IF(Table6220273233373839234349[[#This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IF(Table6220273233373839234349[[#This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IF(Table6220273233373839234349[[#This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IF(Table6220273233373839234349[[#This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IF(Table6220273233373839234349[[#This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IF(Table6220273233373839234349[[#This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IF(Table6220273233373839234349[[#This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IF(Table6220273233373839234349[[#This Row],[Non-Member]]="X"," ",IF(AH19=" "," ",IFERROR(VLOOKUP(AG19,Points!$A$2:$B$14,2,FALSE)," ")))</f>
        <v xml:space="preserve"> </v>
      </c>
      <c r="AJ19" s="93">
        <f>IF(Table6220273233373839234349[[#This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IF(Table6220273233373839234349[[#This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IF(Table6220273233373839234349[[#This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IF(Table6220273233373839234349[[#This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IF(Table6220273233373839234349[[#This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IF(Table6220273233373839234349[[#This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IF(Table6220273233373839234349[[#This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IF(Table6220273233373839234349[[#This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IF(Table6220273233373839234349[[#This Row],[Non-Member]]="X"," ",IF(AH20=" "," ",IFERROR(VLOOKUP(AG20,Points!$A$2:$B$14,2,FALSE)," ")))</f>
        <v xml:space="preserve"> </v>
      </c>
      <c r="AJ20" s="93">
        <f>IF(Table6220273233373839234349[[#This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IF(Table6220273233373839234349[[#This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IF(Table6220273233373839234349[[#This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IF(Table6220273233373839234349[[#This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IF(Table6220273233373839234349[[#This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IF(Table6220273233373839234349[[#This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IF(Table6220273233373839234349[[#This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IF(Table6220273233373839234349[[#This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IF(Table6220273233373839234349[[#This Row],[Non-Member]]="X"," ",IF(AH21=" "," ",IFERROR(VLOOKUP(AG21,Points!$A$2:$B$14,2,FALSE)," ")))</f>
        <v xml:space="preserve"> </v>
      </c>
      <c r="AJ21" s="93">
        <f>IF(Table6220273233373839234349[[#This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IF(Table6220273233373839234349[[#This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IF(Table6220273233373839234349[[#This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IF(Table6220273233373839234349[[#This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IF(Table6220273233373839234349[[#This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IF(Table6220273233373839234349[[#This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IF(Table6220273233373839234349[[#This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IF(Table6220273233373839234349[[#This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IF(Table6220273233373839234349[[#This Row],[Non-Member]]="X"," ",IF(AH22=" "," ",IFERROR(VLOOKUP(AG22,Points!$A$2:$B$14,2,FALSE)," ")))</f>
        <v xml:space="preserve"> </v>
      </c>
      <c r="AJ22" s="93">
        <f>IF(Table6220273233373839234349[[#This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IF(Table6220273233373839234349[[#This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IF(Table6220273233373839234349[[#This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IF(Table6220273233373839234349[[#This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IF(Table6220273233373839234349[[#This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IF(Table6220273233373839234349[[#This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IF(Table6220273233373839234349[[#This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IF(Table6220273233373839234349[[#This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IF(Table6220273233373839234349[[#This Row],[Non-Member]]="X"," ",IF(AH23=" "," ",IFERROR(VLOOKUP(AG23,Points!$A$2:$B$14,2,FALSE)," ")))</f>
        <v xml:space="preserve"> </v>
      </c>
      <c r="AJ23" s="93">
        <f>IF(Table6220273233373839234349[[#This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IF(Table6220273233373839234349[[#This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IF(Table6220273233373839234349[[#This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IF(Table6220273233373839234349[[#This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IF(Table6220273233373839234349[[#This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IF(Table6220273233373839234349[[#This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IF(Table6220273233373839234349[[#This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IF(Table6220273233373839234349[[#This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IF(Table6220273233373839234349[[#This Row],[Non-Member]]="X"," ",IF(AH24=" "," ",IFERROR(VLOOKUP(AG24,Points!$A$2:$B$14,2,FALSE)," ")))</f>
        <v xml:space="preserve"> </v>
      </c>
      <c r="AJ24" s="93">
        <f>IF(Table6220273233373839234349[[#This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sI5Fh6MBtZYJNVXgxIq5I2z3KGD6zhUwIDfoqVWa7VpcRXLYBcwfdN5GFL3uIUhz/3DDkyB2DFE9SBd0Ov8JKg==" saltValue="W6aeoZkdaWnTNNAuqFYVJ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8B1B-5C21-4E18-B0D1-B7ADA181EDD8}">
  <sheetPr codeName="Sheet60">
    <tabColor theme="5" tint="0.39997558519241921"/>
  </sheetPr>
  <dimension ref="B1:AL29"/>
  <sheetViews>
    <sheetView showGridLines="0" zoomScaleNormal="100" workbookViewId="0">
      <pane xSplit="2" topLeftCell="C1" activePane="topRight" state="frozen"/>
      <selection activeCell="J34" sqref="J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106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131</v>
      </c>
      <c r="C5" s="84"/>
      <c r="D5" s="85">
        <v>2.46</v>
      </c>
      <c r="E5" s="86">
        <f t="shared" ref="E5:E24" si="0">IF(D5=0," ",_xlfn.RANK.AVG(D5,D$5:D$24,1)-COUNTIF(D$5:D$24,0))</f>
        <v>2</v>
      </c>
      <c r="F5" s="86">
        <f t="shared" ref="F5:F24" si="1">IF(D5=0," ",IF((RANK(D5,D$5:D$24,1)-COUNTIF(D$5:D$24,0)&gt;6)," ",RANK(D5,D$5:D$24,1)-COUNTIF(D$5:D$24,0)))</f>
        <v>2</v>
      </c>
      <c r="G5" s="87">
        <f>IF(Table622027323334171819[[#This Row],[Non-Member]]="X"," ",IF(F5=" "," ",IFERROR(VLOOKUP(E5,Points!$A$2:$B$14,2,FALSE)," ")))</f>
        <v>15</v>
      </c>
      <c r="H5" s="85">
        <v>1.97</v>
      </c>
      <c r="I5" s="86">
        <f t="shared" ref="I5:I24" si="2">IF(H5=0," ",_xlfn.RANK.AVG(H5,H$5:H$24,1)-COUNTIF(H$5:H$24,0))</f>
        <v>3</v>
      </c>
      <c r="J5" s="86">
        <f t="shared" ref="J5:J24" si="3">IF(H5=0," ",IF((RANK(H5,H$5:H$24,1)-COUNTIF(H$5:H$24,0)&gt;6)," ",RANK(H5,H$5:H$24,1)-COUNTIF(H$5:H$24,0)))</f>
        <v>3</v>
      </c>
      <c r="K5" s="87">
        <f>IF(Table622027323334171819[[#This Row],[Non-Member]]="X"," ",IF(J5=" "," ",IFERROR(VLOOKUP(I5,Points!$A$2:$B$14,2,FALSE)," ")))</f>
        <v>12</v>
      </c>
      <c r="L5" s="85">
        <v>2.2999999999999998</v>
      </c>
      <c r="M5" s="86">
        <f t="shared" ref="M5:M24" si="4">IF(L5=0," ",_xlfn.RANK.AVG(L5,L$5:L$24,1)-COUNTIF(L$5:L$24,0))</f>
        <v>3</v>
      </c>
      <c r="N5" s="86">
        <f t="shared" ref="N5:N24" si="5">IF(L5=0," ",IF((RANK(L5,L$5:L$24,1)-COUNTIF(L$5:L$24,0)&gt;6)," ",RANK(L5,L$5:L$24,1)-COUNTIF(L$5:L$24,0)))</f>
        <v>3</v>
      </c>
      <c r="O5" s="87">
        <f>IF(Table622027323334171819[[#This Row],[Non-Member]]="X"," ",IF(N5=" "," ",IFERROR(VLOOKUP(M5,Points!$A$2:$B$14,2,FALSE)," ")))</f>
        <v>12</v>
      </c>
      <c r="P5" s="85">
        <v>1.95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IF(Table622027323334171819[[#This Row],[Non-Member]]="X"," ",IF(R5=" "," ",IFERROR(VLOOKUP(Q5,Points!$A$2:$B$14,2,FALSE)," ")))</f>
        <v>15</v>
      </c>
      <c r="T5" s="85">
        <v>2.0699999999999998</v>
      </c>
      <c r="U5" s="86">
        <f t="shared" ref="U5:U24" si="8">IF(T5=0," ",_xlfn.RANK.AVG(T5,T$5:T$24,1)-COUNTIF(T$5:T$24,0))</f>
        <v>3</v>
      </c>
      <c r="V5" s="86">
        <f t="shared" ref="V5:V24" si="9">IF(T5=0," ",IF((RANK(T5,T$5:T$24,1)-COUNTIF(T$5:T$24,0)&gt;6)," ",RANK(T5,T$5:T$24,1)-COUNTIF(T$5:T$24,0)))</f>
        <v>3</v>
      </c>
      <c r="W5" s="87">
        <f>IF(Table622027323334171819[[#This Row],[Non-Member]]="X"," ",IF(V5=" "," ",IFERROR(VLOOKUP(U5,Points!$A$2:$B$14,2,FALSE)," ")))</f>
        <v>12</v>
      </c>
      <c r="X5" s="85">
        <v>2.7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IF(Table622027323334171819[[#This Row],[Non-Member]]="X"," ",IF(Z5=" "," ",IFERROR(VLOOKUP(Y5,Points!$A$2:$B$14,2,FALSE)," ")))</f>
        <v>18</v>
      </c>
      <c r="AB5" s="85">
        <v>2.5499999999999998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IF(Table622027323334171819[[#This Row],[Non-Member]]="X"," ",IF(AD5=" "," ",IFERROR(VLOOKUP(AC5,Points!$A$2:$B$14,2,FALSE)," ")))</f>
        <v>18</v>
      </c>
      <c r="AF5" s="85">
        <f>IF(OR(X5=0,AB5=0)," ",X5+AB5)</f>
        <v>5.25</v>
      </c>
      <c r="AG5" s="86">
        <f>IF(OR(AF5=0,AF5=" ")," ",_xlfn.RANK.AVG(AF5,AF$5:AF$24,1)-COUNTIF(AF$5:AF$24,0))</f>
        <v>1</v>
      </c>
      <c r="AH5" s="86">
        <f>IF(OR(AF5=0,AF5=" ")," ",IF((RANK(AF5,AF$5:AF$24,1)-COUNTIF(AF$5:AF$24,0)&gt;6)," ",RANK(AF5,AF$5:AF$24,1)-COUNTIF(AF$5:AF$24,0)))</f>
        <v>1</v>
      </c>
      <c r="AI5" s="87">
        <f>IF(Table622027323334171819[[#This Row],[Non-Member]]="X"," ",IF(AH5=" "," ",IFERROR(VLOOKUP(AG5,Points!$A$2:$B$14,2,FALSE)," ")))</f>
        <v>18</v>
      </c>
      <c r="AJ5" s="86">
        <f>IF(Table622027323334171819[[#This Row],[Non-Member]]="X"," ",((IF(G5=" ",0,G5))+(IF(K5=" ",0,K5))+(IF(O5=" ",0,O5))+(IF(S5=" ",0,S5))+(IF(W5=" ",0,W5))+(IF(AA5=" ",0,AA5))+(IF(AE5=" ",0,AE5))+(IF(AI5=" ",0,AI5))))</f>
        <v>120</v>
      </c>
      <c r="AK5" s="88">
        <f t="shared" ref="AK5:AK24" si="14">IF(AJ5=0," ",AJ5)</f>
        <v>120</v>
      </c>
      <c r="AL5" s="89">
        <f t="shared" ref="AL5:AL24" si="15">IF(AK5=" "," ",RANK(AK5,$AK$5:$AK$24))</f>
        <v>1</v>
      </c>
    </row>
    <row r="6" spans="2:38" x14ac:dyDescent="0.25">
      <c r="B6" s="90" t="s">
        <v>68</v>
      </c>
      <c r="C6" s="91"/>
      <c r="D6" s="92">
        <v>2.14</v>
      </c>
      <c r="E6" s="93">
        <f t="shared" si="0"/>
        <v>1</v>
      </c>
      <c r="F6" s="93">
        <f t="shared" si="1"/>
        <v>1</v>
      </c>
      <c r="G6" s="94">
        <f>IF(Table622027323334171819[[#This Row],[Non-Member]]="X"," ",IF(F6=" "," ",IFERROR(VLOOKUP(E6,Points!$A$2:$B$14,2,FALSE)," ")))</f>
        <v>18</v>
      </c>
      <c r="H6" s="92">
        <v>2</v>
      </c>
      <c r="I6" s="93">
        <f t="shared" si="2"/>
        <v>4</v>
      </c>
      <c r="J6" s="93">
        <f t="shared" si="3"/>
        <v>4</v>
      </c>
      <c r="K6" s="94">
        <f>IF(Table622027323334171819[[#This Row],[Non-Member]]="X"," ",IF(J6=" "," ",IFERROR(VLOOKUP(I6,Points!$A$2:$B$14,2,FALSE)," ")))</f>
        <v>9</v>
      </c>
      <c r="L6" s="92">
        <v>1.47</v>
      </c>
      <c r="M6" s="93">
        <f t="shared" si="4"/>
        <v>1</v>
      </c>
      <c r="N6" s="93">
        <f t="shared" si="5"/>
        <v>1</v>
      </c>
      <c r="O6" s="94">
        <f>IF(Table622027323334171819[[#This Row],[Non-Member]]="X"," ",IF(N6=" "," ",IFERROR(VLOOKUP(M6,Points!$A$2:$B$14,2,FALSE)," ")))</f>
        <v>18</v>
      </c>
      <c r="P6" s="92">
        <v>2.5</v>
      </c>
      <c r="Q6" s="93">
        <f t="shared" si="6"/>
        <v>5</v>
      </c>
      <c r="R6" s="93">
        <f t="shared" si="7"/>
        <v>5</v>
      </c>
      <c r="S6" s="94">
        <f>IF(Table622027323334171819[[#This Row],[Non-Member]]="X"," ",IF(R6=" "," ",IFERROR(VLOOKUP(Q6,Points!$A$2:$B$14,2,FALSE)," ")))</f>
        <v>6</v>
      </c>
      <c r="T6" s="92">
        <v>1.47</v>
      </c>
      <c r="U6" s="93">
        <f t="shared" si="8"/>
        <v>1</v>
      </c>
      <c r="V6" s="93">
        <f t="shared" si="9"/>
        <v>1</v>
      </c>
      <c r="W6" s="94">
        <f>IF(Table622027323334171819[[#This Row],[Non-Member]]="X"," ",IF(V6=" "," ",IFERROR(VLOOKUP(U6,Points!$A$2:$B$14,2,FALSE)," ")))</f>
        <v>18</v>
      </c>
      <c r="X6" s="92">
        <v>11.45</v>
      </c>
      <c r="Y6" s="93">
        <f t="shared" si="10"/>
        <v>5</v>
      </c>
      <c r="Z6" s="93">
        <f t="shared" si="11"/>
        <v>5</v>
      </c>
      <c r="AA6" s="94">
        <f>IF(Table622027323334171819[[#This Row],[Non-Member]]="X"," ",IF(Z6=" "," ",IFERROR(VLOOKUP(Y6,Points!$A$2:$B$14,2,FALSE)," ")))</f>
        <v>6</v>
      </c>
      <c r="AB6" s="92">
        <v>2.78</v>
      </c>
      <c r="AC6" s="93">
        <f t="shared" si="12"/>
        <v>2</v>
      </c>
      <c r="AD6" s="93">
        <f t="shared" si="13"/>
        <v>2</v>
      </c>
      <c r="AE6" s="94">
        <f>IF(Table622027323334171819[[#This Row],[Non-Member]]="X"," ",IF(AD6=" "," ",IFERROR(VLOOKUP(AC6,Points!$A$2:$B$14,2,FALSE)," ")))</f>
        <v>15</v>
      </c>
      <c r="AF6" s="92">
        <f>IF(OR(X6=0,AB6=0)," ",X6+AB6)</f>
        <v>14.229999999999999</v>
      </c>
      <c r="AG6" s="93">
        <f>IF(OR(AF6=0,AF6=" ")," ",_xlfn.RANK.AVG(AF6,AF$5:AF$24,1)-COUNTIF(AF$5:AF$24,0))</f>
        <v>3</v>
      </c>
      <c r="AH6" s="93">
        <f>IF(OR(AF6=0,AF6=" ")," ",IF((RANK(AF6,AF$5:AF$24,1)-COUNTIF(AF$5:AF$24,0)&gt;6)," ",RANK(AF6,AF$5:AF$24,1)-COUNTIF(AF$5:AF$24,0)))</f>
        <v>3</v>
      </c>
      <c r="AI6" s="94">
        <f>IF(Table622027323334171819[[#This Row],[Non-Member]]="X"," ",IF(AH6=" "," ",IFERROR(VLOOKUP(AG6,Points!$A$2:$B$14,2,FALSE)," ")))</f>
        <v>12</v>
      </c>
      <c r="AJ6" s="93">
        <f>IF(Table622027323334171819[[#This Row],[Non-Member]]="X"," ",((IF(G6=" ",0,G6))+(IF(K6=" ",0,K6))+(IF(O6=" ",0,O6))+(IF(S6=" ",0,S6))+(IF(W6=" ",0,W6))+(IF(AA6=" ",0,AA6))+(IF(AE6=" ",0,AE6))+(IF(AI6=" ",0,AI6))))</f>
        <v>102</v>
      </c>
      <c r="AK6" s="95">
        <f t="shared" si="14"/>
        <v>102</v>
      </c>
      <c r="AL6" s="96">
        <f t="shared" si="15"/>
        <v>2</v>
      </c>
    </row>
    <row r="7" spans="2:38" x14ac:dyDescent="0.25">
      <c r="B7" s="90" t="s">
        <v>71</v>
      </c>
      <c r="C7" s="91"/>
      <c r="D7" s="92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IF(Table622027323334171819[[#This Row],[Non-Member]]="X"," ",IF(F7=" "," ",IFERROR(VLOOKUP(E7,Points!$A$2:$B$14,2,FALSE)," ")))</f>
        <v xml:space="preserve"> </v>
      </c>
      <c r="H7" s="92">
        <v>1.83</v>
      </c>
      <c r="I7" s="93">
        <f t="shared" si="2"/>
        <v>2</v>
      </c>
      <c r="J7" s="93">
        <f t="shared" si="3"/>
        <v>2</v>
      </c>
      <c r="K7" s="94">
        <f>IF(Table622027323334171819[[#This Row],[Non-Member]]="X"," ",IF(J7=" "," ",IFERROR(VLOOKUP(I7,Points!$A$2:$B$14,2,FALSE)," ")))</f>
        <v>15</v>
      </c>
      <c r="L7" s="92">
        <v>1.73</v>
      </c>
      <c r="M7" s="93">
        <f t="shared" si="4"/>
        <v>2</v>
      </c>
      <c r="N7" s="93">
        <f t="shared" si="5"/>
        <v>2</v>
      </c>
      <c r="O7" s="94">
        <f>IF(Table622027323334171819[[#This Row],[Non-Member]]="X"," ",IF(N7=" "," ",IFERROR(VLOOKUP(M7,Points!$A$2:$B$14,2,FALSE)," ")))</f>
        <v>15</v>
      </c>
      <c r="P7" s="92">
        <v>2.31</v>
      </c>
      <c r="Q7" s="93">
        <f t="shared" si="6"/>
        <v>4</v>
      </c>
      <c r="R7" s="93">
        <f t="shared" si="7"/>
        <v>4</v>
      </c>
      <c r="S7" s="94">
        <f>IF(Table622027323334171819[[#This Row],[Non-Member]]="X"," ",IF(R7=" "," ",IFERROR(VLOOKUP(Q7,Points!$A$2:$B$14,2,FALSE)," ")))</f>
        <v>9</v>
      </c>
      <c r="T7" s="92">
        <v>10.75</v>
      </c>
      <c r="U7" s="93">
        <f t="shared" si="8"/>
        <v>7</v>
      </c>
      <c r="V7" s="93" t="str">
        <f t="shared" si="9"/>
        <v xml:space="preserve"> </v>
      </c>
      <c r="W7" s="94" t="str">
        <f>IF(Table622027323334171819[[#This Row],[Non-Member]]="X"," ",IF(V7=" "," ",IFERROR(VLOOKUP(U7,Points!$A$2:$B$14,2,FALSE)," ")))</f>
        <v xml:space="preserve"> </v>
      </c>
      <c r="X7" s="92">
        <v>0</v>
      </c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IF(Table622027323334171819[[#This Row],[Non-Member]]="X"," ",IF(Z7=" "," ",IFERROR(VLOOKUP(Y7,Points!$A$2:$B$14,2,FALSE)," ")))</f>
        <v xml:space="preserve"> </v>
      </c>
      <c r="AB7" s="92">
        <v>2.97</v>
      </c>
      <c r="AC7" s="93">
        <f t="shared" si="12"/>
        <v>3</v>
      </c>
      <c r="AD7" s="93">
        <f t="shared" si="13"/>
        <v>3</v>
      </c>
      <c r="AE7" s="94">
        <f>IF(Table622027323334171819[[#This Row],[Non-Member]]="X"," ",IF(AD7=" "," ",IFERROR(VLOOKUP(AC7,Points!$A$2:$B$14,2,FALSE)," ")))</f>
        <v>12</v>
      </c>
      <c r="AF7" s="163" t="s">
        <v>292</v>
      </c>
      <c r="AG7" s="93">
        <v>6</v>
      </c>
      <c r="AH7" s="93">
        <v>6</v>
      </c>
      <c r="AI7" s="94">
        <f>IF(Table622027323334171819[[#This Row],[Non-Member]]="X"," ",IF(AH7=" "," ",IFERROR(VLOOKUP(AG7,Points!$A$2:$B$14,2,FALSE)," ")))</f>
        <v>3</v>
      </c>
      <c r="AJ7" s="93">
        <f>IF(Table622027323334171819[[#This Row],[Non-Member]]="X"," ",((IF(G7=" ",0,G7))+(IF(K7=" ",0,K7))+(IF(O7=" ",0,O7))+(IF(S7=" ",0,S7))+(IF(W7=" ",0,W7))+(IF(AA7=" ",0,AA7))+(IF(AE7=" ",0,AE7))+(IF(AI7=" ",0,AI7))))</f>
        <v>54</v>
      </c>
      <c r="AK7" s="95">
        <f t="shared" si="14"/>
        <v>54</v>
      </c>
      <c r="AL7" s="96">
        <f t="shared" si="15"/>
        <v>3</v>
      </c>
    </row>
    <row r="8" spans="2:38" x14ac:dyDescent="0.25">
      <c r="B8" s="90" t="s">
        <v>132</v>
      </c>
      <c r="C8" s="91"/>
      <c r="D8" s="92">
        <v>3.15</v>
      </c>
      <c r="E8" s="93">
        <f t="shared" si="0"/>
        <v>3</v>
      </c>
      <c r="F8" s="93">
        <f t="shared" si="1"/>
        <v>3</v>
      </c>
      <c r="G8" s="94">
        <f>IF(Table622027323334171819[[#This Row],[Non-Member]]="X"," ",IF(F8=" "," ",IFERROR(VLOOKUP(E8,Points!$A$2:$B$14,2,FALSE)," ")))</f>
        <v>12</v>
      </c>
      <c r="H8" s="92">
        <v>14.65</v>
      </c>
      <c r="I8" s="93">
        <f t="shared" si="2"/>
        <v>8</v>
      </c>
      <c r="J8" s="93" t="str">
        <f t="shared" si="3"/>
        <v xml:space="preserve"> </v>
      </c>
      <c r="K8" s="94" t="str">
        <f>IF(Table622027323334171819[[#This Row],[Non-Member]]="X"," ",IF(J8=" "," ",IFERROR(VLOOKUP(I8,Points!$A$2:$B$14,2,FALSE)," ")))</f>
        <v xml:space="preserve"> </v>
      </c>
      <c r="L8" s="92">
        <v>11.91</v>
      </c>
      <c r="M8" s="93">
        <f t="shared" si="4"/>
        <v>6</v>
      </c>
      <c r="N8" s="93">
        <f t="shared" si="5"/>
        <v>6</v>
      </c>
      <c r="O8" s="94">
        <f>IF(Table622027323334171819[[#This Row],[Non-Member]]="X"," ",IF(N8=" "," ",IFERROR(VLOOKUP(M8,Points!$A$2:$B$14,2,FALSE)," ")))</f>
        <v>3</v>
      </c>
      <c r="P8" s="92">
        <v>2.75</v>
      </c>
      <c r="Q8" s="93">
        <f t="shared" si="6"/>
        <v>6</v>
      </c>
      <c r="R8" s="93">
        <f t="shared" si="7"/>
        <v>6</v>
      </c>
      <c r="S8" s="94">
        <f>IF(Table622027323334171819[[#This Row],[Non-Member]]="X"," ",IF(R8=" "," ",IFERROR(VLOOKUP(Q8,Points!$A$2:$B$14,2,FALSE)," ")))</f>
        <v>3</v>
      </c>
      <c r="T8" s="92">
        <v>12.2</v>
      </c>
      <c r="U8" s="93">
        <f t="shared" si="8"/>
        <v>8</v>
      </c>
      <c r="V8" s="93" t="str">
        <f t="shared" si="9"/>
        <v xml:space="preserve"> </v>
      </c>
      <c r="W8" s="94" t="str">
        <f>IF(Table622027323334171819[[#This Row],[Non-Member]]="X"," ",IF(V8=" "," ",IFERROR(VLOOKUP(U8,Points!$A$2:$B$14,2,FALSE)," ")))</f>
        <v xml:space="preserve"> </v>
      </c>
      <c r="X8" s="92">
        <v>3.07</v>
      </c>
      <c r="Y8" s="93">
        <f t="shared" si="10"/>
        <v>2</v>
      </c>
      <c r="Z8" s="93">
        <f t="shared" si="11"/>
        <v>2</v>
      </c>
      <c r="AA8" s="94">
        <f>IF(Table622027323334171819[[#This Row],[Non-Member]]="X"," ",IF(Z8=" "," ",IFERROR(VLOOKUP(Y8,Points!$A$2:$B$14,2,FALSE)," ")))</f>
        <v>15</v>
      </c>
      <c r="AB8" s="92">
        <v>3.56</v>
      </c>
      <c r="AC8" s="93">
        <f t="shared" si="12"/>
        <v>5</v>
      </c>
      <c r="AD8" s="93">
        <f t="shared" si="13"/>
        <v>5</v>
      </c>
      <c r="AE8" s="94">
        <f>IF(Table622027323334171819[[#This Row],[Non-Member]]="X"," ",IF(AD8=" "," ",IFERROR(VLOOKUP(AC8,Points!$A$2:$B$14,2,FALSE)," ")))</f>
        <v>6</v>
      </c>
      <c r="AF8" s="92">
        <f t="shared" ref="AF8:AF24" si="16">IF(OR(X8=0,AB8=0)," ",X8+AB8)</f>
        <v>6.63</v>
      </c>
      <c r="AG8" s="93">
        <f t="shared" ref="AG8:AG24" si="17">IF(OR(AF8=0,AF8=" ")," ",_xlfn.RANK.AVG(AF8,AF$5:AF$24,1)-COUNTIF(AF$5:AF$24,0))</f>
        <v>2</v>
      </c>
      <c r="AH8" s="93">
        <f t="shared" ref="AH8:AH24" si="18">IF(OR(AF8=0,AF8=" ")," ",IF((RANK(AF8,AF$5:AF$24,1)-COUNTIF(AF$5:AF$24,0)&gt;6)," ",RANK(AF8,AF$5:AF$24,1)-COUNTIF(AF$5:AF$24,0)))</f>
        <v>2</v>
      </c>
      <c r="AI8" s="94">
        <f>IF(Table622027323334171819[[#This Row],[Non-Member]]="X"," ",IF(AH8=" "," ",IFERROR(VLOOKUP(AG8,Points!$A$2:$B$14,2,FALSE)," ")))</f>
        <v>15</v>
      </c>
      <c r="AJ8" s="93">
        <f>IF(Table622027323334171819[[#This Row],[Non-Member]]="X"," ",((IF(G8=" ",0,G8))+(IF(K8=" ",0,K8))+(IF(O8=" ",0,O8))+(IF(S8=" ",0,S8))+(IF(W8=" ",0,W8))+(IF(AA8=" ",0,AA8))+(IF(AE8=" ",0,AE8))+(IF(AI8=" ",0,AI8))))</f>
        <v>54</v>
      </c>
      <c r="AK8" s="95">
        <f t="shared" si="14"/>
        <v>54</v>
      </c>
      <c r="AL8" s="96">
        <f t="shared" si="15"/>
        <v>3</v>
      </c>
    </row>
    <row r="9" spans="2:38" x14ac:dyDescent="0.25">
      <c r="B9" s="90" t="s">
        <v>139</v>
      </c>
      <c r="C9" s="91"/>
      <c r="D9" s="92">
        <v>4.33</v>
      </c>
      <c r="E9" s="93">
        <f t="shared" si="0"/>
        <v>4</v>
      </c>
      <c r="F9" s="93">
        <f t="shared" si="1"/>
        <v>4</v>
      </c>
      <c r="G9" s="94">
        <f>IF(Table622027323334171819[[#This Row],[Non-Member]]="X"," ",IF(F9=" "," ",IFERROR(VLOOKUP(E9,Points!$A$2:$B$14,2,FALSE)," ")))</f>
        <v>9</v>
      </c>
      <c r="H9" s="92">
        <v>1.7</v>
      </c>
      <c r="I9" s="93">
        <f t="shared" si="2"/>
        <v>1</v>
      </c>
      <c r="J9" s="93">
        <f t="shared" si="3"/>
        <v>1</v>
      </c>
      <c r="K9" s="94">
        <f>IF(Table622027323334171819[[#This Row],[Non-Member]]="X"," ",IF(J9=" "," ",IFERROR(VLOOKUP(I9,Points!$A$2:$B$14,2,FALSE)," ")))</f>
        <v>18</v>
      </c>
      <c r="L9" s="92">
        <v>11.63</v>
      </c>
      <c r="M9" s="93">
        <f t="shared" si="4"/>
        <v>5</v>
      </c>
      <c r="N9" s="93">
        <f t="shared" si="5"/>
        <v>5</v>
      </c>
      <c r="O9" s="94">
        <f>IF(Table622027323334171819[[#This Row],[Non-Member]]="X"," ",IF(N9=" "," ",IFERROR(VLOOKUP(M9,Points!$A$2:$B$14,2,FALSE)," ")))</f>
        <v>6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IF(Table622027323334171819[[#This Row],[Non-Member]]="X"," ",IF(R9=" "," ",IFERROR(VLOOKUP(Q9,Points!$A$2:$B$14,2,FALSE)," ")))</f>
        <v xml:space="preserve"> </v>
      </c>
      <c r="T9" s="92">
        <v>1.59</v>
      </c>
      <c r="U9" s="93">
        <f t="shared" si="8"/>
        <v>2</v>
      </c>
      <c r="V9" s="93">
        <f t="shared" si="9"/>
        <v>2</v>
      </c>
      <c r="W9" s="94">
        <f>IF(Table622027323334171819[[#This Row],[Non-Member]]="X"," ",IF(V9=" "," ",IFERROR(VLOOKUP(U9,Points!$A$2:$B$14,2,FALSE)," ")))</f>
        <v>15</v>
      </c>
      <c r="X9" s="92">
        <v>0</v>
      </c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IF(Table622027323334171819[[#This Row],[Non-Member]]="X"," ",IF(Z9=" "," ",IFERROR(VLOOKUP(Y9,Points!$A$2:$B$14,2,FALSE)," ")))</f>
        <v xml:space="preserve"> </v>
      </c>
      <c r="AB9" s="92">
        <v>0</v>
      </c>
      <c r="AC9" s="93" t="str">
        <f t="shared" si="12"/>
        <v xml:space="preserve"> </v>
      </c>
      <c r="AD9" s="93" t="str">
        <f t="shared" si="13"/>
        <v xml:space="preserve"> </v>
      </c>
      <c r="AE9" s="94" t="str">
        <f>IF(Table622027323334171819[[#This Row],[Non-Member]]="X"," ",IF(AD9=" "," ",IFERROR(VLOOKUP(AC9,Points!$A$2:$B$14,2,FALSE)," ")))</f>
        <v xml:space="preserve"> </v>
      </c>
      <c r="AF9" s="92" t="str">
        <f t="shared" si="16"/>
        <v xml:space="preserve"> </v>
      </c>
      <c r="AG9" s="93" t="str">
        <f t="shared" si="17"/>
        <v xml:space="preserve"> </v>
      </c>
      <c r="AH9" s="93" t="str">
        <f t="shared" si="18"/>
        <v xml:space="preserve"> </v>
      </c>
      <c r="AI9" s="94" t="str">
        <f>IF(Table622027323334171819[[#This Row],[Non-Member]]="X"," ",IF(AH9=" "," ",IFERROR(VLOOKUP(AG9,Points!$A$2:$B$14,2,FALSE)," ")))</f>
        <v xml:space="preserve"> </v>
      </c>
      <c r="AJ9" s="93">
        <f>IF(Table622027323334171819[[#This Row],[Non-Member]]="X"," ",((IF(G9=" ",0,G9))+(IF(K9=" ",0,K9))+(IF(O9=" ",0,O9))+(IF(S9=" ",0,S9))+(IF(W9=" ",0,W9))+(IF(AA9=" ",0,AA9))+(IF(AE9=" ",0,AE9))+(IF(AI9=" ",0,AI9))))</f>
        <v>48</v>
      </c>
      <c r="AK9" s="95">
        <f t="shared" si="14"/>
        <v>48</v>
      </c>
      <c r="AL9" s="96">
        <f t="shared" si="15"/>
        <v>5</v>
      </c>
    </row>
    <row r="10" spans="2:38" x14ac:dyDescent="0.25">
      <c r="B10" s="90" t="s">
        <v>218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IF(Table622027323334171819[[#This Row],[Non-Member]]="X"," ",IF(F10=" "," ",IFERROR(VLOOKUP(E10,Points!$A$2:$B$14,2,FALSE)," ")))</f>
        <v xml:space="preserve"> </v>
      </c>
      <c r="H10" s="92">
        <v>6.56</v>
      </c>
      <c r="I10" s="93">
        <f t="shared" si="2"/>
        <v>6</v>
      </c>
      <c r="J10" s="93">
        <f t="shared" si="3"/>
        <v>6</v>
      </c>
      <c r="K10" s="94">
        <f>IF(Table622027323334171819[[#This Row],[Non-Member]]="X"," ",IF(J10=" "," ",IFERROR(VLOOKUP(I10,Points!$A$2:$B$14,2,FALSE)," ")))</f>
        <v>3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IF(Table622027323334171819[[#This Row],[Non-Member]]="X"," ",IF(N10=" "," ",IFERROR(VLOOKUP(M10,Points!$A$2:$B$14,2,FALSE)," ")))</f>
        <v xml:space="preserve"> </v>
      </c>
      <c r="P10" s="92">
        <v>4.1900000000000004</v>
      </c>
      <c r="Q10" s="93">
        <f t="shared" si="6"/>
        <v>7</v>
      </c>
      <c r="R10" s="93" t="str">
        <f t="shared" si="7"/>
        <v xml:space="preserve"> </v>
      </c>
      <c r="S10" s="94" t="str">
        <f>IF(Table622027323334171819[[#This Row],[Non-Member]]="X"," ",IF(R10=" "," ",IFERROR(VLOOKUP(Q10,Points!$A$2:$B$14,2,FALSE)," ")))</f>
        <v xml:space="preserve"> </v>
      </c>
      <c r="T10" s="92">
        <v>4.09</v>
      </c>
      <c r="U10" s="93">
        <f t="shared" si="8"/>
        <v>4</v>
      </c>
      <c r="V10" s="93">
        <f t="shared" si="9"/>
        <v>4</v>
      </c>
      <c r="W10" s="94">
        <f>IF(Table622027323334171819[[#This Row],[Non-Member]]="X"," ",IF(V10=" "," ",IFERROR(VLOOKUP(U10,Points!$A$2:$B$14,2,FALSE)," ")))</f>
        <v>9</v>
      </c>
      <c r="X10" s="92">
        <v>6.67</v>
      </c>
      <c r="Y10" s="93">
        <f t="shared" si="10"/>
        <v>4</v>
      </c>
      <c r="Z10" s="93">
        <f t="shared" si="11"/>
        <v>4</v>
      </c>
      <c r="AA10" s="94">
        <f>IF(Table622027323334171819[[#This Row],[Non-Member]]="X"," ",IF(Z10=" "," ",IFERROR(VLOOKUP(Y10,Points!$A$2:$B$14,2,FALSE)," ")))</f>
        <v>9</v>
      </c>
      <c r="AB10" s="92">
        <v>12.97</v>
      </c>
      <c r="AC10" s="93">
        <f t="shared" si="12"/>
        <v>6</v>
      </c>
      <c r="AD10" s="93">
        <f t="shared" si="13"/>
        <v>6</v>
      </c>
      <c r="AE10" s="94">
        <f>IF(Table622027323334171819[[#This Row],[Non-Member]]="X"," ",IF(AD10=" "," ",IFERROR(VLOOKUP(AC10,Points!$A$2:$B$14,2,FALSE)," ")))</f>
        <v>3</v>
      </c>
      <c r="AF10" s="92">
        <f t="shared" si="16"/>
        <v>19.64</v>
      </c>
      <c r="AG10" s="93">
        <f t="shared" si="17"/>
        <v>5</v>
      </c>
      <c r="AH10" s="93">
        <f t="shared" si="18"/>
        <v>5</v>
      </c>
      <c r="AI10" s="94">
        <f>IF(Table622027323334171819[[#This Row],[Non-Member]]="X"," ",IF(AH10=" "," ",IFERROR(VLOOKUP(AG10,Points!$A$2:$B$14,2,FALSE)," ")))</f>
        <v>6</v>
      </c>
      <c r="AJ10" s="93">
        <f>IF(Table622027323334171819[[#This Row],[Non-Member]]="X"," ",((IF(G10=" ",0,G10))+(IF(K10=" ",0,K10))+(IF(O10=" ",0,O10))+(IF(S10=" ",0,S10))+(IF(W10=" ",0,W10))+(IF(AA10=" ",0,AA10))+(IF(AE10=" ",0,AE10))+(IF(AI10=" ",0,AI10))))</f>
        <v>30</v>
      </c>
      <c r="AK10" s="95">
        <f t="shared" si="14"/>
        <v>30</v>
      </c>
      <c r="AL10" s="96">
        <f t="shared" si="15"/>
        <v>6</v>
      </c>
    </row>
    <row r="11" spans="2:38" x14ac:dyDescent="0.25">
      <c r="B11" s="90" t="s">
        <v>220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IF(Table622027323334171819[[#This Row],[Non-Member]]="X"," ",IF(F11=" "," ",IFERROR(VLOOKUP(E11,Points!$A$2:$B$14,2,FALSE)," ")))</f>
        <v xml:space="preserve"> </v>
      </c>
      <c r="H11" s="92">
        <v>13.17</v>
      </c>
      <c r="I11" s="93">
        <f t="shared" si="2"/>
        <v>7</v>
      </c>
      <c r="J11" s="93" t="str">
        <f t="shared" si="3"/>
        <v xml:space="preserve"> </v>
      </c>
      <c r="K11" s="94" t="str">
        <f>IF(Table622027323334171819[[#This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IF(Table622027323334171819[[#This Row],[Non-Member]]="X"," ",IF(N11=" "," ",IFERROR(VLOOKUP(M11,Points!$A$2:$B$14,2,FALSE)," ")))</f>
        <v xml:space="preserve"> </v>
      </c>
      <c r="P11" s="92">
        <v>4.6900000000000004</v>
      </c>
      <c r="Q11" s="93">
        <f t="shared" si="6"/>
        <v>8</v>
      </c>
      <c r="R11" s="93" t="str">
        <f t="shared" si="7"/>
        <v xml:space="preserve"> </v>
      </c>
      <c r="S11" s="94" t="str">
        <f>IF(Table622027323334171819[[#This Row],[Non-Member]]="X"," ",IF(R11=" "," ",IFERROR(VLOOKUP(Q11,Points!$A$2:$B$14,2,FALSE)," ")))</f>
        <v xml:space="preserve"> </v>
      </c>
      <c r="T11" s="92">
        <v>7.98</v>
      </c>
      <c r="U11" s="93">
        <f t="shared" si="8"/>
        <v>6</v>
      </c>
      <c r="V11" s="93">
        <f t="shared" si="9"/>
        <v>6</v>
      </c>
      <c r="W11" s="94">
        <f>IF(Table622027323334171819[[#This Row],[Non-Member]]="X"," ",IF(V11=" "," ",IFERROR(VLOOKUP(U11,Points!$A$2:$B$14,2,FALSE)," ")))</f>
        <v>3</v>
      </c>
      <c r="X11" s="92">
        <v>14.14</v>
      </c>
      <c r="Y11" s="93">
        <f t="shared" si="10"/>
        <v>6</v>
      </c>
      <c r="Z11" s="93">
        <f t="shared" si="11"/>
        <v>6</v>
      </c>
      <c r="AA11" s="94">
        <f>IF(Table622027323334171819[[#This Row],[Non-Member]]="X"," ",IF(Z11=" "," ",IFERROR(VLOOKUP(Y11,Points!$A$2:$B$14,2,FALSE)," ")))</f>
        <v>3</v>
      </c>
      <c r="AB11" s="92">
        <v>3.4</v>
      </c>
      <c r="AC11" s="93">
        <f t="shared" si="12"/>
        <v>4</v>
      </c>
      <c r="AD11" s="93">
        <f t="shared" si="13"/>
        <v>4</v>
      </c>
      <c r="AE11" s="94">
        <f>IF(Table622027323334171819[[#This Row],[Non-Member]]="X"," ",IF(AD11=" "," ",IFERROR(VLOOKUP(AC11,Points!$A$2:$B$14,2,FALSE)," ")))</f>
        <v>9</v>
      </c>
      <c r="AF11" s="92">
        <f t="shared" si="16"/>
        <v>17.54</v>
      </c>
      <c r="AG11" s="93">
        <f t="shared" si="17"/>
        <v>4</v>
      </c>
      <c r="AH11" s="93">
        <f t="shared" si="18"/>
        <v>4</v>
      </c>
      <c r="AI11" s="94">
        <f>IF(Table622027323334171819[[#This Row],[Non-Member]]="X"," ",IF(AH11=" "," ",IFERROR(VLOOKUP(AG11,Points!$A$2:$B$14,2,FALSE)," ")))</f>
        <v>9</v>
      </c>
      <c r="AJ11" s="93">
        <f>IF(Table622027323334171819[[#This Row],[Non-Member]]="X"," ",((IF(G11=" ",0,G11))+(IF(K11=" ",0,K11))+(IF(O11=" ",0,O11))+(IF(S11=" ",0,S11))+(IF(W11=" ",0,W11))+(IF(AA11=" ",0,AA11))+(IF(AE11=" ",0,AE11))+(IF(AI11=" ",0,AI11))))</f>
        <v>24</v>
      </c>
      <c r="AK11" s="95">
        <f t="shared" si="14"/>
        <v>24</v>
      </c>
      <c r="AL11" s="96">
        <f t="shared" si="15"/>
        <v>7</v>
      </c>
    </row>
    <row r="12" spans="2:38" x14ac:dyDescent="0.25">
      <c r="B12" s="90" t="s">
        <v>140</v>
      </c>
      <c r="C12" s="91"/>
      <c r="D12" s="92">
        <v>0</v>
      </c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IF(Table622027323334171819[[#This Row],[Non-Member]]="X"," ",IF(F12=" "," ",IFERROR(VLOOKUP(E12,Points!$A$2:$B$14,2,FALSE)," ")))</f>
        <v xml:space="preserve"> </v>
      </c>
      <c r="H12" s="92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IF(Table622027323334171819[[#This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IF(Table622027323334171819[[#This Row],[Non-Member]]="X"," ",IF(N12=" "," ",IFERROR(VLOOKUP(M12,Points!$A$2:$B$14,2,FALSE)," ")))</f>
        <v xml:space="preserve"> </v>
      </c>
      <c r="P12" s="92">
        <v>5.93</v>
      </c>
      <c r="Q12" s="93">
        <f t="shared" si="6"/>
        <v>9</v>
      </c>
      <c r="R12" s="93" t="str">
        <f t="shared" si="7"/>
        <v xml:space="preserve"> </v>
      </c>
      <c r="S12" s="94" t="str">
        <f>IF(Table622027323334171819[[#This Row],[Non-Member]]="X"," ",IF(R12=" "," ",IFERROR(VLOOKUP(Q12,Points!$A$2:$B$14,2,FALSE)," ")))</f>
        <v xml:space="preserve"> </v>
      </c>
      <c r="T12" s="92">
        <v>6.22</v>
      </c>
      <c r="U12" s="93">
        <f t="shared" si="8"/>
        <v>5</v>
      </c>
      <c r="V12" s="93">
        <f t="shared" si="9"/>
        <v>5</v>
      </c>
      <c r="W12" s="94">
        <f>IF(Table622027323334171819[[#This Row],[Non-Member]]="X"," ",IF(V12=" "," ",IFERROR(VLOOKUP(U12,Points!$A$2:$B$14,2,FALSE)," ")))</f>
        <v>6</v>
      </c>
      <c r="X12" s="92">
        <v>3.97</v>
      </c>
      <c r="Y12" s="93">
        <f t="shared" si="10"/>
        <v>3</v>
      </c>
      <c r="Z12" s="93">
        <f t="shared" si="11"/>
        <v>3</v>
      </c>
      <c r="AA12" s="94">
        <f>IF(Table622027323334171819[[#This Row],[Non-Member]]="X"," ",IF(Z12=" "," ",IFERROR(VLOOKUP(Y12,Points!$A$2:$B$14,2,FALSE)," ")))</f>
        <v>12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IF(Table622027323334171819[[#This Row],[Non-Member]]="X"," ",IF(AD12=" "," ",IFERROR(VLOOKUP(AC12,Points!$A$2:$B$14,2,FALSE)," ")))</f>
        <v xml:space="preserve"> </v>
      </c>
      <c r="AF12" s="92" t="str">
        <f t="shared" si="16"/>
        <v xml:space="preserve"> </v>
      </c>
      <c r="AG12" s="93" t="str">
        <f t="shared" si="17"/>
        <v xml:space="preserve"> </v>
      </c>
      <c r="AH12" s="93" t="str">
        <f t="shared" si="18"/>
        <v xml:space="preserve"> </v>
      </c>
      <c r="AI12" s="94" t="str">
        <f>IF(Table622027323334171819[[#This Row],[Non-Member]]="X"," ",IF(AH12=" "," ",IFERROR(VLOOKUP(AG12,Points!$A$2:$B$14,2,FALSE)," ")))</f>
        <v xml:space="preserve"> </v>
      </c>
      <c r="AJ12" s="93">
        <f>IF(Table622027323334171819[[#This Row],[Non-Member]]="X"," ",((IF(G12=" ",0,G12))+(IF(K12=" ",0,K12))+(IF(O12=" ",0,O12))+(IF(S12=" ",0,S12))+(IF(W12=" ",0,W12))+(IF(AA12=" ",0,AA12))+(IF(AE12=" ",0,AE12))+(IF(AI12=" ",0,AI12))))</f>
        <v>18</v>
      </c>
      <c r="AK12" s="95">
        <f t="shared" si="14"/>
        <v>18</v>
      </c>
      <c r="AL12" s="96">
        <f t="shared" si="15"/>
        <v>8</v>
      </c>
    </row>
    <row r="13" spans="2:38" x14ac:dyDescent="0.25">
      <c r="B13" s="90" t="s">
        <v>282</v>
      </c>
      <c r="C13" s="91" t="s">
        <v>95</v>
      </c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IF(Table622027323334171819[[#This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IF(Table622027323334171819[[#This Row],[Non-Member]]="X"," ",IF(J13=" "," ",IFERROR(VLOOKUP(I13,Points!$A$2:$B$14,2,FALSE)," ")))</f>
        <v xml:space="preserve"> </v>
      </c>
      <c r="L13" s="92">
        <v>16.739999999999998</v>
      </c>
      <c r="M13" s="93">
        <f t="shared" si="4"/>
        <v>7</v>
      </c>
      <c r="N13" s="93" t="str">
        <f t="shared" si="5"/>
        <v xml:space="preserve"> </v>
      </c>
      <c r="O13" s="94" t="str">
        <f>IF(Table622027323334171819[[#This Row],[Non-Member]]="X"," ",IF(N13=" "," ",IFERROR(VLOOKUP(M13,Points!$A$2:$B$14,2,FALSE)," ")))</f>
        <v xml:space="preserve"> </v>
      </c>
      <c r="P13" s="92">
        <v>2.1800000000000002</v>
      </c>
      <c r="Q13" s="93">
        <f t="shared" si="6"/>
        <v>3</v>
      </c>
      <c r="R13" s="93">
        <f t="shared" si="7"/>
        <v>3</v>
      </c>
      <c r="S13" s="94" t="str">
        <f>IF(Table622027323334171819[[#This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IF(Table622027323334171819[[#This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IF(Table622027323334171819[[#This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IF(Table622027323334171819[[#This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IF(Table622027323334171819[[#This Row],[Non-Member]]="X"," ",IF(AH13=" "," ",IFERROR(VLOOKUP(AG13,Points!$A$2:$B$14,2,FALSE)," ")))</f>
        <v xml:space="preserve"> </v>
      </c>
      <c r="AJ13" s="93" t="str">
        <f>IF(Table622027323334171819[[#This Row],[Non-Member]]="X"," ",((IF(G13=" ",0,G13))+(IF(K13=" ",0,K13))+(IF(O13=" ",0,O13))+(IF(S13=" ",0,S13))+(IF(W13=" ",0,W13))+(IF(AA13=" ",0,AA13))+(IF(AE13=" ",0,AE13))+(IF(AI13=" ",0,AI13))))</f>
        <v xml:space="preserve"> </v>
      </c>
      <c r="AK13" s="95" t="str">
        <f t="shared" si="14"/>
        <v xml:space="preserve"> </v>
      </c>
      <c r="AL13" s="96" t="str">
        <f t="shared" si="15"/>
        <v xml:space="preserve"> </v>
      </c>
    </row>
    <row r="14" spans="2:38" x14ac:dyDescent="0.25">
      <c r="B14" s="90" t="s">
        <v>247</v>
      </c>
      <c r="C14" s="91" t="s">
        <v>95</v>
      </c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IF(Table622027323334171819[[#This Row],[Non-Member]]="X"," ",IF(F14=" "," ",IFERROR(VLOOKUP(E14,Points!$A$2:$B$14,2,FALSE)," ")))</f>
        <v xml:space="preserve"> </v>
      </c>
      <c r="H14" s="92">
        <v>4.0599999999999996</v>
      </c>
      <c r="I14" s="93">
        <f t="shared" si="2"/>
        <v>5</v>
      </c>
      <c r="J14" s="93">
        <f t="shared" si="3"/>
        <v>5</v>
      </c>
      <c r="K14" s="94" t="str">
        <f>IF(Table622027323334171819[[#This Row],[Non-Member]]="X"," ",IF(J14=" "," ",IFERROR(VLOOKUP(I14,Points!$A$2:$B$14,2,FALSE)," ")))</f>
        <v xml:space="preserve"> </v>
      </c>
      <c r="L14" s="92">
        <v>2.4300000000000002</v>
      </c>
      <c r="M14" s="93">
        <f t="shared" si="4"/>
        <v>4</v>
      </c>
      <c r="N14" s="93">
        <f t="shared" si="5"/>
        <v>4</v>
      </c>
      <c r="O14" s="94" t="str">
        <f>IF(Table622027323334171819[[#This Row],[Non-Member]]="X"," ",IF(N14=" "," ",IFERROR(VLOOKUP(M14,Points!$A$2:$B$14,2,FALSE)," ")))</f>
        <v xml:space="preserve"> </v>
      </c>
      <c r="P14" s="92">
        <v>1.69</v>
      </c>
      <c r="Q14" s="93">
        <f t="shared" si="6"/>
        <v>1</v>
      </c>
      <c r="R14" s="93">
        <f t="shared" si="7"/>
        <v>1</v>
      </c>
      <c r="S14" s="94" t="str">
        <f>IF(Table622027323334171819[[#This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IF(Table622027323334171819[[#This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IF(Table622027323334171819[[#This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IF(Table622027323334171819[[#This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IF(Table622027323334171819[[#This Row],[Non-Member]]="X"," ",IF(AH14=" "," ",IFERROR(VLOOKUP(AG14,Points!$A$2:$B$14,2,FALSE)," ")))</f>
        <v xml:space="preserve"> </v>
      </c>
      <c r="AJ14" s="93" t="str">
        <f>IF(Table622027323334171819[[#This Row],[Non-Member]]="X"," ",((IF(G14=" ",0,G14))+(IF(K14=" ",0,K14))+(IF(O14=" ",0,O14))+(IF(S14=" ",0,S14))+(IF(W14=" ",0,W14))+(IF(AA14=" ",0,AA14))+(IF(AE14=" ",0,AE14))+(IF(AI14=" ",0,AI14))))</f>
        <v xml:space="preserve"> 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25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IF(Table622027323334171819[[#This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IF(Table622027323334171819[[#This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IF(Table622027323334171819[[#This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IF(Table622027323334171819[[#This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IF(Table622027323334171819[[#This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IF(Table622027323334171819[[#This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IF(Table622027323334171819[[#This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3" t="str">
        <f t="shared" si="17"/>
        <v xml:space="preserve"> </v>
      </c>
      <c r="AH15" s="93" t="str">
        <f t="shared" si="18"/>
        <v xml:space="preserve"> </v>
      </c>
      <c r="AI15" s="94" t="str">
        <f>IF(Table622027323334171819[[#This Row],[Non-Member]]="X"," ",IF(AH15=" "," ",IFERROR(VLOOKUP(AG15,Points!$A$2:$B$14,2,FALSE)," ")))</f>
        <v xml:space="preserve"> </v>
      </c>
      <c r="AJ15" s="93">
        <f>IF(Table622027323334171819[[#This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25">
      <c r="B16" s="90"/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IF(Table622027323334171819[[#This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IF(Table622027323334171819[[#This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IF(Table622027323334171819[[#This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IF(Table622027323334171819[[#This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IF(Table622027323334171819[[#This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IF(Table622027323334171819[[#This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IF(Table622027323334171819[[#This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7" t="str">
        <f t="shared" si="17"/>
        <v xml:space="preserve"> </v>
      </c>
      <c r="AH16" s="97" t="str">
        <f t="shared" si="18"/>
        <v xml:space="preserve"> </v>
      </c>
      <c r="AI16" s="94" t="str">
        <f>IF(Table622027323334171819[[#This Row],[Non-Member]]="X"," ",IF(AH16=" "," ",IFERROR(VLOOKUP(AG16,Points!$A$2:$B$14,2,FALSE)," ")))</f>
        <v xml:space="preserve"> </v>
      </c>
      <c r="AJ16" s="97">
        <f>IF(Table622027323334171819[[#This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8" t="str">
        <f t="shared" si="15"/>
        <v xml:space="preserve"> </v>
      </c>
    </row>
    <row r="17" spans="2:38" x14ac:dyDescent="0.25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IF(Table622027323334171819[[#This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IF(Table622027323334171819[[#This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IF(Table622027323334171819[[#This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IF(Table622027323334171819[[#This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IF(Table622027323334171819[[#This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IF(Table622027323334171819[[#This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IF(Table622027323334171819[[#This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7" t="str">
        <f t="shared" si="17"/>
        <v xml:space="preserve"> </v>
      </c>
      <c r="AH17" s="97" t="str">
        <f t="shared" si="18"/>
        <v xml:space="preserve"> </v>
      </c>
      <c r="AI17" s="94" t="str">
        <f>IF(Table622027323334171819[[#This Row],[Non-Member]]="X"," ",IF(AH17=" "," ",IFERROR(VLOOKUP(AG17,Points!$A$2:$B$14,2,FALSE)," ")))</f>
        <v xml:space="preserve"> </v>
      </c>
      <c r="AJ17" s="97">
        <f>IF(Table622027323334171819[[#This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IF(Table622027323334171819[[#This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IF(Table622027323334171819[[#This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IF(Table622027323334171819[[#This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IF(Table622027323334171819[[#This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IF(Table622027323334171819[[#This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IF(Table622027323334171819[[#This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IF(Table622027323334171819[[#This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7" t="str">
        <f t="shared" si="17"/>
        <v xml:space="preserve"> </v>
      </c>
      <c r="AH18" s="97" t="str">
        <f t="shared" si="18"/>
        <v xml:space="preserve"> </v>
      </c>
      <c r="AI18" s="94" t="str">
        <f>IF(Table622027323334171819[[#This Row],[Non-Member]]="X"," ",IF(AH18=" "," ",IFERROR(VLOOKUP(AG18,Points!$A$2:$B$14,2,FALSE)," ")))</f>
        <v xml:space="preserve"> </v>
      </c>
      <c r="AJ18" s="97">
        <f>IF(Table622027323334171819[[#This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IF(Table622027323334171819[[#This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IF(Table622027323334171819[[#This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IF(Table622027323334171819[[#This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IF(Table622027323334171819[[#This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IF(Table622027323334171819[[#This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IF(Table622027323334171819[[#This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IF(Table622027323334171819[[#This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IF(Table622027323334171819[[#This Row],[Non-Member]]="X"," ",IF(AH19=" "," ",IFERROR(VLOOKUP(AG19,Points!$A$2:$B$14,2,FALSE)," ")))</f>
        <v xml:space="preserve"> </v>
      </c>
      <c r="AJ19" s="93">
        <f>IF(Table622027323334171819[[#This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IF(Table622027323334171819[[#This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IF(Table622027323334171819[[#This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IF(Table622027323334171819[[#This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IF(Table622027323334171819[[#This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IF(Table622027323334171819[[#This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IF(Table622027323334171819[[#This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IF(Table622027323334171819[[#This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IF(Table622027323334171819[[#This Row],[Non-Member]]="X"," ",IF(AH20=" "," ",IFERROR(VLOOKUP(AG20,Points!$A$2:$B$14,2,FALSE)," ")))</f>
        <v xml:space="preserve"> </v>
      </c>
      <c r="AJ20" s="93">
        <f>IF(Table622027323334171819[[#This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IF(Table622027323334171819[[#This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IF(Table622027323334171819[[#This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IF(Table622027323334171819[[#This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IF(Table622027323334171819[[#This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IF(Table622027323334171819[[#This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IF(Table622027323334171819[[#This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IF(Table622027323334171819[[#This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IF(Table622027323334171819[[#This Row],[Non-Member]]="X"," ",IF(AH21=" "," ",IFERROR(VLOOKUP(AG21,Points!$A$2:$B$14,2,FALSE)," ")))</f>
        <v xml:space="preserve"> </v>
      </c>
      <c r="AJ21" s="93">
        <f>IF(Table622027323334171819[[#This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IF(Table622027323334171819[[#This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IF(Table622027323334171819[[#This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IF(Table622027323334171819[[#This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IF(Table622027323334171819[[#This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IF(Table622027323334171819[[#This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IF(Table622027323334171819[[#This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IF(Table622027323334171819[[#This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IF(Table622027323334171819[[#This Row],[Non-Member]]="X"," ",IF(AH22=" "," ",IFERROR(VLOOKUP(AG22,Points!$A$2:$B$14,2,FALSE)," ")))</f>
        <v xml:space="preserve"> </v>
      </c>
      <c r="AJ22" s="93">
        <f>IF(Table622027323334171819[[#This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IF(Table622027323334171819[[#This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IF(Table622027323334171819[[#This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IF(Table622027323334171819[[#This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IF(Table622027323334171819[[#This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IF(Table622027323334171819[[#This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IF(Table622027323334171819[[#This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IF(Table622027323334171819[[#This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IF(Table622027323334171819[[#This Row],[Non-Member]]="X"," ",IF(AH23=" "," ",IFERROR(VLOOKUP(AG23,Points!$A$2:$B$14,2,FALSE)," ")))</f>
        <v xml:space="preserve"> </v>
      </c>
      <c r="AJ23" s="93">
        <f>IF(Table622027323334171819[[#This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IF(Table622027323334171819[[#This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IF(Table622027323334171819[[#This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IF(Table622027323334171819[[#This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IF(Table622027323334171819[[#This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IF(Table622027323334171819[[#This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IF(Table622027323334171819[[#This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IF(Table622027323334171819[[#This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IF(Table622027323334171819[[#This Row],[Non-Member]]="X"," ",IF(AH24=" "," ",IFERROR(VLOOKUP(AG24,Points!$A$2:$B$14,2,FALSE)," ")))</f>
        <v xml:space="preserve"> </v>
      </c>
      <c r="AJ24" s="93">
        <f>IF(Table622027323334171819[[#This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FrEQed8fWuH/zNFOjfSy2thFJ/zAqE622WcPXKGVISbWwS7aobjNS1ar/LiOFngwev25h72aGzinPV5vBt1wnw==" saltValue="4IhWYpRTKzTn1WCYT/THd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ignoredErrors>
    <ignoredError sqref="AF7:AH7" calculatedColumn="1"/>
  </ignoredErrors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B0B2B-4D68-40D0-AFE3-C00D21C95D29}">
  <sheetPr codeName="Sheet61">
    <tabColor theme="5" tint="0.39997558519241921"/>
    <pageSetUpPr fitToPage="1"/>
  </sheetPr>
  <dimension ref="B1:AC28"/>
  <sheetViews>
    <sheetView showGridLines="0" workbookViewId="0">
      <pane xSplit="2" topLeftCell="C1" activePane="topRight" state="frozen"/>
      <selection activeCell="J34" sqref="J34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47" style="62" customWidth="1"/>
    <col min="3" max="3" width="11.6640625" style="60" hidden="1" customWidth="1"/>
    <col min="4" max="4" width="11.6640625" style="60" customWidth="1"/>
    <col min="5" max="5" width="11.6640625" style="57" customWidth="1"/>
    <col min="6" max="6" width="11.6640625" style="60" hidden="1" customWidth="1"/>
    <col min="7" max="7" width="11.6640625" style="60" customWidth="1"/>
    <col min="8" max="8" width="11.6640625" style="57" customWidth="1"/>
    <col min="9" max="9" width="11.6640625" style="60" hidden="1" customWidth="1"/>
    <col min="10" max="10" width="11.6640625" style="60" customWidth="1"/>
    <col min="11" max="11" width="11.6640625" style="57" customWidth="1"/>
    <col min="12" max="12" width="11.6640625" style="60" hidden="1" customWidth="1"/>
    <col min="13" max="13" width="11.6640625" style="60" customWidth="1"/>
    <col min="14" max="14" width="11.6640625" style="57" customWidth="1"/>
    <col min="15" max="15" width="11.6640625" style="60" hidden="1" customWidth="1"/>
    <col min="16" max="16" width="11.6640625" style="60" customWidth="1"/>
    <col min="17" max="17" width="11.6640625" style="57" customWidth="1"/>
    <col min="18" max="18" width="11.6640625" style="60" hidden="1" customWidth="1"/>
    <col min="19" max="19" width="11.6640625" style="60" customWidth="1"/>
    <col min="20" max="20" width="11.6640625" style="57" customWidth="1"/>
    <col min="21" max="21" width="11.6640625" style="60" hidden="1" customWidth="1"/>
    <col min="22" max="22" width="11.6640625" style="60" customWidth="1"/>
    <col min="23" max="23" width="11.6640625" style="57" customWidth="1"/>
    <col min="24" max="24" width="11.6640625" style="60" hidden="1" customWidth="1"/>
    <col min="25" max="25" width="11.6640625" style="60" customWidth="1"/>
    <col min="26" max="26" width="11.6640625" style="57" customWidth="1"/>
    <col min="27" max="27" width="11.6640625" style="60" hidden="1" customWidth="1"/>
    <col min="28" max="28" width="11.6640625" style="60" customWidth="1"/>
    <col min="29" max="29" width="11.6640625" style="57" customWidth="1"/>
    <col min="30" max="16384" width="9.109375" style="62"/>
  </cols>
  <sheetData>
    <row r="1" spans="2:29" ht="18" thickBot="1" x14ac:dyDescent="0.35">
      <c r="B1" s="54"/>
    </row>
    <row r="2" spans="2:29" s="64" customFormat="1" ht="17.399999999999999" x14ac:dyDescent="0.3">
      <c r="B2" s="139" t="s">
        <v>102</v>
      </c>
      <c r="C2" s="165">
        <v>43590</v>
      </c>
      <c r="D2" s="166"/>
      <c r="E2" s="167"/>
      <c r="F2" s="166">
        <v>43632</v>
      </c>
      <c r="G2" s="166"/>
      <c r="H2" s="167"/>
      <c r="I2" s="166">
        <v>43659</v>
      </c>
      <c r="J2" s="166"/>
      <c r="K2" s="167"/>
      <c r="L2" s="166">
        <v>43660</v>
      </c>
      <c r="M2" s="166"/>
      <c r="N2" s="167"/>
      <c r="O2" s="166">
        <v>43681</v>
      </c>
      <c r="P2" s="166"/>
      <c r="Q2" s="167"/>
      <c r="R2" s="166" t="s">
        <v>183</v>
      </c>
      <c r="S2" s="166"/>
      <c r="T2" s="167"/>
      <c r="U2" s="166" t="s">
        <v>184</v>
      </c>
      <c r="V2" s="166"/>
      <c r="W2" s="167"/>
      <c r="X2" s="166" t="s">
        <v>3</v>
      </c>
      <c r="Y2" s="166"/>
      <c r="Z2" s="167"/>
      <c r="AA2" s="166" t="s">
        <v>4</v>
      </c>
      <c r="AB2" s="166"/>
      <c r="AC2" s="167"/>
    </row>
    <row r="3" spans="2:29" s="74" customFormat="1" ht="14.4" thickBot="1" x14ac:dyDescent="0.3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3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25">
      <c r="B5" s="140" t="s">
        <v>131</v>
      </c>
      <c r="C5" s="118">
        <f>IFERROR(IF(VLOOKUP($B5,'PW B-Calf Riding'!$B$5:$AI$24,6,FALSE)=" ",0,VLOOKUP($B5,'PW B-Calf Riding'!$B$5:$AI$24,6,FALSE)),0)+IFERROR(IF(VLOOKUP($B5,'PW B-Goats'!$B$5:$AI$24,6,FALSE)=" ",0,VLOOKUP($B5,'PW B-Goats'!$B$5:$AI$24,6,FALSE)),0)+IFERROR(IF(VLOOKUP($B5,'PW B-Flags'!$B$5:$AI$24,6,FALSE)=" ",0,VLOOKUP($B5,'PW B-Flags'!$B$5:$AI$24,6,FALSE)),0)+IFERROR(IF(VLOOKUP($B5,'PW B-Breakaway'!$B$5:$AI$24,6,FALSE)=" ",0,VLOOKUP($B5,'PW B-Breakaway'!$B$5:$AI$24,6,FALSE)),0)+IFERROR(IF(VLOOKUP($B5,'PW B-Steer Daubing'!$B$5:$AI$24,6,FALSE)=" ",0,VLOOKUP($B5,'PW B-Steer Daubing'!$B$5:$AI$24,6,FALSE)),0)</f>
        <v>64.5</v>
      </c>
      <c r="D5" s="88">
        <f t="shared" ref="D5:D24" si="0">IF(C5&gt;0,C5," ")</f>
        <v>64.5</v>
      </c>
      <c r="E5" s="84">
        <f t="shared" ref="E5:E24" si="1">IF(C5=0," ",RANK(C5,C$5:C$24,0))</f>
        <v>1</v>
      </c>
      <c r="F5" s="119">
        <f>IFERROR(IF(VLOOKUP($B5,'PW B-Calf Riding'!$B$5:$AI$24,10,FALSE)=" ",0,VLOOKUP($B5,'PW B-Calf Riding'!$B$5:$AI$24,10,FALSE)),0)+IFERROR(IF(VLOOKUP($B5,'PW B-Goats'!$B$5:$AI$24,10,FALSE)=" ",0,VLOOKUP($B5,'PW B-Goats'!$B$5:$AI$24,10,FALSE)),0)+IFERROR(IF(VLOOKUP($B5,'PW B-Flags'!$B$5:$AI$24,10,FALSE)=" ",0,VLOOKUP($B5,'PW B-Flags'!$B$5:$AI$24,10,FALSE)),0)+IFERROR(IF(VLOOKUP($B5,'PW B-Breakaway'!$B$5:$AI$24,10,FALSE)=" ",0,VLOOKUP($B5,'PW B-Breakaway'!$B$5:$AI$24,10,FALSE)),0)+IFERROR(IF(VLOOKUP($B5,'PW B-Steer Daubing'!$B$5:$AI$24,10,FALSE)=" ",0,VLOOKUP($B5,'PW B-Steer Daubing'!$B$5:$AI$24,10,FALSE)),0)</f>
        <v>63</v>
      </c>
      <c r="G5" s="88">
        <f t="shared" ref="G5:G24" si="2">IF(F5&gt;0,F5," ")</f>
        <v>63</v>
      </c>
      <c r="H5" s="84">
        <f t="shared" ref="H5:H24" si="3">IF(F5=0," ",RANK(F5,F$5:F$24,0))</f>
        <v>1</v>
      </c>
      <c r="I5" s="119">
        <f>IFERROR(IF(VLOOKUP($B5,'PW B-Calf Riding'!$B$5:$AI$24,14,FALSE)=" ",0,VLOOKUP($B5,'PW B-Calf Riding'!$B$5:$AI$24,14,FALSE)),0)+IFERROR(IF(VLOOKUP($B5,'PW B-Goats'!$B$5:$AI$24,14,FALSE)=" ",0,VLOOKUP($B5,'PW B-Goats'!$B$5:$AI$24,14,FALSE)),0)+IFERROR(IF(VLOOKUP($B5,'PW B-Flags'!$B$5:$AI$24,14,FALSE)=" ",0,VLOOKUP($B5,'PW B-Flags'!$B$5:$AI$24,14,FALSE)),0)+IFERROR(IF(VLOOKUP($B5,'PW B-Breakaway'!$B$5:$AI$24,14,FALSE)=" ",0,VLOOKUP($B5,'PW B-Breakaway'!$B$5:$AI$24,14,FALSE)),0)+IFERROR(IF(VLOOKUP($B5,'PW B-Steer Daubing'!$B$5:$AI$24,14,FALSE)=" ",0,VLOOKUP($B5,'PW B-Steer Daubing'!$B$5:$AI$24,14,FALSE)),0)</f>
        <v>48</v>
      </c>
      <c r="J5" s="88">
        <f t="shared" ref="J5:J24" si="4">IF(I5&gt;0,I5," ")</f>
        <v>48</v>
      </c>
      <c r="K5" s="84">
        <f t="shared" ref="K5:K24" si="5">IF(I5=0," ",RANK(I5,I$5:I$24,0))</f>
        <v>1</v>
      </c>
      <c r="L5" s="119">
        <f>IFERROR(IF(VLOOKUP($B5,'PW B-Calf Riding'!$B$5:$AI$24,18,FALSE)=" ",0,VLOOKUP($B5,'PW B-Calf Riding'!$B$5:$AI$24,18,FALSE)),0)+IFERROR(IF(VLOOKUP($B5,'PW B-Goats'!$B$5:$AI$24,18,FALSE)=" ",0,VLOOKUP($B5,'PW B-Goats'!$B$5:$AI$24,18,FALSE)),0)+IFERROR(IF(VLOOKUP($B5,'PW B-Flags'!$B$5:$AI$24,18,FALSE)=" ",0,VLOOKUP($B5,'PW B-Flags'!$B$5:$AI$24,18,FALSE)),0)+IFERROR(IF(VLOOKUP($B5,'PW B-Breakaway'!$B$5:$AI$24,18,FALSE)=" ",0,VLOOKUP($B5,'PW B-Breakaway'!$B$5:$AI$24,18,FALSE)),0)+IFERROR(IF(VLOOKUP($B5,'PW B-Steer Daubing'!$B$5:$AI$24,18,FALSE)=" ",0,VLOOKUP($B5,'PW B-Steer Daubing'!$B$5:$AI$24,18,FALSE)),0)</f>
        <v>51</v>
      </c>
      <c r="M5" s="88">
        <f t="shared" ref="M5:M24" si="6">IF(L5&gt;0,L5," ")</f>
        <v>51</v>
      </c>
      <c r="N5" s="84">
        <f t="shared" ref="N5:N24" si="7">IF(L5=0," ",RANK(L5,L$5:L$24,0))</f>
        <v>1</v>
      </c>
      <c r="O5" s="119">
        <f>IFERROR(IF(VLOOKUP($B5,'PW B-Calf Riding'!$B$5:$AI$24,22,FALSE)=" ",0,VLOOKUP($B5,'PW B-Calf Riding'!$B$5:$AI$24,22,FALSE)),0)+IFERROR(IF(VLOOKUP($B5,'PW B-Goats'!$B$5:$AI$24,22,FALSE)=" ",0,VLOOKUP($B5,'PW B-Goats'!$B$5:$AI$24,22,FALSE)),0)+IFERROR(IF(VLOOKUP($B5,'PW B-Flags'!$B$5:$AI$24,22,FALSE)=" ",0,VLOOKUP($B5,'PW B-Flags'!$B$5:$AI$24,22,FALSE)),0)+IFERROR(IF(VLOOKUP($B5,'PW B-Breakaway'!$B$5:$AI$24,22,FALSE)=" ",0,VLOOKUP($B5,'PW B-Breakaway'!$B$5:$AI$24,22,FALSE)),0)+IFERROR(IF(VLOOKUP($B5,'PW B-Steer Daubing'!$B$5:$AI$24,22,FALSE)=" ",0,VLOOKUP($B5,'PW B-Steer Daubing'!$B$5:$AI$24,22,FALSE)),0)</f>
        <v>57</v>
      </c>
      <c r="P5" s="88">
        <f t="shared" ref="P5:P24" si="8">IF(O5&gt;0,O5," ")</f>
        <v>57</v>
      </c>
      <c r="Q5" s="84">
        <f t="shared" ref="Q5:Q24" si="9">IF(O5=0," ",RANK(O5,O$5:O$24,0))</f>
        <v>1</v>
      </c>
      <c r="R5" s="119">
        <f>IFERROR(IF(VLOOKUP($B5,'PW B-Calf Riding'!$B$5:$AI$24,26,FALSE)=" ",0,VLOOKUP($B5,'PW B-Calf Riding'!$B$5:$AI$24,26,FALSE)),0)+IFERROR(IF(VLOOKUP($B5,'PW B-Goats'!$B$5:$AI$24,26,FALSE)=" ",0,VLOOKUP($B5,'PW B-Goats'!$B$5:$AI$24,26,FALSE)),0)+IFERROR(IF(VLOOKUP($B5,'PW B-Flags'!$B$5:$AI$24,26,FALSE)=" ",0,VLOOKUP($B5,'PW B-Flags'!$B$5:$AI$24,26,FALSE)),0)+IFERROR(IF(VLOOKUP($B5,'PW B-Breakaway'!$B$5:$AI$24,26,FALSE)=" ",0,VLOOKUP($B5,'PW B-Breakaway'!$B$5:$AI$24,26,FALSE)),0)+IFERROR(IF(VLOOKUP($B5,'PW B-Steer Daubing'!$B$5:$AI$24,26,FALSE)=" ",0,VLOOKUP($B5,'PW B-Steer Daubing'!$B$5:$AI$24,26,FALSE)),0)</f>
        <v>66</v>
      </c>
      <c r="S5" s="88">
        <f t="shared" ref="S5:S24" si="10">IF(R5&gt;0,R5," ")</f>
        <v>66</v>
      </c>
      <c r="T5" s="84">
        <f t="shared" ref="T5:T24" si="11">IF(R5=0," ",RANK(R5,R$5:R$24,0))</f>
        <v>1</v>
      </c>
      <c r="U5" s="119">
        <f>IFERROR(IF(VLOOKUP($B5,'PW B-Calf Riding'!$B$5:$AI$24,30,FALSE)=" ",0,VLOOKUP($B5,'PW B-Calf Riding'!$B$5:$AI$24,30,FALSE)),0)+IFERROR(IF(VLOOKUP($B5,'PW B-Goats'!$B$5:$AI$24,30,FALSE)=" ",0,VLOOKUP($B5,'PW B-Goats'!$B$5:$AI$24,30,FALSE)),0)+IFERROR(IF(VLOOKUP($B5,'PW B-Flags'!$B$5:$AI$24,30,FALSE)=" ",0,VLOOKUP($B5,'PW B-Flags'!$B$5:$AI$24,30,FALSE)),0)+IFERROR(IF(VLOOKUP($B5,'PW B-Breakaway'!$B$5:$AI$24,30,FALSE)=" ",0,VLOOKUP($B5,'PW B-Breakaway'!$B$5:$AI$24,30,FALSE)),0)+IFERROR(IF(VLOOKUP($B5,'PW B-Steer Daubing'!$B$5:$AI$24,30,FALSE)=" ",0,VLOOKUP($B5,'PW B-Steer Daubing'!$B$5:$AI$24,30,FALSE)),0)</f>
        <v>72</v>
      </c>
      <c r="V5" s="88">
        <f t="shared" ref="V5:V24" si="12">IF(U5&gt;0,U5," ")</f>
        <v>72</v>
      </c>
      <c r="W5" s="84">
        <f t="shared" ref="W5:W24" si="13">IF(U5=0," ",RANK(U5,U$5:U$24,0))</f>
        <v>1</v>
      </c>
      <c r="X5" s="119">
        <f>IFERROR(IF(VLOOKUP($B5,'PW B-Calf Riding'!$B$5:$AI$24,34,FALSE)=" ",0,VLOOKUP($B5,'PW B-Calf Riding'!$B$5:$AI$24,34,FALSE)),0)+IFERROR(IF(VLOOKUP($B5,'PW B-Goats'!$B$5:$AI$24,34,FALSE)=" ",0,VLOOKUP($B5,'PW B-Goats'!$B$5:$AI$24,34,FALSE)),0)+IFERROR(IF(VLOOKUP($B5,'PW B-Flags'!$B$5:$AI$24,34,FALSE)=" ",0,VLOOKUP($B5,'PW B-Flags'!$B$5:$AI$24,34,FALSE)),0)+IFERROR(IF(VLOOKUP($B5,'PW B-Breakaway'!$B$5:$AI$24,34,FALSE)=" ",0,VLOOKUP($B5,'PW B-Breakaway'!$B$5:$AI$24,34,FALSE)),0)+IFERROR(IF(VLOOKUP($B5,'PW B-Steer Daubing'!$B$5:$AI$24,34,FALSE)=" ",0,VLOOKUP($B5,'PW B-Steer Daubing'!$B$5:$AI$24,34,FALSE)),0)</f>
        <v>72</v>
      </c>
      <c r="Y5" s="88">
        <f t="shared" ref="Y5:Y24" si="14">IF(X5&gt;0,X5," ")</f>
        <v>72</v>
      </c>
      <c r="Z5" s="84">
        <f t="shared" ref="Z5:Z24" si="15">IF(X5=0," ",RANK(X5,X$5:X$24,0))</f>
        <v>1</v>
      </c>
      <c r="AA5" s="119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493.5</v>
      </c>
      <c r="AB5" s="88">
        <f t="shared" ref="AB5:AB24" si="16">IF(AA5&gt;0,AA5," ")</f>
        <v>493.5</v>
      </c>
      <c r="AC5" s="84">
        <f t="shared" ref="AC5:AC24" si="17">IF(AB5=" "," ",RANK(AB5,AB$5:AB$24))</f>
        <v>1</v>
      </c>
    </row>
    <row r="6" spans="2:29" x14ac:dyDescent="0.25">
      <c r="B6" s="141" t="s">
        <v>68</v>
      </c>
      <c r="C6" s="120">
        <f>IFERROR(IF(VLOOKUP($B6,'PW B-Calf Riding'!$B$5:$AI$24,6,FALSE)=" ",0,VLOOKUP($B6,'PW B-Calf Riding'!$B$5:$AI$24,6,FALSE)),0)+IFERROR(IF(VLOOKUP($B6,'PW B-Goats'!$B$5:$AI$24,6,FALSE)=" ",0,VLOOKUP($B6,'PW B-Goats'!$B$5:$AI$24,6,FALSE)),0)+IFERROR(IF(VLOOKUP($B6,'PW B-Flags'!$B$5:$AI$24,6,FALSE)=" ",0,VLOOKUP($B6,'PW B-Flags'!$B$5:$AI$24,6,FALSE)),0)+IFERROR(IF(VLOOKUP($B6,'PW B-Breakaway'!$B$5:$AI$24,6,FALSE)=" ",0,VLOOKUP($B6,'PW B-Breakaway'!$B$5:$AI$24,6,FALSE)),0)+IFERROR(IF(VLOOKUP($B6,'PW B-Steer Daubing'!$B$5:$AI$24,6,FALSE)=" ",0,VLOOKUP($B6,'PW B-Steer Daubing'!$B$5:$AI$24,6,FALSE)),0)</f>
        <v>27</v>
      </c>
      <c r="D6" s="95">
        <f t="shared" si="0"/>
        <v>27</v>
      </c>
      <c r="E6" s="122">
        <f t="shared" si="1"/>
        <v>3</v>
      </c>
      <c r="F6" s="121">
        <f>IFERROR(IF(VLOOKUP($B6,'PW B-Calf Riding'!$B$5:$AI$24,10,FALSE)=" ",0,VLOOKUP($B6,'PW B-Calf Riding'!$B$5:$AI$24,10,FALSE)),0)+IFERROR(IF(VLOOKUP($B6,'PW B-Goats'!$B$5:$AI$24,10,FALSE)=" ",0,VLOOKUP($B6,'PW B-Goats'!$B$5:$AI$24,10,FALSE)),0)+IFERROR(IF(VLOOKUP($B6,'PW B-Flags'!$B$5:$AI$24,10,FALSE)=" ",0,VLOOKUP($B6,'PW B-Flags'!$B$5:$AI$24,10,FALSE)),0)+IFERROR(IF(VLOOKUP($B6,'PW B-Breakaway'!$B$5:$AI$24,10,FALSE)=" ",0,VLOOKUP($B6,'PW B-Breakaway'!$B$5:$AI$24,10,FALSE)),0)+IFERROR(IF(VLOOKUP($B6,'PW B-Steer Daubing'!$B$5:$AI$24,10,FALSE)=" ",0,VLOOKUP($B6,'PW B-Steer Daubing'!$B$5:$AI$24,10,FALSE)),0)</f>
        <v>12</v>
      </c>
      <c r="G6" s="95">
        <f t="shared" si="2"/>
        <v>12</v>
      </c>
      <c r="H6" s="122">
        <f t="shared" si="3"/>
        <v>7</v>
      </c>
      <c r="I6" s="121">
        <f>IFERROR(IF(VLOOKUP($B6,'PW B-Calf Riding'!$B$5:$AI$24,14,FALSE)=" ",0,VLOOKUP($B6,'PW B-Calf Riding'!$B$5:$AI$24,14,FALSE)),0)+IFERROR(IF(VLOOKUP($B6,'PW B-Goats'!$B$5:$AI$24,14,FALSE)=" ",0,VLOOKUP($B6,'PW B-Goats'!$B$5:$AI$24,14,FALSE)),0)+IFERROR(IF(VLOOKUP($B6,'PW B-Flags'!$B$5:$AI$24,14,FALSE)=" ",0,VLOOKUP($B6,'PW B-Flags'!$B$5:$AI$24,14,FALSE)),0)+IFERROR(IF(VLOOKUP($B6,'PW B-Breakaway'!$B$5:$AI$24,14,FALSE)=" ",0,VLOOKUP($B6,'PW B-Breakaway'!$B$5:$AI$24,14,FALSE)),0)+IFERROR(IF(VLOOKUP($B6,'PW B-Steer Daubing'!$B$5:$AI$24,14,FALSE)=" ",0,VLOOKUP($B6,'PW B-Steer Daubing'!$B$5:$AI$24,14,FALSE)),0)</f>
        <v>42</v>
      </c>
      <c r="J6" s="95">
        <f t="shared" si="4"/>
        <v>42</v>
      </c>
      <c r="K6" s="122">
        <f t="shared" si="5"/>
        <v>2</v>
      </c>
      <c r="L6" s="121">
        <f>IFERROR(IF(VLOOKUP($B6,'PW B-Calf Riding'!$B$5:$AI$24,18,FALSE)=" ",0,VLOOKUP($B6,'PW B-Calf Riding'!$B$5:$AI$24,18,FALSE)),0)+IFERROR(IF(VLOOKUP($B6,'PW B-Goats'!$B$5:$AI$24,18,FALSE)=" ",0,VLOOKUP($B6,'PW B-Goats'!$B$5:$AI$24,18,FALSE)),0)+IFERROR(IF(VLOOKUP($B6,'PW B-Flags'!$B$5:$AI$24,18,FALSE)=" ",0,VLOOKUP($B6,'PW B-Flags'!$B$5:$AI$24,18,FALSE)),0)+IFERROR(IF(VLOOKUP($B6,'PW B-Breakaway'!$B$5:$AI$24,18,FALSE)=" ",0,VLOOKUP($B6,'PW B-Breakaway'!$B$5:$AI$24,18,FALSE)),0)+IFERROR(IF(VLOOKUP($B6,'PW B-Steer Daubing'!$B$5:$AI$24,18,FALSE)=" ",0,VLOOKUP($B6,'PW B-Steer Daubing'!$B$5:$AI$24,18,FALSE)),0)</f>
        <v>6</v>
      </c>
      <c r="M6" s="95">
        <f t="shared" si="6"/>
        <v>6</v>
      </c>
      <c r="N6" s="122">
        <f t="shared" si="7"/>
        <v>7</v>
      </c>
      <c r="O6" s="121">
        <f>IFERROR(IF(VLOOKUP($B6,'PW B-Calf Riding'!$B$5:$AI$24,22,FALSE)=" ",0,VLOOKUP($B6,'PW B-Calf Riding'!$B$5:$AI$24,22,FALSE)),0)+IFERROR(IF(VLOOKUP($B6,'PW B-Goats'!$B$5:$AI$24,22,FALSE)=" ",0,VLOOKUP($B6,'PW B-Goats'!$B$5:$AI$24,22,FALSE)),0)+IFERROR(IF(VLOOKUP($B6,'PW B-Flags'!$B$5:$AI$24,22,FALSE)=" ",0,VLOOKUP($B6,'PW B-Flags'!$B$5:$AI$24,22,FALSE)),0)+IFERROR(IF(VLOOKUP($B6,'PW B-Breakaway'!$B$5:$AI$24,22,FALSE)=" ",0,VLOOKUP($B6,'PW B-Breakaway'!$B$5:$AI$24,22,FALSE)),0)+IFERROR(IF(VLOOKUP($B6,'PW B-Steer Daubing'!$B$5:$AI$24,22,FALSE)=" ",0,VLOOKUP($B6,'PW B-Steer Daubing'!$B$5:$AI$24,22,FALSE)),0)</f>
        <v>39</v>
      </c>
      <c r="P6" s="95">
        <f t="shared" si="8"/>
        <v>39</v>
      </c>
      <c r="Q6" s="122">
        <f t="shared" si="9"/>
        <v>3</v>
      </c>
      <c r="R6" s="121">
        <f>IFERROR(IF(VLOOKUP($B6,'PW B-Calf Riding'!$B$5:$AI$24,26,FALSE)=" ",0,VLOOKUP($B6,'PW B-Calf Riding'!$B$5:$AI$24,26,FALSE)),0)+IFERROR(IF(VLOOKUP($B6,'PW B-Goats'!$B$5:$AI$24,26,FALSE)=" ",0,VLOOKUP($B6,'PW B-Goats'!$B$5:$AI$24,26,FALSE)),0)+IFERROR(IF(VLOOKUP($B6,'PW B-Flags'!$B$5:$AI$24,26,FALSE)=" ",0,VLOOKUP($B6,'PW B-Flags'!$B$5:$AI$24,26,FALSE)),0)+IFERROR(IF(VLOOKUP($B6,'PW B-Breakaway'!$B$5:$AI$24,26,FALSE)=" ",0,VLOOKUP($B6,'PW B-Breakaway'!$B$5:$AI$24,26,FALSE)),0)+IFERROR(IF(VLOOKUP($B6,'PW B-Steer Daubing'!$B$5:$AI$24,26,FALSE)=" ",0,VLOOKUP($B6,'PW B-Steer Daubing'!$B$5:$AI$24,26,FALSE)),0)</f>
        <v>34.5</v>
      </c>
      <c r="S6" s="95">
        <f t="shared" si="10"/>
        <v>34.5</v>
      </c>
      <c r="T6" s="122">
        <f t="shared" si="11"/>
        <v>2</v>
      </c>
      <c r="U6" s="121">
        <f>IFERROR(IF(VLOOKUP($B6,'PW B-Calf Riding'!$B$5:$AI$24,30,FALSE)=" ",0,VLOOKUP($B6,'PW B-Calf Riding'!$B$5:$AI$24,30,FALSE)),0)+IFERROR(IF(VLOOKUP($B6,'PW B-Goats'!$B$5:$AI$24,30,FALSE)=" ",0,VLOOKUP($B6,'PW B-Goats'!$B$5:$AI$24,30,FALSE)),0)+IFERROR(IF(VLOOKUP($B6,'PW B-Flags'!$B$5:$AI$24,30,FALSE)=" ",0,VLOOKUP($B6,'PW B-Flags'!$B$5:$AI$24,30,FALSE)),0)+IFERROR(IF(VLOOKUP($B6,'PW B-Breakaway'!$B$5:$AI$24,30,FALSE)=" ",0,VLOOKUP($B6,'PW B-Breakaway'!$B$5:$AI$24,30,FALSE)),0)+IFERROR(IF(VLOOKUP($B6,'PW B-Steer Daubing'!$B$5:$AI$24,30,FALSE)=" ",0,VLOOKUP($B6,'PW B-Steer Daubing'!$B$5:$AI$24,30,FALSE)),0)</f>
        <v>69</v>
      </c>
      <c r="V6" s="95">
        <f t="shared" si="12"/>
        <v>69</v>
      </c>
      <c r="W6" s="122">
        <f t="shared" si="13"/>
        <v>2</v>
      </c>
      <c r="X6" s="121">
        <f>IFERROR(IF(VLOOKUP($B6,'PW B-Calf Riding'!$B$5:$AI$24,34,FALSE)=" ",0,VLOOKUP($B6,'PW B-Calf Riding'!$B$5:$AI$24,34,FALSE)),0)+IFERROR(IF(VLOOKUP($B6,'PW B-Goats'!$B$5:$AI$24,34,FALSE)=" ",0,VLOOKUP($B6,'PW B-Goats'!$B$5:$AI$24,34,FALSE)),0)+IFERROR(IF(VLOOKUP($B6,'PW B-Flags'!$B$5:$AI$24,34,FALSE)=" ",0,VLOOKUP($B6,'PW B-Flags'!$B$5:$AI$24,34,FALSE)),0)+IFERROR(IF(VLOOKUP($B6,'PW B-Breakaway'!$B$5:$AI$24,34,FALSE)=" ",0,VLOOKUP($B6,'PW B-Breakaway'!$B$5:$AI$24,34,FALSE)),0)+IFERROR(IF(VLOOKUP($B6,'PW B-Steer Daubing'!$B$5:$AI$24,34,FALSE)=" ",0,VLOOKUP($B6,'PW B-Steer Daubing'!$B$5:$AI$24,34,FALSE)),0)</f>
        <v>60</v>
      </c>
      <c r="Y6" s="95">
        <f t="shared" si="14"/>
        <v>60</v>
      </c>
      <c r="Z6" s="122">
        <f t="shared" si="15"/>
        <v>2</v>
      </c>
      <c r="AA6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289.5</v>
      </c>
      <c r="AB6" s="95">
        <f t="shared" si="16"/>
        <v>289.5</v>
      </c>
      <c r="AC6" s="122">
        <f t="shared" si="17"/>
        <v>2</v>
      </c>
    </row>
    <row r="7" spans="2:29" x14ac:dyDescent="0.25">
      <c r="B7" s="141" t="s">
        <v>139</v>
      </c>
      <c r="C7" s="120">
        <f>IFERROR(IF(VLOOKUP($B7,'PW B-Calf Riding'!$B$5:$AI$24,6,FALSE)=" ",0,VLOOKUP($B7,'PW B-Calf Riding'!$B$5:$AI$24,6,FALSE)),0)+IFERROR(IF(VLOOKUP($B7,'PW B-Goats'!$B$5:$AI$24,6,FALSE)=" ",0,VLOOKUP($B7,'PW B-Goats'!$B$5:$AI$24,6,FALSE)),0)+IFERROR(IF(VLOOKUP($B7,'PW B-Flags'!$B$5:$AI$24,6,FALSE)=" ",0,VLOOKUP($B7,'PW B-Flags'!$B$5:$AI$24,6,FALSE)),0)+IFERROR(IF(VLOOKUP($B7,'PW B-Breakaway'!$B$5:$AI$24,6,FALSE)=" ",0,VLOOKUP($B7,'PW B-Breakaway'!$B$5:$AI$24,6,FALSE)),0)+IFERROR(IF(VLOOKUP($B7,'PW B-Steer Daubing'!$B$5:$AI$24,6,FALSE)=" ",0,VLOOKUP($B7,'PW B-Steer Daubing'!$B$5:$AI$24,6,FALSE)),0)</f>
        <v>55.5</v>
      </c>
      <c r="D7" s="95">
        <f t="shared" si="0"/>
        <v>55.5</v>
      </c>
      <c r="E7" s="91">
        <f t="shared" si="1"/>
        <v>2</v>
      </c>
      <c r="F7" s="121">
        <f>IFERROR(IF(VLOOKUP($B7,'PW B-Calf Riding'!$B$5:$AI$24,10,FALSE)=" ",0,VLOOKUP($B7,'PW B-Calf Riding'!$B$5:$AI$24,10,FALSE)),0)+IFERROR(IF(VLOOKUP($B7,'PW B-Goats'!$B$5:$AI$24,10,FALSE)=" ",0,VLOOKUP($B7,'PW B-Goats'!$B$5:$AI$24,10,FALSE)),0)+IFERROR(IF(VLOOKUP($B7,'PW B-Flags'!$B$5:$AI$24,10,FALSE)=" ",0,VLOOKUP($B7,'PW B-Flags'!$B$5:$AI$24,10,FALSE)),0)+IFERROR(IF(VLOOKUP($B7,'PW B-Breakaway'!$B$5:$AI$24,10,FALSE)=" ",0,VLOOKUP($B7,'PW B-Breakaway'!$B$5:$AI$24,10,FALSE)),0)+IFERROR(IF(VLOOKUP($B7,'PW B-Steer Daubing'!$B$5:$AI$24,10,FALSE)=" ",0,VLOOKUP($B7,'PW B-Steer Daubing'!$B$5:$AI$24,10,FALSE)),0)</f>
        <v>45</v>
      </c>
      <c r="G7" s="95">
        <f t="shared" si="2"/>
        <v>45</v>
      </c>
      <c r="H7" s="91">
        <f t="shared" si="3"/>
        <v>3</v>
      </c>
      <c r="I7" s="121">
        <f>IFERROR(IF(VLOOKUP($B7,'PW B-Calf Riding'!$B$5:$AI$24,14,FALSE)=" ",0,VLOOKUP($B7,'PW B-Calf Riding'!$B$5:$AI$24,14,FALSE)),0)+IFERROR(IF(VLOOKUP($B7,'PW B-Goats'!$B$5:$AI$24,14,FALSE)=" ",0,VLOOKUP($B7,'PW B-Goats'!$B$5:$AI$24,14,FALSE)),0)+IFERROR(IF(VLOOKUP($B7,'PW B-Flags'!$B$5:$AI$24,14,FALSE)=" ",0,VLOOKUP($B7,'PW B-Flags'!$B$5:$AI$24,14,FALSE)),0)+IFERROR(IF(VLOOKUP($B7,'PW B-Breakaway'!$B$5:$AI$24,14,FALSE)=" ",0,VLOOKUP($B7,'PW B-Breakaway'!$B$5:$AI$24,14,FALSE)),0)+IFERROR(IF(VLOOKUP($B7,'PW B-Steer Daubing'!$B$5:$AI$24,14,FALSE)=" ",0,VLOOKUP($B7,'PW B-Steer Daubing'!$B$5:$AI$24,14,FALSE)),0)</f>
        <v>27</v>
      </c>
      <c r="J7" s="95">
        <f t="shared" si="4"/>
        <v>27</v>
      </c>
      <c r="K7" s="91">
        <f t="shared" si="5"/>
        <v>4</v>
      </c>
      <c r="L7" s="121">
        <f>IFERROR(IF(VLOOKUP($B7,'PW B-Calf Riding'!$B$5:$AI$24,18,FALSE)=" ",0,VLOOKUP($B7,'PW B-Calf Riding'!$B$5:$AI$24,18,FALSE)),0)+IFERROR(IF(VLOOKUP($B7,'PW B-Goats'!$B$5:$AI$24,18,FALSE)=" ",0,VLOOKUP($B7,'PW B-Goats'!$B$5:$AI$24,18,FALSE)),0)+IFERROR(IF(VLOOKUP($B7,'PW B-Flags'!$B$5:$AI$24,18,FALSE)=" ",0,VLOOKUP($B7,'PW B-Flags'!$B$5:$AI$24,18,FALSE)),0)+IFERROR(IF(VLOOKUP($B7,'PW B-Breakaway'!$B$5:$AI$24,18,FALSE)=" ",0,VLOOKUP($B7,'PW B-Breakaway'!$B$5:$AI$24,18,FALSE)),0)+IFERROR(IF(VLOOKUP($B7,'PW B-Steer Daubing'!$B$5:$AI$24,18,FALSE)=" ",0,VLOOKUP($B7,'PW B-Steer Daubing'!$B$5:$AI$24,18,FALSE)),0)</f>
        <v>15</v>
      </c>
      <c r="M7" s="95">
        <f t="shared" si="6"/>
        <v>15</v>
      </c>
      <c r="N7" s="91">
        <f t="shared" si="7"/>
        <v>5</v>
      </c>
      <c r="O7" s="121">
        <f>IFERROR(IF(VLOOKUP($B7,'PW B-Calf Riding'!$B$5:$AI$24,22,FALSE)=" ",0,VLOOKUP($B7,'PW B-Calf Riding'!$B$5:$AI$24,22,FALSE)),0)+IFERROR(IF(VLOOKUP($B7,'PW B-Goats'!$B$5:$AI$24,22,FALSE)=" ",0,VLOOKUP($B7,'PW B-Goats'!$B$5:$AI$24,22,FALSE)),0)+IFERROR(IF(VLOOKUP($B7,'PW B-Flags'!$B$5:$AI$24,22,FALSE)=" ",0,VLOOKUP($B7,'PW B-Flags'!$B$5:$AI$24,22,FALSE)),0)+IFERROR(IF(VLOOKUP($B7,'PW B-Breakaway'!$B$5:$AI$24,22,FALSE)=" ",0,VLOOKUP($B7,'PW B-Breakaway'!$B$5:$AI$24,22,FALSE)),0)+IFERROR(IF(VLOOKUP($B7,'PW B-Steer Daubing'!$B$5:$AI$24,22,FALSE)=" ",0,VLOOKUP($B7,'PW B-Steer Daubing'!$B$5:$AI$24,22,FALSE)),0)</f>
        <v>48</v>
      </c>
      <c r="P7" s="95">
        <f t="shared" si="8"/>
        <v>48</v>
      </c>
      <c r="Q7" s="91">
        <f t="shared" si="9"/>
        <v>2</v>
      </c>
      <c r="R7" s="121">
        <f>IFERROR(IF(VLOOKUP($B7,'PW B-Calf Riding'!$B$5:$AI$24,26,FALSE)=" ",0,VLOOKUP($B7,'PW B-Calf Riding'!$B$5:$AI$24,26,FALSE)),0)+IFERROR(IF(VLOOKUP($B7,'PW B-Goats'!$B$5:$AI$24,26,FALSE)=" ",0,VLOOKUP($B7,'PW B-Goats'!$B$5:$AI$24,26,FALSE)),0)+IFERROR(IF(VLOOKUP($B7,'PW B-Flags'!$B$5:$AI$24,26,FALSE)=" ",0,VLOOKUP($B7,'PW B-Flags'!$B$5:$AI$24,26,FALSE)),0)+IFERROR(IF(VLOOKUP($B7,'PW B-Breakaway'!$B$5:$AI$24,26,FALSE)=" ",0,VLOOKUP($B7,'PW B-Breakaway'!$B$5:$AI$24,26,FALSE)),0)+IFERROR(IF(VLOOKUP($B7,'PW B-Steer Daubing'!$B$5:$AI$24,26,FALSE)=" ",0,VLOOKUP($B7,'PW B-Steer Daubing'!$B$5:$AI$24,26,FALSE)),0)</f>
        <v>12</v>
      </c>
      <c r="S7" s="95">
        <f t="shared" si="10"/>
        <v>12</v>
      </c>
      <c r="T7" s="91">
        <f t="shared" si="11"/>
        <v>8</v>
      </c>
      <c r="U7" s="121">
        <f>IFERROR(IF(VLOOKUP($B7,'PW B-Calf Riding'!$B$5:$AI$24,30,FALSE)=" ",0,VLOOKUP($B7,'PW B-Calf Riding'!$B$5:$AI$24,30,FALSE)),0)+IFERROR(IF(VLOOKUP($B7,'PW B-Goats'!$B$5:$AI$24,30,FALSE)=" ",0,VLOOKUP($B7,'PW B-Goats'!$B$5:$AI$24,30,FALSE)),0)+IFERROR(IF(VLOOKUP($B7,'PW B-Flags'!$B$5:$AI$24,30,FALSE)=" ",0,VLOOKUP($B7,'PW B-Flags'!$B$5:$AI$24,30,FALSE)),0)+IFERROR(IF(VLOOKUP($B7,'PW B-Breakaway'!$B$5:$AI$24,30,FALSE)=" ",0,VLOOKUP($B7,'PW B-Breakaway'!$B$5:$AI$24,30,FALSE)),0)+IFERROR(IF(VLOOKUP($B7,'PW B-Steer Daubing'!$B$5:$AI$24,30,FALSE)=" ",0,VLOOKUP($B7,'PW B-Steer Daubing'!$B$5:$AI$24,30,FALSE)),0)</f>
        <v>30</v>
      </c>
      <c r="V7" s="95">
        <f t="shared" si="12"/>
        <v>30</v>
      </c>
      <c r="W7" s="91">
        <f t="shared" si="13"/>
        <v>3</v>
      </c>
      <c r="X7" s="121">
        <f>IFERROR(IF(VLOOKUP($B7,'PW B-Calf Riding'!$B$5:$AI$24,34,FALSE)=" ",0,VLOOKUP($B7,'PW B-Calf Riding'!$B$5:$AI$24,34,FALSE)),0)+IFERROR(IF(VLOOKUP($B7,'PW B-Goats'!$B$5:$AI$24,34,FALSE)=" ",0,VLOOKUP($B7,'PW B-Goats'!$B$5:$AI$24,34,FALSE)),0)+IFERROR(IF(VLOOKUP($B7,'PW B-Flags'!$B$5:$AI$24,34,FALSE)=" ",0,VLOOKUP($B7,'PW B-Flags'!$B$5:$AI$24,34,FALSE)),0)+IFERROR(IF(VLOOKUP($B7,'PW B-Breakaway'!$B$5:$AI$24,34,FALSE)=" ",0,VLOOKUP($B7,'PW B-Breakaway'!$B$5:$AI$24,34,FALSE)),0)+IFERROR(IF(VLOOKUP($B7,'PW B-Steer Daubing'!$B$5:$AI$24,34,FALSE)=" ",0,VLOOKUP($B7,'PW B-Steer Daubing'!$B$5:$AI$24,34,FALSE)),0)</f>
        <v>21</v>
      </c>
      <c r="Y7" s="95">
        <f t="shared" si="14"/>
        <v>21</v>
      </c>
      <c r="Z7" s="91">
        <f t="shared" si="15"/>
        <v>6</v>
      </c>
      <c r="AA7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253.5</v>
      </c>
      <c r="AB7" s="95">
        <f t="shared" si="16"/>
        <v>253.5</v>
      </c>
      <c r="AC7" s="91">
        <f t="shared" si="17"/>
        <v>3</v>
      </c>
    </row>
    <row r="8" spans="2:29" x14ac:dyDescent="0.25">
      <c r="B8" s="154" t="s">
        <v>71</v>
      </c>
      <c r="C8" s="120">
        <f>IFERROR(IF(VLOOKUP($B8,'PW B-Calf Riding'!$B$5:$AI$24,6,FALSE)=" ",0,VLOOKUP($B8,'PW B-Calf Riding'!$B$5:$AI$24,6,FALSE)),0)+IFERROR(IF(VLOOKUP($B8,'PW B-Goats'!$B$5:$AI$24,6,FALSE)=" ",0,VLOOKUP($B8,'PW B-Goats'!$B$5:$AI$24,6,FALSE)),0)+IFERROR(IF(VLOOKUP($B8,'PW B-Flags'!$B$5:$AI$24,6,FALSE)=" ",0,VLOOKUP($B8,'PW B-Flags'!$B$5:$AI$24,6,FALSE)),0)+IFERROR(IF(VLOOKUP($B8,'PW B-Breakaway'!$B$5:$AI$24,6,FALSE)=" ",0,VLOOKUP($B8,'PW B-Breakaway'!$B$5:$AI$24,6,FALSE)),0)+IFERROR(IF(VLOOKUP($B8,'PW B-Steer Daubing'!$B$5:$AI$24,6,FALSE)=" ",0,VLOOKUP($B8,'PW B-Steer Daubing'!$B$5:$AI$24,6,FALSE)),0)</f>
        <v>12</v>
      </c>
      <c r="D8" s="95">
        <f t="shared" si="0"/>
        <v>12</v>
      </c>
      <c r="E8" s="91">
        <f t="shared" si="1"/>
        <v>9</v>
      </c>
      <c r="F8" s="121">
        <f>IFERROR(IF(VLOOKUP($B8,'PW B-Calf Riding'!$B$5:$AI$24,10,FALSE)=" ",0,VLOOKUP($B8,'PW B-Calf Riding'!$B$5:$AI$24,10,FALSE)),0)+IFERROR(IF(VLOOKUP($B8,'PW B-Goats'!$B$5:$AI$24,10,FALSE)=" ",0,VLOOKUP($B8,'PW B-Goats'!$B$5:$AI$24,10,FALSE)),0)+IFERROR(IF(VLOOKUP($B8,'PW B-Flags'!$B$5:$AI$24,10,FALSE)=" ",0,VLOOKUP($B8,'PW B-Flags'!$B$5:$AI$24,10,FALSE)),0)+IFERROR(IF(VLOOKUP($B8,'PW B-Breakaway'!$B$5:$AI$24,10,FALSE)=" ",0,VLOOKUP($B8,'PW B-Breakaway'!$B$5:$AI$24,10,FALSE)),0)+IFERROR(IF(VLOOKUP($B8,'PW B-Steer Daubing'!$B$5:$AI$24,10,FALSE)=" ",0,VLOOKUP($B8,'PW B-Steer Daubing'!$B$5:$AI$24,10,FALSE)),0)</f>
        <v>54</v>
      </c>
      <c r="G8" s="95">
        <f t="shared" si="2"/>
        <v>54</v>
      </c>
      <c r="H8" s="91">
        <f t="shared" si="3"/>
        <v>2</v>
      </c>
      <c r="I8" s="121">
        <f>IFERROR(IF(VLOOKUP($B8,'PW B-Calf Riding'!$B$5:$AI$24,14,FALSE)=" ",0,VLOOKUP($B8,'PW B-Calf Riding'!$B$5:$AI$24,14,FALSE)),0)+IFERROR(IF(VLOOKUP($B8,'PW B-Goats'!$B$5:$AI$24,14,FALSE)=" ",0,VLOOKUP($B8,'PW B-Goats'!$B$5:$AI$24,14,FALSE)),0)+IFERROR(IF(VLOOKUP($B8,'PW B-Flags'!$B$5:$AI$24,14,FALSE)=" ",0,VLOOKUP($B8,'PW B-Flags'!$B$5:$AI$24,14,FALSE)),0)+IFERROR(IF(VLOOKUP($B8,'PW B-Breakaway'!$B$5:$AI$24,14,FALSE)=" ",0,VLOOKUP($B8,'PW B-Breakaway'!$B$5:$AI$24,14,FALSE)),0)+IFERROR(IF(VLOOKUP($B8,'PW B-Steer Daubing'!$B$5:$AI$24,14,FALSE)=" ",0,VLOOKUP($B8,'PW B-Steer Daubing'!$B$5:$AI$24,14,FALSE)),0)</f>
        <v>36</v>
      </c>
      <c r="J8" s="95">
        <f t="shared" si="4"/>
        <v>36</v>
      </c>
      <c r="K8" s="91">
        <f t="shared" si="5"/>
        <v>3</v>
      </c>
      <c r="L8" s="121">
        <f>IFERROR(IF(VLOOKUP($B8,'PW B-Calf Riding'!$B$5:$AI$24,18,FALSE)=" ",0,VLOOKUP($B8,'PW B-Calf Riding'!$B$5:$AI$24,18,FALSE)),0)+IFERROR(IF(VLOOKUP($B8,'PW B-Goats'!$B$5:$AI$24,18,FALSE)=" ",0,VLOOKUP($B8,'PW B-Goats'!$B$5:$AI$24,18,FALSE)),0)+IFERROR(IF(VLOOKUP($B8,'PW B-Flags'!$B$5:$AI$24,18,FALSE)=" ",0,VLOOKUP($B8,'PW B-Flags'!$B$5:$AI$24,18,FALSE)),0)+IFERROR(IF(VLOOKUP($B8,'PW B-Breakaway'!$B$5:$AI$24,18,FALSE)=" ",0,VLOOKUP($B8,'PW B-Breakaway'!$B$5:$AI$24,18,FALSE)),0)+IFERROR(IF(VLOOKUP($B8,'PW B-Steer Daubing'!$B$5:$AI$24,18,FALSE)=" ",0,VLOOKUP($B8,'PW B-Steer Daubing'!$B$5:$AI$24,18,FALSE)),0)</f>
        <v>39</v>
      </c>
      <c r="M8" s="95">
        <f t="shared" si="6"/>
        <v>39</v>
      </c>
      <c r="N8" s="91">
        <f t="shared" si="7"/>
        <v>2</v>
      </c>
      <c r="O8" s="121">
        <f>IFERROR(IF(VLOOKUP($B8,'PW B-Calf Riding'!$B$5:$AI$24,22,FALSE)=" ",0,VLOOKUP($B8,'PW B-Calf Riding'!$B$5:$AI$24,22,FALSE)),0)+IFERROR(IF(VLOOKUP($B8,'PW B-Goats'!$B$5:$AI$24,22,FALSE)=" ",0,VLOOKUP($B8,'PW B-Goats'!$B$5:$AI$24,22,FALSE)),0)+IFERROR(IF(VLOOKUP($B8,'PW B-Flags'!$B$5:$AI$24,22,FALSE)=" ",0,VLOOKUP($B8,'PW B-Flags'!$B$5:$AI$24,22,FALSE)),0)+IFERROR(IF(VLOOKUP($B8,'PW B-Breakaway'!$B$5:$AI$24,22,FALSE)=" ",0,VLOOKUP($B8,'PW B-Breakaway'!$B$5:$AI$24,22,FALSE)),0)+IFERROR(IF(VLOOKUP($B8,'PW B-Steer Daubing'!$B$5:$AI$24,22,FALSE)=" ",0,VLOOKUP($B8,'PW B-Steer Daubing'!$B$5:$AI$24,22,FALSE)),0)</f>
        <v>18</v>
      </c>
      <c r="P8" s="95">
        <f t="shared" si="8"/>
        <v>18</v>
      </c>
      <c r="Q8" s="91">
        <f t="shared" si="9"/>
        <v>7</v>
      </c>
      <c r="R8" s="121">
        <f>IFERROR(IF(VLOOKUP($B8,'PW B-Calf Riding'!$B$5:$AI$24,26,FALSE)=" ",0,VLOOKUP($B8,'PW B-Calf Riding'!$B$5:$AI$24,26,FALSE)),0)+IFERROR(IF(VLOOKUP($B8,'PW B-Goats'!$B$5:$AI$24,26,FALSE)=" ",0,VLOOKUP($B8,'PW B-Goats'!$B$5:$AI$24,26,FALSE)),0)+IFERROR(IF(VLOOKUP($B8,'PW B-Flags'!$B$5:$AI$24,26,FALSE)=" ",0,VLOOKUP($B8,'PW B-Flags'!$B$5:$AI$24,26,FALSE)),0)+IFERROR(IF(VLOOKUP($B8,'PW B-Breakaway'!$B$5:$AI$24,26,FALSE)=" ",0,VLOOKUP($B8,'PW B-Breakaway'!$B$5:$AI$24,26,FALSE)),0)+IFERROR(IF(VLOOKUP($B8,'PW B-Steer Daubing'!$B$5:$AI$24,26,FALSE)=" ",0,VLOOKUP($B8,'PW B-Steer Daubing'!$B$5:$AI$24,26,FALSE)),0)</f>
        <v>21</v>
      </c>
      <c r="S8" s="95">
        <f t="shared" si="10"/>
        <v>21</v>
      </c>
      <c r="T8" s="91">
        <f t="shared" si="11"/>
        <v>5</v>
      </c>
      <c r="U8" s="121">
        <f>IFERROR(IF(VLOOKUP($B8,'PW B-Calf Riding'!$B$5:$AI$24,30,FALSE)=" ",0,VLOOKUP($B8,'PW B-Calf Riding'!$B$5:$AI$24,30,FALSE)),0)+IFERROR(IF(VLOOKUP($B8,'PW B-Goats'!$B$5:$AI$24,30,FALSE)=" ",0,VLOOKUP($B8,'PW B-Goats'!$B$5:$AI$24,30,FALSE)),0)+IFERROR(IF(VLOOKUP($B8,'PW B-Flags'!$B$5:$AI$24,30,FALSE)=" ",0,VLOOKUP($B8,'PW B-Flags'!$B$5:$AI$24,30,FALSE)),0)+IFERROR(IF(VLOOKUP($B8,'PW B-Breakaway'!$B$5:$AI$24,30,FALSE)=" ",0,VLOOKUP($B8,'PW B-Breakaway'!$B$5:$AI$24,30,FALSE)),0)+IFERROR(IF(VLOOKUP($B8,'PW B-Steer Daubing'!$B$5:$AI$24,30,FALSE)=" ",0,VLOOKUP($B8,'PW B-Steer Daubing'!$B$5:$AI$24,30,FALSE)),0)</f>
        <v>18</v>
      </c>
      <c r="V8" s="95">
        <f t="shared" si="12"/>
        <v>18</v>
      </c>
      <c r="W8" s="91">
        <f t="shared" si="13"/>
        <v>6</v>
      </c>
      <c r="X8" s="121">
        <f>IFERROR(IF(VLOOKUP($B8,'PW B-Calf Riding'!$B$5:$AI$24,34,FALSE)=" ",0,VLOOKUP($B8,'PW B-Calf Riding'!$B$5:$AI$24,34,FALSE)),0)+IFERROR(IF(VLOOKUP($B8,'PW B-Goats'!$B$5:$AI$24,34,FALSE)=" ",0,VLOOKUP($B8,'PW B-Goats'!$B$5:$AI$24,34,FALSE)),0)+IFERROR(IF(VLOOKUP($B8,'PW B-Flags'!$B$5:$AI$24,34,FALSE)=" ",0,VLOOKUP($B8,'PW B-Flags'!$B$5:$AI$24,34,FALSE)),0)+IFERROR(IF(VLOOKUP($B8,'PW B-Breakaway'!$B$5:$AI$24,34,FALSE)=" ",0,VLOOKUP($B8,'PW B-Breakaway'!$B$5:$AI$24,34,FALSE)),0)+IFERROR(IF(VLOOKUP($B8,'PW B-Steer Daubing'!$B$5:$AI$24,34,FALSE)=" ",0,VLOOKUP($B8,'PW B-Steer Daubing'!$B$5:$AI$24,34,FALSE)),0)</f>
        <v>6</v>
      </c>
      <c r="Y8" s="95">
        <f t="shared" si="14"/>
        <v>6</v>
      </c>
      <c r="Z8" s="91">
        <f t="shared" si="15"/>
        <v>10</v>
      </c>
      <c r="AA8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204</v>
      </c>
      <c r="AB8" s="95">
        <f t="shared" si="16"/>
        <v>204</v>
      </c>
      <c r="AC8" s="91">
        <f t="shared" si="17"/>
        <v>4</v>
      </c>
    </row>
    <row r="9" spans="2:29" x14ac:dyDescent="0.25">
      <c r="B9" s="154" t="s">
        <v>130</v>
      </c>
      <c r="C9" s="120">
        <f>IFERROR(IF(VLOOKUP($B9,'PW B-Calf Riding'!$B$5:$AI$24,6,FALSE)=" ",0,VLOOKUP($B9,'PW B-Calf Riding'!$B$5:$AI$24,6,FALSE)),0)+IFERROR(IF(VLOOKUP($B9,'PW B-Goats'!$B$5:$AI$24,6,FALSE)=" ",0,VLOOKUP($B9,'PW B-Goats'!$B$5:$AI$24,6,FALSE)),0)+IFERROR(IF(VLOOKUP($B9,'PW B-Flags'!$B$5:$AI$24,6,FALSE)=" ",0,VLOOKUP($B9,'PW B-Flags'!$B$5:$AI$24,6,FALSE)),0)+IFERROR(IF(VLOOKUP($B9,'PW B-Breakaway'!$B$5:$AI$24,6,FALSE)=" ",0,VLOOKUP($B9,'PW B-Breakaway'!$B$5:$AI$24,6,FALSE)),0)+IFERROR(IF(VLOOKUP($B9,'PW B-Steer Daubing'!$B$5:$AI$24,6,FALSE)=" ",0,VLOOKUP($B9,'PW B-Steer Daubing'!$B$5:$AI$24,6,FALSE)),0)</f>
        <v>0</v>
      </c>
      <c r="D9" s="95" t="str">
        <f t="shared" si="0"/>
        <v xml:space="preserve"> </v>
      </c>
      <c r="E9" s="91" t="str">
        <f t="shared" si="1"/>
        <v xml:space="preserve"> </v>
      </c>
      <c r="F9" s="121">
        <f>IFERROR(IF(VLOOKUP($B9,'PW B-Calf Riding'!$B$5:$AI$24,10,FALSE)=" ",0,VLOOKUP($B9,'PW B-Calf Riding'!$B$5:$AI$24,10,FALSE)),0)+IFERROR(IF(VLOOKUP($B9,'PW B-Goats'!$B$5:$AI$24,10,FALSE)=" ",0,VLOOKUP($B9,'PW B-Goats'!$B$5:$AI$24,10,FALSE)),0)+IFERROR(IF(VLOOKUP($B9,'PW B-Flags'!$B$5:$AI$24,10,FALSE)=" ",0,VLOOKUP($B9,'PW B-Flags'!$B$5:$AI$24,10,FALSE)),0)+IFERROR(IF(VLOOKUP($B9,'PW B-Breakaway'!$B$5:$AI$24,10,FALSE)=" ",0,VLOOKUP($B9,'PW B-Breakaway'!$B$5:$AI$24,10,FALSE)),0)+IFERROR(IF(VLOOKUP($B9,'PW B-Steer Daubing'!$B$5:$AI$24,10,FALSE)=" ",0,VLOOKUP($B9,'PW B-Steer Daubing'!$B$5:$AI$24,10,FALSE)),0)</f>
        <v>15</v>
      </c>
      <c r="G9" s="95">
        <f t="shared" si="2"/>
        <v>15</v>
      </c>
      <c r="H9" s="91">
        <f t="shared" si="3"/>
        <v>6</v>
      </c>
      <c r="I9" s="121">
        <f>IFERROR(IF(VLOOKUP($B9,'PW B-Calf Riding'!$B$5:$AI$24,14,FALSE)=" ",0,VLOOKUP($B9,'PW B-Calf Riding'!$B$5:$AI$24,14,FALSE)),0)+IFERROR(IF(VLOOKUP($B9,'PW B-Goats'!$B$5:$AI$24,14,FALSE)=" ",0,VLOOKUP($B9,'PW B-Goats'!$B$5:$AI$24,14,FALSE)),0)+IFERROR(IF(VLOOKUP($B9,'PW B-Flags'!$B$5:$AI$24,14,FALSE)=" ",0,VLOOKUP($B9,'PW B-Flags'!$B$5:$AI$24,14,FALSE)),0)+IFERROR(IF(VLOOKUP($B9,'PW B-Breakaway'!$B$5:$AI$24,14,FALSE)=" ",0,VLOOKUP($B9,'PW B-Breakaway'!$B$5:$AI$24,14,FALSE)),0)+IFERROR(IF(VLOOKUP($B9,'PW B-Steer Daubing'!$B$5:$AI$24,14,FALSE)=" ",0,VLOOKUP($B9,'PW B-Steer Daubing'!$B$5:$AI$24,14,FALSE)),0)</f>
        <v>22.5</v>
      </c>
      <c r="J9" s="95">
        <f t="shared" si="4"/>
        <v>22.5</v>
      </c>
      <c r="K9" s="91">
        <f t="shared" si="5"/>
        <v>5</v>
      </c>
      <c r="L9" s="121">
        <f>IFERROR(IF(VLOOKUP($B9,'PW B-Calf Riding'!$B$5:$AI$24,18,FALSE)=" ",0,VLOOKUP($B9,'PW B-Calf Riding'!$B$5:$AI$24,18,FALSE)),0)+IFERROR(IF(VLOOKUP($B9,'PW B-Goats'!$B$5:$AI$24,18,FALSE)=" ",0,VLOOKUP($B9,'PW B-Goats'!$B$5:$AI$24,18,FALSE)),0)+IFERROR(IF(VLOOKUP($B9,'PW B-Flags'!$B$5:$AI$24,18,FALSE)=" ",0,VLOOKUP($B9,'PW B-Flags'!$B$5:$AI$24,18,FALSE)),0)+IFERROR(IF(VLOOKUP($B9,'PW B-Breakaway'!$B$5:$AI$24,18,FALSE)=" ",0,VLOOKUP($B9,'PW B-Breakaway'!$B$5:$AI$24,18,FALSE)),0)+IFERROR(IF(VLOOKUP($B9,'PW B-Steer Daubing'!$B$5:$AI$24,18,FALSE)=" ",0,VLOOKUP($B9,'PW B-Steer Daubing'!$B$5:$AI$24,18,FALSE)),0)</f>
        <v>24</v>
      </c>
      <c r="M9" s="95">
        <f t="shared" si="6"/>
        <v>24</v>
      </c>
      <c r="N9" s="91">
        <f t="shared" si="7"/>
        <v>4</v>
      </c>
      <c r="O9" s="121">
        <f>IFERROR(IF(VLOOKUP($B9,'PW B-Calf Riding'!$B$5:$AI$24,22,FALSE)=" ",0,VLOOKUP($B9,'PW B-Calf Riding'!$B$5:$AI$24,22,FALSE)),0)+IFERROR(IF(VLOOKUP($B9,'PW B-Goats'!$B$5:$AI$24,22,FALSE)=" ",0,VLOOKUP($B9,'PW B-Goats'!$B$5:$AI$24,22,FALSE)),0)+IFERROR(IF(VLOOKUP($B9,'PW B-Flags'!$B$5:$AI$24,22,FALSE)=" ",0,VLOOKUP($B9,'PW B-Flags'!$B$5:$AI$24,22,FALSE)),0)+IFERROR(IF(VLOOKUP($B9,'PW B-Breakaway'!$B$5:$AI$24,22,FALSE)=" ",0,VLOOKUP($B9,'PW B-Breakaway'!$B$5:$AI$24,22,FALSE)),0)+IFERROR(IF(VLOOKUP($B9,'PW B-Steer Daubing'!$B$5:$AI$24,22,FALSE)=" ",0,VLOOKUP($B9,'PW B-Steer Daubing'!$B$5:$AI$24,22,FALSE)),0)</f>
        <v>30</v>
      </c>
      <c r="P9" s="95">
        <f t="shared" si="8"/>
        <v>30</v>
      </c>
      <c r="Q9" s="91">
        <f t="shared" si="9"/>
        <v>4</v>
      </c>
      <c r="R9" s="121">
        <f>IFERROR(IF(VLOOKUP($B9,'PW B-Calf Riding'!$B$5:$AI$24,26,FALSE)=" ",0,VLOOKUP($B9,'PW B-Calf Riding'!$B$5:$AI$24,26,FALSE)),0)+IFERROR(IF(VLOOKUP($B9,'PW B-Goats'!$B$5:$AI$24,26,FALSE)=" ",0,VLOOKUP($B9,'PW B-Goats'!$B$5:$AI$24,26,FALSE)),0)+IFERROR(IF(VLOOKUP($B9,'PW B-Flags'!$B$5:$AI$24,26,FALSE)=" ",0,VLOOKUP($B9,'PW B-Flags'!$B$5:$AI$24,26,FALSE)),0)+IFERROR(IF(VLOOKUP($B9,'PW B-Breakaway'!$B$5:$AI$24,26,FALSE)=" ",0,VLOOKUP($B9,'PW B-Breakaway'!$B$5:$AI$24,26,FALSE)),0)+IFERROR(IF(VLOOKUP($B9,'PW B-Steer Daubing'!$B$5:$AI$24,26,FALSE)=" ",0,VLOOKUP($B9,'PW B-Steer Daubing'!$B$5:$AI$24,26,FALSE)),0)</f>
        <v>30</v>
      </c>
      <c r="S9" s="95">
        <f t="shared" si="10"/>
        <v>30</v>
      </c>
      <c r="T9" s="91">
        <f t="shared" si="11"/>
        <v>3</v>
      </c>
      <c r="U9" s="121">
        <f>IFERROR(IF(VLOOKUP($B9,'PW B-Calf Riding'!$B$5:$AI$24,30,FALSE)=" ",0,VLOOKUP($B9,'PW B-Calf Riding'!$B$5:$AI$24,30,FALSE)),0)+IFERROR(IF(VLOOKUP($B9,'PW B-Goats'!$B$5:$AI$24,30,FALSE)=" ",0,VLOOKUP($B9,'PW B-Goats'!$B$5:$AI$24,30,FALSE)),0)+IFERROR(IF(VLOOKUP($B9,'PW B-Flags'!$B$5:$AI$24,30,FALSE)=" ",0,VLOOKUP($B9,'PW B-Flags'!$B$5:$AI$24,30,FALSE)),0)+IFERROR(IF(VLOOKUP($B9,'PW B-Breakaway'!$B$5:$AI$24,30,FALSE)=" ",0,VLOOKUP($B9,'PW B-Breakaway'!$B$5:$AI$24,30,FALSE)),0)+IFERROR(IF(VLOOKUP($B9,'PW B-Steer Daubing'!$B$5:$AI$24,30,FALSE)=" ",0,VLOOKUP($B9,'PW B-Steer Daubing'!$B$5:$AI$24,30,FALSE)),0)</f>
        <v>15</v>
      </c>
      <c r="V9" s="95">
        <f t="shared" si="12"/>
        <v>15</v>
      </c>
      <c r="W9" s="91">
        <f t="shared" si="13"/>
        <v>7</v>
      </c>
      <c r="X9" s="121">
        <f>IFERROR(IF(VLOOKUP($B9,'PW B-Calf Riding'!$B$5:$AI$24,34,FALSE)=" ",0,VLOOKUP($B9,'PW B-Calf Riding'!$B$5:$AI$24,34,FALSE)),0)+IFERROR(IF(VLOOKUP($B9,'PW B-Goats'!$B$5:$AI$24,34,FALSE)=" ",0,VLOOKUP($B9,'PW B-Goats'!$B$5:$AI$24,34,FALSE)),0)+IFERROR(IF(VLOOKUP($B9,'PW B-Flags'!$B$5:$AI$24,34,FALSE)=" ",0,VLOOKUP($B9,'PW B-Flags'!$B$5:$AI$24,34,FALSE)),0)+IFERROR(IF(VLOOKUP($B9,'PW B-Breakaway'!$B$5:$AI$24,34,FALSE)=" ",0,VLOOKUP($B9,'PW B-Breakaway'!$B$5:$AI$24,34,FALSE)),0)+IFERROR(IF(VLOOKUP($B9,'PW B-Steer Daubing'!$B$5:$AI$24,34,FALSE)=" ",0,VLOOKUP($B9,'PW B-Steer Daubing'!$B$5:$AI$24,34,FALSE)),0)</f>
        <v>30</v>
      </c>
      <c r="Y9" s="95">
        <f t="shared" si="14"/>
        <v>30</v>
      </c>
      <c r="Z9" s="91">
        <f t="shared" si="15"/>
        <v>4</v>
      </c>
      <c r="AA9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166.5</v>
      </c>
      <c r="AB9" s="95">
        <f t="shared" si="16"/>
        <v>166.5</v>
      </c>
      <c r="AC9" s="91">
        <f t="shared" si="17"/>
        <v>5</v>
      </c>
    </row>
    <row r="10" spans="2:29" x14ac:dyDescent="0.25">
      <c r="B10" s="141" t="s">
        <v>132</v>
      </c>
      <c r="C10" s="120">
        <f>IFERROR(IF(VLOOKUP($B10,'PW B-Calf Riding'!$B$5:$AI$24,6,FALSE)=" ",0,VLOOKUP($B10,'PW B-Calf Riding'!$B$5:$AI$24,6,FALSE)),0)+IFERROR(IF(VLOOKUP($B10,'PW B-Goats'!$B$5:$AI$24,6,FALSE)=" ",0,VLOOKUP($B10,'PW B-Goats'!$B$5:$AI$24,6,FALSE)),0)+IFERROR(IF(VLOOKUP($B10,'PW B-Flags'!$B$5:$AI$24,6,FALSE)=" ",0,VLOOKUP($B10,'PW B-Flags'!$B$5:$AI$24,6,FALSE)),0)+IFERROR(IF(VLOOKUP($B10,'PW B-Breakaway'!$B$5:$AI$24,6,FALSE)=" ",0,VLOOKUP($B10,'PW B-Breakaway'!$B$5:$AI$24,6,FALSE)),0)+IFERROR(IF(VLOOKUP($B10,'PW B-Steer Daubing'!$B$5:$AI$24,6,FALSE)=" ",0,VLOOKUP($B10,'PW B-Steer Daubing'!$B$5:$AI$24,6,FALSE)),0)</f>
        <v>18</v>
      </c>
      <c r="D10" s="95">
        <f t="shared" si="0"/>
        <v>18</v>
      </c>
      <c r="E10" s="91">
        <f t="shared" si="1"/>
        <v>6</v>
      </c>
      <c r="F10" s="121">
        <f>IFERROR(IF(VLOOKUP($B10,'PW B-Calf Riding'!$B$5:$AI$24,10,FALSE)=" ",0,VLOOKUP($B10,'PW B-Calf Riding'!$B$5:$AI$24,10,FALSE)),0)+IFERROR(IF(VLOOKUP($B10,'PW B-Goats'!$B$5:$AI$24,10,FALSE)=" ",0,VLOOKUP($B10,'PW B-Goats'!$B$5:$AI$24,10,FALSE)),0)+IFERROR(IF(VLOOKUP($B10,'PW B-Flags'!$B$5:$AI$24,10,FALSE)=" ",0,VLOOKUP($B10,'PW B-Flags'!$B$5:$AI$24,10,FALSE)),0)+IFERROR(IF(VLOOKUP($B10,'PW B-Breakaway'!$B$5:$AI$24,10,FALSE)=" ",0,VLOOKUP($B10,'PW B-Breakaway'!$B$5:$AI$24,10,FALSE)),0)+IFERROR(IF(VLOOKUP($B10,'PW B-Steer Daubing'!$B$5:$AI$24,10,FALSE)=" ",0,VLOOKUP($B10,'PW B-Steer Daubing'!$B$5:$AI$24,10,FALSE)),0)</f>
        <v>18</v>
      </c>
      <c r="G10" s="95">
        <f t="shared" si="2"/>
        <v>18</v>
      </c>
      <c r="H10" s="91">
        <f t="shared" si="3"/>
        <v>5</v>
      </c>
      <c r="I10" s="121">
        <f>IFERROR(IF(VLOOKUP($B10,'PW B-Calf Riding'!$B$5:$AI$24,14,FALSE)=" ",0,VLOOKUP($B10,'PW B-Calf Riding'!$B$5:$AI$24,14,FALSE)),0)+IFERROR(IF(VLOOKUP($B10,'PW B-Goats'!$B$5:$AI$24,14,FALSE)=" ",0,VLOOKUP($B10,'PW B-Goats'!$B$5:$AI$24,14,FALSE)),0)+IFERROR(IF(VLOOKUP($B10,'PW B-Flags'!$B$5:$AI$24,14,FALSE)=" ",0,VLOOKUP($B10,'PW B-Flags'!$B$5:$AI$24,14,FALSE)),0)+IFERROR(IF(VLOOKUP($B10,'PW B-Breakaway'!$B$5:$AI$24,14,FALSE)=" ",0,VLOOKUP($B10,'PW B-Breakaway'!$B$5:$AI$24,14,FALSE)),0)+IFERROR(IF(VLOOKUP($B10,'PW B-Steer Daubing'!$B$5:$AI$24,14,FALSE)=" ",0,VLOOKUP($B10,'PW B-Steer Daubing'!$B$5:$AI$24,14,FALSE)),0)</f>
        <v>15</v>
      </c>
      <c r="J10" s="95">
        <f t="shared" si="4"/>
        <v>15</v>
      </c>
      <c r="K10" s="91">
        <f t="shared" si="5"/>
        <v>6</v>
      </c>
      <c r="L10" s="121">
        <f>IFERROR(IF(VLOOKUP($B10,'PW B-Calf Riding'!$B$5:$AI$24,18,FALSE)=" ",0,VLOOKUP($B10,'PW B-Calf Riding'!$B$5:$AI$24,18,FALSE)),0)+IFERROR(IF(VLOOKUP($B10,'PW B-Goats'!$B$5:$AI$24,18,FALSE)=" ",0,VLOOKUP($B10,'PW B-Goats'!$B$5:$AI$24,18,FALSE)),0)+IFERROR(IF(VLOOKUP($B10,'PW B-Flags'!$B$5:$AI$24,18,FALSE)=" ",0,VLOOKUP($B10,'PW B-Flags'!$B$5:$AI$24,18,FALSE)),0)+IFERROR(IF(VLOOKUP($B10,'PW B-Breakaway'!$B$5:$AI$24,18,FALSE)=" ",0,VLOOKUP($B10,'PW B-Breakaway'!$B$5:$AI$24,18,FALSE)),0)+IFERROR(IF(VLOOKUP($B10,'PW B-Steer Daubing'!$B$5:$AI$24,18,FALSE)=" ",0,VLOOKUP($B10,'PW B-Steer Daubing'!$B$5:$AI$24,18,FALSE)),0)</f>
        <v>6</v>
      </c>
      <c r="M10" s="95">
        <f t="shared" si="6"/>
        <v>6</v>
      </c>
      <c r="N10" s="91">
        <f t="shared" si="7"/>
        <v>7</v>
      </c>
      <c r="O10" s="121">
        <f>IFERROR(IF(VLOOKUP($B10,'PW B-Calf Riding'!$B$5:$AI$24,22,FALSE)=" ",0,VLOOKUP($B10,'PW B-Calf Riding'!$B$5:$AI$24,22,FALSE)),0)+IFERROR(IF(VLOOKUP($B10,'PW B-Goats'!$B$5:$AI$24,22,FALSE)=" ",0,VLOOKUP($B10,'PW B-Goats'!$B$5:$AI$24,22,FALSE)),0)+IFERROR(IF(VLOOKUP($B10,'PW B-Flags'!$B$5:$AI$24,22,FALSE)=" ",0,VLOOKUP($B10,'PW B-Flags'!$B$5:$AI$24,22,FALSE)),0)+IFERROR(IF(VLOOKUP($B10,'PW B-Breakaway'!$B$5:$AI$24,22,FALSE)=" ",0,VLOOKUP($B10,'PW B-Breakaway'!$B$5:$AI$24,22,FALSE)),0)+IFERROR(IF(VLOOKUP($B10,'PW B-Steer Daubing'!$B$5:$AI$24,22,FALSE)=" ",0,VLOOKUP($B10,'PW B-Steer Daubing'!$B$5:$AI$24,22,FALSE)),0)</f>
        <v>21</v>
      </c>
      <c r="P10" s="95">
        <f t="shared" si="8"/>
        <v>21</v>
      </c>
      <c r="Q10" s="91">
        <f t="shared" si="9"/>
        <v>5</v>
      </c>
      <c r="R10" s="121">
        <f>IFERROR(IF(VLOOKUP($B10,'PW B-Calf Riding'!$B$5:$AI$24,26,FALSE)=" ",0,VLOOKUP($B10,'PW B-Calf Riding'!$B$5:$AI$24,26,FALSE)),0)+IFERROR(IF(VLOOKUP($B10,'PW B-Goats'!$B$5:$AI$24,26,FALSE)=" ",0,VLOOKUP($B10,'PW B-Goats'!$B$5:$AI$24,26,FALSE)),0)+IFERROR(IF(VLOOKUP($B10,'PW B-Flags'!$B$5:$AI$24,26,FALSE)=" ",0,VLOOKUP($B10,'PW B-Flags'!$B$5:$AI$24,26,FALSE)),0)+IFERROR(IF(VLOOKUP($B10,'PW B-Breakaway'!$B$5:$AI$24,26,FALSE)=" ",0,VLOOKUP($B10,'PW B-Breakaway'!$B$5:$AI$24,26,FALSE)),0)+IFERROR(IF(VLOOKUP($B10,'PW B-Steer Daubing'!$B$5:$AI$24,26,FALSE)=" ",0,VLOOKUP($B10,'PW B-Steer Daubing'!$B$5:$AI$24,26,FALSE)),0)</f>
        <v>19.5</v>
      </c>
      <c r="S10" s="95">
        <f t="shared" si="10"/>
        <v>19.5</v>
      </c>
      <c r="T10" s="91">
        <f t="shared" si="11"/>
        <v>6</v>
      </c>
      <c r="U10" s="121">
        <f>IFERROR(IF(VLOOKUP($B10,'PW B-Calf Riding'!$B$5:$AI$24,30,FALSE)=" ",0,VLOOKUP($B10,'PW B-Calf Riding'!$B$5:$AI$24,30,FALSE)),0)+IFERROR(IF(VLOOKUP($B10,'PW B-Goats'!$B$5:$AI$24,30,FALSE)=" ",0,VLOOKUP($B10,'PW B-Goats'!$B$5:$AI$24,30,FALSE)),0)+IFERROR(IF(VLOOKUP($B10,'PW B-Flags'!$B$5:$AI$24,30,FALSE)=" ",0,VLOOKUP($B10,'PW B-Flags'!$B$5:$AI$24,30,FALSE)),0)+IFERROR(IF(VLOOKUP($B10,'PW B-Breakaway'!$B$5:$AI$24,30,FALSE)=" ",0,VLOOKUP($B10,'PW B-Breakaway'!$B$5:$AI$24,30,FALSE)),0)+IFERROR(IF(VLOOKUP($B10,'PW B-Steer Daubing'!$B$5:$AI$24,30,FALSE)=" ",0,VLOOKUP($B10,'PW B-Steer Daubing'!$B$5:$AI$24,30,FALSE)),0)</f>
        <v>21</v>
      </c>
      <c r="V10" s="95">
        <f t="shared" si="12"/>
        <v>21</v>
      </c>
      <c r="W10" s="91">
        <f t="shared" si="13"/>
        <v>5</v>
      </c>
      <c r="X10" s="121">
        <f>IFERROR(IF(VLOOKUP($B10,'PW B-Calf Riding'!$B$5:$AI$24,34,FALSE)=" ",0,VLOOKUP($B10,'PW B-Calf Riding'!$B$5:$AI$24,34,FALSE)),0)+IFERROR(IF(VLOOKUP($B10,'PW B-Goats'!$B$5:$AI$24,34,FALSE)=" ",0,VLOOKUP($B10,'PW B-Goats'!$B$5:$AI$24,34,FALSE)),0)+IFERROR(IF(VLOOKUP($B10,'PW B-Flags'!$B$5:$AI$24,34,FALSE)=" ",0,VLOOKUP($B10,'PW B-Flags'!$B$5:$AI$24,34,FALSE)),0)+IFERROR(IF(VLOOKUP($B10,'PW B-Breakaway'!$B$5:$AI$24,34,FALSE)=" ",0,VLOOKUP($B10,'PW B-Breakaway'!$B$5:$AI$24,34,FALSE)),0)+IFERROR(IF(VLOOKUP($B10,'PW B-Steer Daubing'!$B$5:$AI$24,34,FALSE)=" ",0,VLOOKUP($B10,'PW B-Steer Daubing'!$B$5:$AI$24,34,FALSE)),0)</f>
        <v>30</v>
      </c>
      <c r="Y10" s="95">
        <f t="shared" si="14"/>
        <v>30</v>
      </c>
      <c r="Z10" s="91">
        <f t="shared" si="15"/>
        <v>4</v>
      </c>
      <c r="AA10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148.5</v>
      </c>
      <c r="AB10" s="95">
        <f t="shared" si="16"/>
        <v>148.5</v>
      </c>
      <c r="AC10" s="91">
        <f t="shared" si="17"/>
        <v>6</v>
      </c>
    </row>
    <row r="11" spans="2:29" x14ac:dyDescent="0.25">
      <c r="B11" s="141" t="s">
        <v>220</v>
      </c>
      <c r="C11" s="120">
        <f>IFERROR(IF(VLOOKUP($B11,'PW B-Calf Riding'!$B$5:$AI$24,6,FALSE)=" ",0,VLOOKUP($B11,'PW B-Calf Riding'!$B$5:$AI$24,6,FALSE)),0)+IFERROR(IF(VLOOKUP($B11,'PW B-Goats'!$B$5:$AI$24,6,FALSE)=" ",0,VLOOKUP($B11,'PW B-Goats'!$B$5:$AI$24,6,FALSE)),0)+IFERROR(IF(VLOOKUP($B11,'PW B-Flags'!$B$5:$AI$24,6,FALSE)=" ",0,VLOOKUP($B11,'PW B-Flags'!$B$5:$AI$24,6,FALSE)),0)+IFERROR(IF(VLOOKUP($B11,'PW B-Breakaway'!$B$5:$AI$24,6,FALSE)=" ",0,VLOOKUP($B11,'PW B-Breakaway'!$B$5:$AI$24,6,FALSE)),0)+IFERROR(IF(VLOOKUP($B11,'PW B-Steer Daubing'!$B$5:$AI$24,6,FALSE)=" ",0,VLOOKUP($B11,'PW B-Steer Daubing'!$B$5:$AI$24,6,FALSE)),0)</f>
        <v>24</v>
      </c>
      <c r="D11" s="95">
        <f t="shared" si="0"/>
        <v>24</v>
      </c>
      <c r="E11" s="122">
        <f t="shared" si="1"/>
        <v>4</v>
      </c>
      <c r="F11" s="121">
        <f>IFERROR(IF(VLOOKUP($B11,'PW B-Calf Riding'!$B$5:$AI$24,10,FALSE)=" ",0,VLOOKUP($B11,'PW B-Calf Riding'!$B$5:$AI$24,10,FALSE)),0)+IFERROR(IF(VLOOKUP($B11,'PW B-Goats'!$B$5:$AI$24,10,FALSE)=" ",0,VLOOKUP($B11,'PW B-Goats'!$B$5:$AI$24,10,FALSE)),0)+IFERROR(IF(VLOOKUP($B11,'PW B-Flags'!$B$5:$AI$24,10,FALSE)=" ",0,VLOOKUP($B11,'PW B-Flags'!$B$5:$AI$24,10,FALSE)),0)+IFERROR(IF(VLOOKUP($B11,'PW B-Breakaway'!$B$5:$AI$24,10,FALSE)=" ",0,VLOOKUP($B11,'PW B-Breakaway'!$B$5:$AI$24,10,FALSE)),0)+IFERROR(IF(VLOOKUP($B11,'PW B-Steer Daubing'!$B$5:$AI$24,10,FALSE)=" ",0,VLOOKUP($B11,'PW B-Steer Daubing'!$B$5:$AI$24,10,FALSE)),0)</f>
        <v>0</v>
      </c>
      <c r="G11" s="95" t="str">
        <f t="shared" si="2"/>
        <v xml:space="preserve"> </v>
      </c>
      <c r="H11" s="122" t="str">
        <f t="shared" si="3"/>
        <v xml:space="preserve"> </v>
      </c>
      <c r="I11" s="121">
        <f>IFERROR(IF(VLOOKUP($B11,'PW B-Calf Riding'!$B$5:$AI$24,14,FALSE)=" ",0,VLOOKUP($B11,'PW B-Calf Riding'!$B$5:$AI$24,14,FALSE)),0)+IFERROR(IF(VLOOKUP($B11,'PW B-Goats'!$B$5:$AI$24,14,FALSE)=" ",0,VLOOKUP($B11,'PW B-Goats'!$B$5:$AI$24,14,FALSE)),0)+IFERROR(IF(VLOOKUP($B11,'PW B-Flags'!$B$5:$AI$24,14,FALSE)=" ",0,VLOOKUP($B11,'PW B-Flags'!$B$5:$AI$24,14,FALSE)),0)+IFERROR(IF(VLOOKUP($B11,'PW B-Breakaway'!$B$5:$AI$24,14,FALSE)=" ",0,VLOOKUP($B11,'PW B-Breakaway'!$B$5:$AI$24,14,FALSE)),0)+IFERROR(IF(VLOOKUP($B11,'PW B-Steer Daubing'!$B$5:$AI$24,14,FALSE)=" ",0,VLOOKUP($B11,'PW B-Steer Daubing'!$B$5:$AI$24,14,FALSE)),0)</f>
        <v>6</v>
      </c>
      <c r="J11" s="95">
        <f t="shared" si="4"/>
        <v>6</v>
      </c>
      <c r="K11" s="122">
        <f t="shared" si="5"/>
        <v>9</v>
      </c>
      <c r="L11" s="121">
        <f>IFERROR(IF(VLOOKUP($B11,'PW B-Calf Riding'!$B$5:$AI$24,18,FALSE)=" ",0,VLOOKUP($B11,'PW B-Calf Riding'!$B$5:$AI$24,18,FALSE)),0)+IFERROR(IF(VLOOKUP($B11,'PW B-Goats'!$B$5:$AI$24,18,FALSE)=" ",0,VLOOKUP($B11,'PW B-Goats'!$B$5:$AI$24,18,FALSE)),0)+IFERROR(IF(VLOOKUP($B11,'PW B-Flags'!$B$5:$AI$24,18,FALSE)=" ",0,VLOOKUP($B11,'PW B-Flags'!$B$5:$AI$24,18,FALSE)),0)+IFERROR(IF(VLOOKUP($B11,'PW B-Breakaway'!$B$5:$AI$24,18,FALSE)=" ",0,VLOOKUP($B11,'PW B-Breakaway'!$B$5:$AI$24,18,FALSE)),0)+IFERROR(IF(VLOOKUP($B11,'PW B-Steer Daubing'!$B$5:$AI$24,18,FALSE)=" ",0,VLOOKUP($B11,'PW B-Steer Daubing'!$B$5:$AI$24,18,FALSE)),0)</f>
        <v>30</v>
      </c>
      <c r="M11" s="95">
        <f t="shared" si="6"/>
        <v>30</v>
      </c>
      <c r="N11" s="122">
        <f t="shared" si="7"/>
        <v>3</v>
      </c>
      <c r="O11" s="121">
        <f>IFERROR(IF(VLOOKUP($B11,'PW B-Calf Riding'!$B$5:$AI$24,22,FALSE)=" ",0,VLOOKUP($B11,'PW B-Calf Riding'!$B$5:$AI$24,22,FALSE)),0)+IFERROR(IF(VLOOKUP($B11,'PW B-Goats'!$B$5:$AI$24,22,FALSE)=" ",0,VLOOKUP($B11,'PW B-Goats'!$B$5:$AI$24,22,FALSE)),0)+IFERROR(IF(VLOOKUP($B11,'PW B-Flags'!$B$5:$AI$24,22,FALSE)=" ",0,VLOOKUP($B11,'PW B-Flags'!$B$5:$AI$24,22,FALSE)),0)+IFERROR(IF(VLOOKUP($B11,'PW B-Breakaway'!$B$5:$AI$24,22,FALSE)=" ",0,VLOOKUP($B11,'PW B-Breakaway'!$B$5:$AI$24,22,FALSE)),0)+IFERROR(IF(VLOOKUP($B11,'PW B-Steer Daubing'!$B$5:$AI$24,22,FALSE)=" ",0,VLOOKUP($B11,'PW B-Steer Daubing'!$B$5:$AI$24,22,FALSE)),0)</f>
        <v>9</v>
      </c>
      <c r="P11" s="95">
        <f t="shared" si="8"/>
        <v>9</v>
      </c>
      <c r="Q11" s="122">
        <f t="shared" si="9"/>
        <v>8</v>
      </c>
      <c r="R11" s="121">
        <f>IFERROR(IF(VLOOKUP($B11,'PW B-Calf Riding'!$B$5:$AI$24,26,FALSE)=" ",0,VLOOKUP($B11,'PW B-Calf Riding'!$B$5:$AI$24,26,FALSE)),0)+IFERROR(IF(VLOOKUP($B11,'PW B-Goats'!$B$5:$AI$24,26,FALSE)=" ",0,VLOOKUP($B11,'PW B-Goats'!$B$5:$AI$24,26,FALSE)),0)+IFERROR(IF(VLOOKUP($B11,'PW B-Flags'!$B$5:$AI$24,26,FALSE)=" ",0,VLOOKUP($B11,'PW B-Flags'!$B$5:$AI$24,26,FALSE)),0)+IFERROR(IF(VLOOKUP($B11,'PW B-Breakaway'!$B$5:$AI$24,26,FALSE)=" ",0,VLOOKUP($B11,'PW B-Breakaway'!$B$5:$AI$24,26,FALSE)),0)+IFERROR(IF(VLOOKUP($B11,'PW B-Steer Daubing'!$B$5:$AI$24,26,FALSE)=" ",0,VLOOKUP($B11,'PW B-Steer Daubing'!$B$5:$AI$24,26,FALSE)),0)</f>
        <v>9</v>
      </c>
      <c r="S11" s="95">
        <f t="shared" si="10"/>
        <v>9</v>
      </c>
      <c r="T11" s="122">
        <f t="shared" si="11"/>
        <v>9</v>
      </c>
      <c r="U11" s="121">
        <f>IFERROR(IF(VLOOKUP($B11,'PW B-Calf Riding'!$B$5:$AI$24,30,FALSE)=" ",0,VLOOKUP($B11,'PW B-Calf Riding'!$B$5:$AI$24,30,FALSE)),0)+IFERROR(IF(VLOOKUP($B11,'PW B-Goats'!$B$5:$AI$24,30,FALSE)=" ",0,VLOOKUP($B11,'PW B-Goats'!$B$5:$AI$24,30,FALSE)),0)+IFERROR(IF(VLOOKUP($B11,'PW B-Flags'!$B$5:$AI$24,30,FALSE)=" ",0,VLOOKUP($B11,'PW B-Flags'!$B$5:$AI$24,30,FALSE)),0)+IFERROR(IF(VLOOKUP($B11,'PW B-Breakaway'!$B$5:$AI$24,30,FALSE)=" ",0,VLOOKUP($B11,'PW B-Breakaway'!$B$5:$AI$24,30,FALSE)),0)+IFERROR(IF(VLOOKUP($B11,'PW B-Steer Daubing'!$B$5:$AI$24,30,FALSE)=" ",0,VLOOKUP($B11,'PW B-Steer Daubing'!$B$5:$AI$24,30,FALSE)),0)</f>
        <v>24</v>
      </c>
      <c r="V11" s="95">
        <f t="shared" si="12"/>
        <v>24</v>
      </c>
      <c r="W11" s="122">
        <f t="shared" si="13"/>
        <v>4</v>
      </c>
      <c r="X11" s="121">
        <f>IFERROR(IF(VLOOKUP($B11,'PW B-Calf Riding'!$B$5:$AI$24,34,FALSE)=" ",0,VLOOKUP($B11,'PW B-Calf Riding'!$B$5:$AI$24,34,FALSE)),0)+IFERROR(IF(VLOOKUP($B11,'PW B-Goats'!$B$5:$AI$24,34,FALSE)=" ",0,VLOOKUP($B11,'PW B-Goats'!$B$5:$AI$24,34,FALSE)),0)+IFERROR(IF(VLOOKUP($B11,'PW B-Flags'!$B$5:$AI$24,34,FALSE)=" ",0,VLOOKUP($B11,'PW B-Flags'!$B$5:$AI$24,34,FALSE)),0)+IFERROR(IF(VLOOKUP($B11,'PW B-Breakaway'!$B$5:$AI$24,34,FALSE)=" ",0,VLOOKUP($B11,'PW B-Breakaway'!$B$5:$AI$24,34,FALSE)),0)+IFERROR(IF(VLOOKUP($B11,'PW B-Steer Daubing'!$B$5:$AI$24,34,FALSE)=" ",0,VLOOKUP($B11,'PW B-Steer Daubing'!$B$5:$AI$24,34,FALSE)),0)</f>
        <v>33</v>
      </c>
      <c r="Y11" s="95">
        <f t="shared" si="14"/>
        <v>33</v>
      </c>
      <c r="Z11" s="122">
        <f t="shared" si="15"/>
        <v>3</v>
      </c>
      <c r="AA11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135</v>
      </c>
      <c r="AB11" s="95">
        <f t="shared" si="16"/>
        <v>135</v>
      </c>
      <c r="AC11" s="122">
        <f t="shared" si="17"/>
        <v>7</v>
      </c>
    </row>
    <row r="12" spans="2:29" x14ac:dyDescent="0.25">
      <c r="B12" s="154" t="s">
        <v>133</v>
      </c>
      <c r="C12" s="120">
        <f>IFERROR(IF(VLOOKUP($B12,'PW B-Calf Riding'!$B$5:$AI$24,6,FALSE)=" ",0,VLOOKUP($B12,'PW B-Calf Riding'!$B$5:$AI$24,6,FALSE)),0)+IFERROR(IF(VLOOKUP($B12,'PW B-Goats'!$B$5:$AI$24,6,FALSE)=" ",0,VLOOKUP($B12,'PW B-Goats'!$B$5:$AI$24,6,FALSE)),0)+IFERROR(IF(VLOOKUP($B12,'PW B-Flags'!$B$5:$AI$24,6,FALSE)=" ",0,VLOOKUP($B12,'PW B-Flags'!$B$5:$AI$24,6,FALSE)),0)+IFERROR(IF(VLOOKUP($B12,'PW B-Breakaway'!$B$5:$AI$24,6,FALSE)=" ",0,VLOOKUP($B12,'PW B-Breakaway'!$B$5:$AI$24,6,FALSE)),0)+IFERROR(IF(VLOOKUP($B12,'PW B-Steer Daubing'!$B$5:$AI$24,6,FALSE)=" ",0,VLOOKUP($B12,'PW B-Steer Daubing'!$B$5:$AI$24,6,FALSE)),0)</f>
        <v>15</v>
      </c>
      <c r="D12" s="95">
        <f t="shared" si="0"/>
        <v>15</v>
      </c>
      <c r="E12" s="91">
        <f t="shared" si="1"/>
        <v>8</v>
      </c>
      <c r="F12" s="121">
        <f>IFERROR(IF(VLOOKUP($B12,'PW B-Calf Riding'!$B$5:$AI$24,10,FALSE)=" ",0,VLOOKUP($B12,'PW B-Calf Riding'!$B$5:$AI$24,10,FALSE)),0)+IFERROR(IF(VLOOKUP($B12,'PW B-Goats'!$B$5:$AI$24,10,FALSE)=" ",0,VLOOKUP($B12,'PW B-Goats'!$B$5:$AI$24,10,FALSE)),0)+IFERROR(IF(VLOOKUP($B12,'PW B-Flags'!$B$5:$AI$24,10,FALSE)=" ",0,VLOOKUP($B12,'PW B-Flags'!$B$5:$AI$24,10,FALSE)),0)+IFERROR(IF(VLOOKUP($B12,'PW B-Breakaway'!$B$5:$AI$24,10,FALSE)=" ",0,VLOOKUP($B12,'PW B-Breakaway'!$B$5:$AI$24,10,FALSE)),0)+IFERROR(IF(VLOOKUP($B12,'PW B-Steer Daubing'!$B$5:$AI$24,10,FALSE)=" ",0,VLOOKUP($B12,'PW B-Steer Daubing'!$B$5:$AI$24,10,FALSE)),0)</f>
        <v>19.5</v>
      </c>
      <c r="G12" s="95">
        <f t="shared" si="2"/>
        <v>19.5</v>
      </c>
      <c r="H12" s="91">
        <f t="shared" si="3"/>
        <v>4</v>
      </c>
      <c r="I12" s="121">
        <f>IFERROR(IF(VLOOKUP($B12,'PW B-Calf Riding'!$B$5:$AI$24,14,FALSE)=" ",0,VLOOKUP($B12,'PW B-Calf Riding'!$B$5:$AI$24,14,FALSE)),0)+IFERROR(IF(VLOOKUP($B12,'PW B-Goats'!$B$5:$AI$24,14,FALSE)=" ",0,VLOOKUP($B12,'PW B-Goats'!$B$5:$AI$24,14,FALSE)),0)+IFERROR(IF(VLOOKUP($B12,'PW B-Flags'!$B$5:$AI$24,14,FALSE)=" ",0,VLOOKUP($B12,'PW B-Flags'!$B$5:$AI$24,14,FALSE)),0)+IFERROR(IF(VLOOKUP($B12,'PW B-Breakaway'!$B$5:$AI$24,14,FALSE)=" ",0,VLOOKUP($B12,'PW B-Breakaway'!$B$5:$AI$24,14,FALSE)),0)+IFERROR(IF(VLOOKUP($B12,'PW B-Steer Daubing'!$B$5:$AI$24,14,FALSE)=" ",0,VLOOKUP($B12,'PW B-Steer Daubing'!$B$5:$AI$24,14,FALSE)),0)</f>
        <v>13.5</v>
      </c>
      <c r="J12" s="95">
        <f t="shared" si="4"/>
        <v>13.5</v>
      </c>
      <c r="K12" s="91">
        <f t="shared" si="5"/>
        <v>8</v>
      </c>
      <c r="L12" s="121">
        <f>IFERROR(IF(VLOOKUP($B12,'PW B-Calf Riding'!$B$5:$AI$24,18,FALSE)=" ",0,VLOOKUP($B12,'PW B-Calf Riding'!$B$5:$AI$24,18,FALSE)),0)+IFERROR(IF(VLOOKUP($B12,'PW B-Goats'!$B$5:$AI$24,18,FALSE)=" ",0,VLOOKUP($B12,'PW B-Goats'!$B$5:$AI$24,18,FALSE)),0)+IFERROR(IF(VLOOKUP($B12,'PW B-Flags'!$B$5:$AI$24,18,FALSE)=" ",0,VLOOKUP($B12,'PW B-Flags'!$B$5:$AI$24,18,FALSE)),0)+IFERROR(IF(VLOOKUP($B12,'PW B-Breakaway'!$B$5:$AI$24,18,FALSE)=" ",0,VLOOKUP($B12,'PW B-Breakaway'!$B$5:$AI$24,18,FALSE)),0)+IFERROR(IF(VLOOKUP($B12,'PW B-Steer Daubing'!$B$5:$AI$24,18,FALSE)=" ",0,VLOOKUP($B12,'PW B-Steer Daubing'!$B$5:$AI$24,18,FALSE)),0)</f>
        <v>9</v>
      </c>
      <c r="M12" s="95">
        <f t="shared" si="6"/>
        <v>9</v>
      </c>
      <c r="N12" s="91">
        <f t="shared" si="7"/>
        <v>6</v>
      </c>
      <c r="O12" s="121">
        <f>IFERROR(IF(VLOOKUP($B12,'PW B-Calf Riding'!$B$5:$AI$24,22,FALSE)=" ",0,VLOOKUP($B12,'PW B-Calf Riding'!$B$5:$AI$24,22,FALSE)),0)+IFERROR(IF(VLOOKUP($B12,'PW B-Goats'!$B$5:$AI$24,22,FALSE)=" ",0,VLOOKUP($B12,'PW B-Goats'!$B$5:$AI$24,22,FALSE)),0)+IFERROR(IF(VLOOKUP($B12,'PW B-Flags'!$B$5:$AI$24,22,FALSE)=" ",0,VLOOKUP($B12,'PW B-Flags'!$B$5:$AI$24,22,FALSE)),0)+IFERROR(IF(VLOOKUP($B12,'PW B-Breakaway'!$B$5:$AI$24,22,FALSE)=" ",0,VLOOKUP($B12,'PW B-Breakaway'!$B$5:$AI$24,22,FALSE)),0)+IFERROR(IF(VLOOKUP($B12,'PW B-Steer Daubing'!$B$5:$AI$24,22,FALSE)=" ",0,VLOOKUP($B12,'PW B-Steer Daubing'!$B$5:$AI$24,22,FALSE)),0)</f>
        <v>0</v>
      </c>
      <c r="P12" s="95" t="str">
        <f t="shared" si="8"/>
        <v xml:space="preserve"> </v>
      </c>
      <c r="Q12" s="91" t="str">
        <f t="shared" si="9"/>
        <v xml:space="preserve"> </v>
      </c>
      <c r="R12" s="121">
        <f>IFERROR(IF(VLOOKUP($B12,'PW B-Calf Riding'!$B$5:$AI$24,26,FALSE)=" ",0,VLOOKUP($B12,'PW B-Calf Riding'!$B$5:$AI$24,26,FALSE)),0)+IFERROR(IF(VLOOKUP($B12,'PW B-Goats'!$B$5:$AI$24,26,FALSE)=" ",0,VLOOKUP($B12,'PW B-Goats'!$B$5:$AI$24,26,FALSE)),0)+IFERROR(IF(VLOOKUP($B12,'PW B-Flags'!$B$5:$AI$24,26,FALSE)=" ",0,VLOOKUP($B12,'PW B-Flags'!$B$5:$AI$24,26,FALSE)),0)+IFERROR(IF(VLOOKUP($B12,'PW B-Breakaway'!$B$5:$AI$24,26,FALSE)=" ",0,VLOOKUP($B12,'PW B-Breakaway'!$B$5:$AI$24,26,FALSE)),0)+IFERROR(IF(VLOOKUP($B12,'PW B-Steer Daubing'!$B$5:$AI$24,26,FALSE)=" ",0,VLOOKUP($B12,'PW B-Steer Daubing'!$B$5:$AI$24,26,FALSE)),0)</f>
        <v>27</v>
      </c>
      <c r="S12" s="95">
        <f t="shared" si="10"/>
        <v>27</v>
      </c>
      <c r="T12" s="91">
        <f t="shared" si="11"/>
        <v>4</v>
      </c>
      <c r="U12" s="121">
        <f>IFERROR(IF(VLOOKUP($B12,'PW B-Calf Riding'!$B$5:$AI$24,30,FALSE)=" ",0,VLOOKUP($B12,'PW B-Calf Riding'!$B$5:$AI$24,30,FALSE)),0)+IFERROR(IF(VLOOKUP($B12,'PW B-Goats'!$B$5:$AI$24,30,FALSE)=" ",0,VLOOKUP($B12,'PW B-Goats'!$B$5:$AI$24,30,FALSE)),0)+IFERROR(IF(VLOOKUP($B12,'PW B-Flags'!$B$5:$AI$24,30,FALSE)=" ",0,VLOOKUP($B12,'PW B-Flags'!$B$5:$AI$24,30,FALSE)),0)+IFERROR(IF(VLOOKUP($B12,'PW B-Breakaway'!$B$5:$AI$24,30,FALSE)=" ",0,VLOOKUP($B12,'PW B-Breakaway'!$B$5:$AI$24,30,FALSE)),0)+IFERROR(IF(VLOOKUP($B12,'PW B-Steer Daubing'!$B$5:$AI$24,30,FALSE)=" ",0,VLOOKUP($B12,'PW B-Steer Daubing'!$B$5:$AI$24,30,FALSE)),0)</f>
        <v>6</v>
      </c>
      <c r="V12" s="95">
        <f t="shared" si="12"/>
        <v>6</v>
      </c>
      <c r="W12" s="91">
        <f t="shared" si="13"/>
        <v>11</v>
      </c>
      <c r="X12" s="121">
        <f>IFERROR(IF(VLOOKUP($B12,'PW B-Calf Riding'!$B$5:$AI$24,34,FALSE)=" ",0,VLOOKUP($B12,'PW B-Calf Riding'!$B$5:$AI$24,34,FALSE)),0)+IFERROR(IF(VLOOKUP($B12,'PW B-Goats'!$B$5:$AI$24,34,FALSE)=" ",0,VLOOKUP($B12,'PW B-Goats'!$B$5:$AI$24,34,FALSE)),0)+IFERROR(IF(VLOOKUP($B12,'PW B-Flags'!$B$5:$AI$24,34,FALSE)=" ",0,VLOOKUP($B12,'PW B-Flags'!$B$5:$AI$24,34,FALSE)),0)+IFERROR(IF(VLOOKUP($B12,'PW B-Breakaway'!$B$5:$AI$24,34,FALSE)=" ",0,VLOOKUP($B12,'PW B-Breakaway'!$B$5:$AI$24,34,FALSE)),0)+IFERROR(IF(VLOOKUP($B12,'PW B-Steer Daubing'!$B$5:$AI$24,34,FALSE)=" ",0,VLOOKUP($B12,'PW B-Steer Daubing'!$B$5:$AI$24,34,FALSE)),0)</f>
        <v>18</v>
      </c>
      <c r="Y12" s="95">
        <f t="shared" si="14"/>
        <v>18</v>
      </c>
      <c r="Z12" s="91">
        <f t="shared" si="15"/>
        <v>7</v>
      </c>
      <c r="AA12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108</v>
      </c>
      <c r="AB12" s="95">
        <f t="shared" si="16"/>
        <v>108</v>
      </c>
      <c r="AC12" s="91">
        <f t="shared" si="17"/>
        <v>8</v>
      </c>
    </row>
    <row r="13" spans="2:29" x14ac:dyDescent="0.25">
      <c r="B13" s="141" t="s">
        <v>140</v>
      </c>
      <c r="C13" s="120">
        <f>IFERROR(IF(VLOOKUP($B13,'PW B-Calf Riding'!$B$5:$AI$24,6,FALSE)=" ",0,VLOOKUP($B13,'PW B-Calf Riding'!$B$5:$AI$24,6,FALSE)),0)+IFERROR(IF(VLOOKUP($B13,'PW B-Goats'!$B$5:$AI$24,6,FALSE)=" ",0,VLOOKUP($B13,'PW B-Goats'!$B$5:$AI$24,6,FALSE)),0)+IFERROR(IF(VLOOKUP($B13,'PW B-Flags'!$B$5:$AI$24,6,FALSE)=" ",0,VLOOKUP($B13,'PW B-Flags'!$B$5:$AI$24,6,FALSE)),0)+IFERROR(IF(VLOOKUP($B13,'PW B-Breakaway'!$B$5:$AI$24,6,FALSE)=" ",0,VLOOKUP($B13,'PW B-Breakaway'!$B$5:$AI$24,6,FALSE)),0)+IFERROR(IF(VLOOKUP($B13,'PW B-Steer Daubing'!$B$5:$AI$24,6,FALSE)=" ",0,VLOOKUP($B13,'PW B-Steer Daubing'!$B$5:$AI$24,6,FALSE)),0)</f>
        <v>21</v>
      </c>
      <c r="D13" s="95">
        <f t="shared" si="0"/>
        <v>21</v>
      </c>
      <c r="E13" s="91">
        <f t="shared" si="1"/>
        <v>5</v>
      </c>
      <c r="F13" s="121">
        <f>IFERROR(IF(VLOOKUP($B13,'PW B-Calf Riding'!$B$5:$AI$24,10,FALSE)=" ",0,VLOOKUP($B13,'PW B-Calf Riding'!$B$5:$AI$24,10,FALSE)),0)+IFERROR(IF(VLOOKUP($B13,'PW B-Goats'!$B$5:$AI$24,10,FALSE)=" ",0,VLOOKUP($B13,'PW B-Goats'!$B$5:$AI$24,10,FALSE)),0)+IFERROR(IF(VLOOKUP($B13,'PW B-Flags'!$B$5:$AI$24,10,FALSE)=" ",0,VLOOKUP($B13,'PW B-Flags'!$B$5:$AI$24,10,FALSE)),0)+IFERROR(IF(VLOOKUP($B13,'PW B-Breakaway'!$B$5:$AI$24,10,FALSE)=" ",0,VLOOKUP($B13,'PW B-Breakaway'!$B$5:$AI$24,10,FALSE)),0)+IFERROR(IF(VLOOKUP($B13,'PW B-Steer Daubing'!$B$5:$AI$24,10,FALSE)=" ",0,VLOOKUP($B13,'PW B-Steer Daubing'!$B$5:$AI$24,10,FALSE)),0)</f>
        <v>9</v>
      </c>
      <c r="G13" s="95">
        <f t="shared" si="2"/>
        <v>9</v>
      </c>
      <c r="H13" s="91">
        <f t="shared" si="3"/>
        <v>8</v>
      </c>
      <c r="I13" s="121">
        <f>IFERROR(IF(VLOOKUP($B13,'PW B-Calf Riding'!$B$5:$AI$24,14,FALSE)=" ",0,VLOOKUP($B13,'PW B-Calf Riding'!$B$5:$AI$24,14,FALSE)),0)+IFERROR(IF(VLOOKUP($B13,'PW B-Goats'!$B$5:$AI$24,14,FALSE)=" ",0,VLOOKUP($B13,'PW B-Goats'!$B$5:$AI$24,14,FALSE)),0)+IFERROR(IF(VLOOKUP($B13,'PW B-Flags'!$B$5:$AI$24,14,FALSE)=" ",0,VLOOKUP($B13,'PW B-Flags'!$B$5:$AI$24,14,FALSE)),0)+IFERROR(IF(VLOOKUP($B13,'PW B-Breakaway'!$B$5:$AI$24,14,FALSE)=" ",0,VLOOKUP($B13,'PW B-Breakaway'!$B$5:$AI$24,14,FALSE)),0)+IFERROR(IF(VLOOKUP($B13,'PW B-Steer Daubing'!$B$5:$AI$24,14,FALSE)=" ",0,VLOOKUP($B13,'PW B-Steer Daubing'!$B$5:$AI$24,14,FALSE)),0)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IFERROR(IF(VLOOKUP($B13,'PW B-Calf Riding'!$B$5:$AI$24,18,FALSE)=" ",0,VLOOKUP($B13,'PW B-Calf Riding'!$B$5:$AI$24,18,FALSE)),0)+IFERROR(IF(VLOOKUP($B13,'PW B-Goats'!$B$5:$AI$24,18,FALSE)=" ",0,VLOOKUP($B13,'PW B-Goats'!$B$5:$AI$24,18,FALSE)),0)+IFERROR(IF(VLOOKUP($B13,'PW B-Flags'!$B$5:$AI$24,18,FALSE)=" ",0,VLOOKUP($B13,'PW B-Flags'!$B$5:$AI$24,18,FALSE)),0)+IFERROR(IF(VLOOKUP($B13,'PW B-Breakaway'!$B$5:$AI$24,18,FALSE)=" ",0,VLOOKUP($B13,'PW B-Breakaway'!$B$5:$AI$24,18,FALSE)),0)+IFERROR(IF(VLOOKUP($B13,'PW B-Steer Daubing'!$B$5:$AI$24,18,FALSE)=" ",0,VLOOKUP($B13,'PW B-Steer Daubing'!$B$5:$AI$24,18,FALSE)),0)</f>
        <v>6</v>
      </c>
      <c r="M13" s="95">
        <f t="shared" si="6"/>
        <v>6</v>
      </c>
      <c r="N13" s="91">
        <f t="shared" si="7"/>
        <v>7</v>
      </c>
      <c r="O13" s="121">
        <f>IFERROR(IF(VLOOKUP($B13,'PW B-Calf Riding'!$B$5:$AI$24,22,FALSE)=" ",0,VLOOKUP($B13,'PW B-Calf Riding'!$B$5:$AI$24,22,FALSE)),0)+IFERROR(IF(VLOOKUP($B13,'PW B-Goats'!$B$5:$AI$24,22,FALSE)=" ",0,VLOOKUP($B13,'PW B-Goats'!$B$5:$AI$24,22,FALSE)),0)+IFERROR(IF(VLOOKUP($B13,'PW B-Flags'!$B$5:$AI$24,22,FALSE)=" ",0,VLOOKUP($B13,'PW B-Flags'!$B$5:$AI$24,22,FALSE)),0)+IFERROR(IF(VLOOKUP($B13,'PW B-Breakaway'!$B$5:$AI$24,22,FALSE)=" ",0,VLOOKUP($B13,'PW B-Breakaway'!$B$5:$AI$24,22,FALSE)),0)+IFERROR(IF(VLOOKUP($B13,'PW B-Steer Daubing'!$B$5:$AI$24,22,FALSE)=" ",0,VLOOKUP($B13,'PW B-Steer Daubing'!$B$5:$AI$24,22,FALSE)),0)</f>
        <v>21</v>
      </c>
      <c r="P13" s="95">
        <f t="shared" si="8"/>
        <v>21</v>
      </c>
      <c r="Q13" s="91">
        <f t="shared" si="9"/>
        <v>5</v>
      </c>
      <c r="R13" s="121">
        <f>IFERROR(IF(VLOOKUP($B13,'PW B-Calf Riding'!$B$5:$AI$24,26,FALSE)=" ",0,VLOOKUP($B13,'PW B-Calf Riding'!$B$5:$AI$24,26,FALSE)),0)+IFERROR(IF(VLOOKUP($B13,'PW B-Goats'!$B$5:$AI$24,26,FALSE)=" ",0,VLOOKUP($B13,'PW B-Goats'!$B$5:$AI$24,26,FALSE)),0)+IFERROR(IF(VLOOKUP($B13,'PW B-Flags'!$B$5:$AI$24,26,FALSE)=" ",0,VLOOKUP($B13,'PW B-Flags'!$B$5:$AI$24,26,FALSE)),0)+IFERROR(IF(VLOOKUP($B13,'PW B-Breakaway'!$B$5:$AI$24,26,FALSE)=" ",0,VLOOKUP($B13,'PW B-Breakaway'!$B$5:$AI$24,26,FALSE)),0)+IFERROR(IF(VLOOKUP($B13,'PW B-Steer Daubing'!$B$5:$AI$24,26,FALSE)=" ",0,VLOOKUP($B13,'PW B-Steer Daubing'!$B$5:$AI$24,26,FALSE)),0)</f>
        <v>15</v>
      </c>
      <c r="S13" s="95">
        <f t="shared" si="10"/>
        <v>15</v>
      </c>
      <c r="T13" s="91">
        <f t="shared" si="11"/>
        <v>7</v>
      </c>
      <c r="U13" s="121">
        <f>IFERROR(IF(VLOOKUP($B13,'PW B-Calf Riding'!$B$5:$AI$24,30,FALSE)=" ",0,VLOOKUP($B13,'PW B-Calf Riding'!$B$5:$AI$24,30,FALSE)),0)+IFERROR(IF(VLOOKUP($B13,'PW B-Goats'!$B$5:$AI$24,30,FALSE)=" ",0,VLOOKUP($B13,'PW B-Goats'!$B$5:$AI$24,30,FALSE)),0)+IFERROR(IF(VLOOKUP($B13,'PW B-Flags'!$B$5:$AI$24,30,FALSE)=" ",0,VLOOKUP($B13,'PW B-Flags'!$B$5:$AI$24,30,FALSE)),0)+IFERROR(IF(VLOOKUP($B13,'PW B-Breakaway'!$B$5:$AI$24,30,FALSE)=" ",0,VLOOKUP($B13,'PW B-Breakaway'!$B$5:$AI$24,30,FALSE)),0)+IFERROR(IF(VLOOKUP($B13,'PW B-Steer Daubing'!$B$5:$AI$24,30,FALSE)=" ",0,VLOOKUP($B13,'PW B-Steer Daubing'!$B$5:$AI$24,30,FALSE)),0)</f>
        <v>12</v>
      </c>
      <c r="V13" s="95">
        <f t="shared" si="12"/>
        <v>12</v>
      </c>
      <c r="W13" s="91">
        <f t="shared" si="13"/>
        <v>9</v>
      </c>
      <c r="X13" s="121">
        <f>IFERROR(IF(VLOOKUP($B13,'PW B-Calf Riding'!$B$5:$AI$24,34,FALSE)=" ",0,VLOOKUP($B13,'PW B-Calf Riding'!$B$5:$AI$24,34,FALSE)),0)+IFERROR(IF(VLOOKUP($B13,'PW B-Goats'!$B$5:$AI$24,34,FALSE)=" ",0,VLOOKUP($B13,'PW B-Goats'!$B$5:$AI$24,34,FALSE)),0)+IFERROR(IF(VLOOKUP($B13,'PW B-Flags'!$B$5:$AI$24,34,FALSE)=" ",0,VLOOKUP($B13,'PW B-Flags'!$B$5:$AI$24,34,FALSE)),0)+IFERROR(IF(VLOOKUP($B13,'PW B-Breakaway'!$B$5:$AI$24,34,FALSE)=" ",0,VLOOKUP($B13,'PW B-Breakaway'!$B$5:$AI$24,34,FALSE)),0)+IFERROR(IF(VLOOKUP($B13,'PW B-Steer Daubing'!$B$5:$AI$24,34,FALSE)=" ",0,VLOOKUP($B13,'PW B-Steer Daubing'!$B$5:$AI$24,34,FALSE)),0)</f>
        <v>9</v>
      </c>
      <c r="Y13" s="95">
        <f t="shared" si="14"/>
        <v>9</v>
      </c>
      <c r="Z13" s="91">
        <f t="shared" si="15"/>
        <v>9</v>
      </c>
      <c r="AA13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93</v>
      </c>
      <c r="AB13" s="95">
        <f t="shared" si="16"/>
        <v>93</v>
      </c>
      <c r="AC13" s="91">
        <f t="shared" si="17"/>
        <v>9</v>
      </c>
    </row>
    <row r="14" spans="2:29" x14ac:dyDescent="0.25">
      <c r="B14" s="154" t="s">
        <v>218</v>
      </c>
      <c r="C14" s="120">
        <f>IFERROR(IF(VLOOKUP($B14,'PW B-Calf Riding'!$B$5:$AI$24,6,FALSE)=" ",0,VLOOKUP($B14,'PW B-Calf Riding'!$B$5:$AI$24,6,FALSE)),0)+IFERROR(IF(VLOOKUP($B14,'PW B-Goats'!$B$5:$AI$24,6,FALSE)=" ",0,VLOOKUP($B14,'PW B-Goats'!$B$5:$AI$24,6,FALSE)),0)+IFERROR(IF(VLOOKUP($B14,'PW B-Flags'!$B$5:$AI$24,6,FALSE)=" ",0,VLOOKUP($B14,'PW B-Flags'!$B$5:$AI$24,6,FALSE)),0)+IFERROR(IF(VLOOKUP($B14,'PW B-Breakaway'!$B$5:$AI$24,6,FALSE)=" ",0,VLOOKUP($B14,'PW B-Breakaway'!$B$5:$AI$24,6,FALSE)),0)+IFERROR(IF(VLOOKUP($B14,'PW B-Steer Daubing'!$B$5:$AI$24,6,FALSE)=" ",0,VLOOKUP($B14,'PW B-Steer Daubing'!$B$5:$AI$24,6,FALSE)),0)</f>
        <v>3</v>
      </c>
      <c r="D14" s="95">
        <f t="shared" si="0"/>
        <v>3</v>
      </c>
      <c r="E14" s="91">
        <f t="shared" si="1"/>
        <v>10</v>
      </c>
      <c r="F14" s="121">
        <f>IFERROR(IF(VLOOKUP($B14,'PW B-Calf Riding'!$B$5:$AI$24,10,FALSE)=" ",0,VLOOKUP($B14,'PW B-Calf Riding'!$B$5:$AI$24,10,FALSE)),0)+IFERROR(IF(VLOOKUP($B14,'PW B-Goats'!$B$5:$AI$24,10,FALSE)=" ",0,VLOOKUP($B14,'PW B-Goats'!$B$5:$AI$24,10,FALSE)),0)+IFERROR(IF(VLOOKUP($B14,'PW B-Flags'!$B$5:$AI$24,10,FALSE)=" ",0,VLOOKUP($B14,'PW B-Flags'!$B$5:$AI$24,10,FALSE)),0)+IFERROR(IF(VLOOKUP($B14,'PW B-Breakaway'!$B$5:$AI$24,10,FALSE)=" ",0,VLOOKUP($B14,'PW B-Breakaway'!$B$5:$AI$24,10,FALSE)),0)+IFERROR(IF(VLOOKUP($B14,'PW B-Steer Daubing'!$B$5:$AI$24,10,FALSE)=" ",0,VLOOKUP($B14,'PW B-Steer Daubing'!$B$5:$AI$24,10,FALSE)),0)</f>
        <v>3</v>
      </c>
      <c r="G14" s="95">
        <f t="shared" si="2"/>
        <v>3</v>
      </c>
      <c r="H14" s="91">
        <f t="shared" si="3"/>
        <v>9</v>
      </c>
      <c r="I14" s="121">
        <f>IFERROR(IF(VLOOKUP($B14,'PW B-Calf Riding'!$B$5:$AI$24,14,FALSE)=" ",0,VLOOKUP($B14,'PW B-Calf Riding'!$B$5:$AI$24,14,FALSE)),0)+IFERROR(IF(VLOOKUP($B14,'PW B-Goats'!$B$5:$AI$24,14,FALSE)=" ",0,VLOOKUP($B14,'PW B-Goats'!$B$5:$AI$24,14,FALSE)),0)+IFERROR(IF(VLOOKUP($B14,'PW B-Flags'!$B$5:$AI$24,14,FALSE)=" ",0,VLOOKUP($B14,'PW B-Flags'!$B$5:$AI$24,14,FALSE)),0)+IFERROR(IF(VLOOKUP($B14,'PW B-Breakaway'!$B$5:$AI$24,14,FALSE)=" ",0,VLOOKUP($B14,'PW B-Breakaway'!$B$5:$AI$24,14,FALSE)),0)+IFERROR(IF(VLOOKUP($B14,'PW B-Steer Daubing'!$B$5:$AI$24,14,FALSE)=" ",0,VLOOKUP($B14,'PW B-Steer Daubing'!$B$5:$AI$24,14,FALSE)),0)</f>
        <v>15</v>
      </c>
      <c r="J14" s="95">
        <f t="shared" si="4"/>
        <v>15</v>
      </c>
      <c r="K14" s="91">
        <f t="shared" si="5"/>
        <v>6</v>
      </c>
      <c r="L14" s="121">
        <f>IFERROR(IF(VLOOKUP($B14,'PW B-Calf Riding'!$B$5:$AI$24,18,FALSE)=" ",0,VLOOKUP($B14,'PW B-Calf Riding'!$B$5:$AI$24,18,FALSE)),0)+IFERROR(IF(VLOOKUP($B14,'PW B-Goats'!$B$5:$AI$24,18,FALSE)=" ",0,VLOOKUP($B14,'PW B-Goats'!$B$5:$AI$24,18,FALSE)),0)+IFERROR(IF(VLOOKUP($B14,'PW B-Flags'!$B$5:$AI$24,18,FALSE)=" ",0,VLOOKUP($B14,'PW B-Flags'!$B$5:$AI$24,18,FALSE)),0)+IFERROR(IF(VLOOKUP($B14,'PW B-Breakaway'!$B$5:$AI$24,18,FALSE)=" ",0,VLOOKUP($B14,'PW B-Breakaway'!$B$5:$AI$24,18,FALSE)),0)+IFERROR(IF(VLOOKUP($B14,'PW B-Steer Daubing'!$B$5:$AI$24,18,FALSE)=" ",0,VLOOKUP($B14,'PW B-Steer Daubing'!$B$5:$AI$24,18,FALSE)),0)</f>
        <v>0</v>
      </c>
      <c r="M14" s="95" t="str">
        <f t="shared" si="6"/>
        <v xml:space="preserve"> </v>
      </c>
      <c r="N14" s="91" t="str">
        <f t="shared" si="7"/>
        <v xml:space="preserve"> </v>
      </c>
      <c r="O14" s="121">
        <f>IFERROR(IF(VLOOKUP($B14,'PW B-Calf Riding'!$B$5:$AI$24,22,FALSE)=" ",0,VLOOKUP($B14,'PW B-Calf Riding'!$B$5:$AI$24,22,FALSE)),0)+IFERROR(IF(VLOOKUP($B14,'PW B-Goats'!$B$5:$AI$24,22,FALSE)=" ",0,VLOOKUP($B14,'PW B-Goats'!$B$5:$AI$24,22,FALSE)),0)+IFERROR(IF(VLOOKUP($B14,'PW B-Flags'!$B$5:$AI$24,22,FALSE)=" ",0,VLOOKUP($B14,'PW B-Flags'!$B$5:$AI$24,22,FALSE)),0)+IFERROR(IF(VLOOKUP($B14,'PW B-Breakaway'!$B$5:$AI$24,22,FALSE)=" ",0,VLOOKUP($B14,'PW B-Breakaway'!$B$5:$AI$24,22,FALSE)),0)+IFERROR(IF(VLOOKUP($B14,'PW B-Steer Daubing'!$B$5:$AI$24,22,FALSE)=" ",0,VLOOKUP($B14,'PW B-Steer Daubing'!$B$5:$AI$24,22,FALSE)),0)</f>
        <v>9</v>
      </c>
      <c r="P14" s="95">
        <f t="shared" si="8"/>
        <v>9</v>
      </c>
      <c r="Q14" s="91">
        <f t="shared" si="9"/>
        <v>8</v>
      </c>
      <c r="R14" s="121">
        <f>IFERROR(IF(VLOOKUP($B14,'PW B-Calf Riding'!$B$5:$AI$24,26,FALSE)=" ",0,VLOOKUP($B14,'PW B-Calf Riding'!$B$5:$AI$24,26,FALSE)),0)+IFERROR(IF(VLOOKUP($B14,'PW B-Goats'!$B$5:$AI$24,26,FALSE)=" ",0,VLOOKUP($B14,'PW B-Goats'!$B$5:$AI$24,26,FALSE)),0)+IFERROR(IF(VLOOKUP($B14,'PW B-Flags'!$B$5:$AI$24,26,FALSE)=" ",0,VLOOKUP($B14,'PW B-Flags'!$B$5:$AI$24,26,FALSE)),0)+IFERROR(IF(VLOOKUP($B14,'PW B-Breakaway'!$B$5:$AI$24,26,FALSE)=" ",0,VLOOKUP($B14,'PW B-Breakaway'!$B$5:$AI$24,26,FALSE)),0)+IFERROR(IF(VLOOKUP($B14,'PW B-Steer Daubing'!$B$5:$AI$24,26,FALSE)=" ",0,VLOOKUP($B14,'PW B-Steer Daubing'!$B$5:$AI$24,26,FALSE)),0)</f>
        <v>9</v>
      </c>
      <c r="S14" s="95">
        <f t="shared" si="10"/>
        <v>9</v>
      </c>
      <c r="T14" s="91">
        <f t="shared" si="11"/>
        <v>9</v>
      </c>
      <c r="U14" s="121">
        <f>IFERROR(IF(VLOOKUP($B14,'PW B-Calf Riding'!$B$5:$AI$24,30,FALSE)=" ",0,VLOOKUP($B14,'PW B-Calf Riding'!$B$5:$AI$24,30,FALSE)),0)+IFERROR(IF(VLOOKUP($B14,'PW B-Goats'!$B$5:$AI$24,30,FALSE)=" ",0,VLOOKUP($B14,'PW B-Goats'!$B$5:$AI$24,30,FALSE)),0)+IFERROR(IF(VLOOKUP($B14,'PW B-Flags'!$B$5:$AI$24,30,FALSE)=" ",0,VLOOKUP($B14,'PW B-Flags'!$B$5:$AI$24,30,FALSE)),0)+IFERROR(IF(VLOOKUP($B14,'PW B-Breakaway'!$B$5:$AI$24,30,FALSE)=" ",0,VLOOKUP($B14,'PW B-Breakaway'!$B$5:$AI$24,30,FALSE)),0)+IFERROR(IF(VLOOKUP($B14,'PW B-Steer Daubing'!$B$5:$AI$24,30,FALSE)=" ",0,VLOOKUP($B14,'PW B-Steer Daubing'!$B$5:$AI$24,30,FALSE)),0)</f>
        <v>12</v>
      </c>
      <c r="V14" s="95">
        <f t="shared" si="12"/>
        <v>12</v>
      </c>
      <c r="W14" s="91">
        <f t="shared" si="13"/>
        <v>9</v>
      </c>
      <c r="X14" s="121">
        <f>IFERROR(IF(VLOOKUP($B14,'PW B-Calf Riding'!$B$5:$AI$24,34,FALSE)=" ",0,VLOOKUP($B14,'PW B-Calf Riding'!$B$5:$AI$24,34,FALSE)),0)+IFERROR(IF(VLOOKUP($B14,'PW B-Goats'!$B$5:$AI$24,34,FALSE)=" ",0,VLOOKUP($B14,'PW B-Goats'!$B$5:$AI$24,34,FALSE)),0)+IFERROR(IF(VLOOKUP($B14,'PW B-Flags'!$B$5:$AI$24,34,FALSE)=" ",0,VLOOKUP($B14,'PW B-Flags'!$B$5:$AI$24,34,FALSE)),0)+IFERROR(IF(VLOOKUP($B14,'PW B-Breakaway'!$B$5:$AI$24,34,FALSE)=" ",0,VLOOKUP($B14,'PW B-Breakaway'!$B$5:$AI$24,34,FALSE)),0)+IFERROR(IF(VLOOKUP($B14,'PW B-Steer Daubing'!$B$5:$AI$24,34,FALSE)=" ",0,VLOOKUP($B14,'PW B-Steer Daubing'!$B$5:$AI$24,34,FALSE)),0)</f>
        <v>12</v>
      </c>
      <c r="Y14" s="95">
        <f t="shared" si="14"/>
        <v>12</v>
      </c>
      <c r="Z14" s="91">
        <f t="shared" si="15"/>
        <v>8</v>
      </c>
      <c r="AA14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63</v>
      </c>
      <c r="AB14" s="95">
        <f t="shared" si="16"/>
        <v>63</v>
      </c>
      <c r="AC14" s="91">
        <f t="shared" si="17"/>
        <v>10</v>
      </c>
    </row>
    <row r="15" spans="2:29" x14ac:dyDescent="0.25">
      <c r="B15" s="141" t="s">
        <v>69</v>
      </c>
      <c r="C15" s="120">
        <f>IFERROR(IF(VLOOKUP($B15,'PW B-Calf Riding'!$B$5:$AI$24,6,FALSE)=" ",0,VLOOKUP($B15,'PW B-Calf Riding'!$B$5:$AI$24,6,FALSE)),0)+IFERROR(IF(VLOOKUP($B15,'PW B-Goats'!$B$5:$AI$24,6,FALSE)=" ",0,VLOOKUP($B15,'PW B-Goats'!$B$5:$AI$24,6,FALSE)),0)+IFERROR(IF(VLOOKUP($B15,'PW B-Flags'!$B$5:$AI$24,6,FALSE)=" ",0,VLOOKUP($B15,'PW B-Flags'!$B$5:$AI$24,6,FALSE)),0)+IFERROR(IF(VLOOKUP($B15,'PW B-Breakaway'!$B$5:$AI$24,6,FALSE)=" ",0,VLOOKUP($B15,'PW B-Breakaway'!$B$5:$AI$24,6,FALSE)),0)+IFERROR(IF(VLOOKUP($B15,'PW B-Steer Daubing'!$B$5:$AI$24,6,FALSE)=" ",0,VLOOKUP($B15,'PW B-Steer Daubing'!$B$5:$AI$24,6,FALSE)),0)</f>
        <v>18</v>
      </c>
      <c r="D15" s="95">
        <f t="shared" si="0"/>
        <v>18</v>
      </c>
      <c r="E15" s="91">
        <f t="shared" si="1"/>
        <v>6</v>
      </c>
      <c r="F15" s="121">
        <f>IFERROR(IF(VLOOKUP($B15,'PW B-Calf Riding'!$B$5:$AI$24,10,FALSE)=" ",0,VLOOKUP($B15,'PW B-Calf Riding'!$B$5:$AI$24,10,FALSE)),0)+IFERROR(IF(VLOOKUP($B15,'PW B-Goats'!$B$5:$AI$24,10,FALSE)=" ",0,VLOOKUP($B15,'PW B-Goats'!$B$5:$AI$24,10,FALSE)),0)+IFERROR(IF(VLOOKUP($B15,'PW B-Flags'!$B$5:$AI$24,10,FALSE)=" ",0,VLOOKUP($B15,'PW B-Flags'!$B$5:$AI$24,10,FALSE)),0)+IFERROR(IF(VLOOKUP($B15,'PW B-Breakaway'!$B$5:$AI$24,10,FALSE)=" ",0,VLOOKUP($B15,'PW B-Breakaway'!$B$5:$AI$24,10,FALSE)),0)+IFERROR(IF(VLOOKUP($B15,'PW B-Steer Daubing'!$B$5:$AI$24,10,FALSE)=" ",0,VLOOKUP($B15,'PW B-Steer Daubing'!$B$5:$AI$24,10,FALSE)),0)</f>
        <v>0</v>
      </c>
      <c r="G15" s="95" t="str">
        <f t="shared" si="2"/>
        <v xml:space="preserve"> </v>
      </c>
      <c r="H15" s="91" t="str">
        <f t="shared" si="3"/>
        <v xml:space="preserve"> </v>
      </c>
      <c r="I15" s="121">
        <f>IFERROR(IF(VLOOKUP($B15,'PW B-Calf Riding'!$B$5:$AI$24,14,FALSE)=" ",0,VLOOKUP($B15,'PW B-Calf Riding'!$B$5:$AI$24,14,FALSE)),0)+IFERROR(IF(VLOOKUP($B15,'PW B-Goats'!$B$5:$AI$24,14,FALSE)=" ",0,VLOOKUP($B15,'PW B-Goats'!$B$5:$AI$24,14,FALSE)),0)+IFERROR(IF(VLOOKUP($B15,'PW B-Flags'!$B$5:$AI$24,14,FALSE)=" ",0,VLOOKUP($B15,'PW B-Flags'!$B$5:$AI$24,14,FALSE)),0)+IFERROR(IF(VLOOKUP($B15,'PW B-Breakaway'!$B$5:$AI$24,14,FALSE)=" ",0,VLOOKUP($B15,'PW B-Breakaway'!$B$5:$AI$24,14,FALSE)),0)+IFERROR(IF(VLOOKUP($B15,'PW B-Steer Daubing'!$B$5:$AI$24,14,FALSE)=" ",0,VLOOKUP($B15,'PW B-Steer Daubing'!$B$5:$AI$24,14,FALSE)),0)</f>
        <v>0</v>
      </c>
      <c r="J15" s="95" t="str">
        <f t="shared" si="4"/>
        <v xml:space="preserve"> </v>
      </c>
      <c r="K15" s="91" t="str">
        <f t="shared" si="5"/>
        <v xml:space="preserve"> </v>
      </c>
      <c r="L15" s="121">
        <f>IFERROR(IF(VLOOKUP($B15,'PW B-Calf Riding'!$B$5:$AI$24,18,FALSE)=" ",0,VLOOKUP($B15,'PW B-Calf Riding'!$B$5:$AI$24,18,FALSE)),0)+IFERROR(IF(VLOOKUP($B15,'PW B-Goats'!$B$5:$AI$24,18,FALSE)=" ",0,VLOOKUP($B15,'PW B-Goats'!$B$5:$AI$24,18,FALSE)),0)+IFERROR(IF(VLOOKUP($B15,'PW B-Flags'!$B$5:$AI$24,18,FALSE)=" ",0,VLOOKUP($B15,'PW B-Flags'!$B$5:$AI$24,18,FALSE)),0)+IFERROR(IF(VLOOKUP($B15,'PW B-Breakaway'!$B$5:$AI$24,18,FALSE)=" ",0,VLOOKUP($B15,'PW B-Breakaway'!$B$5:$AI$24,18,FALSE)),0)+IFERROR(IF(VLOOKUP($B15,'PW B-Steer Daubing'!$B$5:$AI$24,18,FALSE)=" ",0,VLOOKUP($B15,'PW B-Steer Daubing'!$B$5:$AI$24,18,FALSE)),0)</f>
        <v>0</v>
      </c>
      <c r="M15" s="95" t="str">
        <f t="shared" si="6"/>
        <v xml:space="preserve"> </v>
      </c>
      <c r="N15" s="91" t="str">
        <f t="shared" si="7"/>
        <v xml:space="preserve"> </v>
      </c>
      <c r="O15" s="121">
        <f>IFERROR(IF(VLOOKUP($B15,'PW B-Calf Riding'!$B$5:$AI$24,22,FALSE)=" ",0,VLOOKUP($B15,'PW B-Calf Riding'!$B$5:$AI$24,22,FALSE)),0)+IFERROR(IF(VLOOKUP($B15,'PW B-Goats'!$B$5:$AI$24,22,FALSE)=" ",0,VLOOKUP($B15,'PW B-Goats'!$B$5:$AI$24,22,FALSE)),0)+IFERROR(IF(VLOOKUP($B15,'PW B-Flags'!$B$5:$AI$24,22,FALSE)=" ",0,VLOOKUP($B15,'PW B-Flags'!$B$5:$AI$24,22,FALSE)),0)+IFERROR(IF(VLOOKUP($B15,'PW B-Breakaway'!$B$5:$AI$24,22,FALSE)=" ",0,VLOOKUP($B15,'PW B-Breakaway'!$B$5:$AI$24,22,FALSE)),0)+IFERROR(IF(VLOOKUP($B15,'PW B-Steer Daubing'!$B$5:$AI$24,22,FALSE)=" ",0,VLOOKUP($B15,'PW B-Steer Daubing'!$B$5:$AI$24,22,FALSE)),0)</f>
        <v>0</v>
      </c>
      <c r="P15" s="95" t="str">
        <f t="shared" si="8"/>
        <v xml:space="preserve"> </v>
      </c>
      <c r="Q15" s="91" t="str">
        <f t="shared" si="9"/>
        <v xml:space="preserve"> </v>
      </c>
      <c r="R15" s="121">
        <f>IFERROR(IF(VLOOKUP($B15,'PW B-Calf Riding'!$B$5:$AI$24,26,FALSE)=" ",0,VLOOKUP($B15,'PW B-Calf Riding'!$B$5:$AI$24,26,FALSE)),0)+IFERROR(IF(VLOOKUP($B15,'PW B-Goats'!$B$5:$AI$24,26,FALSE)=" ",0,VLOOKUP($B15,'PW B-Goats'!$B$5:$AI$24,26,FALSE)),0)+IFERROR(IF(VLOOKUP($B15,'PW B-Flags'!$B$5:$AI$24,26,FALSE)=" ",0,VLOOKUP($B15,'PW B-Flags'!$B$5:$AI$24,26,FALSE)),0)+IFERROR(IF(VLOOKUP($B15,'PW B-Breakaway'!$B$5:$AI$24,26,FALSE)=" ",0,VLOOKUP($B15,'PW B-Breakaway'!$B$5:$AI$24,26,FALSE)),0)+IFERROR(IF(VLOOKUP($B15,'PW B-Steer Daubing'!$B$5:$AI$24,26,FALSE)=" ",0,VLOOKUP($B15,'PW B-Steer Daubing'!$B$5:$AI$24,26,FALSE)),0)</f>
        <v>0</v>
      </c>
      <c r="S15" s="95" t="str">
        <f t="shared" si="10"/>
        <v xml:space="preserve"> </v>
      </c>
      <c r="T15" s="91" t="str">
        <f t="shared" si="11"/>
        <v xml:space="preserve"> </v>
      </c>
      <c r="U15" s="121">
        <f>IFERROR(IF(VLOOKUP($B15,'PW B-Calf Riding'!$B$5:$AI$24,30,FALSE)=" ",0,VLOOKUP($B15,'PW B-Calf Riding'!$B$5:$AI$24,30,FALSE)),0)+IFERROR(IF(VLOOKUP($B15,'PW B-Goats'!$B$5:$AI$24,30,FALSE)=" ",0,VLOOKUP($B15,'PW B-Goats'!$B$5:$AI$24,30,FALSE)),0)+IFERROR(IF(VLOOKUP($B15,'PW B-Flags'!$B$5:$AI$24,30,FALSE)=" ",0,VLOOKUP($B15,'PW B-Flags'!$B$5:$AI$24,30,FALSE)),0)+IFERROR(IF(VLOOKUP($B15,'PW B-Breakaway'!$B$5:$AI$24,30,FALSE)=" ",0,VLOOKUP($B15,'PW B-Breakaway'!$B$5:$AI$24,30,FALSE)),0)+IFERROR(IF(VLOOKUP($B15,'PW B-Steer Daubing'!$B$5:$AI$24,30,FALSE)=" ",0,VLOOKUP($B15,'PW B-Steer Daubing'!$B$5:$AI$24,30,FALSE)),0)</f>
        <v>15</v>
      </c>
      <c r="V15" s="95">
        <f t="shared" si="12"/>
        <v>15</v>
      </c>
      <c r="W15" s="91">
        <f t="shared" si="13"/>
        <v>7</v>
      </c>
      <c r="X15" s="121">
        <f>IFERROR(IF(VLOOKUP($B15,'PW B-Calf Riding'!$B$5:$AI$24,34,FALSE)=" ",0,VLOOKUP($B15,'PW B-Calf Riding'!$B$5:$AI$24,34,FALSE)),0)+IFERROR(IF(VLOOKUP($B15,'PW B-Goats'!$B$5:$AI$24,34,FALSE)=" ",0,VLOOKUP($B15,'PW B-Goats'!$B$5:$AI$24,34,FALSE)),0)+IFERROR(IF(VLOOKUP($B15,'PW B-Flags'!$B$5:$AI$24,34,FALSE)=" ",0,VLOOKUP($B15,'PW B-Flags'!$B$5:$AI$24,34,FALSE)),0)+IFERROR(IF(VLOOKUP($B15,'PW B-Breakaway'!$B$5:$AI$24,34,FALSE)=" ",0,VLOOKUP($B15,'PW B-Breakaway'!$B$5:$AI$24,34,FALSE)),0)+IFERROR(IF(VLOOKUP($B15,'PW B-Steer Daubing'!$B$5:$AI$24,34,FALSE)=" ",0,VLOOKUP($B15,'PW B-Steer Daubing'!$B$5:$AI$24,34,FALSE)),0)</f>
        <v>6</v>
      </c>
      <c r="Y15" s="95">
        <f t="shared" si="14"/>
        <v>6</v>
      </c>
      <c r="Z15" s="91">
        <f t="shared" si="15"/>
        <v>10</v>
      </c>
      <c r="AA15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39</v>
      </c>
      <c r="AB15" s="95">
        <f t="shared" si="16"/>
        <v>39</v>
      </c>
      <c r="AC15" s="91">
        <f t="shared" si="17"/>
        <v>11</v>
      </c>
    </row>
    <row r="16" spans="2:29" x14ac:dyDescent="0.25">
      <c r="B16" s="142" t="s">
        <v>219</v>
      </c>
      <c r="C16" s="120">
        <f>IFERROR(IF(VLOOKUP($B16,'PW B-Calf Riding'!$B$5:$AI$24,6,FALSE)=" ",0,VLOOKUP($B16,'PW B-Calf Riding'!$B$5:$AI$24,6,FALSE)),0)+IFERROR(IF(VLOOKUP($B16,'PW B-Goats'!$B$5:$AI$24,6,FALSE)=" ",0,VLOOKUP($B16,'PW B-Goats'!$B$5:$AI$24,6,FALSE)),0)+IFERROR(IF(VLOOKUP($B16,'PW B-Flags'!$B$5:$AI$24,6,FALSE)=" ",0,VLOOKUP($B16,'PW B-Flags'!$B$5:$AI$24,6,FALSE)),0)+IFERROR(IF(VLOOKUP($B16,'PW B-Breakaway'!$B$5:$AI$24,6,FALSE)=" ",0,VLOOKUP($B16,'PW B-Breakaway'!$B$5:$AI$24,6,FALSE)),0)+IFERROR(IF(VLOOKUP($B16,'PW B-Steer Daubing'!$B$5:$AI$24,6,FALSE)=" ",0,VLOOKUP($B16,'PW B-Steer Daubing'!$B$5:$AI$24,6,FALSE)),0)</f>
        <v>0</v>
      </c>
      <c r="D16" s="95" t="str">
        <f t="shared" si="0"/>
        <v xml:space="preserve"> </v>
      </c>
      <c r="E16" s="122" t="str">
        <f t="shared" si="1"/>
        <v xml:space="preserve"> </v>
      </c>
      <c r="F16" s="121">
        <f>IFERROR(IF(VLOOKUP($B16,'PW B-Calf Riding'!$B$5:$AI$24,10,FALSE)=" ",0,VLOOKUP($B16,'PW B-Calf Riding'!$B$5:$AI$24,10,FALSE)),0)+IFERROR(IF(VLOOKUP($B16,'PW B-Goats'!$B$5:$AI$24,10,FALSE)=" ",0,VLOOKUP($B16,'PW B-Goats'!$B$5:$AI$24,10,FALSE)),0)+IFERROR(IF(VLOOKUP($B16,'PW B-Flags'!$B$5:$AI$24,10,FALSE)=" ",0,VLOOKUP($B16,'PW B-Flags'!$B$5:$AI$24,10,FALSE)),0)+IFERROR(IF(VLOOKUP($B16,'PW B-Breakaway'!$B$5:$AI$24,10,FALSE)=" ",0,VLOOKUP($B16,'PW B-Breakaway'!$B$5:$AI$24,10,FALSE)),0)+IFERROR(IF(VLOOKUP($B16,'PW B-Steer Daubing'!$B$5:$AI$24,10,FALSE)=" ",0,VLOOKUP($B16,'PW B-Steer Daubing'!$B$5:$AI$24,10,FALSE)),0)</f>
        <v>0</v>
      </c>
      <c r="G16" s="95" t="str">
        <f t="shared" si="2"/>
        <v xml:space="preserve"> </v>
      </c>
      <c r="H16" s="122" t="str">
        <f t="shared" si="3"/>
        <v xml:space="preserve"> </v>
      </c>
      <c r="I16" s="121">
        <f>IFERROR(IF(VLOOKUP($B16,'PW B-Calf Riding'!$B$5:$AI$24,14,FALSE)=" ",0,VLOOKUP($B16,'PW B-Calf Riding'!$B$5:$AI$24,14,FALSE)),0)+IFERROR(IF(VLOOKUP($B16,'PW B-Goats'!$B$5:$AI$24,14,FALSE)=" ",0,VLOOKUP($B16,'PW B-Goats'!$B$5:$AI$24,14,FALSE)),0)+IFERROR(IF(VLOOKUP($B16,'PW B-Flags'!$B$5:$AI$24,14,FALSE)=" ",0,VLOOKUP($B16,'PW B-Flags'!$B$5:$AI$24,14,FALSE)),0)+IFERROR(IF(VLOOKUP($B16,'PW B-Breakaway'!$B$5:$AI$24,14,FALSE)=" ",0,VLOOKUP($B16,'PW B-Breakaway'!$B$5:$AI$24,14,FALSE)),0)+IFERROR(IF(VLOOKUP($B16,'PW B-Steer Daubing'!$B$5:$AI$24,14,FALSE)=" ",0,VLOOKUP($B16,'PW B-Steer Daubing'!$B$5:$AI$24,14,FALSE)),0)</f>
        <v>0</v>
      </c>
      <c r="J16" s="95" t="str">
        <f t="shared" si="4"/>
        <v xml:space="preserve"> </v>
      </c>
      <c r="K16" s="122" t="str">
        <f t="shared" si="5"/>
        <v xml:space="preserve"> </v>
      </c>
      <c r="L16" s="121">
        <f>IFERROR(IF(VLOOKUP($B16,'PW B-Calf Riding'!$B$5:$AI$24,18,FALSE)=" ",0,VLOOKUP($B16,'PW B-Calf Riding'!$B$5:$AI$24,18,FALSE)),0)+IFERROR(IF(VLOOKUP($B16,'PW B-Goats'!$B$5:$AI$24,18,FALSE)=" ",0,VLOOKUP($B16,'PW B-Goats'!$B$5:$AI$24,18,FALSE)),0)+IFERROR(IF(VLOOKUP($B16,'PW B-Flags'!$B$5:$AI$24,18,FALSE)=" ",0,VLOOKUP($B16,'PW B-Flags'!$B$5:$AI$24,18,FALSE)),0)+IFERROR(IF(VLOOKUP($B16,'PW B-Breakaway'!$B$5:$AI$24,18,FALSE)=" ",0,VLOOKUP($B16,'PW B-Breakaway'!$B$5:$AI$24,18,FALSE)),0)+IFERROR(IF(VLOOKUP($B16,'PW B-Steer Daubing'!$B$5:$AI$24,18,FALSE)=" ",0,VLOOKUP($B16,'PW B-Steer Daubing'!$B$5:$AI$24,18,FALSE)),0)</f>
        <v>0</v>
      </c>
      <c r="M16" s="95" t="str">
        <f t="shared" si="6"/>
        <v xml:space="preserve"> </v>
      </c>
      <c r="N16" s="122" t="str">
        <f t="shared" si="7"/>
        <v xml:space="preserve"> </v>
      </c>
      <c r="O16" s="121">
        <f>IFERROR(IF(VLOOKUP($B16,'PW B-Calf Riding'!$B$5:$AI$24,22,FALSE)=" ",0,VLOOKUP($B16,'PW B-Calf Riding'!$B$5:$AI$24,22,FALSE)),0)+IFERROR(IF(VLOOKUP($B16,'PW B-Goats'!$B$5:$AI$24,22,FALSE)=" ",0,VLOOKUP($B16,'PW B-Goats'!$B$5:$AI$24,22,FALSE)),0)+IFERROR(IF(VLOOKUP($B16,'PW B-Flags'!$B$5:$AI$24,22,FALSE)=" ",0,VLOOKUP($B16,'PW B-Flags'!$B$5:$AI$24,22,FALSE)),0)+IFERROR(IF(VLOOKUP($B16,'PW B-Breakaway'!$B$5:$AI$24,22,FALSE)=" ",0,VLOOKUP($B16,'PW B-Breakaway'!$B$5:$AI$24,22,FALSE)),0)+IFERROR(IF(VLOOKUP($B16,'PW B-Steer Daubing'!$B$5:$AI$24,22,FALSE)=" ",0,VLOOKUP($B16,'PW B-Steer Daubing'!$B$5:$AI$24,22,FALSE)),0)</f>
        <v>0</v>
      </c>
      <c r="P16" s="95" t="str">
        <f t="shared" si="8"/>
        <v xml:space="preserve"> </v>
      </c>
      <c r="Q16" s="122" t="str">
        <f t="shared" si="9"/>
        <v xml:space="preserve"> </v>
      </c>
      <c r="R16" s="121">
        <f>IFERROR(IF(VLOOKUP($B16,'PW B-Calf Riding'!$B$5:$AI$24,26,FALSE)=" ",0,VLOOKUP($B16,'PW B-Calf Riding'!$B$5:$AI$24,26,FALSE)),0)+IFERROR(IF(VLOOKUP($B16,'PW B-Goats'!$B$5:$AI$24,26,FALSE)=" ",0,VLOOKUP($B16,'PW B-Goats'!$B$5:$AI$24,26,FALSE)),0)+IFERROR(IF(VLOOKUP($B16,'PW B-Flags'!$B$5:$AI$24,26,FALSE)=" ",0,VLOOKUP($B16,'PW B-Flags'!$B$5:$AI$24,26,FALSE)),0)+IFERROR(IF(VLOOKUP($B16,'PW B-Breakaway'!$B$5:$AI$24,26,FALSE)=" ",0,VLOOKUP($B16,'PW B-Breakaway'!$B$5:$AI$24,26,FALSE)),0)+IFERROR(IF(VLOOKUP($B16,'PW B-Steer Daubing'!$B$5:$AI$24,26,FALSE)=" ",0,VLOOKUP($B16,'PW B-Steer Daubing'!$B$5:$AI$24,26,FALSE)),0)</f>
        <v>0</v>
      </c>
      <c r="S16" s="95" t="str">
        <f t="shared" si="10"/>
        <v xml:space="preserve"> </v>
      </c>
      <c r="T16" s="122" t="str">
        <f t="shared" si="11"/>
        <v xml:space="preserve"> </v>
      </c>
      <c r="U16" s="121">
        <f>IFERROR(IF(VLOOKUP($B16,'PW B-Calf Riding'!$B$5:$AI$24,30,FALSE)=" ",0,VLOOKUP($B16,'PW B-Calf Riding'!$B$5:$AI$24,30,FALSE)),0)+IFERROR(IF(VLOOKUP($B16,'PW B-Goats'!$B$5:$AI$24,30,FALSE)=" ",0,VLOOKUP($B16,'PW B-Goats'!$B$5:$AI$24,30,FALSE)),0)+IFERROR(IF(VLOOKUP($B16,'PW B-Flags'!$B$5:$AI$24,30,FALSE)=" ",0,VLOOKUP($B16,'PW B-Flags'!$B$5:$AI$24,30,FALSE)),0)+IFERROR(IF(VLOOKUP($B16,'PW B-Breakaway'!$B$5:$AI$24,30,FALSE)=" ",0,VLOOKUP($B16,'PW B-Breakaway'!$B$5:$AI$24,30,FALSE)),0)+IFERROR(IF(VLOOKUP($B16,'PW B-Steer Daubing'!$B$5:$AI$24,30,FALSE)=" ",0,VLOOKUP($B16,'PW B-Steer Daubing'!$B$5:$AI$24,30,FALSE)),0)</f>
        <v>0</v>
      </c>
      <c r="V16" s="95" t="str">
        <f t="shared" si="12"/>
        <v xml:space="preserve"> </v>
      </c>
      <c r="W16" s="122" t="str">
        <f t="shared" si="13"/>
        <v xml:space="preserve"> </v>
      </c>
      <c r="X16" s="121">
        <f>IFERROR(IF(VLOOKUP($B16,'PW B-Calf Riding'!$B$5:$AI$24,34,FALSE)=" ",0,VLOOKUP($B16,'PW B-Calf Riding'!$B$5:$AI$24,34,FALSE)),0)+IFERROR(IF(VLOOKUP($B16,'PW B-Goats'!$B$5:$AI$24,34,FALSE)=" ",0,VLOOKUP($B16,'PW B-Goats'!$B$5:$AI$24,34,FALSE)),0)+IFERROR(IF(VLOOKUP($B16,'PW B-Flags'!$B$5:$AI$24,34,FALSE)=" ",0,VLOOKUP($B16,'PW B-Flags'!$B$5:$AI$24,34,FALSE)),0)+IFERROR(IF(VLOOKUP($B16,'PW B-Breakaway'!$B$5:$AI$24,34,FALSE)=" ",0,VLOOKUP($B16,'PW B-Breakaway'!$B$5:$AI$24,34,FALSE)),0)+IFERROR(IF(VLOOKUP($B16,'PW B-Steer Daubing'!$B$5:$AI$24,34,FALSE)=" ",0,VLOOKUP($B16,'PW B-Steer Daubing'!$B$5:$AI$24,34,FALSE)),0)</f>
        <v>0</v>
      </c>
      <c r="Y16" s="95" t="str">
        <f t="shared" si="14"/>
        <v xml:space="preserve"> </v>
      </c>
      <c r="Z16" s="122" t="str">
        <f t="shared" si="15"/>
        <v xml:space="preserve"> </v>
      </c>
      <c r="AA16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16" s="95" t="str">
        <f t="shared" si="16"/>
        <v xml:space="preserve"> </v>
      </c>
      <c r="AC16" s="122" t="str">
        <f t="shared" si="17"/>
        <v xml:space="preserve"> </v>
      </c>
    </row>
    <row r="17" spans="2:29" x14ac:dyDescent="0.25">
      <c r="B17" s="142" t="s">
        <v>248</v>
      </c>
      <c r="C17" s="120">
        <f>IFERROR(IF(VLOOKUP($B17,'PW B-Calf Riding'!$B$5:$AI$24,6,FALSE)=" ",0,VLOOKUP($B17,'PW B-Calf Riding'!$B$5:$AI$24,6,FALSE)),0)+IFERROR(IF(VLOOKUP($B17,'PW B-Goats'!$B$5:$AI$24,6,FALSE)=" ",0,VLOOKUP($B17,'PW B-Goats'!$B$5:$AI$24,6,FALSE)),0)+IFERROR(IF(VLOOKUP($B17,'PW B-Flags'!$B$5:$AI$24,6,FALSE)=" ",0,VLOOKUP($B17,'PW B-Flags'!$B$5:$AI$24,6,FALSE)),0)+IFERROR(IF(VLOOKUP($B17,'PW B-Breakaway'!$B$5:$AI$24,6,FALSE)=" ",0,VLOOKUP($B17,'PW B-Breakaway'!$B$5:$AI$24,6,FALSE)),0)+IFERROR(IF(VLOOKUP($B17,'PW B-Steer Daubing'!$B$5:$AI$24,6,FALSE)=" ",0,VLOOKUP($B17,'PW B-Steer Daubing'!$B$5:$AI$24,6,FALSE)),0)</f>
        <v>0</v>
      </c>
      <c r="D17" s="95" t="str">
        <f t="shared" si="0"/>
        <v xml:space="preserve"> </v>
      </c>
      <c r="E17" s="91" t="str">
        <f t="shared" si="1"/>
        <v xml:space="preserve"> </v>
      </c>
      <c r="F17" s="121">
        <f>IFERROR(IF(VLOOKUP($B17,'PW B-Calf Riding'!$B$5:$AI$24,10,FALSE)=" ",0,VLOOKUP($B17,'PW B-Calf Riding'!$B$5:$AI$24,10,FALSE)),0)+IFERROR(IF(VLOOKUP($B17,'PW B-Goats'!$B$5:$AI$24,10,FALSE)=" ",0,VLOOKUP($B17,'PW B-Goats'!$B$5:$AI$24,10,FALSE)),0)+IFERROR(IF(VLOOKUP($B17,'PW B-Flags'!$B$5:$AI$24,10,FALSE)=" ",0,VLOOKUP($B17,'PW B-Flags'!$B$5:$AI$24,10,FALSE)),0)+IFERROR(IF(VLOOKUP($B17,'PW B-Breakaway'!$B$5:$AI$24,10,FALSE)=" ",0,VLOOKUP($B17,'PW B-Breakaway'!$B$5:$AI$24,10,FALSE)),0)+IFERROR(IF(VLOOKUP($B17,'PW B-Steer Daubing'!$B$5:$AI$24,10,FALSE)=" ",0,VLOOKUP($B17,'PW B-Steer Daubing'!$B$5:$AI$24,10,FALSE)),0)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IFERROR(IF(VLOOKUP($B17,'PW B-Calf Riding'!$B$5:$AI$24,14,FALSE)=" ",0,VLOOKUP($B17,'PW B-Calf Riding'!$B$5:$AI$24,14,FALSE)),0)+IFERROR(IF(VLOOKUP($B17,'PW B-Goats'!$B$5:$AI$24,14,FALSE)=" ",0,VLOOKUP($B17,'PW B-Goats'!$B$5:$AI$24,14,FALSE)),0)+IFERROR(IF(VLOOKUP($B17,'PW B-Flags'!$B$5:$AI$24,14,FALSE)=" ",0,VLOOKUP($B17,'PW B-Flags'!$B$5:$AI$24,14,FALSE)),0)+IFERROR(IF(VLOOKUP($B17,'PW B-Breakaway'!$B$5:$AI$24,14,FALSE)=" ",0,VLOOKUP($B17,'PW B-Breakaway'!$B$5:$AI$24,14,FALSE)),0)+IFERROR(IF(VLOOKUP($B17,'PW B-Steer Daubing'!$B$5:$AI$24,14,FALSE)=" ",0,VLOOKUP($B17,'PW B-Steer Daubing'!$B$5:$AI$24,14,FALSE)),0)</f>
        <v>0</v>
      </c>
      <c r="J17" s="95" t="str">
        <f t="shared" si="4"/>
        <v xml:space="preserve"> </v>
      </c>
      <c r="K17" s="91" t="str">
        <f t="shared" si="5"/>
        <v xml:space="preserve"> </v>
      </c>
      <c r="L17" s="121">
        <f>IFERROR(IF(VLOOKUP($B17,'PW B-Calf Riding'!$B$5:$AI$24,18,FALSE)=" ",0,VLOOKUP($B17,'PW B-Calf Riding'!$B$5:$AI$24,18,FALSE)),0)+IFERROR(IF(VLOOKUP($B17,'PW B-Goats'!$B$5:$AI$24,18,FALSE)=" ",0,VLOOKUP($B17,'PW B-Goats'!$B$5:$AI$24,18,FALSE)),0)+IFERROR(IF(VLOOKUP($B17,'PW B-Flags'!$B$5:$AI$24,18,FALSE)=" ",0,VLOOKUP($B17,'PW B-Flags'!$B$5:$AI$24,18,FALSE)),0)+IFERROR(IF(VLOOKUP($B17,'PW B-Breakaway'!$B$5:$AI$24,18,FALSE)=" ",0,VLOOKUP($B17,'PW B-Breakaway'!$B$5:$AI$24,18,FALSE)),0)+IFERROR(IF(VLOOKUP($B17,'PW B-Steer Daubing'!$B$5:$AI$24,18,FALSE)=" ",0,VLOOKUP($B17,'PW B-Steer Daubing'!$B$5:$AI$24,18,FALSE)),0)</f>
        <v>0</v>
      </c>
      <c r="M17" s="95" t="str">
        <f t="shared" si="6"/>
        <v xml:space="preserve"> </v>
      </c>
      <c r="N17" s="91" t="str">
        <f t="shared" si="7"/>
        <v xml:space="preserve"> </v>
      </c>
      <c r="O17" s="121">
        <f>IFERROR(IF(VLOOKUP($B17,'PW B-Calf Riding'!$B$5:$AI$24,22,FALSE)=" ",0,VLOOKUP($B17,'PW B-Calf Riding'!$B$5:$AI$24,22,FALSE)),0)+IFERROR(IF(VLOOKUP($B17,'PW B-Goats'!$B$5:$AI$24,22,FALSE)=" ",0,VLOOKUP($B17,'PW B-Goats'!$B$5:$AI$24,22,FALSE)),0)+IFERROR(IF(VLOOKUP($B17,'PW B-Flags'!$B$5:$AI$24,22,FALSE)=" ",0,VLOOKUP($B17,'PW B-Flags'!$B$5:$AI$24,22,FALSE)),0)+IFERROR(IF(VLOOKUP($B17,'PW B-Breakaway'!$B$5:$AI$24,22,FALSE)=" ",0,VLOOKUP($B17,'PW B-Breakaway'!$B$5:$AI$24,22,FALSE)),0)+IFERROR(IF(VLOOKUP($B17,'PW B-Steer Daubing'!$B$5:$AI$24,22,FALSE)=" ",0,VLOOKUP($B17,'PW B-Steer Daubing'!$B$5:$AI$24,22,FALSE)),0)</f>
        <v>0</v>
      </c>
      <c r="P17" s="95" t="str">
        <f t="shared" si="8"/>
        <v xml:space="preserve"> </v>
      </c>
      <c r="Q17" s="91" t="str">
        <f t="shared" si="9"/>
        <v xml:space="preserve"> </v>
      </c>
      <c r="R17" s="121">
        <f>IFERROR(IF(VLOOKUP($B17,'PW B-Calf Riding'!$B$5:$AI$24,26,FALSE)=" ",0,VLOOKUP($B17,'PW B-Calf Riding'!$B$5:$AI$24,26,FALSE)),0)+IFERROR(IF(VLOOKUP($B17,'PW B-Goats'!$B$5:$AI$24,26,FALSE)=" ",0,VLOOKUP($B17,'PW B-Goats'!$B$5:$AI$24,26,FALSE)),0)+IFERROR(IF(VLOOKUP($B17,'PW B-Flags'!$B$5:$AI$24,26,FALSE)=" ",0,VLOOKUP($B17,'PW B-Flags'!$B$5:$AI$24,26,FALSE)),0)+IFERROR(IF(VLOOKUP($B17,'PW B-Breakaway'!$B$5:$AI$24,26,FALSE)=" ",0,VLOOKUP($B17,'PW B-Breakaway'!$B$5:$AI$24,26,FALSE)),0)+IFERROR(IF(VLOOKUP($B17,'PW B-Steer Daubing'!$B$5:$AI$24,26,FALSE)=" ",0,VLOOKUP($B17,'PW B-Steer Daubing'!$B$5:$AI$24,26,FALSE)),0)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IFERROR(IF(VLOOKUP($B17,'PW B-Calf Riding'!$B$5:$AI$24,30,FALSE)=" ",0,VLOOKUP($B17,'PW B-Calf Riding'!$B$5:$AI$24,30,FALSE)),0)+IFERROR(IF(VLOOKUP($B17,'PW B-Goats'!$B$5:$AI$24,30,FALSE)=" ",0,VLOOKUP($B17,'PW B-Goats'!$B$5:$AI$24,30,FALSE)),0)+IFERROR(IF(VLOOKUP($B17,'PW B-Flags'!$B$5:$AI$24,30,FALSE)=" ",0,VLOOKUP($B17,'PW B-Flags'!$B$5:$AI$24,30,FALSE)),0)+IFERROR(IF(VLOOKUP($B17,'PW B-Breakaway'!$B$5:$AI$24,30,FALSE)=" ",0,VLOOKUP($B17,'PW B-Breakaway'!$B$5:$AI$24,30,FALSE)),0)+IFERROR(IF(VLOOKUP($B17,'PW B-Steer Daubing'!$B$5:$AI$24,30,FALSE)=" ",0,VLOOKUP($B17,'PW B-Steer Daubing'!$B$5:$AI$24,30,FALSE)),0)</f>
        <v>0</v>
      </c>
      <c r="V17" s="95" t="str">
        <f t="shared" si="12"/>
        <v xml:space="preserve"> </v>
      </c>
      <c r="W17" s="91" t="str">
        <f t="shared" si="13"/>
        <v xml:space="preserve"> </v>
      </c>
      <c r="X17" s="121">
        <f>IFERROR(IF(VLOOKUP($B17,'PW B-Calf Riding'!$B$5:$AI$24,34,FALSE)=" ",0,VLOOKUP($B17,'PW B-Calf Riding'!$B$5:$AI$24,34,FALSE)),0)+IFERROR(IF(VLOOKUP($B17,'PW B-Goats'!$B$5:$AI$24,34,FALSE)=" ",0,VLOOKUP($B17,'PW B-Goats'!$B$5:$AI$24,34,FALSE)),0)+IFERROR(IF(VLOOKUP($B17,'PW B-Flags'!$B$5:$AI$24,34,FALSE)=" ",0,VLOOKUP($B17,'PW B-Flags'!$B$5:$AI$24,34,FALSE)),0)+IFERROR(IF(VLOOKUP($B17,'PW B-Breakaway'!$B$5:$AI$24,34,FALSE)=" ",0,VLOOKUP($B17,'PW B-Breakaway'!$B$5:$AI$24,34,FALSE)),0)+IFERROR(IF(VLOOKUP($B17,'PW B-Steer Daubing'!$B$5:$AI$24,34,FALSE)=" ",0,VLOOKUP($B17,'PW B-Steer Daubing'!$B$5:$AI$24,34,FALSE)),0)</f>
        <v>0</v>
      </c>
      <c r="Y17" s="95" t="str">
        <f t="shared" si="14"/>
        <v xml:space="preserve"> </v>
      </c>
      <c r="Z17" s="91" t="str">
        <f t="shared" si="15"/>
        <v xml:space="preserve"> </v>
      </c>
      <c r="AA17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17" s="95" t="str">
        <f t="shared" si="16"/>
        <v xml:space="preserve"> </v>
      </c>
      <c r="AC17" s="91" t="str">
        <f t="shared" si="17"/>
        <v xml:space="preserve"> </v>
      </c>
    </row>
    <row r="18" spans="2:29" x14ac:dyDescent="0.25">
      <c r="B18" s="141"/>
      <c r="C18" s="120">
        <f>IFERROR(IF(VLOOKUP($B18,'PW B-Calf Riding'!$B$5:$AI$24,6,FALSE)=" ",0,VLOOKUP($B18,'PW B-Calf Riding'!$B$5:$AI$24,6,FALSE)),0)+IFERROR(IF(VLOOKUP($B18,'PW B-Goats'!$B$5:$AI$24,6,FALSE)=" ",0,VLOOKUP($B18,'PW B-Goats'!$B$5:$AI$24,6,FALSE)),0)+IFERROR(IF(VLOOKUP($B18,'PW B-Flags'!$B$5:$AI$24,6,FALSE)=" ",0,VLOOKUP($B18,'PW B-Flags'!$B$5:$AI$24,6,FALSE)),0)+IFERROR(IF(VLOOKUP($B18,'PW B-Breakaway'!$B$5:$AI$24,6,FALSE)=" ",0,VLOOKUP($B18,'PW B-Breakaway'!$B$5:$AI$24,6,FALSE)),0)+IFERROR(IF(VLOOKUP($B18,'PW B-Steer Daubing'!$B$5:$AI$24,6,FALSE)=" ",0,VLOOKUP($B18,'PW B-Steer Daubing'!$B$5:$AI$24,6,FALSE)),0)</f>
        <v>0</v>
      </c>
      <c r="D18" s="95" t="str">
        <f t="shared" si="0"/>
        <v xml:space="preserve"> </v>
      </c>
      <c r="E18" s="122" t="str">
        <f t="shared" si="1"/>
        <v xml:space="preserve"> </v>
      </c>
      <c r="F18" s="121">
        <f>IFERROR(IF(VLOOKUP($B18,'PW B-Calf Riding'!$B$5:$AI$24,10,FALSE)=" ",0,VLOOKUP($B18,'PW B-Calf Riding'!$B$5:$AI$24,10,FALSE)),0)+IFERROR(IF(VLOOKUP($B18,'PW B-Goats'!$B$5:$AI$24,10,FALSE)=" ",0,VLOOKUP($B18,'PW B-Goats'!$B$5:$AI$24,10,FALSE)),0)+IFERROR(IF(VLOOKUP($B18,'PW B-Flags'!$B$5:$AI$24,10,FALSE)=" ",0,VLOOKUP($B18,'PW B-Flags'!$B$5:$AI$24,10,FALSE)),0)+IFERROR(IF(VLOOKUP($B18,'PW B-Breakaway'!$B$5:$AI$24,10,FALSE)=" ",0,VLOOKUP($B18,'PW B-Breakaway'!$B$5:$AI$24,10,FALSE)),0)+IFERROR(IF(VLOOKUP($B18,'PW B-Steer Daubing'!$B$5:$AI$24,10,FALSE)=" ",0,VLOOKUP($B18,'PW B-Steer Daubing'!$B$5:$AI$24,10,FALSE)),0)</f>
        <v>0</v>
      </c>
      <c r="G18" s="95" t="str">
        <f t="shared" si="2"/>
        <v xml:space="preserve"> </v>
      </c>
      <c r="H18" s="122" t="str">
        <f t="shared" si="3"/>
        <v xml:space="preserve"> </v>
      </c>
      <c r="I18" s="121">
        <f>IFERROR(IF(VLOOKUP($B18,'PW B-Calf Riding'!$B$5:$AI$24,14,FALSE)=" ",0,VLOOKUP($B18,'PW B-Calf Riding'!$B$5:$AI$24,14,FALSE)),0)+IFERROR(IF(VLOOKUP($B18,'PW B-Goats'!$B$5:$AI$24,14,FALSE)=" ",0,VLOOKUP($B18,'PW B-Goats'!$B$5:$AI$24,14,FALSE)),0)+IFERROR(IF(VLOOKUP($B18,'PW B-Flags'!$B$5:$AI$24,14,FALSE)=" ",0,VLOOKUP($B18,'PW B-Flags'!$B$5:$AI$24,14,FALSE)),0)+IFERROR(IF(VLOOKUP($B18,'PW B-Breakaway'!$B$5:$AI$24,14,FALSE)=" ",0,VLOOKUP($B18,'PW B-Breakaway'!$B$5:$AI$24,14,FALSE)),0)+IFERROR(IF(VLOOKUP($B18,'PW B-Steer Daubing'!$B$5:$AI$24,14,FALSE)=" ",0,VLOOKUP($B18,'PW B-Steer Daubing'!$B$5:$AI$24,14,FALSE)),0)</f>
        <v>0</v>
      </c>
      <c r="J18" s="95" t="str">
        <f t="shared" si="4"/>
        <v xml:space="preserve"> </v>
      </c>
      <c r="K18" s="122" t="str">
        <f t="shared" si="5"/>
        <v xml:space="preserve"> </v>
      </c>
      <c r="L18" s="121">
        <f>IFERROR(IF(VLOOKUP($B18,'PW B-Calf Riding'!$B$5:$AI$24,18,FALSE)=" ",0,VLOOKUP($B18,'PW B-Calf Riding'!$B$5:$AI$24,18,FALSE)),0)+IFERROR(IF(VLOOKUP($B18,'PW B-Goats'!$B$5:$AI$24,18,FALSE)=" ",0,VLOOKUP($B18,'PW B-Goats'!$B$5:$AI$24,18,FALSE)),0)+IFERROR(IF(VLOOKUP($B18,'PW B-Flags'!$B$5:$AI$24,18,FALSE)=" ",0,VLOOKUP($B18,'PW B-Flags'!$B$5:$AI$24,18,FALSE)),0)+IFERROR(IF(VLOOKUP($B18,'PW B-Breakaway'!$B$5:$AI$24,18,FALSE)=" ",0,VLOOKUP($B18,'PW B-Breakaway'!$B$5:$AI$24,18,FALSE)),0)+IFERROR(IF(VLOOKUP($B18,'PW B-Steer Daubing'!$B$5:$AI$24,18,FALSE)=" ",0,VLOOKUP($B18,'PW B-Steer Daubing'!$B$5:$AI$24,18,FALSE)),0)</f>
        <v>0</v>
      </c>
      <c r="M18" s="95" t="str">
        <f t="shared" si="6"/>
        <v xml:space="preserve"> </v>
      </c>
      <c r="N18" s="122" t="str">
        <f t="shared" si="7"/>
        <v xml:space="preserve"> </v>
      </c>
      <c r="O18" s="121">
        <f>IFERROR(IF(VLOOKUP($B18,'PW B-Calf Riding'!$B$5:$AI$24,22,FALSE)=" ",0,VLOOKUP($B18,'PW B-Calf Riding'!$B$5:$AI$24,22,FALSE)),0)+IFERROR(IF(VLOOKUP($B18,'PW B-Goats'!$B$5:$AI$24,22,FALSE)=" ",0,VLOOKUP($B18,'PW B-Goats'!$B$5:$AI$24,22,FALSE)),0)+IFERROR(IF(VLOOKUP($B18,'PW B-Flags'!$B$5:$AI$24,22,FALSE)=" ",0,VLOOKUP($B18,'PW B-Flags'!$B$5:$AI$24,22,FALSE)),0)+IFERROR(IF(VLOOKUP($B18,'PW B-Breakaway'!$B$5:$AI$24,22,FALSE)=" ",0,VLOOKUP($B18,'PW B-Breakaway'!$B$5:$AI$24,22,FALSE)),0)+IFERROR(IF(VLOOKUP($B18,'PW B-Steer Daubing'!$B$5:$AI$24,22,FALSE)=" ",0,VLOOKUP($B18,'PW B-Steer Daubing'!$B$5:$AI$24,22,FALSE)),0)</f>
        <v>0</v>
      </c>
      <c r="P18" s="95" t="str">
        <f t="shared" si="8"/>
        <v xml:space="preserve"> </v>
      </c>
      <c r="Q18" s="122" t="str">
        <f t="shared" si="9"/>
        <v xml:space="preserve"> </v>
      </c>
      <c r="R18" s="121">
        <f>IFERROR(IF(VLOOKUP($B18,'PW B-Calf Riding'!$B$5:$AI$24,26,FALSE)=" ",0,VLOOKUP($B18,'PW B-Calf Riding'!$B$5:$AI$24,26,FALSE)),0)+IFERROR(IF(VLOOKUP($B18,'PW B-Goats'!$B$5:$AI$24,26,FALSE)=" ",0,VLOOKUP($B18,'PW B-Goats'!$B$5:$AI$24,26,FALSE)),0)+IFERROR(IF(VLOOKUP($B18,'PW B-Flags'!$B$5:$AI$24,26,FALSE)=" ",0,VLOOKUP($B18,'PW B-Flags'!$B$5:$AI$24,26,FALSE)),0)+IFERROR(IF(VLOOKUP($B18,'PW B-Breakaway'!$B$5:$AI$24,26,FALSE)=" ",0,VLOOKUP($B18,'PW B-Breakaway'!$B$5:$AI$24,26,FALSE)),0)+IFERROR(IF(VLOOKUP($B18,'PW B-Steer Daubing'!$B$5:$AI$24,26,FALSE)=" ",0,VLOOKUP($B18,'PW B-Steer Daubing'!$B$5:$AI$24,26,FALSE)),0)</f>
        <v>0</v>
      </c>
      <c r="S18" s="95" t="str">
        <f t="shared" si="10"/>
        <v xml:space="preserve"> </v>
      </c>
      <c r="T18" s="122" t="str">
        <f t="shared" si="11"/>
        <v xml:space="preserve"> </v>
      </c>
      <c r="U18" s="121">
        <f>IFERROR(IF(VLOOKUP($B18,'PW B-Calf Riding'!$B$5:$AI$24,30,FALSE)=" ",0,VLOOKUP($B18,'PW B-Calf Riding'!$B$5:$AI$24,30,FALSE)),0)+IFERROR(IF(VLOOKUP($B18,'PW B-Goats'!$B$5:$AI$24,30,FALSE)=" ",0,VLOOKUP($B18,'PW B-Goats'!$B$5:$AI$24,30,FALSE)),0)+IFERROR(IF(VLOOKUP($B18,'PW B-Flags'!$B$5:$AI$24,30,FALSE)=" ",0,VLOOKUP($B18,'PW B-Flags'!$B$5:$AI$24,30,FALSE)),0)+IFERROR(IF(VLOOKUP($B18,'PW B-Breakaway'!$B$5:$AI$24,30,FALSE)=" ",0,VLOOKUP($B18,'PW B-Breakaway'!$B$5:$AI$24,30,FALSE)),0)+IFERROR(IF(VLOOKUP($B18,'PW B-Steer Daubing'!$B$5:$AI$24,30,FALSE)=" ",0,VLOOKUP($B18,'PW B-Steer Daubing'!$B$5:$AI$24,30,FALSE)),0)</f>
        <v>0</v>
      </c>
      <c r="V18" s="95" t="str">
        <f t="shared" si="12"/>
        <v xml:space="preserve"> </v>
      </c>
      <c r="W18" s="122" t="str">
        <f t="shared" si="13"/>
        <v xml:space="preserve"> </v>
      </c>
      <c r="X18" s="121">
        <f>IFERROR(IF(VLOOKUP($B18,'PW B-Calf Riding'!$B$5:$AI$24,34,FALSE)=" ",0,VLOOKUP($B18,'PW B-Calf Riding'!$B$5:$AI$24,34,FALSE)),0)+IFERROR(IF(VLOOKUP($B18,'PW B-Goats'!$B$5:$AI$24,34,FALSE)=" ",0,VLOOKUP($B18,'PW B-Goats'!$B$5:$AI$24,34,FALSE)),0)+IFERROR(IF(VLOOKUP($B18,'PW B-Flags'!$B$5:$AI$24,34,FALSE)=" ",0,VLOOKUP($B18,'PW B-Flags'!$B$5:$AI$24,34,FALSE)),0)+IFERROR(IF(VLOOKUP($B18,'PW B-Breakaway'!$B$5:$AI$24,34,FALSE)=" ",0,VLOOKUP($B18,'PW B-Breakaway'!$B$5:$AI$24,34,FALSE)),0)+IFERROR(IF(VLOOKUP($B18,'PW B-Steer Daubing'!$B$5:$AI$24,34,FALSE)=" ",0,VLOOKUP($B18,'PW B-Steer Daubing'!$B$5:$AI$24,34,FALSE)),0)</f>
        <v>0</v>
      </c>
      <c r="Y18" s="95" t="str">
        <f t="shared" si="14"/>
        <v xml:space="preserve"> </v>
      </c>
      <c r="Z18" s="122" t="str">
        <f t="shared" si="15"/>
        <v xml:space="preserve"> </v>
      </c>
      <c r="AA18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18" s="95" t="str">
        <f t="shared" si="16"/>
        <v xml:space="preserve"> </v>
      </c>
      <c r="AC18" s="122" t="str">
        <f t="shared" si="17"/>
        <v xml:space="preserve"> </v>
      </c>
    </row>
    <row r="19" spans="2:29" x14ac:dyDescent="0.25">
      <c r="B19" s="141"/>
      <c r="C19" s="120">
        <f>IFERROR(IF(VLOOKUP($B19,'PW B-Calf Riding'!$B$5:$AI$24,6,FALSE)=" ",0,VLOOKUP($B19,'PW B-Calf Riding'!$B$5:$AI$24,6,FALSE)),0)+IFERROR(IF(VLOOKUP($B19,'PW B-Goats'!$B$5:$AI$24,6,FALSE)=" ",0,VLOOKUP($B19,'PW B-Goats'!$B$5:$AI$24,6,FALSE)),0)+IFERROR(IF(VLOOKUP($B19,'PW B-Flags'!$B$5:$AI$24,6,FALSE)=" ",0,VLOOKUP($B19,'PW B-Flags'!$B$5:$AI$24,6,FALSE)),0)+IFERROR(IF(VLOOKUP($B19,'PW B-Breakaway'!$B$5:$AI$24,6,FALSE)=" ",0,VLOOKUP($B19,'PW B-Breakaway'!$B$5:$AI$24,6,FALSE)),0)+IFERROR(IF(VLOOKUP($B19,'PW B-Steer Daubing'!$B$5:$AI$24,6,FALSE)=" ",0,VLOOKUP($B19,'PW B-Steer Daubing'!$B$5:$AI$24,6,FALSE)),0)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IFERROR(IF(VLOOKUP($B19,'PW B-Calf Riding'!$B$5:$AI$24,10,FALSE)=" ",0,VLOOKUP($B19,'PW B-Calf Riding'!$B$5:$AI$24,10,FALSE)),0)+IFERROR(IF(VLOOKUP($B19,'PW B-Goats'!$B$5:$AI$24,10,FALSE)=" ",0,VLOOKUP($B19,'PW B-Goats'!$B$5:$AI$24,10,FALSE)),0)+IFERROR(IF(VLOOKUP($B19,'PW B-Flags'!$B$5:$AI$24,10,FALSE)=" ",0,VLOOKUP($B19,'PW B-Flags'!$B$5:$AI$24,10,FALSE)),0)+IFERROR(IF(VLOOKUP($B19,'PW B-Breakaway'!$B$5:$AI$24,10,FALSE)=" ",0,VLOOKUP($B19,'PW B-Breakaway'!$B$5:$AI$24,10,FALSE)),0)+IFERROR(IF(VLOOKUP($B19,'PW B-Steer Daubing'!$B$5:$AI$24,10,FALSE)=" ",0,VLOOKUP($B19,'PW B-Steer Daubing'!$B$5:$AI$24,10,FALSE)),0)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IFERROR(IF(VLOOKUP($B19,'PW B-Calf Riding'!$B$5:$AI$24,14,FALSE)=" ",0,VLOOKUP($B19,'PW B-Calf Riding'!$B$5:$AI$24,14,FALSE)),0)+IFERROR(IF(VLOOKUP($B19,'PW B-Goats'!$B$5:$AI$24,14,FALSE)=" ",0,VLOOKUP($B19,'PW B-Goats'!$B$5:$AI$24,14,FALSE)),0)+IFERROR(IF(VLOOKUP($B19,'PW B-Flags'!$B$5:$AI$24,14,FALSE)=" ",0,VLOOKUP($B19,'PW B-Flags'!$B$5:$AI$24,14,FALSE)),0)+IFERROR(IF(VLOOKUP($B19,'PW B-Breakaway'!$B$5:$AI$24,14,FALSE)=" ",0,VLOOKUP($B19,'PW B-Breakaway'!$B$5:$AI$24,14,FALSE)),0)+IFERROR(IF(VLOOKUP($B19,'PW B-Steer Daubing'!$B$5:$AI$24,14,FALSE)=" ",0,VLOOKUP($B19,'PW B-Steer Daubing'!$B$5:$AI$24,14,FALSE)),0)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IFERROR(IF(VLOOKUP($B19,'PW B-Calf Riding'!$B$5:$AI$24,18,FALSE)=" ",0,VLOOKUP($B19,'PW B-Calf Riding'!$B$5:$AI$24,18,FALSE)),0)+IFERROR(IF(VLOOKUP($B19,'PW B-Goats'!$B$5:$AI$24,18,FALSE)=" ",0,VLOOKUP($B19,'PW B-Goats'!$B$5:$AI$24,18,FALSE)),0)+IFERROR(IF(VLOOKUP($B19,'PW B-Flags'!$B$5:$AI$24,18,FALSE)=" ",0,VLOOKUP($B19,'PW B-Flags'!$B$5:$AI$24,18,FALSE)),0)+IFERROR(IF(VLOOKUP($B19,'PW B-Breakaway'!$B$5:$AI$24,18,FALSE)=" ",0,VLOOKUP($B19,'PW B-Breakaway'!$B$5:$AI$24,18,FALSE)),0)+IFERROR(IF(VLOOKUP($B19,'PW B-Steer Daubing'!$B$5:$AI$24,18,FALSE)=" ",0,VLOOKUP($B19,'PW B-Steer Daubing'!$B$5:$AI$24,18,FALSE)),0)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IFERROR(IF(VLOOKUP($B19,'PW B-Calf Riding'!$B$5:$AI$24,22,FALSE)=" ",0,VLOOKUP($B19,'PW B-Calf Riding'!$B$5:$AI$24,22,FALSE)),0)+IFERROR(IF(VLOOKUP($B19,'PW B-Goats'!$B$5:$AI$24,22,FALSE)=" ",0,VLOOKUP($B19,'PW B-Goats'!$B$5:$AI$24,22,FALSE)),0)+IFERROR(IF(VLOOKUP($B19,'PW B-Flags'!$B$5:$AI$24,22,FALSE)=" ",0,VLOOKUP($B19,'PW B-Flags'!$B$5:$AI$24,22,FALSE)),0)+IFERROR(IF(VLOOKUP($B19,'PW B-Breakaway'!$B$5:$AI$24,22,FALSE)=" ",0,VLOOKUP($B19,'PW B-Breakaway'!$B$5:$AI$24,22,FALSE)),0)+IFERROR(IF(VLOOKUP($B19,'PW B-Steer Daubing'!$B$5:$AI$24,22,FALSE)=" ",0,VLOOKUP($B19,'PW B-Steer Daubing'!$B$5:$AI$24,22,FALSE)),0)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IFERROR(IF(VLOOKUP($B19,'PW B-Calf Riding'!$B$5:$AI$24,26,FALSE)=" ",0,VLOOKUP($B19,'PW B-Calf Riding'!$B$5:$AI$24,26,FALSE)),0)+IFERROR(IF(VLOOKUP($B19,'PW B-Goats'!$B$5:$AI$24,26,FALSE)=" ",0,VLOOKUP($B19,'PW B-Goats'!$B$5:$AI$24,26,FALSE)),0)+IFERROR(IF(VLOOKUP($B19,'PW B-Flags'!$B$5:$AI$24,26,FALSE)=" ",0,VLOOKUP($B19,'PW B-Flags'!$B$5:$AI$24,26,FALSE)),0)+IFERROR(IF(VLOOKUP($B19,'PW B-Breakaway'!$B$5:$AI$24,26,FALSE)=" ",0,VLOOKUP($B19,'PW B-Breakaway'!$B$5:$AI$24,26,FALSE)),0)+IFERROR(IF(VLOOKUP($B19,'PW B-Steer Daubing'!$B$5:$AI$24,26,FALSE)=" ",0,VLOOKUP($B19,'PW B-Steer Daubing'!$B$5:$AI$24,26,FALSE)),0)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IFERROR(IF(VLOOKUP($B19,'PW B-Calf Riding'!$B$5:$AI$24,30,FALSE)=" ",0,VLOOKUP($B19,'PW B-Calf Riding'!$B$5:$AI$24,30,FALSE)),0)+IFERROR(IF(VLOOKUP($B19,'PW B-Goats'!$B$5:$AI$24,30,FALSE)=" ",0,VLOOKUP($B19,'PW B-Goats'!$B$5:$AI$24,30,FALSE)),0)+IFERROR(IF(VLOOKUP($B19,'PW B-Flags'!$B$5:$AI$24,30,FALSE)=" ",0,VLOOKUP($B19,'PW B-Flags'!$B$5:$AI$24,30,FALSE)),0)+IFERROR(IF(VLOOKUP($B19,'PW B-Breakaway'!$B$5:$AI$24,30,FALSE)=" ",0,VLOOKUP($B19,'PW B-Breakaway'!$B$5:$AI$24,30,FALSE)),0)+IFERROR(IF(VLOOKUP($B19,'PW B-Steer Daubing'!$B$5:$AI$24,30,FALSE)=" ",0,VLOOKUP($B19,'PW B-Steer Daubing'!$B$5:$AI$24,30,FALSE)),0)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IFERROR(IF(VLOOKUP($B19,'PW B-Calf Riding'!$B$5:$AI$24,34,FALSE)=" ",0,VLOOKUP($B19,'PW B-Calf Riding'!$B$5:$AI$24,34,FALSE)),0)+IFERROR(IF(VLOOKUP($B19,'PW B-Goats'!$B$5:$AI$24,34,FALSE)=" ",0,VLOOKUP($B19,'PW B-Goats'!$B$5:$AI$24,34,FALSE)),0)+IFERROR(IF(VLOOKUP($B19,'PW B-Flags'!$B$5:$AI$24,34,FALSE)=" ",0,VLOOKUP($B19,'PW B-Flags'!$B$5:$AI$24,34,FALSE)),0)+IFERROR(IF(VLOOKUP($B19,'PW B-Breakaway'!$B$5:$AI$24,34,FALSE)=" ",0,VLOOKUP($B19,'PW B-Breakaway'!$B$5:$AI$24,34,FALSE)),0)+IFERROR(IF(VLOOKUP($B19,'PW B-Steer Daubing'!$B$5:$AI$24,34,FALSE)=" ",0,VLOOKUP($B19,'PW B-Steer Daubing'!$B$5:$AI$24,34,FALSE)),0)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25">
      <c r="B20" s="141"/>
      <c r="C20" s="120">
        <f>IFERROR(IF(VLOOKUP($B20,'PW B-Calf Riding'!$B$5:$AI$24,6,FALSE)=" ",0,VLOOKUP($B20,'PW B-Calf Riding'!$B$5:$AI$24,6,FALSE)),0)+IFERROR(IF(VLOOKUP($B20,'PW B-Goats'!$B$5:$AI$24,6,FALSE)=" ",0,VLOOKUP($B20,'PW B-Goats'!$B$5:$AI$24,6,FALSE)),0)+IFERROR(IF(VLOOKUP($B20,'PW B-Flags'!$B$5:$AI$24,6,FALSE)=" ",0,VLOOKUP($B20,'PW B-Flags'!$B$5:$AI$24,6,FALSE)),0)+IFERROR(IF(VLOOKUP($B20,'PW B-Breakaway'!$B$5:$AI$24,6,FALSE)=" ",0,VLOOKUP($B20,'PW B-Breakaway'!$B$5:$AI$24,6,FALSE)),0)+IFERROR(IF(VLOOKUP($B20,'PW B-Steer Daubing'!$B$5:$AI$24,6,FALSE)=" ",0,VLOOKUP($B20,'PW B-Steer Daubing'!$B$5:$AI$24,6,FALSE)),0)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IFERROR(IF(VLOOKUP($B20,'PW B-Calf Riding'!$B$5:$AI$24,10,FALSE)=" ",0,VLOOKUP($B20,'PW B-Calf Riding'!$B$5:$AI$24,10,FALSE)),0)+IFERROR(IF(VLOOKUP($B20,'PW B-Goats'!$B$5:$AI$24,10,FALSE)=" ",0,VLOOKUP($B20,'PW B-Goats'!$B$5:$AI$24,10,FALSE)),0)+IFERROR(IF(VLOOKUP($B20,'PW B-Flags'!$B$5:$AI$24,10,FALSE)=" ",0,VLOOKUP($B20,'PW B-Flags'!$B$5:$AI$24,10,FALSE)),0)+IFERROR(IF(VLOOKUP($B20,'PW B-Breakaway'!$B$5:$AI$24,10,FALSE)=" ",0,VLOOKUP($B20,'PW B-Breakaway'!$B$5:$AI$24,10,FALSE)),0)+IFERROR(IF(VLOOKUP($B20,'PW B-Steer Daubing'!$B$5:$AI$24,10,FALSE)=" ",0,VLOOKUP($B20,'PW B-Steer Daubing'!$B$5:$AI$24,10,FALSE)),0)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IFERROR(IF(VLOOKUP($B20,'PW B-Calf Riding'!$B$5:$AI$24,14,FALSE)=" ",0,VLOOKUP($B20,'PW B-Calf Riding'!$B$5:$AI$24,14,FALSE)),0)+IFERROR(IF(VLOOKUP($B20,'PW B-Goats'!$B$5:$AI$24,14,FALSE)=" ",0,VLOOKUP($B20,'PW B-Goats'!$B$5:$AI$24,14,FALSE)),0)+IFERROR(IF(VLOOKUP($B20,'PW B-Flags'!$B$5:$AI$24,14,FALSE)=" ",0,VLOOKUP($B20,'PW B-Flags'!$B$5:$AI$24,14,FALSE)),0)+IFERROR(IF(VLOOKUP($B20,'PW B-Breakaway'!$B$5:$AI$24,14,FALSE)=" ",0,VLOOKUP($B20,'PW B-Breakaway'!$B$5:$AI$24,14,FALSE)),0)+IFERROR(IF(VLOOKUP($B20,'PW B-Steer Daubing'!$B$5:$AI$24,14,FALSE)=" ",0,VLOOKUP($B20,'PW B-Steer Daubing'!$B$5:$AI$24,14,FALSE)),0)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IFERROR(IF(VLOOKUP($B20,'PW B-Calf Riding'!$B$5:$AI$24,18,FALSE)=" ",0,VLOOKUP($B20,'PW B-Calf Riding'!$B$5:$AI$24,18,FALSE)),0)+IFERROR(IF(VLOOKUP($B20,'PW B-Goats'!$B$5:$AI$24,18,FALSE)=" ",0,VLOOKUP($B20,'PW B-Goats'!$B$5:$AI$24,18,FALSE)),0)+IFERROR(IF(VLOOKUP($B20,'PW B-Flags'!$B$5:$AI$24,18,FALSE)=" ",0,VLOOKUP($B20,'PW B-Flags'!$B$5:$AI$24,18,FALSE)),0)+IFERROR(IF(VLOOKUP($B20,'PW B-Breakaway'!$B$5:$AI$24,18,FALSE)=" ",0,VLOOKUP($B20,'PW B-Breakaway'!$B$5:$AI$24,18,FALSE)),0)+IFERROR(IF(VLOOKUP($B20,'PW B-Steer Daubing'!$B$5:$AI$24,18,FALSE)=" ",0,VLOOKUP($B20,'PW B-Steer Daubing'!$B$5:$AI$24,18,FALSE)),0)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IFERROR(IF(VLOOKUP($B20,'PW B-Calf Riding'!$B$5:$AI$24,22,FALSE)=" ",0,VLOOKUP($B20,'PW B-Calf Riding'!$B$5:$AI$24,22,FALSE)),0)+IFERROR(IF(VLOOKUP($B20,'PW B-Goats'!$B$5:$AI$24,22,FALSE)=" ",0,VLOOKUP($B20,'PW B-Goats'!$B$5:$AI$24,22,FALSE)),0)+IFERROR(IF(VLOOKUP($B20,'PW B-Flags'!$B$5:$AI$24,22,FALSE)=" ",0,VLOOKUP($B20,'PW B-Flags'!$B$5:$AI$24,22,FALSE)),0)+IFERROR(IF(VLOOKUP($B20,'PW B-Breakaway'!$B$5:$AI$24,22,FALSE)=" ",0,VLOOKUP($B20,'PW B-Breakaway'!$B$5:$AI$24,22,FALSE)),0)+IFERROR(IF(VLOOKUP($B20,'PW B-Steer Daubing'!$B$5:$AI$24,22,FALSE)=" ",0,VLOOKUP($B20,'PW B-Steer Daubing'!$B$5:$AI$24,22,FALSE)),0)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IFERROR(IF(VLOOKUP($B20,'PW B-Calf Riding'!$B$5:$AI$24,26,FALSE)=" ",0,VLOOKUP($B20,'PW B-Calf Riding'!$B$5:$AI$24,26,FALSE)),0)+IFERROR(IF(VLOOKUP($B20,'PW B-Goats'!$B$5:$AI$24,26,FALSE)=" ",0,VLOOKUP($B20,'PW B-Goats'!$B$5:$AI$24,26,FALSE)),0)+IFERROR(IF(VLOOKUP($B20,'PW B-Flags'!$B$5:$AI$24,26,FALSE)=" ",0,VLOOKUP($B20,'PW B-Flags'!$B$5:$AI$24,26,FALSE)),0)+IFERROR(IF(VLOOKUP($B20,'PW B-Breakaway'!$B$5:$AI$24,26,FALSE)=" ",0,VLOOKUP($B20,'PW B-Breakaway'!$B$5:$AI$24,26,FALSE)),0)+IFERROR(IF(VLOOKUP($B20,'PW B-Steer Daubing'!$B$5:$AI$24,26,FALSE)=" ",0,VLOOKUP($B20,'PW B-Steer Daubing'!$B$5:$AI$24,26,FALSE)),0)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IFERROR(IF(VLOOKUP($B20,'PW B-Calf Riding'!$B$5:$AI$24,30,FALSE)=" ",0,VLOOKUP($B20,'PW B-Calf Riding'!$B$5:$AI$24,30,FALSE)),0)+IFERROR(IF(VLOOKUP($B20,'PW B-Goats'!$B$5:$AI$24,30,FALSE)=" ",0,VLOOKUP($B20,'PW B-Goats'!$B$5:$AI$24,30,FALSE)),0)+IFERROR(IF(VLOOKUP($B20,'PW B-Flags'!$B$5:$AI$24,30,FALSE)=" ",0,VLOOKUP($B20,'PW B-Flags'!$B$5:$AI$24,30,FALSE)),0)+IFERROR(IF(VLOOKUP($B20,'PW B-Breakaway'!$B$5:$AI$24,30,FALSE)=" ",0,VLOOKUP($B20,'PW B-Breakaway'!$B$5:$AI$24,30,FALSE)),0)+IFERROR(IF(VLOOKUP($B20,'PW B-Steer Daubing'!$B$5:$AI$24,30,FALSE)=" ",0,VLOOKUP($B20,'PW B-Steer Daubing'!$B$5:$AI$24,30,FALSE)),0)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IFERROR(IF(VLOOKUP($B20,'PW B-Calf Riding'!$B$5:$AI$24,34,FALSE)=" ",0,VLOOKUP($B20,'PW B-Calf Riding'!$B$5:$AI$24,34,FALSE)),0)+IFERROR(IF(VLOOKUP($B20,'PW B-Goats'!$B$5:$AI$24,34,FALSE)=" ",0,VLOOKUP($B20,'PW B-Goats'!$B$5:$AI$24,34,FALSE)),0)+IFERROR(IF(VLOOKUP($B20,'PW B-Flags'!$B$5:$AI$24,34,FALSE)=" ",0,VLOOKUP($B20,'PW B-Flags'!$B$5:$AI$24,34,FALSE)),0)+IFERROR(IF(VLOOKUP($B20,'PW B-Breakaway'!$B$5:$AI$24,34,FALSE)=" ",0,VLOOKUP($B20,'PW B-Breakaway'!$B$5:$AI$24,34,FALSE)),0)+IFERROR(IF(VLOOKUP($B20,'PW B-Steer Daubing'!$B$5:$AI$24,34,FALSE)=" ",0,VLOOKUP($B20,'PW B-Steer Daubing'!$B$5:$AI$24,34,FALSE)),0)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25">
      <c r="B21" s="141"/>
      <c r="C21" s="120">
        <f>IFERROR(IF(VLOOKUP($B21,'PW B-Calf Riding'!$B$5:$AI$24,6,FALSE)=" ",0,VLOOKUP($B21,'PW B-Calf Riding'!$B$5:$AI$24,6,FALSE)),0)+IFERROR(IF(VLOOKUP($B21,'PW B-Goats'!$B$5:$AI$24,6,FALSE)=" ",0,VLOOKUP($B21,'PW B-Goats'!$B$5:$AI$24,6,FALSE)),0)+IFERROR(IF(VLOOKUP($B21,'PW B-Flags'!$B$5:$AI$24,6,FALSE)=" ",0,VLOOKUP($B21,'PW B-Flags'!$B$5:$AI$24,6,FALSE)),0)+IFERROR(IF(VLOOKUP($B21,'PW B-Breakaway'!$B$5:$AI$24,6,FALSE)=" ",0,VLOOKUP($B21,'PW B-Breakaway'!$B$5:$AI$24,6,FALSE)),0)+IFERROR(IF(VLOOKUP($B21,'PW B-Steer Daubing'!$B$5:$AI$24,6,FALSE)=" ",0,VLOOKUP($B21,'PW B-Steer Daubing'!$B$5:$AI$24,6,FALSE)),0)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IFERROR(IF(VLOOKUP($B21,'PW B-Calf Riding'!$B$5:$AI$24,10,FALSE)=" ",0,VLOOKUP($B21,'PW B-Calf Riding'!$B$5:$AI$24,10,FALSE)),0)+IFERROR(IF(VLOOKUP($B21,'PW B-Goats'!$B$5:$AI$24,10,FALSE)=" ",0,VLOOKUP($B21,'PW B-Goats'!$B$5:$AI$24,10,FALSE)),0)+IFERROR(IF(VLOOKUP($B21,'PW B-Flags'!$B$5:$AI$24,10,FALSE)=" ",0,VLOOKUP($B21,'PW B-Flags'!$B$5:$AI$24,10,FALSE)),0)+IFERROR(IF(VLOOKUP($B21,'PW B-Breakaway'!$B$5:$AI$24,10,FALSE)=" ",0,VLOOKUP($B21,'PW B-Breakaway'!$B$5:$AI$24,10,FALSE)),0)+IFERROR(IF(VLOOKUP($B21,'PW B-Steer Daubing'!$B$5:$AI$24,10,FALSE)=" ",0,VLOOKUP($B21,'PW B-Steer Daubing'!$B$5:$AI$24,10,FALSE)),0)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IFERROR(IF(VLOOKUP($B21,'PW B-Calf Riding'!$B$5:$AI$24,14,FALSE)=" ",0,VLOOKUP($B21,'PW B-Calf Riding'!$B$5:$AI$24,14,FALSE)),0)+IFERROR(IF(VLOOKUP($B21,'PW B-Goats'!$B$5:$AI$24,14,FALSE)=" ",0,VLOOKUP($B21,'PW B-Goats'!$B$5:$AI$24,14,FALSE)),0)+IFERROR(IF(VLOOKUP($B21,'PW B-Flags'!$B$5:$AI$24,14,FALSE)=" ",0,VLOOKUP($B21,'PW B-Flags'!$B$5:$AI$24,14,FALSE)),0)+IFERROR(IF(VLOOKUP($B21,'PW B-Breakaway'!$B$5:$AI$24,14,FALSE)=" ",0,VLOOKUP($B21,'PW B-Breakaway'!$B$5:$AI$24,14,FALSE)),0)+IFERROR(IF(VLOOKUP($B21,'PW B-Steer Daubing'!$B$5:$AI$24,14,FALSE)=" ",0,VLOOKUP($B21,'PW B-Steer Daubing'!$B$5:$AI$24,14,FALSE)),0)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IFERROR(IF(VLOOKUP($B21,'PW B-Calf Riding'!$B$5:$AI$24,18,FALSE)=" ",0,VLOOKUP($B21,'PW B-Calf Riding'!$B$5:$AI$24,18,FALSE)),0)+IFERROR(IF(VLOOKUP($B21,'PW B-Goats'!$B$5:$AI$24,18,FALSE)=" ",0,VLOOKUP($B21,'PW B-Goats'!$B$5:$AI$24,18,FALSE)),0)+IFERROR(IF(VLOOKUP($B21,'PW B-Flags'!$B$5:$AI$24,18,FALSE)=" ",0,VLOOKUP($B21,'PW B-Flags'!$B$5:$AI$24,18,FALSE)),0)+IFERROR(IF(VLOOKUP($B21,'PW B-Breakaway'!$B$5:$AI$24,18,FALSE)=" ",0,VLOOKUP($B21,'PW B-Breakaway'!$B$5:$AI$24,18,FALSE)),0)+IFERROR(IF(VLOOKUP($B21,'PW B-Steer Daubing'!$B$5:$AI$24,18,FALSE)=" ",0,VLOOKUP($B21,'PW B-Steer Daubing'!$B$5:$AI$24,18,FALSE)),0)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IFERROR(IF(VLOOKUP($B21,'PW B-Calf Riding'!$B$5:$AI$24,22,FALSE)=" ",0,VLOOKUP($B21,'PW B-Calf Riding'!$B$5:$AI$24,22,FALSE)),0)+IFERROR(IF(VLOOKUP($B21,'PW B-Goats'!$B$5:$AI$24,22,FALSE)=" ",0,VLOOKUP($B21,'PW B-Goats'!$B$5:$AI$24,22,FALSE)),0)+IFERROR(IF(VLOOKUP($B21,'PW B-Flags'!$B$5:$AI$24,22,FALSE)=" ",0,VLOOKUP($B21,'PW B-Flags'!$B$5:$AI$24,22,FALSE)),0)+IFERROR(IF(VLOOKUP($B21,'PW B-Breakaway'!$B$5:$AI$24,22,FALSE)=" ",0,VLOOKUP($B21,'PW B-Breakaway'!$B$5:$AI$24,22,FALSE)),0)+IFERROR(IF(VLOOKUP($B21,'PW B-Steer Daubing'!$B$5:$AI$24,22,FALSE)=" ",0,VLOOKUP($B21,'PW B-Steer Daubing'!$B$5:$AI$24,22,FALSE)),0)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IFERROR(IF(VLOOKUP($B21,'PW B-Calf Riding'!$B$5:$AI$24,26,FALSE)=" ",0,VLOOKUP($B21,'PW B-Calf Riding'!$B$5:$AI$24,26,FALSE)),0)+IFERROR(IF(VLOOKUP($B21,'PW B-Goats'!$B$5:$AI$24,26,FALSE)=" ",0,VLOOKUP($B21,'PW B-Goats'!$B$5:$AI$24,26,FALSE)),0)+IFERROR(IF(VLOOKUP($B21,'PW B-Flags'!$B$5:$AI$24,26,FALSE)=" ",0,VLOOKUP($B21,'PW B-Flags'!$B$5:$AI$24,26,FALSE)),0)+IFERROR(IF(VLOOKUP($B21,'PW B-Breakaway'!$B$5:$AI$24,26,FALSE)=" ",0,VLOOKUP($B21,'PW B-Breakaway'!$B$5:$AI$24,26,FALSE)),0)+IFERROR(IF(VLOOKUP($B21,'PW B-Steer Daubing'!$B$5:$AI$24,26,FALSE)=" ",0,VLOOKUP($B21,'PW B-Steer Daubing'!$B$5:$AI$24,26,FALSE)),0)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IFERROR(IF(VLOOKUP($B21,'PW B-Calf Riding'!$B$5:$AI$24,30,FALSE)=" ",0,VLOOKUP($B21,'PW B-Calf Riding'!$B$5:$AI$24,30,FALSE)),0)+IFERROR(IF(VLOOKUP($B21,'PW B-Goats'!$B$5:$AI$24,30,FALSE)=" ",0,VLOOKUP($B21,'PW B-Goats'!$B$5:$AI$24,30,FALSE)),0)+IFERROR(IF(VLOOKUP($B21,'PW B-Flags'!$B$5:$AI$24,30,FALSE)=" ",0,VLOOKUP($B21,'PW B-Flags'!$B$5:$AI$24,30,FALSE)),0)+IFERROR(IF(VLOOKUP($B21,'PW B-Breakaway'!$B$5:$AI$24,30,FALSE)=" ",0,VLOOKUP($B21,'PW B-Breakaway'!$B$5:$AI$24,30,FALSE)),0)+IFERROR(IF(VLOOKUP($B21,'PW B-Steer Daubing'!$B$5:$AI$24,30,FALSE)=" ",0,VLOOKUP($B21,'PW B-Steer Daubing'!$B$5:$AI$24,30,FALSE)),0)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IFERROR(IF(VLOOKUP($B21,'PW B-Calf Riding'!$B$5:$AI$24,34,FALSE)=" ",0,VLOOKUP($B21,'PW B-Calf Riding'!$B$5:$AI$24,34,FALSE)),0)+IFERROR(IF(VLOOKUP($B21,'PW B-Goats'!$B$5:$AI$24,34,FALSE)=" ",0,VLOOKUP($B21,'PW B-Goats'!$B$5:$AI$24,34,FALSE)),0)+IFERROR(IF(VLOOKUP($B21,'PW B-Flags'!$B$5:$AI$24,34,FALSE)=" ",0,VLOOKUP($B21,'PW B-Flags'!$B$5:$AI$24,34,FALSE)),0)+IFERROR(IF(VLOOKUP($B21,'PW B-Breakaway'!$B$5:$AI$24,34,FALSE)=" ",0,VLOOKUP($B21,'PW B-Breakaway'!$B$5:$AI$24,34,FALSE)),0)+IFERROR(IF(VLOOKUP($B21,'PW B-Steer Daubing'!$B$5:$AI$24,34,FALSE)=" ",0,VLOOKUP($B21,'PW B-Steer Daubing'!$B$5:$AI$24,34,FALSE)),0)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25">
      <c r="B22" s="141"/>
      <c r="C22" s="120">
        <f>IFERROR(IF(VLOOKUP($B22,'PW B-Calf Riding'!$B$5:$AI$24,6,FALSE)=" ",0,VLOOKUP($B22,'PW B-Calf Riding'!$B$5:$AI$24,6,FALSE)),0)+IFERROR(IF(VLOOKUP($B22,'PW B-Goats'!$B$5:$AI$24,6,FALSE)=" ",0,VLOOKUP($B22,'PW B-Goats'!$B$5:$AI$24,6,FALSE)),0)+IFERROR(IF(VLOOKUP($B22,'PW B-Flags'!$B$5:$AI$24,6,FALSE)=" ",0,VLOOKUP($B22,'PW B-Flags'!$B$5:$AI$24,6,FALSE)),0)+IFERROR(IF(VLOOKUP($B22,'PW B-Breakaway'!$B$5:$AI$24,6,FALSE)=" ",0,VLOOKUP($B22,'PW B-Breakaway'!$B$5:$AI$24,6,FALSE)),0)+IFERROR(IF(VLOOKUP($B22,'PW B-Steer Daubing'!$B$5:$AI$24,6,FALSE)=" ",0,VLOOKUP($B22,'PW B-Steer Daubing'!$B$5:$AI$24,6,FALSE)),0)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IFERROR(IF(VLOOKUP($B22,'PW B-Calf Riding'!$B$5:$AI$24,10,FALSE)=" ",0,VLOOKUP($B22,'PW B-Calf Riding'!$B$5:$AI$24,10,FALSE)),0)+IFERROR(IF(VLOOKUP($B22,'PW B-Goats'!$B$5:$AI$24,10,FALSE)=" ",0,VLOOKUP($B22,'PW B-Goats'!$B$5:$AI$24,10,FALSE)),0)+IFERROR(IF(VLOOKUP($B22,'PW B-Flags'!$B$5:$AI$24,10,FALSE)=" ",0,VLOOKUP($B22,'PW B-Flags'!$B$5:$AI$24,10,FALSE)),0)+IFERROR(IF(VLOOKUP($B22,'PW B-Breakaway'!$B$5:$AI$24,10,FALSE)=" ",0,VLOOKUP($B22,'PW B-Breakaway'!$B$5:$AI$24,10,FALSE)),0)+IFERROR(IF(VLOOKUP($B22,'PW B-Steer Daubing'!$B$5:$AI$24,10,FALSE)=" ",0,VLOOKUP($B22,'PW B-Steer Daubing'!$B$5:$AI$24,10,FALSE)),0)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IFERROR(IF(VLOOKUP($B22,'PW B-Calf Riding'!$B$5:$AI$24,14,FALSE)=" ",0,VLOOKUP($B22,'PW B-Calf Riding'!$B$5:$AI$24,14,FALSE)),0)+IFERROR(IF(VLOOKUP($B22,'PW B-Goats'!$B$5:$AI$24,14,FALSE)=" ",0,VLOOKUP($B22,'PW B-Goats'!$B$5:$AI$24,14,FALSE)),0)+IFERROR(IF(VLOOKUP($B22,'PW B-Flags'!$B$5:$AI$24,14,FALSE)=" ",0,VLOOKUP($B22,'PW B-Flags'!$B$5:$AI$24,14,FALSE)),0)+IFERROR(IF(VLOOKUP($B22,'PW B-Breakaway'!$B$5:$AI$24,14,FALSE)=" ",0,VLOOKUP($B22,'PW B-Breakaway'!$B$5:$AI$24,14,FALSE)),0)+IFERROR(IF(VLOOKUP($B22,'PW B-Steer Daubing'!$B$5:$AI$24,14,FALSE)=" ",0,VLOOKUP($B22,'PW B-Steer Daubing'!$B$5:$AI$24,14,FALSE)),0)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IFERROR(IF(VLOOKUP($B22,'PW B-Calf Riding'!$B$5:$AI$24,18,FALSE)=" ",0,VLOOKUP($B22,'PW B-Calf Riding'!$B$5:$AI$24,18,FALSE)),0)+IFERROR(IF(VLOOKUP($B22,'PW B-Goats'!$B$5:$AI$24,18,FALSE)=" ",0,VLOOKUP($B22,'PW B-Goats'!$B$5:$AI$24,18,FALSE)),0)+IFERROR(IF(VLOOKUP($B22,'PW B-Flags'!$B$5:$AI$24,18,FALSE)=" ",0,VLOOKUP($B22,'PW B-Flags'!$B$5:$AI$24,18,FALSE)),0)+IFERROR(IF(VLOOKUP($B22,'PW B-Breakaway'!$B$5:$AI$24,18,FALSE)=" ",0,VLOOKUP($B22,'PW B-Breakaway'!$B$5:$AI$24,18,FALSE)),0)+IFERROR(IF(VLOOKUP($B22,'PW B-Steer Daubing'!$B$5:$AI$24,18,FALSE)=" ",0,VLOOKUP($B22,'PW B-Steer Daubing'!$B$5:$AI$24,18,FALSE)),0)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IFERROR(IF(VLOOKUP($B22,'PW B-Calf Riding'!$B$5:$AI$24,22,FALSE)=" ",0,VLOOKUP($B22,'PW B-Calf Riding'!$B$5:$AI$24,22,FALSE)),0)+IFERROR(IF(VLOOKUP($B22,'PW B-Goats'!$B$5:$AI$24,22,FALSE)=" ",0,VLOOKUP($B22,'PW B-Goats'!$B$5:$AI$24,22,FALSE)),0)+IFERROR(IF(VLOOKUP($B22,'PW B-Flags'!$B$5:$AI$24,22,FALSE)=" ",0,VLOOKUP($B22,'PW B-Flags'!$B$5:$AI$24,22,FALSE)),0)+IFERROR(IF(VLOOKUP($B22,'PW B-Breakaway'!$B$5:$AI$24,22,FALSE)=" ",0,VLOOKUP($B22,'PW B-Breakaway'!$B$5:$AI$24,22,FALSE)),0)+IFERROR(IF(VLOOKUP($B22,'PW B-Steer Daubing'!$B$5:$AI$24,22,FALSE)=" ",0,VLOOKUP($B22,'PW B-Steer Daubing'!$B$5:$AI$24,22,FALSE)),0)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IFERROR(IF(VLOOKUP($B22,'PW B-Calf Riding'!$B$5:$AI$24,26,FALSE)=" ",0,VLOOKUP($B22,'PW B-Calf Riding'!$B$5:$AI$24,26,FALSE)),0)+IFERROR(IF(VLOOKUP($B22,'PW B-Goats'!$B$5:$AI$24,26,FALSE)=" ",0,VLOOKUP($B22,'PW B-Goats'!$B$5:$AI$24,26,FALSE)),0)+IFERROR(IF(VLOOKUP($B22,'PW B-Flags'!$B$5:$AI$24,26,FALSE)=" ",0,VLOOKUP($B22,'PW B-Flags'!$B$5:$AI$24,26,FALSE)),0)+IFERROR(IF(VLOOKUP($B22,'PW B-Breakaway'!$B$5:$AI$24,26,FALSE)=" ",0,VLOOKUP($B22,'PW B-Breakaway'!$B$5:$AI$24,26,FALSE)),0)+IFERROR(IF(VLOOKUP($B22,'PW B-Steer Daubing'!$B$5:$AI$24,26,FALSE)=" ",0,VLOOKUP($B22,'PW B-Steer Daubing'!$B$5:$AI$24,26,FALSE)),0)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IFERROR(IF(VLOOKUP($B22,'PW B-Calf Riding'!$B$5:$AI$24,30,FALSE)=" ",0,VLOOKUP($B22,'PW B-Calf Riding'!$B$5:$AI$24,30,FALSE)),0)+IFERROR(IF(VLOOKUP($B22,'PW B-Goats'!$B$5:$AI$24,30,FALSE)=" ",0,VLOOKUP($B22,'PW B-Goats'!$B$5:$AI$24,30,FALSE)),0)+IFERROR(IF(VLOOKUP($B22,'PW B-Flags'!$B$5:$AI$24,30,FALSE)=" ",0,VLOOKUP($B22,'PW B-Flags'!$B$5:$AI$24,30,FALSE)),0)+IFERROR(IF(VLOOKUP($B22,'PW B-Breakaway'!$B$5:$AI$24,30,FALSE)=" ",0,VLOOKUP($B22,'PW B-Breakaway'!$B$5:$AI$24,30,FALSE)),0)+IFERROR(IF(VLOOKUP($B22,'PW B-Steer Daubing'!$B$5:$AI$24,30,FALSE)=" ",0,VLOOKUP($B22,'PW B-Steer Daubing'!$B$5:$AI$24,30,FALSE)),0)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IFERROR(IF(VLOOKUP($B22,'PW B-Calf Riding'!$B$5:$AI$24,34,FALSE)=" ",0,VLOOKUP($B22,'PW B-Calf Riding'!$B$5:$AI$24,34,FALSE)),0)+IFERROR(IF(VLOOKUP($B22,'PW B-Goats'!$B$5:$AI$24,34,FALSE)=" ",0,VLOOKUP($B22,'PW B-Goats'!$B$5:$AI$24,34,FALSE)),0)+IFERROR(IF(VLOOKUP($B22,'PW B-Flags'!$B$5:$AI$24,34,FALSE)=" ",0,VLOOKUP($B22,'PW B-Flags'!$B$5:$AI$24,34,FALSE)),0)+IFERROR(IF(VLOOKUP($B22,'PW B-Breakaway'!$B$5:$AI$24,34,FALSE)=" ",0,VLOOKUP($B22,'PW B-Breakaway'!$B$5:$AI$24,34,FALSE)),0)+IFERROR(IF(VLOOKUP($B22,'PW B-Steer Daubing'!$B$5:$AI$24,34,FALSE)=" ",0,VLOOKUP($B22,'PW B-Steer Daubing'!$B$5:$AI$24,34,FALSE)),0)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25">
      <c r="B23" s="141"/>
      <c r="C23" s="120">
        <f>IFERROR(IF(VLOOKUP($B23,'PW B-Calf Riding'!$B$5:$AI$24,6,FALSE)=" ",0,VLOOKUP($B23,'PW B-Calf Riding'!$B$5:$AI$24,6,FALSE)),0)+IFERROR(IF(VLOOKUP($B23,'PW B-Goats'!$B$5:$AI$24,6,FALSE)=" ",0,VLOOKUP($B23,'PW B-Goats'!$B$5:$AI$24,6,FALSE)),0)+IFERROR(IF(VLOOKUP($B23,'PW B-Flags'!$B$5:$AI$24,6,FALSE)=" ",0,VLOOKUP($B23,'PW B-Flags'!$B$5:$AI$24,6,FALSE)),0)+IFERROR(IF(VLOOKUP($B23,'PW B-Breakaway'!$B$5:$AI$24,6,FALSE)=" ",0,VLOOKUP($B23,'PW B-Breakaway'!$B$5:$AI$24,6,FALSE)),0)+IFERROR(IF(VLOOKUP($B23,'PW B-Steer Daubing'!$B$5:$AI$24,6,FALSE)=" ",0,VLOOKUP($B23,'PW B-Steer Daubing'!$B$5:$AI$24,6,FALSE)),0)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IFERROR(IF(VLOOKUP($B23,'PW B-Calf Riding'!$B$5:$AI$24,10,FALSE)=" ",0,VLOOKUP($B23,'PW B-Calf Riding'!$B$5:$AI$24,10,FALSE)),0)+IFERROR(IF(VLOOKUP($B23,'PW B-Goats'!$B$5:$AI$24,10,FALSE)=" ",0,VLOOKUP($B23,'PW B-Goats'!$B$5:$AI$24,10,FALSE)),0)+IFERROR(IF(VLOOKUP($B23,'PW B-Flags'!$B$5:$AI$24,10,FALSE)=" ",0,VLOOKUP($B23,'PW B-Flags'!$B$5:$AI$24,10,FALSE)),0)+IFERROR(IF(VLOOKUP($B23,'PW B-Breakaway'!$B$5:$AI$24,10,FALSE)=" ",0,VLOOKUP($B23,'PW B-Breakaway'!$B$5:$AI$24,10,FALSE)),0)+IFERROR(IF(VLOOKUP($B23,'PW B-Steer Daubing'!$B$5:$AI$24,10,FALSE)=" ",0,VLOOKUP($B23,'PW B-Steer Daubing'!$B$5:$AI$24,10,FALSE)),0)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IFERROR(IF(VLOOKUP($B23,'PW B-Calf Riding'!$B$5:$AI$24,14,FALSE)=" ",0,VLOOKUP($B23,'PW B-Calf Riding'!$B$5:$AI$24,14,FALSE)),0)+IFERROR(IF(VLOOKUP($B23,'PW B-Goats'!$B$5:$AI$24,14,FALSE)=" ",0,VLOOKUP($B23,'PW B-Goats'!$B$5:$AI$24,14,FALSE)),0)+IFERROR(IF(VLOOKUP($B23,'PW B-Flags'!$B$5:$AI$24,14,FALSE)=" ",0,VLOOKUP($B23,'PW B-Flags'!$B$5:$AI$24,14,FALSE)),0)+IFERROR(IF(VLOOKUP($B23,'PW B-Breakaway'!$B$5:$AI$24,14,FALSE)=" ",0,VLOOKUP($B23,'PW B-Breakaway'!$B$5:$AI$24,14,FALSE)),0)+IFERROR(IF(VLOOKUP($B23,'PW B-Steer Daubing'!$B$5:$AI$24,14,FALSE)=" ",0,VLOOKUP($B23,'PW B-Steer Daubing'!$B$5:$AI$24,14,FALSE)),0)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IFERROR(IF(VLOOKUP($B23,'PW B-Calf Riding'!$B$5:$AI$24,18,FALSE)=" ",0,VLOOKUP($B23,'PW B-Calf Riding'!$B$5:$AI$24,18,FALSE)),0)+IFERROR(IF(VLOOKUP($B23,'PW B-Goats'!$B$5:$AI$24,18,FALSE)=" ",0,VLOOKUP($B23,'PW B-Goats'!$B$5:$AI$24,18,FALSE)),0)+IFERROR(IF(VLOOKUP($B23,'PW B-Flags'!$B$5:$AI$24,18,FALSE)=" ",0,VLOOKUP($B23,'PW B-Flags'!$B$5:$AI$24,18,FALSE)),0)+IFERROR(IF(VLOOKUP($B23,'PW B-Breakaway'!$B$5:$AI$24,18,FALSE)=" ",0,VLOOKUP($B23,'PW B-Breakaway'!$B$5:$AI$24,18,FALSE)),0)+IFERROR(IF(VLOOKUP($B23,'PW B-Steer Daubing'!$B$5:$AI$24,18,FALSE)=" ",0,VLOOKUP($B23,'PW B-Steer Daubing'!$B$5:$AI$24,18,FALSE)),0)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IFERROR(IF(VLOOKUP($B23,'PW B-Calf Riding'!$B$5:$AI$24,22,FALSE)=" ",0,VLOOKUP($B23,'PW B-Calf Riding'!$B$5:$AI$24,22,FALSE)),0)+IFERROR(IF(VLOOKUP($B23,'PW B-Goats'!$B$5:$AI$24,22,FALSE)=" ",0,VLOOKUP($B23,'PW B-Goats'!$B$5:$AI$24,22,FALSE)),0)+IFERROR(IF(VLOOKUP($B23,'PW B-Flags'!$B$5:$AI$24,22,FALSE)=" ",0,VLOOKUP($B23,'PW B-Flags'!$B$5:$AI$24,22,FALSE)),0)+IFERROR(IF(VLOOKUP($B23,'PW B-Breakaway'!$B$5:$AI$24,22,FALSE)=" ",0,VLOOKUP($B23,'PW B-Breakaway'!$B$5:$AI$24,22,FALSE)),0)+IFERROR(IF(VLOOKUP($B23,'PW B-Steer Daubing'!$B$5:$AI$24,22,FALSE)=" ",0,VLOOKUP($B23,'PW B-Steer Daubing'!$B$5:$AI$24,22,FALSE)),0)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IFERROR(IF(VLOOKUP($B23,'PW B-Calf Riding'!$B$5:$AI$24,26,FALSE)=" ",0,VLOOKUP($B23,'PW B-Calf Riding'!$B$5:$AI$24,26,FALSE)),0)+IFERROR(IF(VLOOKUP($B23,'PW B-Goats'!$B$5:$AI$24,26,FALSE)=" ",0,VLOOKUP($B23,'PW B-Goats'!$B$5:$AI$24,26,FALSE)),0)+IFERROR(IF(VLOOKUP($B23,'PW B-Flags'!$B$5:$AI$24,26,FALSE)=" ",0,VLOOKUP($B23,'PW B-Flags'!$B$5:$AI$24,26,FALSE)),0)+IFERROR(IF(VLOOKUP($B23,'PW B-Breakaway'!$B$5:$AI$24,26,FALSE)=" ",0,VLOOKUP($B23,'PW B-Breakaway'!$B$5:$AI$24,26,FALSE)),0)+IFERROR(IF(VLOOKUP($B23,'PW B-Steer Daubing'!$B$5:$AI$24,26,FALSE)=" ",0,VLOOKUP($B23,'PW B-Steer Daubing'!$B$5:$AI$24,26,FALSE)),0)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IFERROR(IF(VLOOKUP($B23,'PW B-Calf Riding'!$B$5:$AI$24,30,FALSE)=" ",0,VLOOKUP($B23,'PW B-Calf Riding'!$B$5:$AI$24,30,FALSE)),0)+IFERROR(IF(VLOOKUP($B23,'PW B-Goats'!$B$5:$AI$24,30,FALSE)=" ",0,VLOOKUP($B23,'PW B-Goats'!$B$5:$AI$24,30,FALSE)),0)+IFERROR(IF(VLOOKUP($B23,'PW B-Flags'!$B$5:$AI$24,30,FALSE)=" ",0,VLOOKUP($B23,'PW B-Flags'!$B$5:$AI$24,30,FALSE)),0)+IFERROR(IF(VLOOKUP($B23,'PW B-Breakaway'!$B$5:$AI$24,30,FALSE)=" ",0,VLOOKUP($B23,'PW B-Breakaway'!$B$5:$AI$24,30,FALSE)),0)+IFERROR(IF(VLOOKUP($B23,'PW B-Steer Daubing'!$B$5:$AI$24,30,FALSE)=" ",0,VLOOKUP($B23,'PW B-Steer Daubing'!$B$5:$AI$24,30,FALSE)),0)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IFERROR(IF(VLOOKUP($B23,'PW B-Calf Riding'!$B$5:$AI$24,34,FALSE)=" ",0,VLOOKUP($B23,'PW B-Calf Riding'!$B$5:$AI$24,34,FALSE)),0)+IFERROR(IF(VLOOKUP($B23,'PW B-Goats'!$B$5:$AI$24,34,FALSE)=" ",0,VLOOKUP($B23,'PW B-Goats'!$B$5:$AI$24,34,FALSE)),0)+IFERROR(IF(VLOOKUP($B23,'PW B-Flags'!$B$5:$AI$24,34,FALSE)=" ",0,VLOOKUP($B23,'PW B-Flags'!$B$5:$AI$24,34,FALSE)),0)+IFERROR(IF(VLOOKUP($B23,'PW B-Breakaway'!$B$5:$AI$24,34,FALSE)=" ",0,VLOOKUP($B23,'PW B-Breakaway'!$B$5:$AI$24,34,FALSE)),0)+IFERROR(IF(VLOOKUP($B23,'PW B-Steer Daubing'!$B$5:$AI$24,34,FALSE)=" ",0,VLOOKUP($B23,'PW B-Steer Daubing'!$B$5:$AI$24,34,FALSE)),0)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4" thickBot="1" x14ac:dyDescent="0.3">
      <c r="B24" s="143"/>
      <c r="C24" s="123">
        <f>IFERROR(IF(VLOOKUP($B24,'PW B-Calf Riding'!$B$5:$AI$24,6,FALSE)=" ",0,VLOOKUP($B24,'PW B-Calf Riding'!$B$5:$AI$24,6,FALSE)),0)+IFERROR(IF(VLOOKUP($B24,'PW B-Goats'!$B$5:$AI$24,6,FALSE)=" ",0,VLOOKUP($B24,'PW B-Goats'!$B$5:$AI$24,6,FALSE)),0)+IFERROR(IF(VLOOKUP($B24,'PW B-Flags'!$B$5:$AI$24,6,FALSE)=" ",0,VLOOKUP($B24,'PW B-Flags'!$B$5:$AI$24,6,FALSE)),0)+IFERROR(IF(VLOOKUP($B24,'PW B-Breakaway'!$B$5:$AI$24,6,FALSE)=" ",0,VLOOKUP($B24,'PW B-Breakaway'!$B$5:$AI$24,6,FALSE)),0)+IFERROR(IF(VLOOKUP($B24,'PW B-Steer Daubing'!$B$5:$AI$24,6,FALSE)=" ",0,VLOOKUP($B24,'PW B-Steer Daubing'!$B$5:$AI$24,6,FALSE)),0)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IFERROR(IF(VLOOKUP($B24,'PW B-Calf Riding'!$B$5:$AI$24,10,FALSE)=" ",0,VLOOKUP($B24,'PW B-Calf Riding'!$B$5:$AI$24,10,FALSE)),0)+IFERROR(IF(VLOOKUP($B24,'PW B-Goats'!$B$5:$AI$24,10,FALSE)=" ",0,VLOOKUP($B24,'PW B-Goats'!$B$5:$AI$24,10,FALSE)),0)+IFERROR(IF(VLOOKUP($B24,'PW B-Flags'!$B$5:$AI$24,10,FALSE)=" ",0,VLOOKUP($B24,'PW B-Flags'!$B$5:$AI$24,10,FALSE)),0)+IFERROR(IF(VLOOKUP($B24,'PW B-Breakaway'!$B$5:$AI$24,10,FALSE)=" ",0,VLOOKUP($B24,'PW B-Breakaway'!$B$5:$AI$24,10,FALSE)),0)+IFERROR(IF(VLOOKUP($B24,'PW B-Steer Daubing'!$B$5:$AI$24,10,FALSE)=" ",0,VLOOKUP($B24,'PW B-Steer Daubing'!$B$5:$AI$24,10,FALSE)),0)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IFERROR(IF(VLOOKUP($B24,'PW B-Calf Riding'!$B$5:$AI$24,14,FALSE)=" ",0,VLOOKUP($B24,'PW B-Calf Riding'!$B$5:$AI$24,14,FALSE)),0)+IFERROR(IF(VLOOKUP($B24,'PW B-Goats'!$B$5:$AI$24,14,FALSE)=" ",0,VLOOKUP($B24,'PW B-Goats'!$B$5:$AI$24,14,FALSE)),0)+IFERROR(IF(VLOOKUP($B24,'PW B-Flags'!$B$5:$AI$24,14,FALSE)=" ",0,VLOOKUP($B24,'PW B-Flags'!$B$5:$AI$24,14,FALSE)),0)+IFERROR(IF(VLOOKUP($B24,'PW B-Breakaway'!$B$5:$AI$24,14,FALSE)=" ",0,VLOOKUP($B24,'PW B-Breakaway'!$B$5:$AI$24,14,FALSE)),0)+IFERROR(IF(VLOOKUP($B24,'PW B-Steer Daubing'!$B$5:$AI$24,14,FALSE)=" ",0,VLOOKUP($B24,'PW B-Steer Daubing'!$B$5:$AI$24,14,FALSE)),0)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IFERROR(IF(VLOOKUP($B24,'PW B-Calf Riding'!$B$5:$AI$24,18,FALSE)=" ",0,VLOOKUP($B24,'PW B-Calf Riding'!$B$5:$AI$24,18,FALSE)),0)+IFERROR(IF(VLOOKUP($B24,'PW B-Goats'!$B$5:$AI$24,18,FALSE)=" ",0,VLOOKUP($B24,'PW B-Goats'!$B$5:$AI$24,18,FALSE)),0)+IFERROR(IF(VLOOKUP($B24,'PW B-Flags'!$B$5:$AI$24,18,FALSE)=" ",0,VLOOKUP($B24,'PW B-Flags'!$B$5:$AI$24,18,FALSE)),0)+IFERROR(IF(VLOOKUP($B24,'PW B-Breakaway'!$B$5:$AI$24,18,FALSE)=" ",0,VLOOKUP($B24,'PW B-Breakaway'!$B$5:$AI$24,18,FALSE)),0)+IFERROR(IF(VLOOKUP($B24,'PW B-Steer Daubing'!$B$5:$AI$24,18,FALSE)=" ",0,VLOOKUP($B24,'PW B-Steer Daubing'!$B$5:$AI$24,18,FALSE)),0)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IFERROR(IF(VLOOKUP($B24,'PW B-Calf Riding'!$B$5:$AI$24,22,FALSE)=" ",0,VLOOKUP($B24,'PW B-Calf Riding'!$B$5:$AI$24,22,FALSE)),0)+IFERROR(IF(VLOOKUP($B24,'PW B-Goats'!$B$5:$AI$24,22,FALSE)=" ",0,VLOOKUP($B24,'PW B-Goats'!$B$5:$AI$24,22,FALSE)),0)+IFERROR(IF(VLOOKUP($B24,'PW B-Flags'!$B$5:$AI$24,22,FALSE)=" ",0,VLOOKUP($B24,'PW B-Flags'!$B$5:$AI$24,22,FALSE)),0)+IFERROR(IF(VLOOKUP($B24,'PW B-Breakaway'!$B$5:$AI$24,22,FALSE)=" ",0,VLOOKUP($B24,'PW B-Breakaway'!$B$5:$AI$24,22,FALSE)),0)+IFERROR(IF(VLOOKUP($B24,'PW B-Steer Daubing'!$B$5:$AI$24,22,FALSE)=" ",0,VLOOKUP($B24,'PW B-Steer Daubing'!$B$5:$AI$24,22,FALSE)),0)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IFERROR(IF(VLOOKUP($B24,'PW B-Calf Riding'!$B$5:$AI$24,26,FALSE)=" ",0,VLOOKUP($B24,'PW B-Calf Riding'!$B$5:$AI$24,26,FALSE)),0)+IFERROR(IF(VLOOKUP($B24,'PW B-Goats'!$B$5:$AI$24,26,FALSE)=" ",0,VLOOKUP($B24,'PW B-Goats'!$B$5:$AI$24,26,FALSE)),0)+IFERROR(IF(VLOOKUP($B24,'PW B-Flags'!$B$5:$AI$24,26,FALSE)=" ",0,VLOOKUP($B24,'PW B-Flags'!$B$5:$AI$24,26,FALSE)),0)+IFERROR(IF(VLOOKUP($B24,'PW B-Breakaway'!$B$5:$AI$24,26,FALSE)=" ",0,VLOOKUP($B24,'PW B-Breakaway'!$B$5:$AI$24,26,FALSE)),0)+IFERROR(IF(VLOOKUP($B24,'PW B-Steer Daubing'!$B$5:$AI$24,26,FALSE)=" ",0,VLOOKUP($B24,'PW B-Steer Daubing'!$B$5:$AI$24,26,FALSE)),0)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IFERROR(IF(VLOOKUP($B24,'PW B-Calf Riding'!$B$5:$AI$24,30,FALSE)=" ",0,VLOOKUP($B24,'PW B-Calf Riding'!$B$5:$AI$24,30,FALSE)),0)+IFERROR(IF(VLOOKUP($B24,'PW B-Goats'!$B$5:$AI$24,30,FALSE)=" ",0,VLOOKUP($B24,'PW B-Goats'!$B$5:$AI$24,30,FALSE)),0)+IFERROR(IF(VLOOKUP($B24,'PW B-Flags'!$B$5:$AI$24,30,FALSE)=" ",0,VLOOKUP($B24,'PW B-Flags'!$B$5:$AI$24,30,FALSE)),0)+IFERROR(IF(VLOOKUP($B24,'PW B-Breakaway'!$B$5:$AI$24,30,FALSE)=" ",0,VLOOKUP($B24,'PW B-Breakaway'!$B$5:$AI$24,30,FALSE)),0)+IFERROR(IF(VLOOKUP($B24,'PW B-Steer Daubing'!$B$5:$AI$24,30,FALSE)=" ",0,VLOOKUP($B24,'PW B-Steer Daubing'!$B$5:$AI$24,30,FALSE)),0)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IFERROR(IF(VLOOKUP($B24,'PW B-Calf Riding'!$B$5:$AI$24,34,FALSE)=" ",0,VLOOKUP($B24,'PW B-Calf Riding'!$B$5:$AI$24,34,FALSE)),0)+IFERROR(IF(VLOOKUP($B24,'PW B-Goats'!$B$5:$AI$24,34,FALSE)=" ",0,VLOOKUP($B24,'PW B-Goats'!$B$5:$AI$24,34,FALSE)),0)+IFERROR(IF(VLOOKUP($B24,'PW B-Flags'!$B$5:$AI$24,34,FALSE)=" ",0,VLOOKUP($B24,'PW B-Flags'!$B$5:$AI$24,34,FALSE)),0)+IFERROR(IF(VLOOKUP($B24,'PW B-Breakaway'!$B$5:$AI$24,34,FALSE)=" ",0,VLOOKUP($B24,'PW B-Breakaway'!$B$5:$AI$24,34,FALSE)),0)+IFERROR(IF(VLOOKUP($B24,'PW B-Steer Daubing'!$B$5:$AI$24,34,FALSE)=" ",0,VLOOKUP($B24,'PW B-Steer Daubing'!$B$5:$AI$24,34,FALSE)),0)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Table634568910112334444020[[#This Row],[Points]]+Table634568910112334444020[[#This Row],[Points4]]+Table634568910112334444020[[#This Row],[Points43]]+Table634568910112334444020[[#This Row],[Points44]]+Table634568910112334444020[[#This Row],[Points45]]+Table634568910112334444020[[#This Row],[Points46]]+Table634568910112334444020[[#This Row],[Points47]]+Table634568910112334444020[[#This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4" thickBot="1" x14ac:dyDescent="0.3">
      <c r="B25" s="125" t="s">
        <v>236</v>
      </c>
    </row>
    <row r="27" spans="2:29" x14ac:dyDescent="0.25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25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LHEWLTL45r9i3UFlfxxYPGD+RsMN2xPYTkEb8Vmk7e95f2iieJQ79/C5uFN2OoEdF0DD0F9MkgDJiI3eXmECfg==" saltValue="3jrijifJ6wnGZlec7oM0yQ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0D21-FDE4-4BE9-B22D-1827BB07DDE1}">
  <sheetPr codeName="Sheet52">
    <tabColor theme="4" tint="0.79998168889431442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7" customWidth="1"/>
    <col min="5" max="5" width="11.6640625" style="57" hidden="1" customWidth="1"/>
    <col min="6" max="6" width="11.6640625" style="57" customWidth="1"/>
    <col min="7" max="7" width="11.6640625" style="60" customWidth="1"/>
    <col min="8" max="8" width="11.6640625" style="57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7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58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4" t="s">
        <v>0</v>
      </c>
      <c r="I3" s="68"/>
      <c r="J3" s="68" t="s">
        <v>1</v>
      </c>
      <c r="K3" s="71" t="s">
        <v>2</v>
      </c>
      <c r="L3" s="144" t="s">
        <v>0</v>
      </c>
      <c r="M3" s="68"/>
      <c r="N3" s="68" t="s">
        <v>1</v>
      </c>
      <c r="O3" s="71" t="s">
        <v>2</v>
      </c>
      <c r="P3" s="144" t="s">
        <v>0</v>
      </c>
      <c r="Q3" s="68"/>
      <c r="R3" s="68" t="s">
        <v>1</v>
      </c>
      <c r="S3" s="71" t="s">
        <v>2</v>
      </c>
      <c r="T3" s="144" t="s">
        <v>0</v>
      </c>
      <c r="U3" s="68"/>
      <c r="V3" s="68" t="s">
        <v>1</v>
      </c>
      <c r="W3" s="71" t="s">
        <v>2</v>
      </c>
      <c r="X3" s="144" t="s">
        <v>0</v>
      </c>
      <c r="Y3" s="68"/>
      <c r="Z3" s="68" t="s">
        <v>1</v>
      </c>
      <c r="AA3" s="71" t="s">
        <v>2</v>
      </c>
      <c r="AB3" s="144" t="s">
        <v>0</v>
      </c>
      <c r="AC3" s="68"/>
      <c r="AD3" s="68" t="s">
        <v>1</v>
      </c>
      <c r="AE3" s="71" t="s">
        <v>2</v>
      </c>
      <c r="AF3" s="144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145" t="s">
        <v>0</v>
      </c>
      <c r="E4" s="78" t="s">
        <v>7</v>
      </c>
      <c r="F4" s="78" t="s">
        <v>1</v>
      </c>
      <c r="G4" s="81" t="s">
        <v>2</v>
      </c>
      <c r="H4" s="145" t="s">
        <v>17</v>
      </c>
      <c r="I4" s="78" t="s">
        <v>18</v>
      </c>
      <c r="J4" s="78" t="s">
        <v>8</v>
      </c>
      <c r="K4" s="81" t="s">
        <v>9</v>
      </c>
      <c r="L4" s="145" t="s">
        <v>10</v>
      </c>
      <c r="M4" s="78" t="s">
        <v>19</v>
      </c>
      <c r="N4" s="78" t="s">
        <v>20</v>
      </c>
      <c r="O4" s="81" t="s">
        <v>21</v>
      </c>
      <c r="P4" s="145" t="s">
        <v>22</v>
      </c>
      <c r="Q4" s="78" t="s">
        <v>11</v>
      </c>
      <c r="R4" s="78" t="s">
        <v>23</v>
      </c>
      <c r="S4" s="81" t="s">
        <v>24</v>
      </c>
      <c r="T4" s="145" t="s">
        <v>25</v>
      </c>
      <c r="U4" s="78" t="s">
        <v>26</v>
      </c>
      <c r="V4" s="78" t="s">
        <v>27</v>
      </c>
      <c r="W4" s="81" t="s">
        <v>28</v>
      </c>
      <c r="X4" s="145" t="s">
        <v>29</v>
      </c>
      <c r="Y4" s="78" t="s">
        <v>30</v>
      </c>
      <c r="Z4" s="78" t="s">
        <v>12</v>
      </c>
      <c r="AA4" s="81" t="s">
        <v>13</v>
      </c>
      <c r="AB4" s="145" t="s">
        <v>14</v>
      </c>
      <c r="AC4" s="78" t="s">
        <v>31</v>
      </c>
      <c r="AD4" s="78" t="s">
        <v>32</v>
      </c>
      <c r="AE4" s="81" t="s">
        <v>33</v>
      </c>
      <c r="AF4" s="145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89</v>
      </c>
      <c r="C5" s="84"/>
      <c r="D5" s="146">
        <v>9</v>
      </c>
      <c r="E5" s="86">
        <f t="shared" ref="E5:E24" si="0">IF(D5=0," ",_xlfn.RANK.AVG(D5,D$5:D$24,0))</f>
        <v>1</v>
      </c>
      <c r="F5" s="86">
        <f t="shared" ref="F5:F24" si="1">IF(D5=0," ",IF((RANK(D5,D$5:D$24,0)&gt;6)," ",RANK(D5,D$5:D$24,0)))</f>
        <v>1</v>
      </c>
      <c r="G5" s="87">
        <f>IF(Table6220273236[[#This Row],[Non-Member]]="X"," ",IF(F5=" "," ",IFERROR(VLOOKUP(E5,Points!$A$2:$B$14,2,FALSE)," ")))</f>
        <v>18</v>
      </c>
      <c r="H5" s="146">
        <v>9</v>
      </c>
      <c r="I5" s="86">
        <f t="shared" ref="I5:I24" si="2">IF(H5=0," ",_xlfn.RANK.AVG(H5,H$5:H$24,0))</f>
        <v>1.5</v>
      </c>
      <c r="J5" s="86">
        <f t="shared" ref="J5:J24" si="3">IF(H5=0," ",IF((RANK(H5,H$5:H$24,0)&gt;6)," ",RANK(H5,H$5:H$24,0)))</f>
        <v>1</v>
      </c>
      <c r="K5" s="87">
        <f>IF(Table6220273236[[#This Row],[Non-Member]]="X"," ",IF(J5=" "," ",IFERROR(VLOOKUP(I5,Points!$A$2:$B$14,2,FALSE)," ")))</f>
        <v>16.5</v>
      </c>
      <c r="L5" s="146">
        <v>2</v>
      </c>
      <c r="M5" s="86">
        <f t="shared" ref="M5:M24" si="4">IF(L5=0," ",_xlfn.RANK.AVG(L5,L$5:L$24,0))</f>
        <v>14.5</v>
      </c>
      <c r="N5" s="86" t="str">
        <f t="shared" ref="N5:N24" si="5">IF(L5=0," ",IF((RANK(L5,L$5:L$24,0)&gt;6)," ",RANK(L5,L$5:L$24,0)))</f>
        <v xml:space="preserve"> </v>
      </c>
      <c r="O5" s="87" t="str">
        <f>IF(Table6220273236[[#This Row],[Non-Member]]="X"," ",IF(N5=" "," ",IFERROR(VLOOKUP(M5,Points!$A$2:$B$14,2,FALSE)," ")))</f>
        <v xml:space="preserve"> </v>
      </c>
      <c r="P5" s="146">
        <v>3</v>
      </c>
      <c r="Q5" s="86">
        <f t="shared" ref="Q5:Q24" si="6">IF(P5=0," ",_xlfn.RANK.AVG(P5,P$5:P$24,0))</f>
        <v>11</v>
      </c>
      <c r="R5" s="86" t="str">
        <f t="shared" ref="R5:R24" si="7">IF(P5=0," ",IF((RANK(P5,P$5:P$24,0)&gt;6)," ",RANK(P5,P$5:P$24,0)))</f>
        <v xml:space="preserve"> </v>
      </c>
      <c r="S5" s="87" t="str">
        <f>IF(Table6220273236[[#This Row],[Non-Member]]="X"," ",IF(R5=" "," ",IFERROR(VLOOKUP(Q5,Points!$A$2:$B$14,2,FALSE)," ")))</f>
        <v xml:space="preserve"> </v>
      </c>
      <c r="T5" s="146">
        <v>6</v>
      </c>
      <c r="U5" s="86">
        <f t="shared" ref="U5:U24" si="8">IF(T5=0," ",_xlfn.RANK.AVG(T5,T$5:T$24,0))</f>
        <v>6.5</v>
      </c>
      <c r="V5" s="86">
        <f t="shared" ref="V5:V24" si="9">IF(T5=0," ",IF((RANK(T5,T$5:T$24,0)&gt;6)," ",RANK(T5,T$5:T$24,0)))</f>
        <v>6</v>
      </c>
      <c r="W5" s="87">
        <f>IF(Table6220273236[[#This Row],[Non-Member]]="X"," ",IF(V5=" "," ",IFERROR(VLOOKUP(U5,Points!$A$2:$B$14,2,FALSE)," ")))</f>
        <v>1.5</v>
      </c>
      <c r="X5" s="146">
        <v>9</v>
      </c>
      <c r="Y5" s="86">
        <f t="shared" ref="Y5:Y24" si="10">IF(X5=0," ",_xlfn.RANK.AVG(X5,X$5:X$24,0))</f>
        <v>1</v>
      </c>
      <c r="Z5" s="86">
        <f t="shared" ref="Z5:Z24" si="11">IF(X5=0," ",IF((RANK(X5,X$5:X$24,0)&gt;6)," ",RANK(X5,X$5:X$24,0)))</f>
        <v>1</v>
      </c>
      <c r="AA5" s="87">
        <f>IF(Table6220273236[[#This Row],[Non-Member]]="X"," ",IF(Z5=" "," ",IFERROR(VLOOKUP(Y5,Points!$A$2:$B$14,2,FALSE)," ")))</f>
        <v>18</v>
      </c>
      <c r="AB5" s="146">
        <v>9</v>
      </c>
      <c r="AC5" s="86">
        <f t="shared" ref="AC5:AC24" si="12">IF(AB5=0," ",_xlfn.RANK.AVG(AB5,IF(AB$5:AB$24&gt;0,AB$5:AB$24,0),0))</f>
        <v>1</v>
      </c>
      <c r="AD5" s="86">
        <f t="shared" ref="AD5:AD24" si="13">IFERROR(IF(RANK(AB5,AB$5:AB$24,0)&gt;6," ",(IF(AB5,RANK(AB5,AB$5:AB$24,0)," ")))," ")</f>
        <v>1</v>
      </c>
      <c r="AE5" s="87">
        <f>IF(Table6220273236[[#This Row],[Non-Member]]="X"," ",IF(AD5=" "," ",IFERROR(VLOOKUP(AC5,Points!$A$2:$B$14,2,FALSE)," ")))</f>
        <v>18</v>
      </c>
      <c r="AF5" s="146">
        <f t="shared" ref="AF5:AF24" si="14">IF(X5+AB5=0," ",X5+AB5)</f>
        <v>18</v>
      </c>
      <c r="AG5" s="89">
        <f t="shared" ref="AG5:AG24" si="15">IF(AF5=0," ",_xlfn.RANK.AVG(AF5,IF(AF$5:AF$24&gt;0,AF$5:AF$24,0),0))</f>
        <v>1</v>
      </c>
      <c r="AH5" s="86">
        <f t="shared" ref="AH5:AH24" si="16">IFERROR(IF(RANK(AF5,AF$5:AF$24,0)&gt;6," ",(IF(AF5,RANK(AF5,AF$5:AF$24,0)," ")))," ")</f>
        <v>1</v>
      </c>
      <c r="AI5" s="87">
        <f>IF(Table6220273236[[#This Row],[Non-Member]]="X"," ",IF(AH5=" "," ",IFERROR(VLOOKUP(AG5,Points!$A$2:$B$14,2,FALSE)," ")))</f>
        <v>18</v>
      </c>
      <c r="AJ5" s="86">
        <f>IF(Table6220273236[[#This Row],[Non-Member]]="X"," ",((IF(G5=" ",0,G5))+(IF(K5=" ",0,K5))+(IF(O5=" ",0,O5))+(IF(S5=" ",0,S5))+(IF(W5=" ",0,W5))+(IF(AA5=" ",0,AA5))+(IF(AE5=" ",0,AE5))+(IF(AI5=" ",0,AI5))))</f>
        <v>90</v>
      </c>
      <c r="AK5" s="88">
        <f t="shared" ref="AK5:AK24" si="17">IF(AJ5=0," ",AJ5)</f>
        <v>90</v>
      </c>
      <c r="AL5" s="89">
        <f t="shared" ref="AL5:AL24" si="18">IF(AK5=" "," ",RANK(AK5,$AK$5:$AK$24))</f>
        <v>1</v>
      </c>
    </row>
    <row r="6" spans="2:38" x14ac:dyDescent="0.25">
      <c r="B6" s="90" t="s">
        <v>92</v>
      </c>
      <c r="C6" s="91"/>
      <c r="D6" s="147">
        <v>3</v>
      </c>
      <c r="E6" s="93">
        <f t="shared" si="0"/>
        <v>5.5</v>
      </c>
      <c r="F6" s="93">
        <f t="shared" si="1"/>
        <v>5</v>
      </c>
      <c r="G6" s="94">
        <f>IF(Table6220273236[[#This Row],[Non-Member]]="X"," ",IF(F6=" "," ",IFERROR(VLOOKUP(E6,Points!$A$2:$B$14,2,FALSE)," ")))</f>
        <v>4.5</v>
      </c>
      <c r="H6" s="147">
        <v>9</v>
      </c>
      <c r="I6" s="93">
        <f t="shared" si="2"/>
        <v>1.5</v>
      </c>
      <c r="J6" s="93">
        <f t="shared" si="3"/>
        <v>1</v>
      </c>
      <c r="K6" s="94">
        <f>IF(Table6220273236[[#This Row],[Non-Member]]="X"," ",IF(J6=" "," ",IFERROR(VLOOKUP(I6,Points!$A$2:$B$14,2,FALSE)," ")))</f>
        <v>16.5</v>
      </c>
      <c r="L6" s="147">
        <v>6</v>
      </c>
      <c r="M6" s="93">
        <f t="shared" si="4"/>
        <v>4.5</v>
      </c>
      <c r="N6" s="93">
        <f t="shared" si="5"/>
        <v>4</v>
      </c>
      <c r="O6" s="94">
        <f>IF(Table6220273236[[#This Row],[Non-Member]]="X"," ",IF(N6=" "," ",IFERROR(VLOOKUP(M6,Points!$A$2:$B$14,2,FALSE)," ")))</f>
        <v>7.5</v>
      </c>
      <c r="P6" s="147">
        <v>9</v>
      </c>
      <c r="Q6" s="93">
        <f t="shared" si="6"/>
        <v>2</v>
      </c>
      <c r="R6" s="93">
        <f t="shared" si="7"/>
        <v>1</v>
      </c>
      <c r="S6" s="94">
        <f>IF(Table6220273236[[#This Row],[Non-Member]]="X"," ",IF(R6=" "," ",IFERROR(VLOOKUP(Q6,Points!$A$2:$B$14,2,FALSE)," ")))</f>
        <v>15</v>
      </c>
      <c r="T6" s="147">
        <v>7</v>
      </c>
      <c r="U6" s="93">
        <f t="shared" si="8"/>
        <v>4.5</v>
      </c>
      <c r="V6" s="93">
        <f t="shared" si="9"/>
        <v>4</v>
      </c>
      <c r="W6" s="94">
        <f>IF(Table6220273236[[#This Row],[Non-Member]]="X"," ",IF(V6=" "," ",IFERROR(VLOOKUP(U6,Points!$A$2:$B$14,2,FALSE)," ")))</f>
        <v>7.5</v>
      </c>
      <c r="X6" s="147">
        <v>8</v>
      </c>
      <c r="Y6" s="93">
        <f t="shared" si="10"/>
        <v>2.5</v>
      </c>
      <c r="Z6" s="93">
        <f t="shared" si="11"/>
        <v>2</v>
      </c>
      <c r="AA6" s="94">
        <f>IF(Table6220273236[[#This Row],[Non-Member]]="X"," ",IF(Z6=" "," ",IFERROR(VLOOKUP(Y6,Points!$A$2:$B$14,2,FALSE)," ")))</f>
        <v>13.5</v>
      </c>
      <c r="AB6" s="147">
        <v>6</v>
      </c>
      <c r="AC6" s="93">
        <f t="shared" si="12"/>
        <v>7</v>
      </c>
      <c r="AD6" s="93">
        <f t="shared" si="13"/>
        <v>5</v>
      </c>
      <c r="AE6" s="94">
        <v>1.8</v>
      </c>
      <c r="AF6" s="147">
        <f t="shared" si="14"/>
        <v>14</v>
      </c>
      <c r="AG6" s="96">
        <f t="shared" si="15"/>
        <v>3</v>
      </c>
      <c r="AH6" s="93">
        <f t="shared" si="16"/>
        <v>2</v>
      </c>
      <c r="AI6" s="94">
        <f>IF(Table6220273236[[#This Row],[Non-Member]]="X"," ",IF(AH6=" "," ",IFERROR(VLOOKUP(AG6,Points!$A$2:$B$14,2,FALSE)," ")))</f>
        <v>12</v>
      </c>
      <c r="AJ6" s="93">
        <f>IF(Table6220273236[[#This Row],[Non-Member]]="X"," ",((IF(G6=" ",0,G6))+(IF(K6=" ",0,K6))+(IF(O6=" ",0,O6))+(IF(S6=" ",0,S6))+(IF(W6=" ",0,W6))+(IF(AA6=" ",0,AA6))+(IF(AE6=" ",0,AE6))+(IF(AI6=" ",0,AI6))))</f>
        <v>78.3</v>
      </c>
      <c r="AK6" s="95">
        <f t="shared" si="17"/>
        <v>78.3</v>
      </c>
      <c r="AL6" s="96">
        <f t="shared" si="18"/>
        <v>2</v>
      </c>
    </row>
    <row r="7" spans="2:38" x14ac:dyDescent="0.25">
      <c r="B7" s="90" t="s">
        <v>85</v>
      </c>
      <c r="C7" s="91"/>
      <c r="D7" s="147">
        <v>6</v>
      </c>
      <c r="E7" s="93">
        <f t="shared" si="0"/>
        <v>2</v>
      </c>
      <c r="F7" s="93">
        <f t="shared" si="1"/>
        <v>2</v>
      </c>
      <c r="G7" s="94">
        <f>IF(Table6220273236[[#This Row],[Non-Member]]="X"," ",IF(F7=" "," ",IFERROR(VLOOKUP(E7,Points!$A$2:$B$14,2,FALSE)," ")))</f>
        <v>15</v>
      </c>
      <c r="H7" s="147">
        <v>6</v>
      </c>
      <c r="I7" s="93">
        <f t="shared" si="2"/>
        <v>6</v>
      </c>
      <c r="J7" s="93">
        <f t="shared" si="3"/>
        <v>5</v>
      </c>
      <c r="K7" s="94">
        <f>IF(Table6220273236[[#This Row],[Non-Member]]="X"," ",IF(J7=" "," ",IFERROR(VLOOKUP(I7,Points!$A$2:$B$14,2,FALSE)," ")))</f>
        <v>3</v>
      </c>
      <c r="L7" s="147">
        <v>7</v>
      </c>
      <c r="M7" s="93">
        <f t="shared" si="4"/>
        <v>3</v>
      </c>
      <c r="N7" s="93">
        <f t="shared" si="5"/>
        <v>3</v>
      </c>
      <c r="O7" s="94">
        <f>IF(Table6220273236[[#This Row],[Non-Member]]="X"," ",IF(N7=" "," ",IFERROR(VLOOKUP(M7,Points!$A$2:$B$14,2,FALSE)," ")))</f>
        <v>12</v>
      </c>
      <c r="P7" s="147">
        <v>2</v>
      </c>
      <c r="Q7" s="93">
        <f t="shared" si="6"/>
        <v>14</v>
      </c>
      <c r="R7" s="93" t="str">
        <f t="shared" si="7"/>
        <v xml:space="preserve"> </v>
      </c>
      <c r="S7" s="94" t="str">
        <f>IF(Table6220273236[[#This Row],[Non-Member]]="X"," ",IF(R7=" "," ",IFERROR(VLOOKUP(Q7,Points!$A$2:$B$14,2,FALSE)," ")))</f>
        <v xml:space="preserve"> </v>
      </c>
      <c r="T7" s="147">
        <v>8</v>
      </c>
      <c r="U7" s="93">
        <f t="shared" si="8"/>
        <v>3</v>
      </c>
      <c r="V7" s="93">
        <f t="shared" si="9"/>
        <v>3</v>
      </c>
      <c r="W7" s="94">
        <f>IF(Table6220273236[[#This Row],[Non-Member]]="X"," ",IF(V7=" "," ",IFERROR(VLOOKUP(U7,Points!$A$2:$B$14,2,FALSE)," ")))</f>
        <v>12</v>
      </c>
      <c r="X7" s="147">
        <v>3</v>
      </c>
      <c r="Y7" s="93">
        <f t="shared" si="10"/>
        <v>11</v>
      </c>
      <c r="Z7" s="93" t="str">
        <f t="shared" si="11"/>
        <v xml:space="preserve"> </v>
      </c>
      <c r="AA7" s="94" t="str">
        <f>IF(Table6220273236[[#This Row],[Non-Member]]="X"," ",IF(Z7=" "," ",IFERROR(VLOOKUP(Y7,Points!$A$2:$B$14,2,FALSE)," ")))</f>
        <v xml:space="preserve"> </v>
      </c>
      <c r="AB7" s="147">
        <v>8</v>
      </c>
      <c r="AC7" s="93">
        <f t="shared" si="12"/>
        <v>2.5</v>
      </c>
      <c r="AD7" s="93">
        <f t="shared" si="13"/>
        <v>2</v>
      </c>
      <c r="AE7" s="94">
        <f>IF(Table6220273236[[#This Row],[Non-Member]]="X"," ",IF(AD7=" "," ",IFERROR(VLOOKUP(AC7,Points!$A$2:$B$14,2,FALSE)," ")))</f>
        <v>13.5</v>
      </c>
      <c r="AF7" s="147">
        <f t="shared" si="14"/>
        <v>11</v>
      </c>
      <c r="AG7" s="96">
        <f t="shared" si="15"/>
        <v>5.5</v>
      </c>
      <c r="AH7" s="93">
        <f t="shared" si="16"/>
        <v>5</v>
      </c>
      <c r="AI7" s="94">
        <f>IF(Table6220273236[[#This Row],[Non-Member]]="X"," ",IF(AH7=" "," ",IFERROR(VLOOKUP(AG7,Points!$A$2:$B$14,2,FALSE)," ")))</f>
        <v>4.5</v>
      </c>
      <c r="AJ7" s="93">
        <f>IF(Table6220273236[[#This Row],[Non-Member]]="X"," ",((IF(G7=" ",0,G7))+(IF(K7=" ",0,K7))+(IF(O7=" ",0,O7))+(IF(S7=" ",0,S7))+(IF(W7=" ",0,W7))+(IF(AA7=" ",0,AA7))+(IF(AE7=" ",0,AE7))+(IF(AI7=" ",0,AI7))))</f>
        <v>60</v>
      </c>
      <c r="AK7" s="95">
        <f t="shared" si="17"/>
        <v>60</v>
      </c>
      <c r="AL7" s="96">
        <f t="shared" si="18"/>
        <v>3</v>
      </c>
    </row>
    <row r="8" spans="2:38" x14ac:dyDescent="0.25">
      <c r="B8" s="90" t="s">
        <v>225</v>
      </c>
      <c r="C8" s="91"/>
      <c r="D8" s="147">
        <v>3</v>
      </c>
      <c r="E8" s="93">
        <f t="shared" si="0"/>
        <v>5.5</v>
      </c>
      <c r="F8" s="93">
        <f t="shared" si="1"/>
        <v>5</v>
      </c>
      <c r="G8" s="94">
        <f>IF(Table6220273236[[#This Row],[Non-Member]]="X"," ",IF(F8=" "," ",IFERROR(VLOOKUP(E8,Points!$A$2:$B$14,2,FALSE)," ")))</f>
        <v>4.5</v>
      </c>
      <c r="H8" s="147">
        <v>5</v>
      </c>
      <c r="I8" s="93">
        <f t="shared" si="2"/>
        <v>8.5</v>
      </c>
      <c r="J8" s="93" t="str">
        <f t="shared" si="3"/>
        <v xml:space="preserve"> </v>
      </c>
      <c r="K8" s="94" t="str">
        <f>IF(Table6220273236[[#This Row],[Non-Member]]="X"," ",IF(J8=" "," ",IFERROR(VLOOKUP(I8,Points!$A$2:$B$14,2,FALSE)," ")))</f>
        <v xml:space="preserve"> </v>
      </c>
      <c r="L8" s="147">
        <v>9</v>
      </c>
      <c r="M8" s="93">
        <f t="shared" si="4"/>
        <v>1.5</v>
      </c>
      <c r="N8" s="93">
        <f t="shared" si="5"/>
        <v>1</v>
      </c>
      <c r="O8" s="94">
        <f>IF(Table6220273236[[#This Row],[Non-Member]]="X"," ",IF(N8=" "," ",IFERROR(VLOOKUP(M8,Points!$A$2:$B$14,2,FALSE)," ")))</f>
        <v>16.5</v>
      </c>
      <c r="P8" s="147">
        <v>5</v>
      </c>
      <c r="Q8" s="93">
        <f t="shared" si="6"/>
        <v>7</v>
      </c>
      <c r="R8" s="93">
        <f t="shared" si="7"/>
        <v>6</v>
      </c>
      <c r="S8" s="94">
        <f>IF(Table6220273236[[#This Row],[Non-Member]]="X"," ",IF(R8=" "," ",IFERROR(VLOOKUP(Q8,Points!$A$2:$B$14,2,FALSE)," ")))</f>
        <v>1</v>
      </c>
      <c r="T8" s="147">
        <v>4</v>
      </c>
      <c r="U8" s="93">
        <f t="shared" si="8"/>
        <v>10</v>
      </c>
      <c r="V8" s="93" t="str">
        <f t="shared" si="9"/>
        <v xml:space="preserve"> </v>
      </c>
      <c r="W8" s="94" t="str">
        <f>IF(Table6220273236[[#This Row],[Non-Member]]="X"," ",IF(V8=" "," ",IFERROR(VLOOKUP(U8,Points!$A$2:$B$14,2,FALSE)," ")))</f>
        <v xml:space="preserve"> </v>
      </c>
      <c r="X8" s="147">
        <v>7</v>
      </c>
      <c r="Y8" s="93">
        <f t="shared" si="10"/>
        <v>4</v>
      </c>
      <c r="Z8" s="93">
        <f t="shared" si="11"/>
        <v>4</v>
      </c>
      <c r="AA8" s="94">
        <f>IF(Table6220273236[[#This Row],[Non-Member]]="X"," ",IF(Z8=" "," ",IFERROR(VLOOKUP(Y8,Points!$A$2:$B$14,2,FALSE)," ")))</f>
        <v>9</v>
      </c>
      <c r="AB8" s="147">
        <v>7</v>
      </c>
      <c r="AC8" s="93">
        <f t="shared" si="12"/>
        <v>4</v>
      </c>
      <c r="AD8" s="93">
        <f t="shared" si="13"/>
        <v>4</v>
      </c>
      <c r="AE8" s="94">
        <f>IF(Table6220273236[[#This Row],[Non-Member]]="X"," ",IF(AD8=" "," ",IFERROR(VLOOKUP(AC8,Points!$A$2:$B$14,2,FALSE)," ")))</f>
        <v>9</v>
      </c>
      <c r="AF8" s="147">
        <f t="shared" si="14"/>
        <v>14</v>
      </c>
      <c r="AG8" s="96">
        <f t="shared" si="15"/>
        <v>3</v>
      </c>
      <c r="AH8" s="93">
        <f t="shared" si="16"/>
        <v>2</v>
      </c>
      <c r="AI8" s="94">
        <f>IF(Table6220273236[[#This Row],[Non-Member]]="X"," ",IF(AH8=" "," ",IFERROR(VLOOKUP(AG8,Points!$A$2:$B$14,2,FALSE)," ")))</f>
        <v>12</v>
      </c>
      <c r="AJ8" s="93">
        <f>IF(Table6220273236[[#This Row],[Non-Member]]="X"," ",((IF(G8=" ",0,G8))+(IF(K8=" ",0,K8))+(IF(O8=" ",0,O8))+(IF(S8=" ",0,S8))+(IF(W8=" ",0,W8))+(IF(AA8=" ",0,AA8))+(IF(AE8=" ",0,AE8))+(IF(AI8=" ",0,AI8))))</f>
        <v>52</v>
      </c>
      <c r="AK8" s="95">
        <f t="shared" si="17"/>
        <v>52</v>
      </c>
      <c r="AL8" s="96">
        <f t="shared" si="18"/>
        <v>4</v>
      </c>
    </row>
    <row r="9" spans="2:38" x14ac:dyDescent="0.25">
      <c r="B9" s="90" t="s">
        <v>90</v>
      </c>
      <c r="C9" s="91"/>
      <c r="D9" s="147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IF(Table6220273236[[#This Row],[Non-Member]]="X"," ",IF(F9=" "," ",IFERROR(VLOOKUP(E9,Points!$A$2:$B$14,2,FALSE)," ")))</f>
        <v xml:space="preserve"> </v>
      </c>
      <c r="H9" s="147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IF(Table6220273236[[#This Row],[Non-Member]]="X"," ",IF(J9=" "," ",IFERROR(VLOOKUP(I9,Points!$A$2:$B$14,2,FALSE)," ")))</f>
        <v xml:space="preserve"> </v>
      </c>
      <c r="L9" s="147">
        <v>9</v>
      </c>
      <c r="M9" s="93">
        <f t="shared" si="4"/>
        <v>1.5</v>
      </c>
      <c r="N9" s="93">
        <f t="shared" si="5"/>
        <v>1</v>
      </c>
      <c r="O9" s="94">
        <f>IF(Table6220273236[[#This Row],[Non-Member]]="X"," ",IF(N9=" "," ",IFERROR(VLOOKUP(M9,Points!$A$2:$B$14,2,FALSE)," ")))</f>
        <v>16.5</v>
      </c>
      <c r="P9" s="147">
        <v>9</v>
      </c>
      <c r="Q9" s="93">
        <f t="shared" si="6"/>
        <v>2</v>
      </c>
      <c r="R9" s="93">
        <f t="shared" si="7"/>
        <v>1</v>
      </c>
      <c r="S9" s="94">
        <f>IF(Table6220273236[[#This Row],[Non-Member]]="X"," ",IF(R9=" "," ",IFERROR(VLOOKUP(Q9,Points!$A$2:$B$14,2,FALSE)," ")))</f>
        <v>15</v>
      </c>
      <c r="T9" s="147">
        <v>9</v>
      </c>
      <c r="U9" s="93">
        <f t="shared" si="8"/>
        <v>1.5</v>
      </c>
      <c r="V9" s="93">
        <f t="shared" si="9"/>
        <v>1</v>
      </c>
      <c r="W9" s="94">
        <f>IF(Table6220273236[[#This Row],[Non-Member]]="X"," ",IF(V9=" "," ",IFERROR(VLOOKUP(U9,Points!$A$2:$B$14,2,FALSE)," ")))</f>
        <v>16.5</v>
      </c>
      <c r="X9" s="147">
        <v>0</v>
      </c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IF(Table6220273236[[#This Row],[Non-Member]]="X"," ",IF(Z9=" "," ",IFERROR(VLOOKUP(Y9,Points!$A$2:$B$14,2,FALSE)," ")))</f>
        <v xml:space="preserve"> </v>
      </c>
      <c r="AB9" s="147">
        <v>6</v>
      </c>
      <c r="AC9" s="93">
        <f t="shared" si="12"/>
        <v>7</v>
      </c>
      <c r="AD9" s="93">
        <f t="shared" si="13"/>
        <v>5</v>
      </c>
      <c r="AE9" s="94">
        <v>1.8</v>
      </c>
      <c r="AF9" s="147">
        <f t="shared" si="14"/>
        <v>6</v>
      </c>
      <c r="AG9" s="96">
        <f t="shared" si="15"/>
        <v>14</v>
      </c>
      <c r="AH9" s="93" t="str">
        <f t="shared" si="16"/>
        <v xml:space="preserve"> </v>
      </c>
      <c r="AI9" s="94" t="str">
        <f>IF(Table6220273236[[#This Row],[Non-Member]]="X"," ",IF(AH9=" "," ",IFERROR(VLOOKUP(AG9,Points!$A$2:$B$14,2,FALSE)," ")))</f>
        <v xml:space="preserve"> </v>
      </c>
      <c r="AJ9" s="93">
        <f>IF(Table6220273236[[#This Row],[Non-Member]]="X"," ",((IF(G9=" ",0,G9))+(IF(K9=" ",0,K9))+(IF(O9=" ",0,O9))+(IF(S9=" ",0,S9))+(IF(W9=" ",0,W9))+(IF(AA9=" ",0,AA9))+(IF(AE9=" ",0,AE9))+(IF(AI9=" ",0,AI9))))</f>
        <v>49.8</v>
      </c>
      <c r="AK9" s="95">
        <f t="shared" si="17"/>
        <v>49.8</v>
      </c>
      <c r="AL9" s="96">
        <f t="shared" si="18"/>
        <v>5</v>
      </c>
    </row>
    <row r="10" spans="2:38" x14ac:dyDescent="0.25">
      <c r="B10" s="90" t="s">
        <v>94</v>
      </c>
      <c r="C10" s="91"/>
      <c r="D10" s="147">
        <v>5</v>
      </c>
      <c r="E10" s="93">
        <f t="shared" si="0"/>
        <v>3</v>
      </c>
      <c r="F10" s="93">
        <f t="shared" si="1"/>
        <v>3</v>
      </c>
      <c r="G10" s="94">
        <f>IF(Table6220273236[[#This Row],[Non-Member]]="X"," ",IF(F10=" "," ",IFERROR(VLOOKUP(E10,Points!$A$2:$B$14,2,FALSE)," ")))</f>
        <v>12</v>
      </c>
      <c r="H10" s="147">
        <v>2</v>
      </c>
      <c r="I10" s="93">
        <f t="shared" si="2"/>
        <v>13</v>
      </c>
      <c r="J10" s="93" t="str">
        <f t="shared" si="3"/>
        <v xml:space="preserve"> </v>
      </c>
      <c r="K10" s="94" t="str">
        <f>IF(Table6220273236[[#This Row],[Non-Member]]="X"," ",IF(J10=" "," ",IFERROR(VLOOKUP(I10,Points!$A$2:$B$14,2,FALSE)," ")))</f>
        <v xml:space="preserve"> </v>
      </c>
      <c r="L10" s="147">
        <v>6</v>
      </c>
      <c r="M10" s="93">
        <f t="shared" si="4"/>
        <v>4.5</v>
      </c>
      <c r="N10" s="93">
        <f t="shared" si="5"/>
        <v>4</v>
      </c>
      <c r="O10" s="94">
        <f>IF(Table6220273236[[#This Row],[Non-Member]]="X"," ",IF(N10=" "," ",IFERROR(VLOOKUP(M10,Points!$A$2:$B$14,2,FALSE)," ")))</f>
        <v>7.5</v>
      </c>
      <c r="P10" s="147">
        <v>5</v>
      </c>
      <c r="Q10" s="93">
        <f t="shared" si="6"/>
        <v>7</v>
      </c>
      <c r="R10" s="93">
        <f t="shared" si="7"/>
        <v>6</v>
      </c>
      <c r="S10" s="94">
        <f>IF(Table6220273236[[#This Row],[Non-Member]]="X"," ",IF(R10=" "," ",IFERROR(VLOOKUP(Q10,Points!$A$2:$B$14,2,FALSE)," ")))</f>
        <v>1</v>
      </c>
      <c r="T10" s="147">
        <v>6</v>
      </c>
      <c r="U10" s="93">
        <f t="shared" si="8"/>
        <v>6.5</v>
      </c>
      <c r="V10" s="93">
        <f t="shared" si="9"/>
        <v>6</v>
      </c>
      <c r="W10" s="94">
        <f>IF(Table6220273236[[#This Row],[Non-Member]]="X"," ",IF(V10=" "," ",IFERROR(VLOOKUP(U10,Points!$A$2:$B$14,2,FALSE)," ")))</f>
        <v>1.5</v>
      </c>
      <c r="X10" s="147">
        <v>3</v>
      </c>
      <c r="Y10" s="93">
        <f t="shared" si="10"/>
        <v>11</v>
      </c>
      <c r="Z10" s="93" t="str">
        <f t="shared" si="11"/>
        <v xml:space="preserve"> </v>
      </c>
      <c r="AA10" s="94" t="str">
        <f>IF(Table6220273236[[#This Row],[Non-Member]]="X"," ",IF(Z10=" "," ",IFERROR(VLOOKUP(Y10,Points!$A$2:$B$14,2,FALSE)," ")))</f>
        <v xml:space="preserve"> </v>
      </c>
      <c r="AB10" s="147">
        <v>8</v>
      </c>
      <c r="AC10" s="93">
        <f t="shared" si="12"/>
        <v>2.5</v>
      </c>
      <c r="AD10" s="93">
        <f t="shared" si="13"/>
        <v>2</v>
      </c>
      <c r="AE10" s="94">
        <f>IF(Table6220273236[[#This Row],[Non-Member]]="X"," ",IF(AD10=" "," ",IFERROR(VLOOKUP(AC10,Points!$A$2:$B$14,2,FALSE)," ")))</f>
        <v>13.5</v>
      </c>
      <c r="AF10" s="147">
        <f t="shared" si="14"/>
        <v>11</v>
      </c>
      <c r="AG10" s="96">
        <f t="shared" si="15"/>
        <v>5.5</v>
      </c>
      <c r="AH10" s="93">
        <f t="shared" si="16"/>
        <v>5</v>
      </c>
      <c r="AI10" s="94">
        <f>IF(Table6220273236[[#This Row],[Non-Member]]="X"," ",IF(AH10=" "," ",IFERROR(VLOOKUP(AG10,Points!$A$2:$B$14,2,FALSE)," ")))</f>
        <v>4.5</v>
      </c>
      <c r="AJ10" s="93">
        <f>IF(Table6220273236[[#This Row],[Non-Member]]="X"," ",((IF(G10=" ",0,G10))+(IF(K10=" ",0,K10))+(IF(O10=" ",0,O10))+(IF(S10=" ",0,S10))+(IF(W10=" ",0,W10))+(IF(AA10=" ",0,AA10))+(IF(AE10=" ",0,AE10))+(IF(AI10=" ",0,AI10))))</f>
        <v>40</v>
      </c>
      <c r="AK10" s="95">
        <f t="shared" si="17"/>
        <v>40</v>
      </c>
      <c r="AL10" s="96">
        <f t="shared" si="18"/>
        <v>6</v>
      </c>
    </row>
    <row r="11" spans="2:38" x14ac:dyDescent="0.25">
      <c r="B11" s="90" t="s">
        <v>93</v>
      </c>
      <c r="C11" s="91"/>
      <c r="D11" s="147">
        <v>1</v>
      </c>
      <c r="E11" s="97">
        <f t="shared" si="0"/>
        <v>10.5</v>
      </c>
      <c r="F11" s="97" t="str">
        <f t="shared" si="1"/>
        <v xml:space="preserve"> </v>
      </c>
      <c r="G11" s="94" t="str">
        <f>IF(Table6220273236[[#This Row],[Non-Member]]="X"," ",IF(F11=" "," ",IFERROR(VLOOKUP(E11,Points!$A$2:$B$14,2,FALSE)," ")))</f>
        <v xml:space="preserve"> </v>
      </c>
      <c r="H11" s="147">
        <v>3</v>
      </c>
      <c r="I11" s="97">
        <f t="shared" si="2"/>
        <v>11.5</v>
      </c>
      <c r="J11" s="93" t="str">
        <f t="shared" si="3"/>
        <v xml:space="preserve"> </v>
      </c>
      <c r="K11" s="94" t="str">
        <f>IF(Table6220273236[[#This Row],[Non-Member]]="X"," ",IF(J11=" "," ",IFERROR(VLOOKUP(I11,Points!$A$2:$B$14,2,FALSE)," ")))</f>
        <v xml:space="preserve"> </v>
      </c>
      <c r="L11" s="147">
        <v>3</v>
      </c>
      <c r="M11" s="97">
        <f t="shared" si="4"/>
        <v>10.5</v>
      </c>
      <c r="N11" s="93" t="str">
        <f t="shared" si="5"/>
        <v xml:space="preserve"> </v>
      </c>
      <c r="O11" s="94" t="str">
        <f>IF(Table6220273236[[#This Row],[Non-Member]]="X"," ",IF(N11=" "," ",IFERROR(VLOOKUP(M11,Points!$A$2:$B$14,2,FALSE)," ")))</f>
        <v xml:space="preserve"> </v>
      </c>
      <c r="P11" s="147">
        <v>9</v>
      </c>
      <c r="Q11" s="97">
        <f t="shared" si="6"/>
        <v>2</v>
      </c>
      <c r="R11" s="93">
        <f t="shared" si="7"/>
        <v>1</v>
      </c>
      <c r="S11" s="94">
        <f>IF(Table6220273236[[#This Row],[Non-Member]]="X"," ",IF(R11=" "," ",IFERROR(VLOOKUP(Q11,Points!$A$2:$B$14,2,FALSE)," ")))</f>
        <v>15</v>
      </c>
      <c r="T11" s="147">
        <v>9</v>
      </c>
      <c r="U11" s="97">
        <f t="shared" si="8"/>
        <v>1.5</v>
      </c>
      <c r="V11" s="93">
        <f t="shared" si="9"/>
        <v>1</v>
      </c>
      <c r="W11" s="94">
        <f>IF(Table6220273236[[#This Row],[Non-Member]]="X"," ",IF(V11=" "," ",IFERROR(VLOOKUP(U11,Points!$A$2:$B$14,2,FALSE)," ")))</f>
        <v>16.5</v>
      </c>
      <c r="X11" s="147">
        <v>6</v>
      </c>
      <c r="Y11" s="97">
        <f t="shared" si="10"/>
        <v>5</v>
      </c>
      <c r="Z11" s="93">
        <f t="shared" si="11"/>
        <v>5</v>
      </c>
      <c r="AA11" s="94">
        <f>IF(Table6220273236[[#This Row],[Non-Member]]="X"," ",IF(Z11=" "," ",IFERROR(VLOOKUP(Y11,Points!$A$2:$B$14,2,FALSE)," ")))</f>
        <v>6</v>
      </c>
      <c r="AB11" s="147">
        <v>3</v>
      </c>
      <c r="AC11" s="97">
        <f t="shared" si="12"/>
        <v>13</v>
      </c>
      <c r="AD11" s="93" t="str">
        <f t="shared" si="13"/>
        <v xml:space="preserve"> </v>
      </c>
      <c r="AE11" s="94" t="str">
        <f>IF(Table6220273236[[#This Row],[Non-Member]]="X"," ",IF(AD11=" "," ",IFERROR(VLOOKUP(AC11,Points!$A$2:$B$14,2,FALSE)," ")))</f>
        <v xml:space="preserve"> </v>
      </c>
      <c r="AF11" s="147">
        <f t="shared" si="14"/>
        <v>9</v>
      </c>
      <c r="AG11" s="98">
        <f t="shared" si="15"/>
        <v>8.5</v>
      </c>
      <c r="AH11" s="93" t="str">
        <f t="shared" si="16"/>
        <v xml:space="preserve"> </v>
      </c>
      <c r="AI11" s="94" t="str">
        <f>IF(Table6220273236[[#This Row],[Non-Member]]="X"," ",IF(AH11=" "," ",IFERROR(VLOOKUP(AG11,Points!$A$2:$B$14,2,FALSE)," ")))</f>
        <v xml:space="preserve"> </v>
      </c>
      <c r="AJ11" s="97">
        <f>IF(Table6220273236[[#This Row],[Non-Member]]="X"," ",((IF(G11=" ",0,G11))+(IF(K11=" ",0,K11))+(IF(O11=" ",0,O11))+(IF(S11=" ",0,S11))+(IF(W11=" ",0,W11))+(IF(AA11=" ",0,AA11))+(IF(AE11=" ",0,AE11))+(IF(AI11=" ",0,AI11))))</f>
        <v>37.5</v>
      </c>
      <c r="AK11" s="95">
        <f t="shared" si="17"/>
        <v>37.5</v>
      </c>
      <c r="AL11" s="98">
        <f t="shared" si="18"/>
        <v>7</v>
      </c>
    </row>
    <row r="12" spans="2:38" x14ac:dyDescent="0.25">
      <c r="B12" s="90" t="s">
        <v>227</v>
      </c>
      <c r="C12" s="91"/>
      <c r="D12" s="147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IF(Table6220273236[[#This Row],[Non-Member]]="X"," ",IF(F12=" "," ",IFERROR(VLOOKUP(E12,Points!$A$2:$B$14,2,FALSE)," ")))</f>
        <v xml:space="preserve"> </v>
      </c>
      <c r="H12" s="147">
        <v>4</v>
      </c>
      <c r="I12" s="93">
        <f t="shared" si="2"/>
        <v>10</v>
      </c>
      <c r="J12" s="93" t="str">
        <f t="shared" si="3"/>
        <v xml:space="preserve"> </v>
      </c>
      <c r="K12" s="94" t="str">
        <f>IF(Table6220273236[[#This Row],[Non-Member]]="X"," ",IF(J12=" "," ",IFERROR(VLOOKUP(I12,Points!$A$2:$B$14,2,FALSE)," ")))</f>
        <v xml:space="preserve"> </v>
      </c>
      <c r="L12" s="147">
        <v>3</v>
      </c>
      <c r="M12" s="93">
        <f t="shared" si="4"/>
        <v>10.5</v>
      </c>
      <c r="N12" s="93" t="str">
        <f t="shared" si="5"/>
        <v xml:space="preserve"> </v>
      </c>
      <c r="O12" s="94" t="str">
        <f>IF(Table6220273236[[#This Row],[Non-Member]]="X"," ",IF(N12=" "," ",IFERROR(VLOOKUP(M12,Points!$A$2:$B$14,2,FALSE)," ")))</f>
        <v xml:space="preserve"> </v>
      </c>
      <c r="P12" s="147">
        <v>3</v>
      </c>
      <c r="Q12" s="93">
        <f t="shared" si="6"/>
        <v>11</v>
      </c>
      <c r="R12" s="93" t="str">
        <f t="shared" si="7"/>
        <v xml:space="preserve"> </v>
      </c>
      <c r="S12" s="94" t="str">
        <f>IF(Table6220273236[[#This Row],[Non-Member]]="X"," ",IF(R12=" "," ",IFERROR(VLOOKUP(Q12,Points!$A$2:$B$14,2,FALSE)," ")))</f>
        <v xml:space="preserve"> </v>
      </c>
      <c r="T12" s="147">
        <v>5</v>
      </c>
      <c r="U12" s="93">
        <f t="shared" si="8"/>
        <v>8.5</v>
      </c>
      <c r="V12" s="93" t="str">
        <f t="shared" si="9"/>
        <v xml:space="preserve"> </v>
      </c>
      <c r="W12" s="94" t="str">
        <f>IF(Table6220273236[[#This Row],[Non-Member]]="X"," ",IF(V12=" "," ",IFERROR(VLOOKUP(U12,Points!$A$2:$B$14,2,FALSE)," ")))</f>
        <v xml:space="preserve"> </v>
      </c>
      <c r="X12" s="147">
        <v>8</v>
      </c>
      <c r="Y12" s="93">
        <f t="shared" si="10"/>
        <v>2.5</v>
      </c>
      <c r="Z12" s="93">
        <f t="shared" si="11"/>
        <v>2</v>
      </c>
      <c r="AA12" s="94">
        <f>IF(Table6220273236[[#This Row],[Non-Member]]="X"," ",IF(Z12=" "," ",IFERROR(VLOOKUP(Y12,Points!$A$2:$B$14,2,FALSE)," ")))</f>
        <v>13.5</v>
      </c>
      <c r="AB12" s="147">
        <v>6</v>
      </c>
      <c r="AC12" s="93">
        <f t="shared" si="12"/>
        <v>7</v>
      </c>
      <c r="AD12" s="93">
        <f t="shared" si="13"/>
        <v>5</v>
      </c>
      <c r="AE12" s="94">
        <v>1.8</v>
      </c>
      <c r="AF12" s="147">
        <f t="shared" si="14"/>
        <v>14</v>
      </c>
      <c r="AG12" s="96">
        <f t="shared" si="15"/>
        <v>3</v>
      </c>
      <c r="AH12" s="93">
        <f t="shared" si="16"/>
        <v>2</v>
      </c>
      <c r="AI12" s="94">
        <f>IF(Table6220273236[[#This Row],[Non-Member]]="X"," ",IF(AH12=" "," ",IFERROR(VLOOKUP(AG12,Points!$A$2:$B$14,2,FALSE)," ")))</f>
        <v>12</v>
      </c>
      <c r="AJ12" s="93">
        <f>IF(Table6220273236[[#This Row],[Non-Member]]="X"," ",((IF(G12=" ",0,G12))+(IF(K12=" ",0,K12))+(IF(O12=" ",0,O12))+(IF(S12=" ",0,S12))+(IF(W12=" ",0,W12))+(IF(AA12=" ",0,AA12))+(IF(AE12=" ",0,AE12))+(IF(AI12=" ",0,AI12))))</f>
        <v>27.3</v>
      </c>
      <c r="AK12" s="95">
        <f t="shared" si="17"/>
        <v>27.3</v>
      </c>
      <c r="AL12" s="96">
        <f t="shared" si="18"/>
        <v>8</v>
      </c>
    </row>
    <row r="13" spans="2:38" x14ac:dyDescent="0.25">
      <c r="B13" s="90" t="s">
        <v>221</v>
      </c>
      <c r="C13" s="91"/>
      <c r="D13" s="147">
        <v>4</v>
      </c>
      <c r="E13" s="97">
        <f t="shared" si="0"/>
        <v>4</v>
      </c>
      <c r="F13" s="97">
        <f t="shared" si="1"/>
        <v>4</v>
      </c>
      <c r="G13" s="94">
        <f>IF(Table6220273236[[#This Row],[Non-Member]]="X"," ",IF(F13=" "," ",IFERROR(VLOOKUP(E13,Points!$A$2:$B$14,2,FALSE)," ")))</f>
        <v>9</v>
      </c>
      <c r="H13" s="147">
        <v>0</v>
      </c>
      <c r="I13" s="97" t="str">
        <f t="shared" si="2"/>
        <v xml:space="preserve"> </v>
      </c>
      <c r="J13" s="93" t="str">
        <f t="shared" si="3"/>
        <v xml:space="preserve"> </v>
      </c>
      <c r="K13" s="94" t="str">
        <f>IF(Table6220273236[[#This Row],[Non-Member]]="X"," ",IF(J13=" "," ",IFERROR(VLOOKUP(I13,Points!$A$2:$B$14,2,FALSE)," ")))</f>
        <v xml:space="preserve"> </v>
      </c>
      <c r="L13" s="147">
        <v>2</v>
      </c>
      <c r="M13" s="97">
        <f t="shared" si="4"/>
        <v>14.5</v>
      </c>
      <c r="N13" s="93" t="str">
        <f t="shared" si="5"/>
        <v xml:space="preserve"> </v>
      </c>
      <c r="O13" s="94" t="str">
        <f>IF(Table6220273236[[#This Row],[Non-Member]]="X"," ",IF(N13=" "," ",IFERROR(VLOOKUP(M13,Points!$A$2:$B$14,2,FALSE)," ")))</f>
        <v xml:space="preserve"> </v>
      </c>
      <c r="P13" s="147">
        <v>3</v>
      </c>
      <c r="Q13" s="97">
        <f t="shared" si="6"/>
        <v>11</v>
      </c>
      <c r="R13" s="93" t="str">
        <f t="shared" si="7"/>
        <v xml:space="preserve"> </v>
      </c>
      <c r="S13" s="94" t="str">
        <f>IF(Table6220273236[[#This Row],[Non-Member]]="X"," ",IF(R13=" "," ",IFERROR(VLOOKUP(Q13,Points!$A$2:$B$14,2,FALSE)," ")))</f>
        <v xml:space="preserve"> </v>
      </c>
      <c r="T13" s="147">
        <v>7</v>
      </c>
      <c r="U13" s="97">
        <f t="shared" si="8"/>
        <v>4.5</v>
      </c>
      <c r="V13" s="93">
        <f t="shared" si="9"/>
        <v>4</v>
      </c>
      <c r="W13" s="94">
        <f>IF(Table6220273236[[#This Row],[Non-Member]]="X"," ",IF(V13=" "," ",IFERROR(VLOOKUP(U13,Points!$A$2:$B$14,2,FALSE)," ")))</f>
        <v>7.5</v>
      </c>
      <c r="X13" s="147">
        <v>4</v>
      </c>
      <c r="Y13" s="97">
        <f t="shared" si="10"/>
        <v>8</v>
      </c>
      <c r="Z13" s="93" t="str">
        <f t="shared" si="11"/>
        <v xml:space="preserve"> </v>
      </c>
      <c r="AA13" s="94" t="str">
        <f>IF(Table6220273236[[#This Row],[Non-Member]]="X"," ",IF(Z13=" "," ",IFERROR(VLOOKUP(Y13,Points!$A$2:$B$14,2,FALSE)," ")))</f>
        <v xml:space="preserve"> </v>
      </c>
      <c r="AB13" s="147">
        <v>3</v>
      </c>
      <c r="AC13" s="97">
        <f t="shared" si="12"/>
        <v>13</v>
      </c>
      <c r="AD13" s="93" t="str">
        <f t="shared" si="13"/>
        <v xml:space="preserve"> </v>
      </c>
      <c r="AE13" s="94" t="str">
        <f>IF(Table6220273236[[#This Row],[Non-Member]]="X"," ",IF(AD13=" "," ",IFERROR(VLOOKUP(AC13,Points!$A$2:$B$14,2,FALSE)," ")))</f>
        <v xml:space="preserve"> </v>
      </c>
      <c r="AF13" s="147">
        <f t="shared" si="14"/>
        <v>7</v>
      </c>
      <c r="AG13" s="98">
        <f t="shared" si="15"/>
        <v>12.5</v>
      </c>
      <c r="AH13" s="93" t="str">
        <f t="shared" si="16"/>
        <v xml:space="preserve"> </v>
      </c>
      <c r="AI13" s="94" t="str">
        <f>IF(Table6220273236[[#This Row],[Non-Member]]="X"," ",IF(AH13=" "," ",IFERROR(VLOOKUP(AG13,Points!$A$2:$B$14,2,FALSE)," ")))</f>
        <v xml:space="preserve"> </v>
      </c>
      <c r="AJ13" s="97">
        <f>IF(Table6220273236[[#This Row],[Non-Member]]="X"," ",((IF(G13=" ",0,G13))+(IF(K13=" ",0,K13))+(IF(O13=" ",0,O13))+(IF(S13=" ",0,S13))+(IF(W13=" ",0,W13))+(IF(AA13=" ",0,AA13))+(IF(AE13=" ",0,AE13))+(IF(AI13=" ",0,AI13))))</f>
        <v>16.5</v>
      </c>
      <c r="AK13" s="95">
        <f t="shared" si="17"/>
        <v>16.5</v>
      </c>
      <c r="AL13" s="98">
        <f t="shared" si="18"/>
        <v>9</v>
      </c>
    </row>
    <row r="14" spans="2:38" x14ac:dyDescent="0.25">
      <c r="B14" s="90" t="s">
        <v>224</v>
      </c>
      <c r="C14" s="91"/>
      <c r="D14" s="147">
        <v>1</v>
      </c>
      <c r="E14" s="93">
        <f t="shared" si="0"/>
        <v>10.5</v>
      </c>
      <c r="F14" s="93" t="str">
        <f t="shared" si="1"/>
        <v xml:space="preserve"> </v>
      </c>
      <c r="G14" s="94" t="str">
        <f>IF(Table6220273236[[#This Row],[Non-Member]]="X"," ",IF(F14=" "," ",IFERROR(VLOOKUP(E14,Points!$A$2:$B$14,2,FALSE)," ")))</f>
        <v xml:space="preserve"> </v>
      </c>
      <c r="H14" s="147">
        <v>7</v>
      </c>
      <c r="I14" s="93">
        <f t="shared" si="2"/>
        <v>3.5</v>
      </c>
      <c r="J14" s="93">
        <f t="shared" si="3"/>
        <v>3</v>
      </c>
      <c r="K14" s="94">
        <f>IF(Table6220273236[[#This Row],[Non-Member]]="X"," ",IF(J14=" "," ",IFERROR(VLOOKUP(I14,Points!$A$2:$B$14,2,FALSE)," ")))</f>
        <v>10.5</v>
      </c>
      <c r="L14" s="147">
        <v>5</v>
      </c>
      <c r="M14" s="93">
        <f t="shared" si="4"/>
        <v>6</v>
      </c>
      <c r="N14" s="93">
        <f t="shared" si="5"/>
        <v>6</v>
      </c>
      <c r="O14" s="94">
        <f>IF(Table6220273236[[#This Row],[Non-Member]]="X"," ",IF(N14=" "," ",IFERROR(VLOOKUP(M14,Points!$A$2:$B$14,2,FALSE)," ")))</f>
        <v>3</v>
      </c>
      <c r="P14" s="147">
        <v>2</v>
      </c>
      <c r="Q14" s="93">
        <f t="shared" si="6"/>
        <v>14</v>
      </c>
      <c r="R14" s="93" t="str">
        <f t="shared" si="7"/>
        <v xml:space="preserve"> </v>
      </c>
      <c r="S14" s="94" t="str">
        <f>IF(Table6220273236[[#This Row],[Non-Member]]="X"," ",IF(R14=" "," ",IFERROR(VLOOKUP(Q14,Points!$A$2:$B$14,2,FALSE)," ")))</f>
        <v xml:space="preserve"> </v>
      </c>
      <c r="T14" s="147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IF(Table6220273236[[#This Row],[Non-Member]]="X"," ",IF(V14=" "," ",IFERROR(VLOOKUP(U14,Points!$A$2:$B$14,2,FALSE)," ")))</f>
        <v xml:space="preserve"> </v>
      </c>
      <c r="X14" s="147">
        <v>3</v>
      </c>
      <c r="Y14" s="93">
        <f t="shared" si="10"/>
        <v>11</v>
      </c>
      <c r="Z14" s="93" t="str">
        <f t="shared" si="11"/>
        <v xml:space="preserve"> </v>
      </c>
      <c r="AA14" s="94" t="str">
        <f>IF(Table6220273236[[#This Row],[Non-Member]]="X"," ",IF(Z14=" "," ",IFERROR(VLOOKUP(Y14,Points!$A$2:$B$14,2,FALSE)," ")))</f>
        <v xml:space="preserve"> </v>
      </c>
      <c r="AB14" s="147">
        <v>2</v>
      </c>
      <c r="AC14" s="93">
        <f t="shared" si="12"/>
        <v>15</v>
      </c>
      <c r="AD14" s="93" t="str">
        <f t="shared" si="13"/>
        <v xml:space="preserve"> </v>
      </c>
      <c r="AE14" s="94" t="str">
        <f>IF(Table6220273236[[#This Row],[Non-Member]]="X"," ",IF(AD14=" "," ",IFERROR(VLOOKUP(AC14,Points!$A$2:$B$14,2,FALSE)," ")))</f>
        <v xml:space="preserve"> </v>
      </c>
      <c r="AF14" s="147">
        <f t="shared" si="14"/>
        <v>5</v>
      </c>
      <c r="AG14" s="96">
        <f t="shared" si="15"/>
        <v>15</v>
      </c>
      <c r="AH14" s="93" t="str">
        <f t="shared" si="16"/>
        <v xml:space="preserve"> </v>
      </c>
      <c r="AI14" s="94" t="str">
        <f>IF(Table6220273236[[#This Row],[Non-Member]]="X"," ",IF(AH14=" "," ",IFERROR(VLOOKUP(AG14,Points!$A$2:$B$14,2,FALSE)," ")))</f>
        <v xml:space="preserve"> </v>
      </c>
      <c r="AJ14" s="93">
        <f>IF(Table6220273236[[#This Row],[Non-Member]]="X"," ",((IF(G14=" ",0,G14))+(IF(K14=" ",0,K14))+(IF(O14=" ",0,O14))+(IF(S14=" ",0,S14))+(IF(W14=" ",0,W14))+(IF(AA14=" ",0,AA14))+(IF(AE14=" ",0,AE14))+(IF(AI14=" ",0,AI14))))</f>
        <v>13.5</v>
      </c>
      <c r="AK14" s="95">
        <f t="shared" si="17"/>
        <v>13.5</v>
      </c>
      <c r="AL14" s="96">
        <f t="shared" si="18"/>
        <v>10</v>
      </c>
    </row>
    <row r="15" spans="2:38" x14ac:dyDescent="0.25">
      <c r="B15" s="90" t="s">
        <v>87</v>
      </c>
      <c r="C15" s="91"/>
      <c r="D15" s="147">
        <v>2</v>
      </c>
      <c r="E15" s="93">
        <f t="shared" si="0"/>
        <v>8</v>
      </c>
      <c r="F15" s="93" t="str">
        <f t="shared" si="1"/>
        <v xml:space="preserve"> </v>
      </c>
      <c r="G15" s="94" t="str">
        <f>IF(Table6220273236[[#This Row],[Non-Member]]="X"," ",IF(F15=" "," ",IFERROR(VLOOKUP(E15,Points!$A$2:$B$14,2,FALSE)," ")))</f>
        <v xml:space="preserve"> </v>
      </c>
      <c r="H15" s="147">
        <v>7</v>
      </c>
      <c r="I15" s="93">
        <f t="shared" si="2"/>
        <v>3.5</v>
      </c>
      <c r="J15" s="93">
        <f t="shared" si="3"/>
        <v>3</v>
      </c>
      <c r="K15" s="94">
        <f>IF(Table6220273236[[#This Row],[Non-Member]]="X"," ",IF(J15=" "," ",IFERROR(VLOOKUP(I15,Points!$A$2:$B$14,2,FALSE)," ")))</f>
        <v>10.5</v>
      </c>
      <c r="L15" s="147">
        <v>4</v>
      </c>
      <c r="M15" s="93">
        <f t="shared" si="4"/>
        <v>7</v>
      </c>
      <c r="N15" s="93" t="str">
        <f t="shared" si="5"/>
        <v xml:space="preserve"> </v>
      </c>
      <c r="O15" s="94" t="str">
        <f>IF(Table6220273236[[#This Row],[Non-Member]]="X"," ",IF(N15=" "," ",IFERROR(VLOOKUP(M15,Points!$A$2:$B$14,2,FALSE)," ")))</f>
        <v xml:space="preserve"> </v>
      </c>
      <c r="P15" s="147">
        <v>5</v>
      </c>
      <c r="Q15" s="93">
        <f t="shared" si="6"/>
        <v>7</v>
      </c>
      <c r="R15" s="93">
        <f t="shared" si="7"/>
        <v>6</v>
      </c>
      <c r="S15" s="94">
        <f>IF(Table6220273236[[#This Row],[Non-Member]]="X"," ",IF(R15=" "," ",IFERROR(VLOOKUP(Q15,Points!$A$2:$B$14,2,FALSE)," ")))</f>
        <v>1</v>
      </c>
      <c r="T15" s="147">
        <v>0</v>
      </c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IF(Table6220273236[[#This Row],[Non-Member]]="X"," ",IF(V15=" "," ",IFERROR(VLOOKUP(U15,Points!$A$2:$B$14,2,FALSE)," ")))</f>
        <v xml:space="preserve"> </v>
      </c>
      <c r="X15" s="147">
        <v>2</v>
      </c>
      <c r="Y15" s="93">
        <f t="shared" si="10"/>
        <v>13.5</v>
      </c>
      <c r="Z15" s="93" t="str">
        <f t="shared" si="11"/>
        <v xml:space="preserve"> </v>
      </c>
      <c r="AA15" s="94" t="str">
        <f>IF(Table6220273236[[#This Row],[Non-Member]]="X"," ",IF(Z15=" "," ",IFERROR(VLOOKUP(Y15,Points!$A$2:$B$14,2,FALSE)," ")))</f>
        <v xml:space="preserve"> </v>
      </c>
      <c r="AB15" s="147">
        <v>6</v>
      </c>
      <c r="AC15" s="93">
        <f t="shared" si="12"/>
        <v>7</v>
      </c>
      <c r="AD15" s="93">
        <f t="shared" si="13"/>
        <v>5</v>
      </c>
      <c r="AE15" s="94">
        <v>1.8</v>
      </c>
      <c r="AF15" s="147">
        <f t="shared" si="14"/>
        <v>8</v>
      </c>
      <c r="AG15" s="96">
        <f t="shared" si="15"/>
        <v>10.5</v>
      </c>
      <c r="AH15" s="93" t="str">
        <f t="shared" si="16"/>
        <v xml:space="preserve"> </v>
      </c>
      <c r="AI15" s="94" t="str">
        <f>IF(Table6220273236[[#This Row],[Non-Member]]="X"," ",IF(AH15=" "," ",IFERROR(VLOOKUP(AG15,Points!$A$2:$B$14,2,FALSE)," ")))</f>
        <v xml:space="preserve"> </v>
      </c>
      <c r="AJ15" s="93">
        <f>IF(Table6220273236[[#This Row],[Non-Member]]="X"," ",((IF(G15=" ",0,G15))+(IF(K15=" ",0,K15))+(IF(O15=" ",0,O15))+(IF(S15=" ",0,S15))+(IF(W15=" ",0,W15))+(IF(AA15=" ",0,AA15))+(IF(AE15=" ",0,AE15))+(IF(AI15=" ",0,AI15))))</f>
        <v>13.3</v>
      </c>
      <c r="AK15" s="95">
        <f t="shared" si="17"/>
        <v>13.3</v>
      </c>
      <c r="AL15" s="96">
        <f t="shared" si="18"/>
        <v>11</v>
      </c>
    </row>
    <row r="16" spans="2:38" x14ac:dyDescent="0.25">
      <c r="B16" s="90" t="s">
        <v>228</v>
      </c>
      <c r="C16" s="91"/>
      <c r="D16" s="147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IF(Table6220273236[[#This Row],[Non-Member]]="X"," ",IF(F16=" "," ",IFERROR(VLOOKUP(E16,Points!$A$2:$B$14,2,FALSE)," ")))</f>
        <v xml:space="preserve"> </v>
      </c>
      <c r="H16" s="147">
        <v>5</v>
      </c>
      <c r="I16" s="93">
        <f t="shared" si="2"/>
        <v>8.5</v>
      </c>
      <c r="J16" s="93" t="str">
        <f t="shared" si="3"/>
        <v xml:space="preserve"> </v>
      </c>
      <c r="K16" s="94" t="str">
        <f>IF(Table6220273236[[#This Row],[Non-Member]]="X"," ",IF(J16=" "," ",IFERROR(VLOOKUP(I16,Points!$A$2:$B$14,2,FALSE)," ")))</f>
        <v xml:space="preserve"> </v>
      </c>
      <c r="L16" s="147">
        <v>3</v>
      </c>
      <c r="M16" s="93">
        <f t="shared" si="4"/>
        <v>10.5</v>
      </c>
      <c r="N16" s="93" t="str">
        <f t="shared" si="5"/>
        <v xml:space="preserve"> </v>
      </c>
      <c r="O16" s="94" t="str">
        <f>IF(Table6220273236[[#This Row],[Non-Member]]="X"," ",IF(N16=" "," ",IFERROR(VLOOKUP(M16,Points!$A$2:$B$14,2,FALSE)," ")))</f>
        <v xml:space="preserve"> </v>
      </c>
      <c r="P16" s="147">
        <v>7</v>
      </c>
      <c r="Q16" s="93">
        <f t="shared" si="6"/>
        <v>4.5</v>
      </c>
      <c r="R16" s="93">
        <f t="shared" si="7"/>
        <v>4</v>
      </c>
      <c r="S16" s="94">
        <f>IF(Table6220273236[[#This Row],[Non-Member]]="X"," ",IF(R16=" "," ",IFERROR(VLOOKUP(Q16,Points!$A$2:$B$14,2,FALSE)," ")))</f>
        <v>7.5</v>
      </c>
      <c r="T16" s="147">
        <v>5</v>
      </c>
      <c r="U16" s="93">
        <f t="shared" si="8"/>
        <v>8.5</v>
      </c>
      <c r="V16" s="93" t="str">
        <f t="shared" si="9"/>
        <v xml:space="preserve"> </v>
      </c>
      <c r="W16" s="94" t="str">
        <f>IF(Table6220273236[[#This Row],[Non-Member]]="X"," ",IF(V16=" "," ",IFERROR(VLOOKUP(U16,Points!$A$2:$B$14,2,FALSE)," ")))</f>
        <v xml:space="preserve"> </v>
      </c>
      <c r="X16" s="147">
        <v>5</v>
      </c>
      <c r="Y16" s="93">
        <f t="shared" si="10"/>
        <v>6</v>
      </c>
      <c r="Z16" s="93">
        <f t="shared" si="11"/>
        <v>6</v>
      </c>
      <c r="AA16" s="94">
        <f>IF(Table6220273236[[#This Row],[Non-Member]]="X"," ",IF(Z16=" "," ",IFERROR(VLOOKUP(Y16,Points!$A$2:$B$14,2,FALSE)," ")))</f>
        <v>3</v>
      </c>
      <c r="AB16" s="147">
        <v>5</v>
      </c>
      <c r="AC16" s="93">
        <f t="shared" si="12"/>
        <v>10.5</v>
      </c>
      <c r="AD16" s="93" t="str">
        <f t="shared" si="13"/>
        <v xml:space="preserve"> </v>
      </c>
      <c r="AE16" s="94" t="str">
        <f>IF(Table6220273236[[#This Row],[Non-Member]]="X"," ",IF(AD16=" "," ",IFERROR(VLOOKUP(AC16,Points!$A$2:$B$14,2,FALSE)," ")))</f>
        <v xml:space="preserve"> </v>
      </c>
      <c r="AF16" s="147">
        <f t="shared" si="14"/>
        <v>10</v>
      </c>
      <c r="AG16" s="96">
        <f t="shared" si="15"/>
        <v>7</v>
      </c>
      <c r="AH16" s="93" t="str">
        <f t="shared" si="16"/>
        <v xml:space="preserve"> </v>
      </c>
      <c r="AI16" s="94" t="str">
        <f>IF(Table6220273236[[#This Row],[Non-Member]]="X"," ",IF(AH16=" "," ",IFERROR(VLOOKUP(AG16,Points!$A$2:$B$14,2,FALSE)," ")))</f>
        <v xml:space="preserve"> </v>
      </c>
      <c r="AJ16" s="93">
        <f>IF(Table6220273236[[#This Row],[Non-Member]]="X"," ",((IF(G16=" ",0,G16))+(IF(K16=" ",0,K16))+(IF(O16=" ",0,O16))+(IF(S16=" ",0,S16))+(IF(W16=" ",0,W16))+(IF(AA16=" ",0,AA16))+(IF(AE16=" ",0,AE16))+(IF(AI16=" ",0,AI16))))</f>
        <v>10.5</v>
      </c>
      <c r="AK16" s="95">
        <f t="shared" si="17"/>
        <v>10.5</v>
      </c>
      <c r="AL16" s="96">
        <f t="shared" si="18"/>
        <v>12</v>
      </c>
    </row>
    <row r="17" spans="2:38" x14ac:dyDescent="0.25">
      <c r="B17" s="90" t="s">
        <v>239</v>
      </c>
      <c r="C17" s="91"/>
      <c r="D17" s="147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IF(Table6220273236[[#This Row],[Non-Member]]="X"," ",IF(F17=" "," ",IFERROR(VLOOKUP(E17,Points!$A$2:$B$14,2,FALSE)," ")))</f>
        <v xml:space="preserve"> </v>
      </c>
      <c r="H17" s="147">
        <v>6</v>
      </c>
      <c r="I17" s="93">
        <f t="shared" si="2"/>
        <v>6</v>
      </c>
      <c r="J17" s="93">
        <f t="shared" si="3"/>
        <v>5</v>
      </c>
      <c r="K17" s="94">
        <f>IF(Table6220273236[[#This Row],[Non-Member]]="X"," ",IF(J17=" "," ",IFERROR(VLOOKUP(I17,Points!$A$2:$B$14,2,FALSE)," ")))</f>
        <v>3</v>
      </c>
      <c r="L17" s="147">
        <v>0</v>
      </c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IF(Table6220273236[[#This Row],[Non-Member]]="X"," ",IF(N17=" "," ",IFERROR(VLOOKUP(M17,Points!$A$2:$B$14,2,FALSE)," ")))</f>
        <v xml:space="preserve"> </v>
      </c>
      <c r="P17" s="147">
        <v>4</v>
      </c>
      <c r="Q17" s="93">
        <f t="shared" si="6"/>
        <v>9</v>
      </c>
      <c r="R17" s="93" t="str">
        <f t="shared" si="7"/>
        <v xml:space="preserve"> </v>
      </c>
      <c r="S17" s="94" t="str">
        <f>IF(Table6220273236[[#This Row],[Non-Member]]="X"," ",IF(R17=" "," ",IFERROR(VLOOKUP(Q17,Points!$A$2:$B$14,2,FALSE)," ")))</f>
        <v xml:space="preserve"> </v>
      </c>
      <c r="T17" s="147">
        <v>3</v>
      </c>
      <c r="U17" s="93">
        <f t="shared" si="8"/>
        <v>11.5</v>
      </c>
      <c r="V17" s="93" t="str">
        <f t="shared" si="9"/>
        <v xml:space="preserve"> </v>
      </c>
      <c r="W17" s="94" t="str">
        <f>IF(Table6220273236[[#This Row],[Non-Member]]="X"," ",IF(V17=" "," ",IFERROR(VLOOKUP(U17,Points!$A$2:$B$14,2,FALSE)," ")))</f>
        <v xml:space="preserve"> </v>
      </c>
      <c r="X17" s="147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IF(Table6220273236[[#This Row],[Non-Member]]="X"," ",IF(Z17=" "," ",IFERROR(VLOOKUP(Y17,Points!$A$2:$B$14,2,FALSE)," ")))</f>
        <v xml:space="preserve"> </v>
      </c>
      <c r="AB17" s="147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IF(Table6220273236[[#This Row],[Non-Member]]="X"," ",IF(AD17=" "," ",IFERROR(VLOOKUP(AC17,Points!$A$2:$B$14,2,FALSE)," ")))</f>
        <v xml:space="preserve"> </v>
      </c>
      <c r="AF17" s="147" t="str">
        <f t="shared" si="14"/>
        <v xml:space="preserve"> </v>
      </c>
      <c r="AG17" s="96" t="e">
        <f t="shared" si="15"/>
        <v>#VALUE!</v>
      </c>
      <c r="AH17" s="93" t="str">
        <f t="shared" si="16"/>
        <v xml:space="preserve"> </v>
      </c>
      <c r="AI17" s="94" t="str">
        <f>IF(Table6220273236[[#This Row],[Non-Member]]="X"," ",IF(AH17=" "," ",IFERROR(VLOOKUP(AG17,Points!$A$2:$B$14,2,FALSE)," ")))</f>
        <v xml:space="preserve"> </v>
      </c>
      <c r="AJ17" s="93">
        <f>IF(Table6220273236[[#This Row],[Non-Member]]="X"," ",((IF(G17=" ",0,G17))+(IF(K17=" ",0,K17))+(IF(O17=" ",0,O17))+(IF(S17=" ",0,S17))+(IF(W17=" ",0,W17))+(IF(AA17=" ",0,AA17))+(IF(AE17=" ",0,AE17))+(IF(AI17=" ",0,AI17))))</f>
        <v>3</v>
      </c>
      <c r="AK17" s="95">
        <f t="shared" si="17"/>
        <v>3</v>
      </c>
      <c r="AL17" s="96">
        <f t="shared" si="18"/>
        <v>13</v>
      </c>
    </row>
    <row r="18" spans="2:38" x14ac:dyDescent="0.25">
      <c r="B18" s="90" t="s">
        <v>84</v>
      </c>
      <c r="C18" s="91"/>
      <c r="D18" s="147">
        <v>2</v>
      </c>
      <c r="E18" s="93">
        <f t="shared" si="0"/>
        <v>8</v>
      </c>
      <c r="F18" s="93" t="str">
        <f t="shared" si="1"/>
        <v xml:space="preserve"> </v>
      </c>
      <c r="G18" s="94" t="str">
        <f>IF(Table6220273236[[#This Row],[Non-Member]]="X"," ",IF(F18=" "," ",IFERROR(VLOOKUP(E18,Points!$A$2:$B$14,2,FALSE)," ")))</f>
        <v xml:space="preserve"> </v>
      </c>
      <c r="H18" s="147">
        <v>3</v>
      </c>
      <c r="I18" s="93">
        <f t="shared" si="2"/>
        <v>11.5</v>
      </c>
      <c r="J18" s="93" t="str">
        <f t="shared" si="3"/>
        <v xml:space="preserve"> </v>
      </c>
      <c r="K18" s="94" t="str">
        <f>IF(Table6220273236[[#This Row],[Non-Member]]="X"," ",IF(J18=" "," ",IFERROR(VLOOKUP(I18,Points!$A$2:$B$14,2,FALSE)," ")))</f>
        <v xml:space="preserve"> </v>
      </c>
      <c r="L18" s="147">
        <v>1</v>
      </c>
      <c r="M18" s="93">
        <f t="shared" si="4"/>
        <v>16</v>
      </c>
      <c r="N18" s="93" t="str">
        <f t="shared" si="5"/>
        <v xml:space="preserve"> </v>
      </c>
      <c r="O18" s="94" t="str">
        <f>IF(Table6220273236[[#This Row],[Non-Member]]="X"," ",IF(N18=" "," ",IFERROR(VLOOKUP(M18,Points!$A$2:$B$14,2,FALSE)," ")))</f>
        <v xml:space="preserve"> </v>
      </c>
      <c r="P18" s="147">
        <v>1</v>
      </c>
      <c r="Q18" s="93">
        <f t="shared" si="6"/>
        <v>16</v>
      </c>
      <c r="R18" s="93" t="str">
        <f t="shared" si="7"/>
        <v xml:space="preserve"> </v>
      </c>
      <c r="S18" s="94" t="str">
        <f>IF(Table6220273236[[#This Row],[Non-Member]]="X"," ",IF(R18=" "," ",IFERROR(VLOOKUP(Q18,Points!$A$2:$B$14,2,FALSE)," ")))</f>
        <v xml:space="preserve"> </v>
      </c>
      <c r="T18" s="147">
        <v>3</v>
      </c>
      <c r="U18" s="93">
        <f t="shared" si="8"/>
        <v>11.5</v>
      </c>
      <c r="V18" s="93" t="str">
        <f t="shared" si="9"/>
        <v xml:space="preserve"> </v>
      </c>
      <c r="W18" s="94" t="str">
        <f>IF(Table6220273236[[#This Row],[Non-Member]]="X"," ",IF(V18=" "," ",IFERROR(VLOOKUP(U18,Points!$A$2:$B$14,2,FALSE)," ")))</f>
        <v xml:space="preserve"> </v>
      </c>
      <c r="X18" s="147">
        <v>2</v>
      </c>
      <c r="Y18" s="93">
        <f t="shared" si="10"/>
        <v>13.5</v>
      </c>
      <c r="Z18" s="93" t="str">
        <f t="shared" si="11"/>
        <v xml:space="preserve"> </v>
      </c>
      <c r="AA18" s="94" t="str">
        <f>IF(Table6220273236[[#This Row],[Non-Member]]="X"," ",IF(Z18=" "," ",IFERROR(VLOOKUP(Y18,Points!$A$2:$B$14,2,FALSE)," ")))</f>
        <v xml:space="preserve"> </v>
      </c>
      <c r="AB18" s="147">
        <v>6</v>
      </c>
      <c r="AC18" s="93">
        <f t="shared" si="12"/>
        <v>7</v>
      </c>
      <c r="AD18" s="93">
        <f t="shared" si="13"/>
        <v>5</v>
      </c>
      <c r="AE18" s="94">
        <v>1.8</v>
      </c>
      <c r="AF18" s="147">
        <f t="shared" si="14"/>
        <v>8</v>
      </c>
      <c r="AG18" s="96">
        <f t="shared" si="15"/>
        <v>10.5</v>
      </c>
      <c r="AH18" s="93" t="str">
        <f t="shared" si="16"/>
        <v xml:space="preserve"> </v>
      </c>
      <c r="AI18" s="94" t="str">
        <f>IF(Table6220273236[[#This Row],[Non-Member]]="X"," ",IF(AH18=" "," ",IFERROR(VLOOKUP(AG18,Points!$A$2:$B$14,2,FALSE)," ")))</f>
        <v xml:space="preserve"> </v>
      </c>
      <c r="AJ18" s="93">
        <f>IF(Table6220273236[[#This Row],[Non-Member]]="X"," ",((IF(G18=" ",0,G18))+(IF(K18=" ",0,K18))+(IF(O18=" ",0,O18))+(IF(S18=" ",0,S18))+(IF(W18=" ",0,W18))+(IF(AA18=" ",0,AA18))+(IF(AE18=" ",0,AE18))+(IF(AI18=" ",0,AI18))))</f>
        <v>1.8</v>
      </c>
      <c r="AK18" s="95">
        <f t="shared" si="17"/>
        <v>1.8</v>
      </c>
      <c r="AL18" s="96">
        <f t="shared" si="18"/>
        <v>14</v>
      </c>
    </row>
    <row r="19" spans="2:38" x14ac:dyDescent="0.25">
      <c r="B19" s="90" t="s">
        <v>222</v>
      </c>
      <c r="C19" s="91"/>
      <c r="D19" s="150">
        <v>0</v>
      </c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IF(Table6220273236[[#This Row],[Non-Member]]="X"," ",IF(F19=" "," ",IFERROR(VLOOKUP(E19,Points!$A$2:$B$14,2,FALSE)," ")))</f>
        <v xml:space="preserve"> </v>
      </c>
      <c r="H19" s="147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IF(Table6220273236[[#This Row],[Non-Member]]="X"," ",IF(J19=" "," ",IFERROR(VLOOKUP(I19,Points!$A$2:$B$14,2,FALSE)," ")))</f>
        <v xml:space="preserve"> </v>
      </c>
      <c r="L19" s="147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IF(Table6220273236[[#This Row],[Non-Member]]="X"," ",IF(N19=" "," ",IFERROR(VLOOKUP(M19,Points!$A$2:$B$14,2,FALSE)," ")))</f>
        <v xml:space="preserve"> </v>
      </c>
      <c r="P19" s="147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IF(Table6220273236[[#This Row],[Non-Member]]="X"," ",IF(R19=" "," ",IFERROR(VLOOKUP(Q19,Points!$A$2:$B$14,2,FALSE)," ")))</f>
        <v xml:space="preserve"> </v>
      </c>
      <c r="T19" s="147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IF(Table6220273236[[#This Row],[Non-Member]]="X"," ",IF(V19=" "," ",IFERROR(VLOOKUP(U19,Points!$A$2:$B$14,2,FALSE)," ")))</f>
        <v xml:space="preserve"> </v>
      </c>
      <c r="X19" s="147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IF(Table6220273236[[#This Row],[Non-Member]]="X"," ",IF(Z19=" "," ",IFERROR(VLOOKUP(Y19,Points!$A$2:$B$14,2,FALSE)," ")))</f>
        <v xml:space="preserve"> </v>
      </c>
      <c r="AB19" s="147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IF(Table6220273236[[#This Row],[Non-Member]]="X"," ",IF(AD19=" "," ",IFERROR(VLOOKUP(AC19,Points!$A$2:$B$14,2,FALSE)," ")))</f>
        <v xml:space="preserve"> </v>
      </c>
      <c r="AF19" s="147" t="str">
        <f t="shared" si="14"/>
        <v xml:space="preserve"> </v>
      </c>
      <c r="AG19" s="96" t="e">
        <f t="shared" si="15"/>
        <v>#VALUE!</v>
      </c>
      <c r="AH19" s="93" t="str">
        <f t="shared" si="16"/>
        <v xml:space="preserve"> </v>
      </c>
      <c r="AI19" s="94" t="str">
        <f>IF(Table6220273236[[#This Row],[Non-Member]]="X"," ",IF(AH19=" "," ",IFERROR(VLOOKUP(AG19,Points!$A$2:$B$14,2,FALSE)," ")))</f>
        <v xml:space="preserve"> </v>
      </c>
      <c r="AJ19" s="93">
        <f>IF(Table6220273236[[#This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 t="s">
        <v>223</v>
      </c>
      <c r="C20" s="91"/>
      <c r="D20" s="147">
        <v>2</v>
      </c>
      <c r="E20" s="93">
        <f t="shared" si="0"/>
        <v>8</v>
      </c>
      <c r="F20" s="93" t="str">
        <f t="shared" si="1"/>
        <v xml:space="preserve"> </v>
      </c>
      <c r="G20" s="94" t="str">
        <f>IF(Table6220273236[[#This Row],[Non-Member]]="X"," ",IF(F20=" "," ",IFERROR(VLOOKUP(E20,Points!$A$2:$B$14,2,FALSE)," ")))</f>
        <v xml:space="preserve"> </v>
      </c>
      <c r="H20" s="147">
        <v>0</v>
      </c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IF(Table6220273236[[#This Row],[Non-Member]]="X"," ",IF(J20=" "," ",IFERROR(VLOOKUP(I20,Points!$A$2:$B$14,2,FALSE)," ")))</f>
        <v xml:space="preserve"> </v>
      </c>
      <c r="L20" s="147">
        <v>3</v>
      </c>
      <c r="M20" s="93">
        <f t="shared" si="4"/>
        <v>10.5</v>
      </c>
      <c r="N20" s="93" t="str">
        <f t="shared" si="5"/>
        <v xml:space="preserve"> </v>
      </c>
      <c r="O20" s="94" t="str">
        <f>IF(Table6220273236[[#This Row],[Non-Member]]="X"," ",IF(N20=" "," ",IFERROR(VLOOKUP(M20,Points!$A$2:$B$14,2,FALSE)," ")))</f>
        <v xml:space="preserve"> </v>
      </c>
      <c r="P20" s="147">
        <v>0</v>
      </c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IF(Table6220273236[[#This Row],[Non-Member]]="X"," ",IF(R20=" "," ",IFERROR(VLOOKUP(Q20,Points!$A$2:$B$14,2,FALSE)," ")))</f>
        <v xml:space="preserve"> </v>
      </c>
      <c r="T20" s="147">
        <v>1</v>
      </c>
      <c r="U20" s="93">
        <f t="shared" si="8"/>
        <v>14.5</v>
      </c>
      <c r="V20" s="93" t="str">
        <f t="shared" si="9"/>
        <v xml:space="preserve"> </v>
      </c>
      <c r="W20" s="94" t="str">
        <f>IF(Table6220273236[[#This Row],[Non-Member]]="X"," ",IF(V20=" "," ",IFERROR(VLOOKUP(U20,Points!$A$2:$B$14,2,FALSE)," ")))</f>
        <v xml:space="preserve"> </v>
      </c>
      <c r="X20" s="147">
        <v>4</v>
      </c>
      <c r="Y20" s="93">
        <f t="shared" si="10"/>
        <v>8</v>
      </c>
      <c r="Z20" s="93" t="str">
        <f t="shared" si="11"/>
        <v xml:space="preserve"> </v>
      </c>
      <c r="AA20" s="94" t="str">
        <f>IF(Table6220273236[[#This Row],[Non-Member]]="X"," ",IF(Z20=" "," ",IFERROR(VLOOKUP(Y20,Points!$A$2:$B$14,2,FALSE)," ")))</f>
        <v xml:space="preserve"> </v>
      </c>
      <c r="AB20" s="147">
        <v>5</v>
      </c>
      <c r="AC20" s="93">
        <f t="shared" si="12"/>
        <v>10.5</v>
      </c>
      <c r="AD20" s="93" t="str">
        <f t="shared" si="13"/>
        <v xml:space="preserve"> </v>
      </c>
      <c r="AE20" s="94" t="str">
        <f>IF(Table6220273236[[#This Row],[Non-Member]]="X"," ",IF(AD20=" "," ",IFERROR(VLOOKUP(AC20,Points!$A$2:$B$14,2,FALSE)," ")))</f>
        <v xml:space="preserve"> </v>
      </c>
      <c r="AF20" s="147">
        <f t="shared" si="14"/>
        <v>9</v>
      </c>
      <c r="AG20" s="96">
        <f t="shared" si="15"/>
        <v>8.5</v>
      </c>
      <c r="AH20" s="93" t="str">
        <f t="shared" si="16"/>
        <v xml:space="preserve"> </v>
      </c>
      <c r="AI20" s="94" t="str">
        <f>IF(Table6220273236[[#This Row],[Non-Member]]="X"," ",IF(AH20=" "," ",IFERROR(VLOOKUP(AG20,Points!$A$2:$B$14,2,FALSE)," ")))</f>
        <v xml:space="preserve"> </v>
      </c>
      <c r="AJ20" s="93">
        <f>IF(Table6220273236[[#This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 t="s">
        <v>240</v>
      </c>
      <c r="C21" s="91"/>
      <c r="D21" s="147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IF(Table6220273236[[#This Row],[Non-Member]]="X"," ",IF(F21=" "," ",IFERROR(VLOOKUP(E21,Points!$A$2:$B$14,2,FALSE)," ")))</f>
        <v xml:space="preserve"> </v>
      </c>
      <c r="H21" s="147">
        <v>0</v>
      </c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IF(Table6220273236[[#This Row],[Non-Member]]="X"," ",IF(J21=" "," ",IFERROR(VLOOKUP(I21,Points!$A$2:$B$14,2,FALSE)," ")))</f>
        <v xml:space="preserve"> </v>
      </c>
      <c r="L21" s="147">
        <v>0</v>
      </c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IF(Table6220273236[[#This Row],[Non-Member]]="X"," ",IF(N21=" "," ",IFERROR(VLOOKUP(M21,Points!$A$2:$B$14,2,FALSE)," ")))</f>
        <v xml:space="preserve"> </v>
      </c>
      <c r="P21" s="147">
        <v>2</v>
      </c>
      <c r="Q21" s="93">
        <f t="shared" si="6"/>
        <v>14</v>
      </c>
      <c r="R21" s="93" t="str">
        <f t="shared" si="7"/>
        <v xml:space="preserve"> </v>
      </c>
      <c r="S21" s="94" t="str">
        <f>IF(Table6220273236[[#This Row],[Non-Member]]="X"," ",IF(R21=" "," ",IFERROR(VLOOKUP(Q21,Points!$A$2:$B$14,2,FALSE)," ")))</f>
        <v xml:space="preserve"> </v>
      </c>
      <c r="T21" s="147">
        <v>2</v>
      </c>
      <c r="U21" s="93">
        <f t="shared" si="8"/>
        <v>13</v>
      </c>
      <c r="V21" s="93" t="str">
        <f t="shared" si="9"/>
        <v xml:space="preserve"> </v>
      </c>
      <c r="W21" s="94" t="str">
        <f>IF(Table6220273236[[#This Row],[Non-Member]]="X"," ",IF(V21=" "," ",IFERROR(VLOOKUP(U21,Points!$A$2:$B$14,2,FALSE)," ")))</f>
        <v xml:space="preserve"> </v>
      </c>
      <c r="X21" s="147">
        <v>4</v>
      </c>
      <c r="Y21" s="93">
        <f t="shared" si="10"/>
        <v>8</v>
      </c>
      <c r="Z21" s="93" t="str">
        <f t="shared" si="11"/>
        <v xml:space="preserve"> </v>
      </c>
      <c r="AA21" s="94" t="str">
        <f>IF(Table6220273236[[#This Row],[Non-Member]]="X"," ",IF(Z21=" "," ",IFERROR(VLOOKUP(Y21,Points!$A$2:$B$14,2,FALSE)," ")))</f>
        <v xml:space="preserve"> </v>
      </c>
      <c r="AB21" s="147">
        <v>3</v>
      </c>
      <c r="AC21" s="93">
        <f t="shared" si="12"/>
        <v>13</v>
      </c>
      <c r="AD21" s="93" t="str">
        <f t="shared" si="13"/>
        <v xml:space="preserve"> </v>
      </c>
      <c r="AE21" s="94" t="str">
        <f>IF(Table6220273236[[#This Row],[Non-Member]]="X"," ",IF(AD21=" "," ",IFERROR(VLOOKUP(AC21,Points!$A$2:$B$14,2,FALSE)," ")))</f>
        <v xml:space="preserve"> </v>
      </c>
      <c r="AF21" s="147">
        <f t="shared" si="14"/>
        <v>7</v>
      </c>
      <c r="AG21" s="96">
        <f t="shared" si="15"/>
        <v>12.5</v>
      </c>
      <c r="AH21" s="93" t="str">
        <f t="shared" si="16"/>
        <v xml:space="preserve"> </v>
      </c>
      <c r="AI21" s="94" t="str">
        <f>IF(Table6220273236[[#This Row],[Non-Member]]="X"," ",IF(AH21=" "," ",IFERROR(VLOOKUP(AG21,Points!$A$2:$B$14,2,FALSE)," ")))</f>
        <v xml:space="preserve"> </v>
      </c>
      <c r="AJ21" s="93">
        <f>IF(Table6220273236[[#This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 t="s">
        <v>238</v>
      </c>
      <c r="C22" s="91"/>
      <c r="D22" s="147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IF(Table6220273236[[#This Row],[Non-Member]]="X"," ",IF(F22=" "," ",IFERROR(VLOOKUP(E22,Points!$A$2:$B$14,2,FALSE)," ")))</f>
        <v xml:space="preserve"> </v>
      </c>
      <c r="H22" s="147">
        <v>0</v>
      </c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IF(Table6220273236[[#This Row],[Non-Member]]="X"," ",IF(J22=" "," ",IFERROR(VLOOKUP(I22,Points!$A$2:$B$14,2,FALSE)," ")))</f>
        <v xml:space="preserve"> </v>
      </c>
      <c r="L22" s="147">
        <v>3</v>
      </c>
      <c r="M22" s="93">
        <f t="shared" si="4"/>
        <v>10.5</v>
      </c>
      <c r="N22" s="93" t="str">
        <f t="shared" si="5"/>
        <v xml:space="preserve"> </v>
      </c>
      <c r="O22" s="94" t="str">
        <f>IF(Table6220273236[[#This Row],[Non-Member]]="X"," ",IF(N22=" "," ",IFERROR(VLOOKUP(M22,Points!$A$2:$B$14,2,FALSE)," ")))</f>
        <v xml:space="preserve"> </v>
      </c>
      <c r="P22" s="147">
        <v>0</v>
      </c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IF(Table6220273236[[#This Row],[Non-Member]]="X"," ",IF(R22=" "," ",IFERROR(VLOOKUP(Q22,Points!$A$2:$B$14,2,FALSE)," ")))</f>
        <v xml:space="preserve"> </v>
      </c>
      <c r="T22" s="147">
        <v>1</v>
      </c>
      <c r="U22" s="93">
        <f t="shared" si="8"/>
        <v>14.5</v>
      </c>
      <c r="V22" s="93" t="str">
        <f t="shared" si="9"/>
        <v xml:space="preserve"> </v>
      </c>
      <c r="W22" s="94" t="str">
        <f>IF(Table6220273236[[#This Row],[Non-Member]]="X"," ",IF(V22=" "," ",IFERROR(VLOOKUP(U22,Points!$A$2:$B$14,2,FALSE)," ")))</f>
        <v xml:space="preserve"> </v>
      </c>
      <c r="X22" s="147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IF(Table6220273236[[#This Row],[Non-Member]]="X"," ",IF(Z22=" "," ",IFERROR(VLOOKUP(Y22,Points!$A$2:$B$14,2,FALSE)," ")))</f>
        <v xml:space="preserve"> </v>
      </c>
      <c r="AB22" s="147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IF(Table6220273236[[#This Row],[Non-Member]]="X"," ",IF(AD22=" "," ",IFERROR(VLOOKUP(AC22,Points!$A$2:$B$14,2,FALSE)," ")))</f>
        <v xml:space="preserve"> </v>
      </c>
      <c r="AF22" s="147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IF(Table6220273236[[#This Row],[Non-Member]]="X"," ",IF(AH22=" "," ",IFERROR(VLOOKUP(AG22,Points!$A$2:$B$14,2,FALSE)," ")))</f>
        <v xml:space="preserve"> </v>
      </c>
      <c r="AJ22" s="93">
        <f>IF(Table6220273236[[#This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 t="s">
        <v>237</v>
      </c>
      <c r="C23" s="91" t="s">
        <v>95</v>
      </c>
      <c r="D23" s="147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IF(Table6220273236[[#This Row],[Non-Member]]="X"," ",IF(F23=" "," ",IFERROR(VLOOKUP(E23,Points!$A$2:$B$14,2,FALSE)," ")))</f>
        <v xml:space="preserve"> </v>
      </c>
      <c r="H23" s="147">
        <v>6</v>
      </c>
      <c r="I23" s="97">
        <f t="shared" si="2"/>
        <v>6</v>
      </c>
      <c r="J23" s="93">
        <f t="shared" si="3"/>
        <v>5</v>
      </c>
      <c r="K23" s="94" t="str">
        <f>IF(Table6220273236[[#This Row],[Non-Member]]="X"," ",IF(J23=" "," ",IFERROR(VLOOKUP(I23,Points!$A$2:$B$14,2,FALSE)," ")))</f>
        <v xml:space="preserve"> </v>
      </c>
      <c r="L23" s="147">
        <v>3</v>
      </c>
      <c r="M23" s="97">
        <f t="shared" si="4"/>
        <v>10.5</v>
      </c>
      <c r="N23" s="93" t="str">
        <f t="shared" si="5"/>
        <v xml:space="preserve"> </v>
      </c>
      <c r="O23" s="94" t="str">
        <f>IF(Table6220273236[[#This Row],[Non-Member]]="X"," ",IF(N23=" "," ",IFERROR(VLOOKUP(M23,Points!$A$2:$B$14,2,FALSE)," ")))</f>
        <v xml:space="preserve"> </v>
      </c>
      <c r="P23" s="147">
        <v>7</v>
      </c>
      <c r="Q23" s="97">
        <f t="shared" si="6"/>
        <v>4.5</v>
      </c>
      <c r="R23" s="93">
        <f t="shared" si="7"/>
        <v>4</v>
      </c>
      <c r="S23" s="94" t="str">
        <f>IF(Table6220273236[[#This Row],[Non-Member]]="X"," ",IF(R23=" "," ",IFERROR(VLOOKUP(Q23,Points!$A$2:$B$14,2,FALSE)," ")))</f>
        <v xml:space="preserve"> </v>
      </c>
      <c r="T23" s="147"/>
      <c r="U23" s="97" t="str">
        <f t="shared" si="8"/>
        <v xml:space="preserve"> </v>
      </c>
      <c r="V23" s="93" t="str">
        <f t="shared" si="9"/>
        <v xml:space="preserve"> </v>
      </c>
      <c r="W23" s="94" t="str">
        <f>IF(Table6220273236[[#This Row],[Non-Member]]="X"," ",IF(V23=" "," ",IFERROR(VLOOKUP(U23,Points!$A$2:$B$14,2,FALSE)," ")))</f>
        <v xml:space="preserve"> </v>
      </c>
      <c r="X23" s="147"/>
      <c r="Y23" s="97" t="str">
        <f t="shared" si="10"/>
        <v xml:space="preserve"> </v>
      </c>
      <c r="Z23" s="93" t="str">
        <f t="shared" si="11"/>
        <v xml:space="preserve"> </v>
      </c>
      <c r="AA23" s="94" t="str">
        <f>IF(Table6220273236[[#This Row],[Non-Member]]="X"," ",IF(Z23=" "," ",IFERROR(VLOOKUP(Y23,Points!$A$2:$B$14,2,FALSE)," ")))</f>
        <v xml:space="preserve"> </v>
      </c>
      <c r="AB23" s="147"/>
      <c r="AC23" s="97" t="str">
        <f t="shared" si="12"/>
        <v xml:space="preserve"> </v>
      </c>
      <c r="AD23" s="93" t="str">
        <f t="shared" si="13"/>
        <v xml:space="preserve"> </v>
      </c>
      <c r="AE23" s="94" t="str">
        <f>IF(Table6220273236[[#This Row],[Non-Member]]="X"," ",IF(AD23=" "," ",IFERROR(VLOOKUP(AC23,Points!$A$2:$B$14,2,FALSE)," ")))</f>
        <v xml:space="preserve"> </v>
      </c>
      <c r="AF23" s="147" t="str">
        <f t="shared" si="14"/>
        <v xml:space="preserve"> </v>
      </c>
      <c r="AG23" s="98" t="e">
        <f t="shared" si="15"/>
        <v>#VALUE!</v>
      </c>
      <c r="AH23" s="93" t="str">
        <f t="shared" si="16"/>
        <v xml:space="preserve"> </v>
      </c>
      <c r="AI23" s="94" t="str">
        <f>IF(Table6220273236[[#This Row],[Non-Member]]="X"," ",IF(AH23=" "," ",IFERROR(VLOOKUP(AG23,Points!$A$2:$B$14,2,FALSE)," ")))</f>
        <v xml:space="preserve"> </v>
      </c>
      <c r="AJ23" s="97" t="str">
        <f>IF(Table6220273236[[#This Row],[Non-Member]]="X"," ",((IF(G23=" ",0,G23))+(IF(K23=" ",0,K23))+(IF(O23=" ",0,O23))+(IF(S23=" ",0,S23))+(IF(W23=" ",0,W23))+(IF(AA23=" ",0,AA23))+(IF(AE23=" ",0,AE23))+(IF(AI23=" ",0,AI23))))</f>
        <v xml:space="preserve"> </v>
      </c>
      <c r="AK23" s="95" t="str">
        <f t="shared" si="17"/>
        <v xml:space="preserve"> </v>
      </c>
      <c r="AL23" s="98" t="str">
        <f t="shared" si="18"/>
        <v xml:space="preserve"> </v>
      </c>
    </row>
    <row r="24" spans="2:38" ht="14.4" thickBot="1" x14ac:dyDescent="0.3">
      <c r="B24" s="100"/>
      <c r="C24" s="101"/>
      <c r="D24" s="148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IF(Table6220273236[[#This Row],[Non-Member]]="X"," ",IF(F24=" "," ",IFERROR(VLOOKUP(E24,Points!$A$2:$B$14,2,FALSE)," ")))</f>
        <v xml:space="preserve"> </v>
      </c>
      <c r="H24" s="147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IF(Table6220273236[[#This Row],[Non-Member]]="X"," ",IF(J24=" "," ",IFERROR(VLOOKUP(I24,Points!$A$2:$B$14,2,FALSE)," ")))</f>
        <v xml:space="preserve"> </v>
      </c>
      <c r="L24" s="147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IF(Table6220273236[[#This Row],[Non-Member]]="X"," ",IF(N24=" "," ",IFERROR(VLOOKUP(M24,Points!$A$2:$B$14,2,FALSE)," ")))</f>
        <v xml:space="preserve"> </v>
      </c>
      <c r="P24" s="147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IF(Table6220273236[[#This Row],[Non-Member]]="X"," ",IF(R24=" "," ",IFERROR(VLOOKUP(Q24,Points!$A$2:$B$14,2,FALSE)," ")))</f>
        <v xml:space="preserve"> </v>
      </c>
      <c r="T24" s="147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IF(Table6220273236[[#This Row],[Non-Member]]="X"," ",IF(V24=" "," ",IFERROR(VLOOKUP(U24,Points!$A$2:$B$14,2,FALSE)," ")))</f>
        <v xml:space="preserve"> </v>
      </c>
      <c r="X24" s="147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IF(Table6220273236[[#This Row],[Non-Member]]="X"," ",IF(Z24=" "," ",IFERROR(VLOOKUP(Y24,Points!$A$2:$B$14,2,FALSE)," ")))</f>
        <v xml:space="preserve"> </v>
      </c>
      <c r="AB24" s="147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IF(Table6220273236[[#This Row],[Non-Member]]="X"," ",IF(AD24=" "," ",IFERROR(VLOOKUP(AC24,Points!$A$2:$B$14,2,FALSE)," ")))</f>
        <v xml:space="preserve"> </v>
      </c>
      <c r="AF24" s="147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IF(Table6220273236[[#This Row],[Non-Member]]="X"," ",IF(AH24=" "," ",IFERROR(VLOOKUP(AG24,Points!$A$2:$B$14,2,FALSE)," ")))</f>
        <v xml:space="preserve"> </v>
      </c>
      <c r="AJ24" s="93">
        <f>IF(Table6220273236[[#This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7"/>
    </row>
  </sheetData>
  <sheetProtection algorithmName="SHA-512" hashValue="gLETaeCYeY/wZfQ7cmmZjxV8gNNGmyFP+78Ra0RQT92AXVWmCcqmkfAtOzH98XfYXP3W314eJPnmKZvuRsJaIw==" saltValue="VJjBef6Nx4dJiUBxM+zXa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ignoredErrors>
    <ignoredError sqref="AE6:AE18" calculatedColumn="1"/>
  </ignoredErrors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A12D4-C5FB-402F-98CD-ABD08797A649}">
  <sheetPr codeName="Sheet53">
    <tabColor theme="4" tint="0.79998168889431442"/>
  </sheetPr>
  <dimension ref="B1:AL34"/>
  <sheetViews>
    <sheetView showGridLines="0" zoomScaleNormal="100" workbookViewId="0">
      <pane xSplit="2" topLeftCell="C1" activePane="topRight" state="frozen"/>
      <selection activeCell="K35" sqref="K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41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89</v>
      </c>
      <c r="C5" s="84"/>
      <c r="D5" s="85">
        <v>21.991</v>
      </c>
      <c r="E5" s="86">
        <f t="shared" ref="E5:E29" si="0">IF(D5=0," ",_xlfn.RANK.AVG(D5,D$5:D$29,1)-COUNTIF(D$5:D$29,0))</f>
        <v>2</v>
      </c>
      <c r="F5" s="86">
        <f t="shared" ref="F5:F29" si="1">IF(D5=0," ",IF((RANK(D5,D$5:D$29,1)-COUNTIF(D$5:D$29,0)&gt;6)," ",RANK(D5,D$5:D$29,1)-COUNTIF(D$5:D$29,0)))</f>
        <v>2</v>
      </c>
      <c r="G5" s="87">
        <f>IF(Table622027323337[[#This Row],[Non-Member]]="X"," ",IF(F5=" "," ",IFERROR(VLOOKUP(E5,Points!$A$2:$B$14,2,FALSE)," ")))</f>
        <v>15</v>
      </c>
      <c r="H5" s="85">
        <v>21.853999999999999</v>
      </c>
      <c r="I5" s="86">
        <f t="shared" ref="I5:I29" si="2">IF(H5=0," ",_xlfn.RANK.AVG(H5,H$5:H$29,1)-COUNTIF(H$5:H$29,0))</f>
        <v>2</v>
      </c>
      <c r="J5" s="86">
        <f t="shared" ref="J5:J29" si="3">IF(H5=0," ",IF((RANK(H5,H$5:H$29,1)-COUNTIF(H$5:H$29,0)&gt;6)," ",RANK(H5,H$5:H$29,1)-COUNTIF(H$5:H$29,0)))</f>
        <v>2</v>
      </c>
      <c r="K5" s="87">
        <f>IF(Table622027323337[[#This Row],[Non-Member]]="X"," ",IF(J5=" "," ",IFERROR(VLOOKUP(I5,Points!$A$2:$B$14,2,FALSE)," ")))</f>
        <v>15</v>
      </c>
      <c r="L5" s="85">
        <v>20.474</v>
      </c>
      <c r="M5" s="86">
        <f t="shared" ref="M5:M29" si="4">IF(L5=0," ",_xlfn.RANK.AVG(L5,L$5:L$29,1)-COUNTIF(L$5:L$29,0))</f>
        <v>7</v>
      </c>
      <c r="N5" s="86" t="str">
        <f t="shared" ref="N5:N29" si="5">IF(L5=0," ",IF((RANK(L5,L$5:L$29,1)-COUNTIF(L$5:L$29,0)&gt;6)," ",RANK(L5,L$5:L$29,1)-COUNTIF(L$5:L$29,0)))</f>
        <v xml:space="preserve"> </v>
      </c>
      <c r="O5" s="87" t="str">
        <f>IF(Table622027323337[[#This Row],[Non-Member]]="X"," ",IF(N5=" "," ",IFERROR(VLOOKUP(M5,Points!$A$2:$B$14,2,FALSE)," ")))</f>
        <v xml:space="preserve"> </v>
      </c>
      <c r="P5" s="85">
        <v>19.405000000000001</v>
      </c>
      <c r="Q5" s="86">
        <f t="shared" ref="Q5:Q29" si="6">IF(P5=0," ",_xlfn.RANK.AVG(P5,P$5:P$29,1)-COUNTIF(P$5:P$29,0))</f>
        <v>3</v>
      </c>
      <c r="R5" s="86">
        <f t="shared" ref="R5:R29" si="7">IF(P5=0," ",IF((RANK(P5,P$5:P$29,1)-COUNTIF(P$5:P$29,0)&gt;6)," ",RANK(P5,P$5:P$29,1)-COUNTIF(P$5:P$29,0)))</f>
        <v>3</v>
      </c>
      <c r="S5" s="87">
        <f>IF(Table622027323337[[#This Row],[Non-Member]]="X"," ",IF(R5=" "," ",IFERROR(VLOOKUP(Q5,Points!$A$2:$B$14,2,FALSE)," ")))</f>
        <v>12</v>
      </c>
      <c r="T5" s="85">
        <v>19.831</v>
      </c>
      <c r="U5" s="86">
        <f t="shared" ref="U5:U29" si="8">IF(T5=0," ",_xlfn.RANK.AVG(T5,T$5:T$29,1)-COUNTIF(T$5:T$29,0))</f>
        <v>2</v>
      </c>
      <c r="V5" s="86">
        <f t="shared" ref="V5:V29" si="9">IF(T5=0," ",IF((RANK(T5,T$5:T$29,1)-COUNTIF(T$5:T$29,0)&gt;6)," ",RANK(T5,T$5:T$29,1)-COUNTIF(T$5:T$29,0)))</f>
        <v>2</v>
      </c>
      <c r="W5" s="87">
        <f>IF(Table622027323337[[#This Row],[Non-Member]]="X"," ",IF(V5=" "," ",IFERROR(VLOOKUP(U5,Points!$A$2:$B$14,2,FALSE)," ")))</f>
        <v>15</v>
      </c>
      <c r="X5" s="85">
        <v>19.21</v>
      </c>
      <c r="Y5" s="86">
        <f t="shared" ref="Y5:Y29" si="10">IF(X5=0," ",_xlfn.RANK.AVG(X5,X$5:X$29,1)-COUNTIF(X$5:X$29,0))</f>
        <v>1</v>
      </c>
      <c r="Z5" s="86">
        <f t="shared" ref="Z5:Z29" si="11">IF(X5=0," ",IF((RANK(X5,X$5:X$29,1)-COUNTIF(X$5:X$29,0)&gt;6)," ",RANK(X5,X$5:X$29,1)-COUNTIF(X$5:X$29,0)))</f>
        <v>1</v>
      </c>
      <c r="AA5" s="87">
        <f>IF(Table622027323337[[#This Row],[Non-Member]]="X"," ",IF(Z5=" "," ",IFERROR(VLOOKUP(Y5,Points!$A$2:$B$14,2,FALSE)," ")))</f>
        <v>18</v>
      </c>
      <c r="AB5" s="85">
        <v>19.276</v>
      </c>
      <c r="AC5" s="86">
        <f t="shared" ref="AC5:AC29" si="12">IF(AB5=0," ",_xlfn.RANK.AVG(AB5,AB$5:AB$29,1)-COUNTIF(AB$5:AB$29,0))</f>
        <v>1</v>
      </c>
      <c r="AD5" s="86">
        <f t="shared" ref="AD5:AD29" si="13">IF(AB5=0," ",IF((RANK(AB5,AB$5:AB$29,1)-COUNTIF(AB$5:AB$29,0)&gt;6)," ",RANK(AB5,AB$5:AB$29,1)-COUNTIF(AB$5:AB$29,0)))</f>
        <v>1</v>
      </c>
      <c r="AE5" s="87">
        <f>IF(Table622027323337[[#This Row],[Non-Member]]="X"," ",IF(AD5=" "," ",IFERROR(VLOOKUP(AC5,Points!$A$2:$B$14,2,FALSE)," ")))</f>
        <v>18</v>
      </c>
      <c r="AF5" s="85">
        <f t="shared" ref="AF5:AF29" si="14">IF(OR(X5=0,AB5=0)," ",X5+AB5)</f>
        <v>38.486000000000004</v>
      </c>
      <c r="AG5" s="86">
        <f t="shared" ref="AG5:AG29" si="15">IF(OR(AF5=0,AF5=" ")," ",_xlfn.RANK.AVG(AF5,AF$5:AF$29,1)-COUNTIF(AF$5:AF$29,0))</f>
        <v>1</v>
      </c>
      <c r="AH5" s="86">
        <f t="shared" ref="AH5:AH29" si="16">IF(OR(AF5=0,AF5=" ")," ",IF((RANK(AF5,AF$5:AF$29,1)-COUNTIF(AF$5:AF$29,0)&gt;6)," ",RANK(AF5,AF$5:AF$29,1)-COUNTIF(AF$5:AF$29,0)))</f>
        <v>1</v>
      </c>
      <c r="AI5" s="87">
        <f>IF(Table622027323337[[#This Row],[Non-Member]]="X"," ",IF(AH5=" "," ",IFERROR(VLOOKUP(AG5,Points!$A$2:$B$14,2,FALSE)," ")))</f>
        <v>18</v>
      </c>
      <c r="AJ5" s="86">
        <f>IF(Table622027323337[[#This Row],[Non-Member]]="X"," ",((IF(G5=" ",0,G5))+(IF(K5=" ",0,K5))+(IF(O5=" ",0,O5))+(IF(S5=" ",0,S5))+(IF(W5=" ",0,W5))+(IF(AA5=" ",0,AA5))+(IF(AE5=" ",0,AE5))+(IF(AI5=" ",0,AI5))))</f>
        <v>111</v>
      </c>
      <c r="AK5" s="88">
        <f t="shared" ref="AK5:AK29" si="17">IF(AJ5=0," ",AJ5)</f>
        <v>111</v>
      </c>
      <c r="AL5" s="89">
        <f t="shared" ref="AL5:AL29" si="18">IF(AK5=" "," ",RANK(AK5,$AK$5:$AK$29))</f>
        <v>1</v>
      </c>
    </row>
    <row r="6" spans="2:38" x14ac:dyDescent="0.25">
      <c r="B6" s="90" t="s">
        <v>240</v>
      </c>
      <c r="C6" s="91"/>
      <c r="D6" s="92"/>
      <c r="E6" s="97" t="str">
        <f t="shared" si="0"/>
        <v xml:space="preserve"> </v>
      </c>
      <c r="F6" s="97" t="str">
        <f t="shared" si="1"/>
        <v xml:space="preserve"> </v>
      </c>
      <c r="G6" s="94" t="str">
        <f>IF(Table622027323337[[#This Row],[Non-Member]]="X"," ",IF(F6=" "," ",IFERROR(VLOOKUP(E6,Points!$A$2:$B$14,2,FALSE)," ")))</f>
        <v xml:space="preserve"> </v>
      </c>
      <c r="H6" s="92">
        <v>20.155999999999999</v>
      </c>
      <c r="I6" s="97">
        <f t="shared" si="2"/>
        <v>1</v>
      </c>
      <c r="J6" s="97">
        <f t="shared" si="3"/>
        <v>1</v>
      </c>
      <c r="K6" s="94">
        <f>IF(Table622027323337[[#This Row],[Non-Member]]="X"," ",IF(J6=" "," ",IFERROR(VLOOKUP(I6,Points!$A$2:$B$14,2,FALSE)," ")))</f>
        <v>18</v>
      </c>
      <c r="L6" s="92">
        <v>18.634</v>
      </c>
      <c r="M6" s="97">
        <f t="shared" si="4"/>
        <v>1</v>
      </c>
      <c r="N6" s="97">
        <f t="shared" si="5"/>
        <v>1</v>
      </c>
      <c r="O6" s="94">
        <f>IF(Table622027323337[[#This Row],[Non-Member]]="X"," ",IF(N6=" "," ",IFERROR(VLOOKUP(M6,Points!$A$2:$B$14,2,FALSE)," ")))</f>
        <v>18</v>
      </c>
      <c r="P6" s="92">
        <v>18.616</v>
      </c>
      <c r="Q6" s="97">
        <f t="shared" si="6"/>
        <v>1</v>
      </c>
      <c r="R6" s="97">
        <f t="shared" si="7"/>
        <v>1</v>
      </c>
      <c r="S6" s="94">
        <f>IF(Table622027323337[[#This Row],[Non-Member]]="X"," ",IF(R6=" "," ",IFERROR(VLOOKUP(Q6,Points!$A$2:$B$14,2,FALSE)," ")))</f>
        <v>18</v>
      </c>
      <c r="T6" s="92">
        <v>20.645</v>
      </c>
      <c r="U6" s="97">
        <f t="shared" si="8"/>
        <v>3</v>
      </c>
      <c r="V6" s="97">
        <f t="shared" si="9"/>
        <v>3</v>
      </c>
      <c r="W6" s="94">
        <f>IF(Table622027323337[[#This Row],[Non-Member]]="X"," ",IF(V6=" "," ",IFERROR(VLOOKUP(U6,Points!$A$2:$B$14,2,FALSE)," ")))</f>
        <v>12</v>
      </c>
      <c r="X6" s="92">
        <v>19.34</v>
      </c>
      <c r="Y6" s="97">
        <f t="shared" si="10"/>
        <v>2</v>
      </c>
      <c r="Z6" s="97">
        <f t="shared" si="11"/>
        <v>2</v>
      </c>
      <c r="AA6" s="94">
        <f>IF(Table622027323337[[#This Row],[Non-Member]]="X"," ",IF(Z6=" "," ",IFERROR(VLOOKUP(Y6,Points!$A$2:$B$14,2,FALSE)," ")))</f>
        <v>15</v>
      </c>
      <c r="AB6" s="92">
        <v>20.001000000000001</v>
      </c>
      <c r="AC6" s="97">
        <f t="shared" si="12"/>
        <v>3</v>
      </c>
      <c r="AD6" s="97">
        <f t="shared" si="13"/>
        <v>3</v>
      </c>
      <c r="AE6" s="94">
        <f>IF(Table622027323337[[#This Row],[Non-Member]]="X"," ",IF(AD6=" "," ",IFERROR(VLOOKUP(AC6,Points!$A$2:$B$14,2,FALSE)," ")))</f>
        <v>12</v>
      </c>
      <c r="AF6" s="92">
        <f t="shared" si="14"/>
        <v>39.341000000000001</v>
      </c>
      <c r="AG6" s="98">
        <f t="shared" si="15"/>
        <v>2</v>
      </c>
      <c r="AH6" s="97">
        <f t="shared" si="16"/>
        <v>2</v>
      </c>
      <c r="AI6" s="94">
        <f>IF(Table622027323337[[#This Row],[Non-Member]]="X"," ",IF(AH6=" "," ",IFERROR(VLOOKUP(AG6,Points!$A$2:$B$14,2,FALSE)," ")))</f>
        <v>15</v>
      </c>
      <c r="AJ6" s="97">
        <f>IF(Table622027323337[[#This Row],[Non-Member]]="X"," ",((IF(G6=" ",0,G6))+(IF(K6=" ",0,K6))+(IF(O6=" ",0,O6))+(IF(S6=" ",0,S6))+(IF(W6=" ",0,W6))+(IF(AA6=" ",0,AA6))+(IF(AE6=" ",0,AE6))+(IF(AI6=" ",0,AI6))))</f>
        <v>108</v>
      </c>
      <c r="AK6" s="153">
        <f t="shared" si="17"/>
        <v>108</v>
      </c>
      <c r="AL6" s="98">
        <f t="shared" si="18"/>
        <v>2</v>
      </c>
    </row>
    <row r="7" spans="2:38" x14ac:dyDescent="0.25">
      <c r="B7" s="90" t="s">
        <v>223</v>
      </c>
      <c r="C7" s="91"/>
      <c r="D7" s="92">
        <v>23.236999999999998</v>
      </c>
      <c r="E7" s="93">
        <f t="shared" si="0"/>
        <v>4</v>
      </c>
      <c r="F7" s="93">
        <f t="shared" si="1"/>
        <v>4</v>
      </c>
      <c r="G7" s="94">
        <f>IF(Table622027323337[[#This Row],[Non-Member]]="X"," ",IF(F7=" "," ",IFERROR(VLOOKUP(E7,Points!$A$2:$B$14,2,FALSE)," ")))</f>
        <v>9</v>
      </c>
      <c r="H7" s="92">
        <v>23.765999999999998</v>
      </c>
      <c r="I7" s="93">
        <f t="shared" si="2"/>
        <v>8</v>
      </c>
      <c r="J7" s="93" t="str">
        <f t="shared" si="3"/>
        <v xml:space="preserve"> </v>
      </c>
      <c r="K7" s="94" t="str">
        <f>IF(Table622027323337[[#This Row],[Non-Member]]="X"," ",IF(J7=" "," ",IFERROR(VLOOKUP(I7,Points!$A$2:$B$14,2,FALSE)," ")))</f>
        <v xml:space="preserve"> </v>
      </c>
      <c r="L7" s="92">
        <v>19.068000000000001</v>
      </c>
      <c r="M7" s="93">
        <f t="shared" si="4"/>
        <v>2</v>
      </c>
      <c r="N7" s="93">
        <f t="shared" si="5"/>
        <v>2</v>
      </c>
      <c r="O7" s="94">
        <f>IF(Table622027323337[[#This Row],[Non-Member]]="X"," ",IF(N7=" "," ",IFERROR(VLOOKUP(M7,Points!$A$2:$B$14,2,FALSE)," ")))</f>
        <v>15</v>
      </c>
      <c r="P7" s="92">
        <v>18.856000000000002</v>
      </c>
      <c r="Q7" s="93">
        <f t="shared" si="6"/>
        <v>2</v>
      </c>
      <c r="R7" s="93">
        <f t="shared" si="7"/>
        <v>2</v>
      </c>
      <c r="S7" s="94">
        <f>IF(Table622027323337[[#This Row],[Non-Member]]="X"," ",IF(R7=" "," ",IFERROR(VLOOKUP(Q7,Points!$A$2:$B$14,2,FALSE)," ")))</f>
        <v>15</v>
      </c>
      <c r="T7" s="92">
        <v>19.757999999999999</v>
      </c>
      <c r="U7" s="93">
        <f t="shared" si="8"/>
        <v>1</v>
      </c>
      <c r="V7" s="93">
        <f t="shared" si="9"/>
        <v>1</v>
      </c>
      <c r="W7" s="94">
        <f>IF(Table622027323337[[#This Row],[Non-Member]]="X"," ",IF(V7=" "," ",IFERROR(VLOOKUP(U7,Points!$A$2:$B$14,2,FALSE)," ")))</f>
        <v>18</v>
      </c>
      <c r="X7" s="92">
        <v>24.869</v>
      </c>
      <c r="Y7" s="93">
        <f t="shared" si="10"/>
        <v>12</v>
      </c>
      <c r="Z7" s="93" t="str">
        <f t="shared" si="11"/>
        <v xml:space="preserve"> </v>
      </c>
      <c r="AA7" s="94" t="str">
        <f>IF(Table622027323337[[#This Row],[Non-Member]]="X"," ",IF(Z7=" "," ",IFERROR(VLOOKUP(Y7,Points!$A$2:$B$14,2,FALSE)," ")))</f>
        <v xml:space="preserve"> </v>
      </c>
      <c r="AB7" s="92">
        <v>19.29</v>
      </c>
      <c r="AC7" s="93">
        <f t="shared" si="12"/>
        <v>2</v>
      </c>
      <c r="AD7" s="93">
        <f t="shared" si="13"/>
        <v>2</v>
      </c>
      <c r="AE7" s="94">
        <f>IF(Table622027323337[[#This Row],[Non-Member]]="X"," ",IF(AD7=" "," ",IFERROR(VLOOKUP(AC7,Points!$A$2:$B$14,2,FALSE)," ")))</f>
        <v>15</v>
      </c>
      <c r="AF7" s="92">
        <f t="shared" si="14"/>
        <v>44.158999999999999</v>
      </c>
      <c r="AG7" s="93">
        <f t="shared" si="15"/>
        <v>7</v>
      </c>
      <c r="AH7" s="93" t="str">
        <f t="shared" si="16"/>
        <v xml:space="preserve"> </v>
      </c>
      <c r="AI7" s="94" t="str">
        <f>IF(Table622027323337[[#This Row],[Non-Member]]="X"," ",IF(AH7=" "," ",IFERROR(VLOOKUP(AG7,Points!$A$2:$B$14,2,FALSE)," ")))</f>
        <v xml:space="preserve"> </v>
      </c>
      <c r="AJ7" s="93">
        <f>IF(Table622027323337[[#This Row],[Non-Member]]="X"," ",((IF(G7=" ",0,G7))+(IF(K7=" ",0,K7))+(IF(O7=" ",0,O7))+(IF(S7=" ",0,S7))+(IF(W7=" ",0,W7))+(IF(AA7=" ",0,AA7))+(IF(AE7=" ",0,AE7))+(IF(AI7=" ",0,AI7))))</f>
        <v>72</v>
      </c>
      <c r="AK7" s="95">
        <f t="shared" si="17"/>
        <v>72</v>
      </c>
      <c r="AL7" s="96">
        <f t="shared" si="18"/>
        <v>3</v>
      </c>
    </row>
    <row r="8" spans="2:38" x14ac:dyDescent="0.25">
      <c r="B8" s="90" t="s">
        <v>85</v>
      </c>
      <c r="C8" s="91"/>
      <c r="D8" s="92">
        <v>21.882999999999999</v>
      </c>
      <c r="E8" s="93">
        <f t="shared" si="0"/>
        <v>1</v>
      </c>
      <c r="F8" s="93">
        <f t="shared" si="1"/>
        <v>1</v>
      </c>
      <c r="G8" s="94">
        <f>IF(Table622027323337[[#This Row],[Non-Member]]="X"," ",IF(F8=" "," ",IFERROR(VLOOKUP(E8,Points!$A$2:$B$14,2,FALSE)," ")))</f>
        <v>18</v>
      </c>
      <c r="H8" s="92">
        <v>22.286000000000001</v>
      </c>
      <c r="I8" s="93">
        <f t="shared" si="2"/>
        <v>4</v>
      </c>
      <c r="J8" s="93">
        <f t="shared" si="3"/>
        <v>4</v>
      </c>
      <c r="K8" s="94">
        <f>IF(Table622027323337[[#This Row],[Non-Member]]="X"," ",IF(J8=" "," ",IFERROR(VLOOKUP(I8,Points!$A$2:$B$14,2,FALSE)," ")))</f>
        <v>9</v>
      </c>
      <c r="L8" s="92">
        <v>21.401</v>
      </c>
      <c r="M8" s="93">
        <f t="shared" si="4"/>
        <v>9</v>
      </c>
      <c r="N8" s="93" t="str">
        <f t="shared" si="5"/>
        <v xml:space="preserve"> </v>
      </c>
      <c r="O8" s="94" t="str">
        <f>IF(Table622027323337[[#This Row],[Non-Member]]="X"," ",IF(N8=" "," ",IFERROR(VLOOKUP(M8,Points!$A$2:$B$14,2,FALSE)," ")))</f>
        <v xml:space="preserve"> </v>
      </c>
      <c r="P8" s="92">
        <v>21.164999999999999</v>
      </c>
      <c r="Q8" s="93">
        <f t="shared" si="6"/>
        <v>8</v>
      </c>
      <c r="R8" s="93" t="str">
        <f t="shared" si="7"/>
        <v xml:space="preserve"> </v>
      </c>
      <c r="S8" s="94" t="str">
        <f>IF(Table622027323337[[#This Row],[Non-Member]]="X"," ",IF(R8=" "," ",IFERROR(VLOOKUP(Q8,Points!$A$2:$B$14,2,FALSE)," ")))</f>
        <v xml:space="preserve"> </v>
      </c>
      <c r="T8" s="92">
        <v>21.465</v>
      </c>
      <c r="U8" s="93">
        <f t="shared" si="8"/>
        <v>4</v>
      </c>
      <c r="V8" s="93">
        <f t="shared" si="9"/>
        <v>4</v>
      </c>
      <c r="W8" s="94">
        <f>IF(Table622027323337[[#This Row],[Non-Member]]="X"," ",IF(V8=" "," ",IFERROR(VLOOKUP(U8,Points!$A$2:$B$14,2,FALSE)," ")))</f>
        <v>9</v>
      </c>
      <c r="X8" s="92">
        <v>20.042000000000002</v>
      </c>
      <c r="Y8" s="93">
        <f t="shared" si="10"/>
        <v>3</v>
      </c>
      <c r="Z8" s="93">
        <f t="shared" si="11"/>
        <v>3</v>
      </c>
      <c r="AA8" s="94">
        <f>IF(Table622027323337[[#This Row],[Non-Member]]="X"," ",IF(Z8=" "," ",IFERROR(VLOOKUP(Y8,Points!$A$2:$B$14,2,FALSE)," ")))</f>
        <v>12</v>
      </c>
      <c r="AB8" s="92">
        <v>20.661999999999999</v>
      </c>
      <c r="AC8" s="93">
        <f t="shared" si="12"/>
        <v>5</v>
      </c>
      <c r="AD8" s="93">
        <f t="shared" si="13"/>
        <v>5</v>
      </c>
      <c r="AE8" s="94">
        <f>IF(Table622027323337[[#This Row],[Non-Member]]="X"," ",IF(AD8=" "," ",IFERROR(VLOOKUP(AC8,Points!$A$2:$B$14,2,FALSE)," ")))</f>
        <v>6</v>
      </c>
      <c r="AF8" s="92">
        <f t="shared" si="14"/>
        <v>40.704000000000001</v>
      </c>
      <c r="AG8" s="93">
        <f t="shared" si="15"/>
        <v>3</v>
      </c>
      <c r="AH8" s="93">
        <f t="shared" si="16"/>
        <v>3</v>
      </c>
      <c r="AI8" s="94">
        <f>IF(Table622027323337[[#This Row],[Non-Member]]="X"," ",IF(AH8=" "," ",IFERROR(VLOOKUP(AG8,Points!$A$2:$B$14,2,FALSE)," ")))</f>
        <v>12</v>
      </c>
      <c r="AJ8" s="93">
        <f>IF(Table622027323337[[#This Row],[Non-Member]]="X"," ",((IF(G8=" ",0,G8))+(IF(K8=" ",0,K8))+(IF(O8=" ",0,O8))+(IF(S8=" ",0,S8))+(IF(W8=" ",0,W8))+(IF(AA8=" ",0,AA8))+(IF(AE8=" ",0,AE8))+(IF(AI8=" ",0,AI8))))</f>
        <v>66</v>
      </c>
      <c r="AK8" s="95">
        <f t="shared" si="17"/>
        <v>66</v>
      </c>
      <c r="AL8" s="96">
        <f t="shared" si="18"/>
        <v>4</v>
      </c>
    </row>
    <row r="9" spans="2:38" x14ac:dyDescent="0.25">
      <c r="B9" s="90" t="s">
        <v>87</v>
      </c>
      <c r="C9" s="91"/>
      <c r="D9" s="92">
        <v>26.655000000000001</v>
      </c>
      <c r="E9" s="93">
        <f t="shared" si="0"/>
        <v>6</v>
      </c>
      <c r="F9" s="93">
        <f t="shared" si="1"/>
        <v>6</v>
      </c>
      <c r="G9" s="94">
        <f>IF(Table622027323337[[#This Row],[Non-Member]]="X"," ",IF(F9=" "," ",IFERROR(VLOOKUP(E9,Points!$A$2:$B$14,2,FALSE)," ")))</f>
        <v>3</v>
      </c>
      <c r="H9" s="92">
        <v>22.094000000000001</v>
      </c>
      <c r="I9" s="93">
        <f t="shared" si="2"/>
        <v>3</v>
      </c>
      <c r="J9" s="93">
        <f t="shared" si="3"/>
        <v>3</v>
      </c>
      <c r="K9" s="94">
        <f>IF(Table622027323337[[#This Row],[Non-Member]]="X"," ",IF(J9=" "," ",IFERROR(VLOOKUP(I9,Points!$A$2:$B$14,2,FALSE)," ")))</f>
        <v>12</v>
      </c>
      <c r="L9" s="92">
        <v>19.154</v>
      </c>
      <c r="M9" s="93">
        <f t="shared" si="4"/>
        <v>3</v>
      </c>
      <c r="N9" s="93">
        <f t="shared" si="5"/>
        <v>3</v>
      </c>
      <c r="O9" s="94">
        <f>IF(Table622027323337[[#This Row],[Non-Member]]="X"," ",IF(N9=" "," ",IFERROR(VLOOKUP(M9,Points!$A$2:$B$14,2,FALSE)," ")))</f>
        <v>12</v>
      </c>
      <c r="P9" s="92">
        <v>30.35</v>
      </c>
      <c r="Q9" s="93">
        <f t="shared" si="6"/>
        <v>13</v>
      </c>
      <c r="R9" s="93" t="str">
        <f t="shared" si="7"/>
        <v xml:space="preserve"> </v>
      </c>
      <c r="S9" s="94" t="str">
        <f>IF(Table622027323337[[#This Row],[Non-Member]]="X"," ",IF(R9=" "," ",IFERROR(VLOOKUP(Q9,Points!$A$2:$B$14,2,FALSE)," ")))</f>
        <v xml:space="preserve"> </v>
      </c>
      <c r="T9" s="92">
        <v>31.792999999999999</v>
      </c>
      <c r="U9" s="93">
        <f t="shared" si="8"/>
        <v>16</v>
      </c>
      <c r="V9" s="93" t="str">
        <f t="shared" si="9"/>
        <v xml:space="preserve"> </v>
      </c>
      <c r="W9" s="94" t="str">
        <f>IF(Table622027323337[[#This Row],[Non-Member]]="X"," ",IF(V9=" "," ",IFERROR(VLOOKUP(U9,Points!$A$2:$B$14,2,FALSE)," ")))</f>
        <v xml:space="preserve"> </v>
      </c>
      <c r="X9" s="92">
        <v>20.282</v>
      </c>
      <c r="Y9" s="93">
        <f t="shared" si="10"/>
        <v>4</v>
      </c>
      <c r="Z9" s="93">
        <f t="shared" si="11"/>
        <v>4</v>
      </c>
      <c r="AA9" s="94">
        <f>IF(Table622027323337[[#This Row],[Non-Member]]="X"," ",IF(Z9=" "," ",IFERROR(VLOOKUP(Y9,Points!$A$2:$B$14,2,FALSE)," ")))</f>
        <v>9</v>
      </c>
      <c r="AB9" s="92">
        <v>20.527000000000001</v>
      </c>
      <c r="AC9" s="93">
        <f t="shared" si="12"/>
        <v>4</v>
      </c>
      <c r="AD9" s="93">
        <f t="shared" si="13"/>
        <v>4</v>
      </c>
      <c r="AE9" s="94">
        <f>IF(Table622027323337[[#This Row],[Non-Member]]="X"," ",IF(AD9=" "," ",IFERROR(VLOOKUP(AC9,Points!$A$2:$B$14,2,FALSE)," ")))</f>
        <v>9</v>
      </c>
      <c r="AF9" s="92">
        <f t="shared" si="14"/>
        <v>40.808999999999997</v>
      </c>
      <c r="AG9" s="93">
        <f t="shared" si="15"/>
        <v>4</v>
      </c>
      <c r="AH9" s="93">
        <f t="shared" si="16"/>
        <v>4</v>
      </c>
      <c r="AI9" s="94">
        <f>IF(Table622027323337[[#This Row],[Non-Member]]="X"," ",IF(AH9=" "," ",IFERROR(VLOOKUP(AG9,Points!$A$2:$B$14,2,FALSE)," ")))</f>
        <v>9</v>
      </c>
      <c r="AJ9" s="93">
        <f>IF(Table622027323337[[#This Row],[Non-Member]]="X"," ",((IF(G9=" ",0,G9))+(IF(K9=" ",0,K9))+(IF(O9=" ",0,O9))+(IF(S9=" ",0,S9))+(IF(W9=" ",0,W9))+(IF(AA9=" ",0,AA9))+(IF(AE9=" ",0,AE9))+(IF(AI9=" ",0,AI9))))</f>
        <v>54</v>
      </c>
      <c r="AK9" s="95">
        <f t="shared" si="17"/>
        <v>54</v>
      </c>
      <c r="AL9" s="96">
        <f t="shared" si="18"/>
        <v>5</v>
      </c>
    </row>
    <row r="10" spans="2:38" x14ac:dyDescent="0.25">
      <c r="B10" s="90" t="s">
        <v>225</v>
      </c>
      <c r="C10" s="91"/>
      <c r="D10" s="92">
        <v>27.71</v>
      </c>
      <c r="E10" s="93">
        <f t="shared" si="0"/>
        <v>7</v>
      </c>
      <c r="F10" s="93" t="str">
        <f t="shared" si="1"/>
        <v xml:space="preserve"> </v>
      </c>
      <c r="G10" s="94" t="str">
        <f>IF(Table622027323337[[#This Row],[Non-Member]]="X"," ",IF(F10=" "," ",IFERROR(VLOOKUP(E10,Points!$A$2:$B$14,2,FALSE)," ")))</f>
        <v xml:space="preserve"> </v>
      </c>
      <c r="H10" s="92">
        <v>23.684999999999999</v>
      </c>
      <c r="I10" s="93">
        <f t="shared" si="2"/>
        <v>7</v>
      </c>
      <c r="J10" s="93" t="str">
        <f t="shared" si="3"/>
        <v xml:space="preserve"> </v>
      </c>
      <c r="K10" s="94" t="str">
        <f>IF(Table622027323337[[#This Row],[Non-Member]]="X"," ",IF(J10=" "," ",IFERROR(VLOOKUP(I10,Points!$A$2:$B$14,2,FALSE)," ")))</f>
        <v xml:space="preserve"> </v>
      </c>
      <c r="L10" s="92">
        <v>20.417000000000002</v>
      </c>
      <c r="M10" s="93">
        <f t="shared" si="4"/>
        <v>5</v>
      </c>
      <c r="N10" s="93">
        <f t="shared" si="5"/>
        <v>5</v>
      </c>
      <c r="O10" s="94">
        <f>IF(Table622027323337[[#This Row],[Non-Member]]="X"," ",IF(N10=" "," ",IFERROR(VLOOKUP(M10,Points!$A$2:$B$14,2,FALSE)," ")))</f>
        <v>6</v>
      </c>
      <c r="P10" s="92">
        <v>20.149000000000001</v>
      </c>
      <c r="Q10" s="93">
        <f t="shared" si="6"/>
        <v>4</v>
      </c>
      <c r="R10" s="93">
        <f t="shared" si="7"/>
        <v>4</v>
      </c>
      <c r="S10" s="94">
        <f>IF(Table622027323337[[#This Row],[Non-Member]]="X"," ",IF(R10=" "," ",IFERROR(VLOOKUP(Q10,Points!$A$2:$B$14,2,FALSE)," ")))</f>
        <v>9</v>
      </c>
      <c r="T10" s="92">
        <v>22.481000000000002</v>
      </c>
      <c r="U10" s="93">
        <f t="shared" si="8"/>
        <v>6</v>
      </c>
      <c r="V10" s="93">
        <f t="shared" si="9"/>
        <v>6</v>
      </c>
      <c r="W10" s="94">
        <f>IF(Table622027323337[[#This Row],[Non-Member]]="X"," ",IF(V10=" "," ",IFERROR(VLOOKUP(U10,Points!$A$2:$B$14,2,FALSE)," ")))</f>
        <v>3</v>
      </c>
      <c r="X10" s="92">
        <v>20.779</v>
      </c>
      <c r="Y10" s="93">
        <f t="shared" si="10"/>
        <v>5</v>
      </c>
      <c r="Z10" s="93">
        <f t="shared" si="11"/>
        <v>5</v>
      </c>
      <c r="AA10" s="94">
        <f>IF(Table622027323337[[#This Row],[Non-Member]]="X"," ",IF(Z10=" "," ",IFERROR(VLOOKUP(Y10,Points!$A$2:$B$14,2,FALSE)," ")))</f>
        <v>6</v>
      </c>
      <c r="AB10" s="92">
        <v>20.984000000000002</v>
      </c>
      <c r="AC10" s="93">
        <f t="shared" si="12"/>
        <v>6</v>
      </c>
      <c r="AD10" s="93">
        <f t="shared" si="13"/>
        <v>6</v>
      </c>
      <c r="AE10" s="94">
        <f>IF(Table622027323337[[#This Row],[Non-Member]]="X"," ",IF(AD10=" "," ",IFERROR(VLOOKUP(AC10,Points!$A$2:$B$14,2,FALSE)," ")))</f>
        <v>3</v>
      </c>
      <c r="AF10" s="92">
        <f t="shared" si="14"/>
        <v>41.763000000000005</v>
      </c>
      <c r="AG10" s="93">
        <f t="shared" si="15"/>
        <v>5</v>
      </c>
      <c r="AH10" s="93">
        <f t="shared" si="16"/>
        <v>5</v>
      </c>
      <c r="AI10" s="94">
        <f>IF(Table622027323337[[#This Row],[Non-Member]]="X"," ",IF(AH10=" "," ",IFERROR(VLOOKUP(AG10,Points!$A$2:$B$14,2,FALSE)," ")))</f>
        <v>6</v>
      </c>
      <c r="AJ10" s="93">
        <f>IF(Table622027323337[[#This Row],[Non-Member]]="X"," ",((IF(G10=" ",0,G10))+(IF(K10=" ",0,K10))+(IF(O10=" ",0,O10))+(IF(S10=" ",0,S10))+(IF(W10=" ",0,W10))+(IF(AA10=" ",0,AA10))+(IF(AE10=" ",0,AE10))+(IF(AI10=" ",0,AI10))))</f>
        <v>33</v>
      </c>
      <c r="AK10" s="95">
        <f t="shared" si="17"/>
        <v>33</v>
      </c>
      <c r="AL10" s="96">
        <f t="shared" si="18"/>
        <v>6</v>
      </c>
    </row>
    <row r="11" spans="2:38" x14ac:dyDescent="0.25">
      <c r="B11" s="90" t="s">
        <v>96</v>
      </c>
      <c r="C11" s="91"/>
      <c r="D11" s="92">
        <v>22.384</v>
      </c>
      <c r="E11" s="93">
        <f t="shared" si="0"/>
        <v>3</v>
      </c>
      <c r="F11" s="93">
        <f t="shared" si="1"/>
        <v>3</v>
      </c>
      <c r="G11" s="94">
        <f>IF(Table622027323337[[#This Row],[Non-Member]]="X"," ",IF(F11=" "," ",IFERROR(VLOOKUP(E11,Points!$A$2:$B$14,2,FALSE)," ")))</f>
        <v>12</v>
      </c>
      <c r="H11" s="92">
        <v>22.795999999999999</v>
      </c>
      <c r="I11" s="93">
        <f t="shared" si="2"/>
        <v>5</v>
      </c>
      <c r="J11" s="93">
        <f t="shared" si="3"/>
        <v>5</v>
      </c>
      <c r="K11" s="94">
        <f>IF(Table622027323337[[#This Row],[Non-Member]]="X"," ",IF(J11=" "," ",IFERROR(VLOOKUP(I11,Points!$A$2:$B$14,2,FALSE)," ")))</f>
        <v>6</v>
      </c>
      <c r="L11" s="92">
        <v>19.911000000000001</v>
      </c>
      <c r="M11" s="93">
        <f t="shared" si="4"/>
        <v>4</v>
      </c>
      <c r="N11" s="93">
        <f t="shared" si="5"/>
        <v>4</v>
      </c>
      <c r="O11" s="94">
        <f>IF(Table622027323337[[#This Row],[Non-Member]]="X"," ",IF(N11=" "," ",IFERROR(VLOOKUP(M11,Points!$A$2:$B$14,2,FALSE)," ")))</f>
        <v>9</v>
      </c>
      <c r="P11" s="92">
        <v>20.577999999999999</v>
      </c>
      <c r="Q11" s="93">
        <f t="shared" si="6"/>
        <v>6</v>
      </c>
      <c r="R11" s="93">
        <f t="shared" si="7"/>
        <v>6</v>
      </c>
      <c r="S11" s="94">
        <f>IF(Table622027323337[[#This Row],[Non-Member]]="X"," ",IF(R11=" "," ",IFERROR(VLOOKUP(Q11,Points!$A$2:$B$14,2,FALSE)," ")))</f>
        <v>3</v>
      </c>
      <c r="T11" s="92">
        <v>28.443999999999999</v>
      </c>
      <c r="U11" s="93">
        <f t="shared" si="8"/>
        <v>11</v>
      </c>
      <c r="V11" s="93" t="str">
        <f t="shared" si="9"/>
        <v xml:space="preserve"> </v>
      </c>
      <c r="W11" s="94" t="str">
        <f>IF(Table622027323337[[#This Row],[Non-Member]]="X"," ",IF(V11=" "," ",IFERROR(VLOOKUP(U11,Points!$A$2:$B$14,2,FALSE)," ")))</f>
        <v xml:space="preserve"> </v>
      </c>
      <c r="X11" s="92">
        <v>22.422000000000001</v>
      </c>
      <c r="Y11" s="93">
        <f t="shared" si="10"/>
        <v>9</v>
      </c>
      <c r="Z11" s="93" t="str">
        <f t="shared" si="11"/>
        <v xml:space="preserve"> </v>
      </c>
      <c r="AA11" s="94" t="str">
        <f>IF(Table622027323337[[#This Row],[Non-Member]]="X"," ",IF(Z11=" "," ",IFERROR(VLOOKUP(Y11,Points!$A$2:$B$14,2,FALSE)," ")))</f>
        <v xml:space="preserve"> </v>
      </c>
      <c r="AB11" s="92">
        <v>23.173999999999999</v>
      </c>
      <c r="AC11" s="93">
        <f t="shared" si="12"/>
        <v>8</v>
      </c>
      <c r="AD11" s="93" t="str">
        <f t="shared" si="13"/>
        <v xml:space="preserve"> </v>
      </c>
      <c r="AE11" s="94" t="str">
        <f>IF(Table622027323337[[#This Row],[Non-Member]]="X"," ",IF(AD11=" "," ",IFERROR(VLOOKUP(AC11,Points!$A$2:$B$14,2,FALSE)," ")))</f>
        <v xml:space="preserve"> </v>
      </c>
      <c r="AF11" s="92">
        <f t="shared" si="14"/>
        <v>45.596000000000004</v>
      </c>
      <c r="AG11" s="93">
        <f t="shared" si="15"/>
        <v>8</v>
      </c>
      <c r="AH11" s="93" t="str">
        <f t="shared" si="16"/>
        <v xml:space="preserve"> </v>
      </c>
      <c r="AI11" s="94" t="str">
        <f>IF(Table622027323337[[#This Row],[Non-Member]]="X"," ",IF(AH11=" "," ",IFERROR(VLOOKUP(AG11,Points!$A$2:$B$14,2,FALSE)," ")))</f>
        <v xml:space="preserve"> </v>
      </c>
      <c r="AJ11" s="93">
        <f>IF(Table622027323337[[#This Row],[Non-Member]]="X"," ",((IF(G11=" ",0,G11))+(IF(K11=" ",0,K11))+(IF(O11=" ",0,O11))+(IF(S11=" ",0,S11))+(IF(W11=" ",0,W11))+(IF(AA11=" ",0,AA11))+(IF(AE11=" ",0,AE11))+(IF(AI11=" ",0,AI11))))</f>
        <v>30</v>
      </c>
      <c r="AK11" s="95">
        <f t="shared" si="17"/>
        <v>30</v>
      </c>
      <c r="AL11" s="96">
        <f t="shared" si="18"/>
        <v>7</v>
      </c>
    </row>
    <row r="12" spans="2:38" x14ac:dyDescent="0.25">
      <c r="B12" s="90" t="s">
        <v>239</v>
      </c>
      <c r="C12" s="91"/>
      <c r="D12" s="92"/>
      <c r="E12" s="97" t="str">
        <f t="shared" si="0"/>
        <v xml:space="preserve"> </v>
      </c>
      <c r="F12" s="97" t="str">
        <f t="shared" si="1"/>
        <v xml:space="preserve"> </v>
      </c>
      <c r="G12" s="94" t="str">
        <f>IF(Table622027323337[[#This Row],[Non-Member]]="X"," ",IF(F12=" "," ",IFERROR(VLOOKUP(E12,Points!$A$2:$B$14,2,FALSE)," ")))</f>
        <v xml:space="preserve"> </v>
      </c>
      <c r="H12" s="92">
        <v>23.594999999999999</v>
      </c>
      <c r="I12" s="97">
        <f t="shared" si="2"/>
        <v>6</v>
      </c>
      <c r="J12" s="97">
        <f t="shared" si="3"/>
        <v>6</v>
      </c>
      <c r="K12" s="94">
        <f>IF(Table622027323337[[#This Row],[Non-Member]]="X"," ",IF(J12=" "," ",IFERROR(VLOOKUP(I12,Points!$A$2:$B$14,2,FALSE)," ")))</f>
        <v>3</v>
      </c>
      <c r="L12" s="92">
        <v>21.55</v>
      </c>
      <c r="M12" s="97">
        <f t="shared" si="4"/>
        <v>10</v>
      </c>
      <c r="N12" s="97" t="str">
        <f t="shared" si="5"/>
        <v xml:space="preserve"> </v>
      </c>
      <c r="O12" s="94" t="str">
        <f>IF(Table622027323337[[#This Row],[Non-Member]]="X"," ",IF(N12=" "," ",IFERROR(VLOOKUP(M12,Points!$A$2:$B$14,2,FALSE)," ")))</f>
        <v xml:space="preserve"> </v>
      </c>
      <c r="P12" s="92">
        <v>20.981000000000002</v>
      </c>
      <c r="Q12" s="97">
        <f t="shared" si="6"/>
        <v>7</v>
      </c>
      <c r="R12" s="97" t="str">
        <f t="shared" si="7"/>
        <v xml:space="preserve"> </v>
      </c>
      <c r="S12" s="94" t="str">
        <f>IF(Table622027323337[[#This Row],[Non-Member]]="X"," ",IF(R12=" "," ",IFERROR(VLOOKUP(Q12,Points!$A$2:$B$14,2,FALSE)," ")))</f>
        <v xml:space="preserve"> </v>
      </c>
      <c r="T12" s="92">
        <v>22.064</v>
      </c>
      <c r="U12" s="97">
        <f t="shared" si="8"/>
        <v>5</v>
      </c>
      <c r="V12" s="97">
        <f t="shared" si="9"/>
        <v>5</v>
      </c>
      <c r="W12" s="94">
        <f>IF(Table622027323337[[#This Row],[Non-Member]]="X"," ",IF(V12=" "," ",IFERROR(VLOOKUP(U12,Points!$A$2:$B$14,2,FALSE)," ")))</f>
        <v>6</v>
      </c>
      <c r="X12" s="92"/>
      <c r="Y12" s="97" t="str">
        <f t="shared" si="10"/>
        <v xml:space="preserve"> </v>
      </c>
      <c r="Z12" s="97" t="str">
        <f t="shared" si="11"/>
        <v xml:space="preserve"> </v>
      </c>
      <c r="AA12" s="94" t="str">
        <f>IF(Table622027323337[[#This Row],[Non-Member]]="X"," ",IF(Z12=" "," ",IFERROR(VLOOKUP(Y12,Points!$A$2:$B$14,2,FALSE)," ")))</f>
        <v xml:space="preserve"> </v>
      </c>
      <c r="AB12" s="92"/>
      <c r="AC12" s="97" t="str">
        <f t="shared" si="12"/>
        <v xml:space="preserve"> </v>
      </c>
      <c r="AD12" s="97" t="str">
        <f t="shared" si="13"/>
        <v xml:space="preserve"> </v>
      </c>
      <c r="AE12" s="94" t="str">
        <f>IF(Table622027323337[[#This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8" t="str">
        <f t="shared" si="15"/>
        <v xml:space="preserve"> </v>
      </c>
      <c r="AH12" s="97" t="str">
        <f t="shared" si="16"/>
        <v xml:space="preserve"> </v>
      </c>
      <c r="AI12" s="94" t="str">
        <f>IF(Table622027323337[[#This Row],[Non-Member]]="X"," ",IF(AH12=" "," ",IFERROR(VLOOKUP(AG12,Points!$A$2:$B$14,2,FALSE)," ")))</f>
        <v xml:space="preserve"> </v>
      </c>
      <c r="AJ12" s="97">
        <f>IF(Table622027323337[[#This Row],[Non-Member]]="X"," ",((IF(G12=" ",0,G12))+(IF(K12=" ",0,K12))+(IF(O12=" ",0,O12))+(IF(S12=" ",0,S12))+(IF(W12=" ",0,W12))+(IF(AA12=" ",0,AA12))+(IF(AE12=" ",0,AE12))+(IF(AI12=" ",0,AI12))))</f>
        <v>9</v>
      </c>
      <c r="AK12" s="153">
        <f t="shared" si="17"/>
        <v>9</v>
      </c>
      <c r="AL12" s="98">
        <f t="shared" si="18"/>
        <v>8</v>
      </c>
    </row>
    <row r="13" spans="2:38" x14ac:dyDescent="0.25">
      <c r="B13" s="90" t="s">
        <v>93</v>
      </c>
      <c r="C13" s="91"/>
      <c r="D13" s="92">
        <v>25.465</v>
      </c>
      <c r="E13" s="93">
        <f t="shared" si="0"/>
        <v>5</v>
      </c>
      <c r="F13" s="93">
        <f t="shared" si="1"/>
        <v>5</v>
      </c>
      <c r="G13" s="94">
        <f>IF(Table622027323337[[#This Row],[Non-Member]]="X"," ",IF(F13=" "," ",IFERROR(VLOOKUP(E13,Points!$A$2:$B$14,2,FALSE)," ")))</f>
        <v>6</v>
      </c>
      <c r="H13" s="92">
        <v>24.951000000000001</v>
      </c>
      <c r="I13" s="93">
        <f t="shared" si="2"/>
        <v>10</v>
      </c>
      <c r="J13" s="93" t="str">
        <f t="shared" si="3"/>
        <v xml:space="preserve"> </v>
      </c>
      <c r="K13" s="94" t="str">
        <f>IF(Table622027323337[[#This Row],[Non-Member]]="X"," ",IF(J13=" "," ",IFERROR(VLOOKUP(I13,Points!$A$2:$B$14,2,FALSE)," ")))</f>
        <v xml:space="preserve"> </v>
      </c>
      <c r="L13" s="92">
        <v>20.456</v>
      </c>
      <c r="M13" s="93">
        <f t="shared" si="4"/>
        <v>6</v>
      </c>
      <c r="N13" s="93">
        <f t="shared" si="5"/>
        <v>6</v>
      </c>
      <c r="O13" s="94">
        <f>IF(Table622027323337[[#This Row],[Non-Member]]="X"," ",IF(N13=" "," ",IFERROR(VLOOKUP(M13,Points!$A$2:$B$14,2,FALSE)," ")))</f>
        <v>3</v>
      </c>
      <c r="P13" s="92">
        <v>23.818999999999999</v>
      </c>
      <c r="Q13" s="93">
        <f t="shared" si="6"/>
        <v>10</v>
      </c>
      <c r="R13" s="93" t="str">
        <f t="shared" si="7"/>
        <v xml:space="preserve"> </v>
      </c>
      <c r="S13" s="94" t="str">
        <f>IF(Table622027323337[[#This Row],[Non-Member]]="X"," ",IF(R13=" "," ",IFERROR(VLOOKUP(Q13,Points!$A$2:$B$14,2,FALSE)," ")))</f>
        <v xml:space="preserve"> </v>
      </c>
      <c r="T13" s="92">
        <v>28.542999999999999</v>
      </c>
      <c r="U13" s="93">
        <f t="shared" si="8"/>
        <v>12</v>
      </c>
      <c r="V13" s="93" t="str">
        <f t="shared" si="9"/>
        <v xml:space="preserve"> </v>
      </c>
      <c r="W13" s="94" t="str">
        <f>IF(Table622027323337[[#This Row],[Non-Member]]="X"," ",IF(V13=" "," ",IFERROR(VLOOKUP(U13,Points!$A$2:$B$14,2,FALSE)," ")))</f>
        <v xml:space="preserve"> </v>
      </c>
      <c r="X13" s="92">
        <v>22.048999999999999</v>
      </c>
      <c r="Y13" s="93">
        <f t="shared" si="10"/>
        <v>8</v>
      </c>
      <c r="Z13" s="93" t="str">
        <f t="shared" si="11"/>
        <v xml:space="preserve"> </v>
      </c>
      <c r="AA13" s="94" t="str">
        <f>IF(Table622027323337[[#This Row],[Non-Member]]="X"," ",IF(Z13=" "," ",IFERROR(VLOOKUP(Y13,Points!$A$2:$B$14,2,FALSE)," ")))</f>
        <v xml:space="preserve"> </v>
      </c>
      <c r="AB13" s="92">
        <v>30.103999999999999</v>
      </c>
      <c r="AC13" s="93">
        <f t="shared" si="12"/>
        <v>14</v>
      </c>
      <c r="AD13" s="93" t="str">
        <f t="shared" si="13"/>
        <v xml:space="preserve"> </v>
      </c>
      <c r="AE13" s="94" t="str">
        <f>IF(Table622027323337[[#This Row],[Non-Member]]="X"," ",IF(AD13=" "," ",IFERROR(VLOOKUP(AC13,Points!$A$2:$B$14,2,FALSE)," ")))</f>
        <v xml:space="preserve"> </v>
      </c>
      <c r="AF13" s="92">
        <f t="shared" si="14"/>
        <v>52.152999999999999</v>
      </c>
      <c r="AG13" s="93">
        <f t="shared" si="15"/>
        <v>12</v>
      </c>
      <c r="AH13" s="93" t="str">
        <f t="shared" si="16"/>
        <v xml:space="preserve"> </v>
      </c>
      <c r="AI13" s="94" t="str">
        <f>IF(Table622027323337[[#This Row],[Non-Member]]="X"," ",IF(AH13=" "," ",IFERROR(VLOOKUP(AG13,Points!$A$2:$B$14,2,FALSE)," ")))</f>
        <v xml:space="preserve"> </v>
      </c>
      <c r="AJ13" s="93">
        <f>IF(Table622027323337[[#This Row],[Non-Member]]="X"," ",((IF(G13=" ",0,G13))+(IF(K13=" ",0,K13))+(IF(O13=" ",0,O13))+(IF(S13=" ",0,S13))+(IF(W13=" ",0,W13))+(IF(AA13=" ",0,AA13))+(IF(AE13=" ",0,AE13))+(IF(AI13=" ",0,AI13))))</f>
        <v>9</v>
      </c>
      <c r="AK13" s="95">
        <f t="shared" si="17"/>
        <v>9</v>
      </c>
      <c r="AL13" s="96">
        <f t="shared" si="18"/>
        <v>8</v>
      </c>
    </row>
    <row r="14" spans="2:38" x14ac:dyDescent="0.25">
      <c r="B14" s="90" t="s">
        <v>92</v>
      </c>
      <c r="C14" s="91"/>
      <c r="D14" s="92">
        <v>36.616</v>
      </c>
      <c r="E14" s="93">
        <f t="shared" si="0"/>
        <v>10</v>
      </c>
      <c r="F14" s="93" t="str">
        <f t="shared" si="1"/>
        <v xml:space="preserve"> </v>
      </c>
      <c r="G14" s="94" t="str">
        <f>IF(Table622027323337[[#This Row],[Non-Member]]="X"," ",IF(F14=" "," ",IFERROR(VLOOKUP(E14,Points!$A$2:$B$14,2,FALSE)," ")))</f>
        <v xml:space="preserve"> </v>
      </c>
      <c r="H14" s="92">
        <v>28.268000000000001</v>
      </c>
      <c r="I14" s="93">
        <f t="shared" si="2"/>
        <v>14</v>
      </c>
      <c r="J14" s="93" t="str">
        <f t="shared" si="3"/>
        <v xml:space="preserve"> </v>
      </c>
      <c r="K14" s="94" t="str">
        <f>IF(Table622027323337[[#This Row],[Non-Member]]="X"," ",IF(J14=" "," ",IFERROR(VLOOKUP(I14,Points!$A$2:$B$14,2,FALSE)," ")))</f>
        <v xml:space="preserve"> </v>
      </c>
      <c r="L14" s="92">
        <v>23.183</v>
      </c>
      <c r="M14" s="93">
        <f t="shared" si="4"/>
        <v>11</v>
      </c>
      <c r="N14" s="93" t="str">
        <f t="shared" si="5"/>
        <v xml:space="preserve"> </v>
      </c>
      <c r="O14" s="94" t="str">
        <f>IF(Table622027323337[[#This Row],[Non-Member]]="X"," ",IF(N14=" "," ",IFERROR(VLOOKUP(M14,Points!$A$2:$B$14,2,FALSE)," ")))</f>
        <v xml:space="preserve"> 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IF(Table622027323337[[#This Row],[Non-Member]]="X"," ",IF(R14=" "," ",IFERROR(VLOOKUP(Q14,Points!$A$2:$B$14,2,FALSE)," ")))</f>
        <v xml:space="preserve"> </v>
      </c>
      <c r="T14" s="92">
        <v>23</v>
      </c>
      <c r="U14" s="93">
        <f t="shared" si="8"/>
        <v>8</v>
      </c>
      <c r="V14" s="93" t="str">
        <f t="shared" si="9"/>
        <v xml:space="preserve"> </v>
      </c>
      <c r="W14" s="94" t="str">
        <f>IF(Table622027323337[[#This Row],[Non-Member]]="X"," ",IF(V14=" "," ",IFERROR(VLOOKUP(U14,Points!$A$2:$B$14,2,FALSE)," ")))</f>
        <v xml:space="preserve"> </v>
      </c>
      <c r="X14" s="92">
        <v>20.873999999999999</v>
      </c>
      <c r="Y14" s="93">
        <f t="shared" si="10"/>
        <v>6</v>
      </c>
      <c r="Z14" s="93">
        <f t="shared" si="11"/>
        <v>6</v>
      </c>
      <c r="AA14" s="94">
        <f>IF(Table622027323337[[#This Row],[Non-Member]]="X"," ",IF(Z14=" "," ",IFERROR(VLOOKUP(Y14,Points!$A$2:$B$14,2,FALSE)," ")))</f>
        <v>3</v>
      </c>
      <c r="AB14" s="92">
        <v>21.17</v>
      </c>
      <c r="AC14" s="93">
        <f t="shared" si="12"/>
        <v>7</v>
      </c>
      <c r="AD14" s="93" t="str">
        <f t="shared" si="13"/>
        <v xml:space="preserve"> </v>
      </c>
      <c r="AE14" s="94" t="str">
        <f>IF(Table622027323337[[#This Row],[Non-Member]]="X"," ",IF(AD14=" "," ",IFERROR(VLOOKUP(AC14,Points!$A$2:$B$14,2,FALSE)," ")))</f>
        <v xml:space="preserve"> </v>
      </c>
      <c r="AF14" s="92">
        <f t="shared" si="14"/>
        <v>42.043999999999997</v>
      </c>
      <c r="AG14" s="93">
        <f t="shared" si="15"/>
        <v>6</v>
      </c>
      <c r="AH14" s="93">
        <f t="shared" si="16"/>
        <v>6</v>
      </c>
      <c r="AI14" s="94">
        <f>IF(Table622027323337[[#This Row],[Non-Member]]="X"," ",IF(AH14=" "," ",IFERROR(VLOOKUP(AG14,Points!$A$2:$B$14,2,FALSE)," ")))</f>
        <v>3</v>
      </c>
      <c r="AJ14" s="93">
        <f>IF(Table622027323337[[#This Row],[Non-Member]]="X"," ",((IF(G14=" ",0,G14))+(IF(K14=" ",0,K14))+(IF(O14=" ",0,O14))+(IF(S14=" ",0,S14))+(IF(W14=" ",0,W14))+(IF(AA14=" ",0,AA14))+(IF(AE14=" ",0,AE14))+(IF(AI14=" ",0,AI14))))</f>
        <v>6</v>
      </c>
      <c r="AK14" s="95">
        <f t="shared" si="17"/>
        <v>6</v>
      </c>
      <c r="AL14" s="96">
        <f t="shared" si="18"/>
        <v>10</v>
      </c>
    </row>
    <row r="15" spans="2:38" x14ac:dyDescent="0.25">
      <c r="B15" s="90" t="s">
        <v>226</v>
      </c>
      <c r="C15" s="91"/>
      <c r="D15" s="92">
        <v>0</v>
      </c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IF(Table622027323337[[#This Row],[Non-Member]]="X"," ",IF(J15=" "," ",IFERROR(VLOOKUP(I15,Points!$A$2:$B$14,2,FALSE)," ")))</f>
        <v xml:space="preserve"> </v>
      </c>
      <c r="L15" s="92">
        <v>32.781999999999996</v>
      </c>
      <c r="M15" s="93">
        <f t="shared" si="4"/>
        <v>16</v>
      </c>
      <c r="N15" s="93" t="str">
        <f t="shared" si="5"/>
        <v xml:space="preserve"> </v>
      </c>
      <c r="O15" s="94" t="str">
        <f>IF(Table622027323337[[#This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IF(Table622027323337[[#This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IF(Table622027323337[[#This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IF(Table622027323337[[#This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IF(Table622027323337[[#This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IF(Table622027323337[[#This Row],[Non-Member]]="X"," ",IF(AH15=" "," ",IFERROR(VLOOKUP(AG15,Points!$A$2:$B$14,2,FALSE)," ")))</f>
        <v xml:space="preserve"> </v>
      </c>
      <c r="AJ15" s="93">
        <f>IF(Table622027323337[[#This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 t="s">
        <v>242</v>
      </c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IF(Table622027323337[[#This Row],[Non-Member]]="X"," ",IF(F16=" "," ",IFERROR(VLOOKUP(E16,Points!$A$2:$B$14,2,FALSE)," ")))</f>
        <v xml:space="preserve"> </v>
      </c>
      <c r="H16" s="92">
        <v>44.44</v>
      </c>
      <c r="I16" s="93">
        <f t="shared" si="2"/>
        <v>17</v>
      </c>
      <c r="J16" s="93" t="str">
        <f t="shared" si="3"/>
        <v xml:space="preserve"> </v>
      </c>
      <c r="K16" s="94" t="str">
        <f>IF(Table622027323337[[#This Row],[Non-Member]]="X"," ",IF(J16=" "," ",IFERROR(VLOOKUP(I16,Points!$A$2:$B$14,2,FALSE)," ")))</f>
        <v xml:space="preserve"> </v>
      </c>
      <c r="L16" s="92">
        <v>29.968</v>
      </c>
      <c r="M16" s="93">
        <f t="shared" si="4"/>
        <v>15</v>
      </c>
      <c r="N16" s="93" t="str">
        <f t="shared" si="5"/>
        <v xml:space="preserve"> </v>
      </c>
      <c r="O16" s="94" t="str">
        <f>IF(Table622027323337[[#This Row],[Non-Member]]="X"," ",IF(N16=" "," ",IFERROR(VLOOKUP(M16,Points!$A$2:$B$14,2,FALSE)," ")))</f>
        <v xml:space="preserve"> </v>
      </c>
      <c r="P16" s="92">
        <v>28.542000000000002</v>
      </c>
      <c r="Q16" s="93">
        <f t="shared" si="6"/>
        <v>12</v>
      </c>
      <c r="R16" s="93" t="str">
        <f t="shared" si="7"/>
        <v xml:space="preserve"> </v>
      </c>
      <c r="S16" s="94" t="str">
        <f>IF(Table622027323337[[#This Row],[Non-Member]]="X"," ",IF(R16=" "," ",IFERROR(VLOOKUP(Q16,Points!$A$2:$B$14,2,FALSE)," ")))</f>
        <v xml:space="preserve"> </v>
      </c>
      <c r="T16" s="92">
        <v>31.776</v>
      </c>
      <c r="U16" s="93">
        <f t="shared" si="8"/>
        <v>15</v>
      </c>
      <c r="V16" s="93" t="str">
        <f t="shared" si="9"/>
        <v xml:space="preserve"> </v>
      </c>
      <c r="W16" s="94" t="str">
        <f>IF(Table622027323337[[#This Row],[Non-Member]]="X"," ",IF(V16=" "," ",IFERROR(VLOOKUP(U16,Points!$A$2:$B$14,2,FALSE)," ")))</f>
        <v xml:space="preserve"> </v>
      </c>
      <c r="X16" s="92">
        <v>33.329000000000001</v>
      </c>
      <c r="Y16" s="93">
        <f t="shared" si="10"/>
        <v>17</v>
      </c>
      <c r="Z16" s="93" t="str">
        <f t="shared" si="11"/>
        <v xml:space="preserve"> </v>
      </c>
      <c r="AA16" s="94" t="str">
        <f>IF(Table622027323337[[#This Row],[Non-Member]]="X"," ",IF(Z16=" "," ",IFERROR(VLOOKUP(Y16,Points!$A$2:$B$14,2,FALSE)," ")))</f>
        <v xml:space="preserve"> </v>
      </c>
      <c r="AB16" s="92">
        <v>32.420999999999999</v>
      </c>
      <c r="AC16" s="93">
        <f t="shared" si="12"/>
        <v>16</v>
      </c>
      <c r="AD16" s="93" t="str">
        <f t="shared" si="13"/>
        <v xml:space="preserve"> </v>
      </c>
      <c r="AE16" s="94" t="str">
        <f>IF(Table622027323337[[#This Row],[Non-Member]]="X"," ",IF(AD16=" "," ",IFERROR(VLOOKUP(AC16,Points!$A$2:$B$14,2,FALSE)," ")))</f>
        <v xml:space="preserve"> </v>
      </c>
      <c r="AF16" s="92">
        <f t="shared" si="14"/>
        <v>65.75</v>
      </c>
      <c r="AG16" s="93">
        <f t="shared" si="15"/>
        <v>17</v>
      </c>
      <c r="AH16" s="93" t="str">
        <f t="shared" si="16"/>
        <v xml:space="preserve"> </v>
      </c>
      <c r="AI16" s="94" t="str">
        <f>IF(Table622027323337[[#This Row],[Non-Member]]="X"," ",IF(AH16=" "," ",IFERROR(VLOOKUP(AG16,Points!$A$2:$B$14,2,FALSE)," ")))</f>
        <v xml:space="preserve"> </v>
      </c>
      <c r="AJ16" s="93">
        <f>IF(Table622027323337[[#This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6" t="str">
        <f t="shared" si="18"/>
        <v xml:space="preserve"> </v>
      </c>
    </row>
    <row r="17" spans="2:38" x14ac:dyDescent="0.25">
      <c r="B17" s="90" t="s">
        <v>241</v>
      </c>
      <c r="C17" s="91" t="s">
        <v>95</v>
      </c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IF(Table622027323337[[#This Row],[Non-Member]]="X"," ",IF(F17=" "," ",IFERROR(VLOOKUP(E17,Points!$A$2:$B$14,2,FALSE)," ")))</f>
        <v xml:space="preserve"> </v>
      </c>
      <c r="H17" s="92">
        <v>0</v>
      </c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IF(Table622027323337[[#This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IF(Table622027323337[[#This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IF(Table622027323337[[#This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IF(Table622027323337[[#This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IF(Table622027323337[[#This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8" t="str">
        <f t="shared" si="15"/>
        <v xml:space="preserve"> </v>
      </c>
      <c r="AH17" s="97" t="str">
        <f t="shared" si="16"/>
        <v xml:space="preserve"> </v>
      </c>
      <c r="AI17" s="94" t="str">
        <f>IF(Table622027323337[[#This Row],[Non-Member]]="X"," ",IF(AH17=" "," ",IFERROR(VLOOKUP(AG17,Points!$A$2:$B$14,2,FALSE)," ")))</f>
        <v xml:space="preserve"> </v>
      </c>
      <c r="AJ17" s="97" t="str">
        <f>IF(Table622027323337[[#This Row],[Non-Member]]="X"," ",((IF(G17=" ",0,G17))+(IF(K17=" ",0,K17))+(IF(O17=" ",0,O17))+(IF(S17=" ",0,S17))+(IF(W17=" ",0,W17))+(IF(AA17=" ",0,AA17))+(IF(AE17=" ",0,AE17))+(IF(AI17=" ",0,AI17))))</f>
        <v xml:space="preserve"> </v>
      </c>
      <c r="AK17" s="153" t="str">
        <f t="shared" si="17"/>
        <v xml:space="preserve"> </v>
      </c>
      <c r="AL17" s="98" t="str">
        <f t="shared" si="18"/>
        <v xml:space="preserve"> </v>
      </c>
    </row>
    <row r="18" spans="2:38" x14ac:dyDescent="0.25">
      <c r="B18" s="90" t="s">
        <v>222</v>
      </c>
      <c r="C18" s="91"/>
      <c r="D18" s="138">
        <v>0</v>
      </c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IF(Table622027323337[[#This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IF(Table622027323337[[#This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IF(Table622027323337[[#This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IF(Table622027323337[[#This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IF(Table622027323337[[#This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IF(Table622027323337[[#This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IF(Table622027323337[[#This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IF(Table622027323337[[#This Row],[Non-Member]]="X"," ",IF(AH18=" "," ",IFERROR(VLOOKUP(AG18,Points!$A$2:$B$14,2,FALSE)," ")))</f>
        <v xml:space="preserve"> </v>
      </c>
      <c r="AJ18" s="97">
        <f>IF(Table622027323337[[#This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 t="s">
        <v>84</v>
      </c>
      <c r="C19" s="91"/>
      <c r="D19" s="92">
        <v>0</v>
      </c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IF(Table622027323337[[#This Row],[Non-Member]]="X"," ",IF(F19=" "," ",IFERROR(VLOOKUP(E19,Points!$A$2:$B$14,2,FALSE)," ")))</f>
        <v xml:space="preserve"> </v>
      </c>
      <c r="H19" s="92">
        <v>23.856999999999999</v>
      </c>
      <c r="I19" s="93">
        <f t="shared" si="2"/>
        <v>9</v>
      </c>
      <c r="J19" s="93" t="str">
        <f t="shared" si="3"/>
        <v xml:space="preserve"> </v>
      </c>
      <c r="K19" s="94" t="str">
        <f>IF(Table622027323337[[#This Row],[Non-Member]]="X"," ",IF(J19=" "," ",IFERROR(VLOOKUP(I19,Points!$A$2:$B$14,2,FALSE)," ")))</f>
        <v xml:space="preserve"> </v>
      </c>
      <c r="L19" s="92">
        <v>0</v>
      </c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IF(Table622027323337[[#This Row],[Non-Member]]="X"," ",IF(N19=" "," ",IFERROR(VLOOKUP(M19,Points!$A$2:$B$14,2,FALSE)," ")))</f>
        <v xml:space="preserve"> </v>
      </c>
      <c r="P19" s="92">
        <v>0</v>
      </c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IF(Table622027323337[[#This Row],[Non-Member]]="X"," ",IF(R19=" "," ",IFERROR(VLOOKUP(Q19,Points!$A$2:$B$14,2,FALSE)," ")))</f>
        <v xml:space="preserve"> </v>
      </c>
      <c r="T19" s="92">
        <v>0</v>
      </c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IF(Table622027323337[[#This Row],[Non-Member]]="X"," ",IF(V19=" "," ",IFERROR(VLOOKUP(U19,Points!$A$2:$B$14,2,FALSE)," ")))</f>
        <v xml:space="preserve"> </v>
      </c>
      <c r="X19" s="92">
        <v>22.045999999999999</v>
      </c>
      <c r="Y19" s="93">
        <f t="shared" si="10"/>
        <v>7</v>
      </c>
      <c r="Z19" s="93" t="str">
        <f t="shared" si="11"/>
        <v xml:space="preserve"> </v>
      </c>
      <c r="AA19" s="94" t="str">
        <f>IF(Table622027323337[[#This Row],[Non-Member]]="X"," ",IF(Z19=" "," ",IFERROR(VLOOKUP(Y19,Points!$A$2:$B$14,2,FALSE)," ")))</f>
        <v xml:space="preserve"> </v>
      </c>
      <c r="AB19" s="92">
        <v>24.263000000000002</v>
      </c>
      <c r="AC19" s="93">
        <f t="shared" si="12"/>
        <v>10</v>
      </c>
      <c r="AD19" s="93" t="str">
        <f t="shared" si="13"/>
        <v xml:space="preserve"> </v>
      </c>
      <c r="AE19" s="94" t="str">
        <f>IF(Table622027323337[[#This Row],[Non-Member]]="X"," ",IF(AD19=" "," ",IFERROR(VLOOKUP(AC19,Points!$A$2:$B$14,2,FALSE)," ")))</f>
        <v xml:space="preserve"> </v>
      </c>
      <c r="AF19" s="92">
        <f t="shared" si="14"/>
        <v>46.308999999999997</v>
      </c>
      <c r="AG19" s="93">
        <f t="shared" si="15"/>
        <v>9</v>
      </c>
      <c r="AH19" s="93" t="str">
        <f t="shared" si="16"/>
        <v xml:space="preserve"> </v>
      </c>
      <c r="AI19" s="94" t="str">
        <f>IF(Table622027323337[[#This Row],[Non-Member]]="X"," ",IF(AH19=" "," ",IFERROR(VLOOKUP(AG19,Points!$A$2:$B$14,2,FALSE)," ")))</f>
        <v xml:space="preserve"> </v>
      </c>
      <c r="AJ19" s="93">
        <f>IF(Table622027323337[[#This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 t="s">
        <v>94</v>
      </c>
      <c r="C20" s="91"/>
      <c r="D20" s="92">
        <v>30.204000000000001</v>
      </c>
      <c r="E20" s="97">
        <f t="shared" si="0"/>
        <v>8</v>
      </c>
      <c r="F20" s="97" t="str">
        <f t="shared" si="1"/>
        <v xml:space="preserve"> </v>
      </c>
      <c r="G20" s="94" t="str">
        <f>IF(Table622027323337[[#This Row],[Non-Member]]="X"," ",IF(F20=" "," ",IFERROR(VLOOKUP(E20,Points!$A$2:$B$14,2,FALSE)," ")))</f>
        <v xml:space="preserve"> </v>
      </c>
      <c r="H20" s="92"/>
      <c r="I20" s="97" t="str">
        <f t="shared" si="2"/>
        <v xml:space="preserve"> </v>
      </c>
      <c r="J20" s="97" t="str">
        <f t="shared" si="3"/>
        <v xml:space="preserve"> </v>
      </c>
      <c r="K20" s="94" t="str">
        <f>IF(Table622027323337[[#This Row],[Non-Member]]="X"," ",IF(J20=" "," ",IFERROR(VLOOKUP(I20,Points!$A$2:$B$14,2,FALSE)," ")))</f>
        <v xml:space="preserve"> </v>
      </c>
      <c r="L20" s="92">
        <v>27.4</v>
      </c>
      <c r="M20" s="97">
        <f t="shared" si="4"/>
        <v>13</v>
      </c>
      <c r="N20" s="97" t="str">
        <f t="shared" si="5"/>
        <v xml:space="preserve"> </v>
      </c>
      <c r="O20" s="94" t="str">
        <f>IF(Table622027323337[[#This Row],[Non-Member]]="X"," ",IF(N20=" "," ",IFERROR(VLOOKUP(M20,Points!$A$2:$B$14,2,FALSE)," ")))</f>
        <v xml:space="preserve"> </v>
      </c>
      <c r="P20" s="92">
        <v>26.613</v>
      </c>
      <c r="Q20" s="97">
        <f t="shared" si="6"/>
        <v>11</v>
      </c>
      <c r="R20" s="97" t="str">
        <f t="shared" si="7"/>
        <v xml:space="preserve"> </v>
      </c>
      <c r="S20" s="94" t="str">
        <f>IF(Table622027323337[[#This Row],[Non-Member]]="X"," ",IF(R20=" "," ",IFERROR(VLOOKUP(Q20,Points!$A$2:$B$14,2,FALSE)," ")))</f>
        <v xml:space="preserve"> </v>
      </c>
      <c r="T20" s="92">
        <v>30.852</v>
      </c>
      <c r="U20" s="97">
        <f t="shared" si="8"/>
        <v>14</v>
      </c>
      <c r="V20" s="97" t="str">
        <f t="shared" si="9"/>
        <v xml:space="preserve"> </v>
      </c>
      <c r="W20" s="94" t="str">
        <f>IF(Table622027323337[[#This Row],[Non-Member]]="X"," ",IF(V20=" "," ",IFERROR(VLOOKUP(U20,Points!$A$2:$B$14,2,FALSE)," ")))</f>
        <v xml:space="preserve"> </v>
      </c>
      <c r="X20" s="92">
        <v>32.591999999999999</v>
      </c>
      <c r="Y20" s="97">
        <f t="shared" si="10"/>
        <v>16</v>
      </c>
      <c r="Z20" s="97" t="str">
        <f t="shared" si="11"/>
        <v xml:space="preserve"> </v>
      </c>
      <c r="AA20" s="94" t="str">
        <f>IF(Table622027323337[[#This Row],[Non-Member]]="X"," ",IF(Z20=" "," ",IFERROR(VLOOKUP(Y20,Points!$A$2:$B$14,2,FALSE)," ")))</f>
        <v xml:space="preserve"> </v>
      </c>
      <c r="AB20" s="92">
        <v>26.741</v>
      </c>
      <c r="AC20" s="97">
        <f t="shared" si="12"/>
        <v>12</v>
      </c>
      <c r="AD20" s="97" t="str">
        <f t="shared" si="13"/>
        <v xml:space="preserve"> </v>
      </c>
      <c r="AE20" s="94" t="str">
        <f>IF(Table622027323337[[#This Row],[Non-Member]]="X"," ",IF(AD20=" "," ",IFERROR(VLOOKUP(AC20,Points!$A$2:$B$14,2,FALSE)," ")))</f>
        <v xml:space="preserve"> </v>
      </c>
      <c r="AF20" s="92">
        <f t="shared" si="14"/>
        <v>59.332999999999998</v>
      </c>
      <c r="AG20" s="97">
        <f t="shared" si="15"/>
        <v>14</v>
      </c>
      <c r="AH20" s="97" t="str">
        <f t="shared" si="16"/>
        <v xml:space="preserve"> </v>
      </c>
      <c r="AI20" s="94" t="str">
        <f>IF(Table622027323337[[#This Row],[Non-Member]]="X"," ",IF(AH20=" "," ",IFERROR(VLOOKUP(AG20,Points!$A$2:$B$14,2,FALSE)," ")))</f>
        <v xml:space="preserve"> </v>
      </c>
      <c r="AJ20" s="97">
        <f>IF(Table622027323337[[#This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8" t="str">
        <f t="shared" si="18"/>
        <v xml:space="preserve"> </v>
      </c>
    </row>
    <row r="21" spans="2:38" x14ac:dyDescent="0.25">
      <c r="B21" s="90" t="s">
        <v>90</v>
      </c>
      <c r="C21" s="91"/>
      <c r="D21" s="92">
        <v>59.598999999999997</v>
      </c>
      <c r="E21" s="93">
        <f t="shared" si="0"/>
        <v>14</v>
      </c>
      <c r="F21" s="93" t="str">
        <f t="shared" si="1"/>
        <v xml:space="preserve"> </v>
      </c>
      <c r="G21" s="94" t="str">
        <f>IF(Table622027323337[[#This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IF(Table622027323337[[#This Row],[Non-Member]]="X"," ",IF(AH21=" "," ",IFERROR(VLOOKUP(AG21,Points!$A$2:$B$14,2,FALSE)," ")))</f>
        <v xml:space="preserve"> </v>
      </c>
      <c r="AJ21" s="93">
        <f>IF(Table622027323337[[#This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 t="s">
        <v>238</v>
      </c>
      <c r="C22" s="91"/>
      <c r="D22" s="92"/>
      <c r="E22" s="97" t="str">
        <f t="shared" si="0"/>
        <v xml:space="preserve"> </v>
      </c>
      <c r="F22" s="97" t="str">
        <f t="shared" si="1"/>
        <v xml:space="preserve"> </v>
      </c>
      <c r="G22" s="94" t="str">
        <f>IF(Table622027323337[[#This Row],[Non-Member]]="X"," ",IF(F22=" "," ",IFERROR(VLOOKUP(E22,Points!$A$2:$B$14,2,FALSE)," ")))</f>
        <v xml:space="preserve"> </v>
      </c>
      <c r="H22" s="92">
        <v>0</v>
      </c>
      <c r="I22" s="97" t="str">
        <f t="shared" si="2"/>
        <v xml:space="preserve"> </v>
      </c>
      <c r="J22" s="97" t="str">
        <f t="shared" si="3"/>
        <v xml:space="preserve"> </v>
      </c>
      <c r="K22" s="94" t="str">
        <f>IF(Table622027323337[[#This Row],[Non-Member]]="X"," ",IF(J22=" "," ",IFERROR(VLOOKUP(I22,Points!$A$2:$B$14,2,FALSE)," ")))</f>
        <v xml:space="preserve"> </v>
      </c>
      <c r="L22" s="92">
        <v>0</v>
      </c>
      <c r="M22" s="97" t="str">
        <f t="shared" si="4"/>
        <v xml:space="preserve"> </v>
      </c>
      <c r="N22" s="97" t="str">
        <f t="shared" si="5"/>
        <v xml:space="preserve"> </v>
      </c>
      <c r="O22" s="94" t="str">
        <f>IF(Table622027323337[[#This Row],[Non-Member]]="X"," ",IF(N22=" "," ",IFERROR(VLOOKUP(M22,Points!$A$2:$B$14,2,FALSE)," ")))</f>
        <v xml:space="preserve"> </v>
      </c>
      <c r="P22" s="92">
        <v>32.643000000000001</v>
      </c>
      <c r="Q22" s="97">
        <f t="shared" si="6"/>
        <v>14</v>
      </c>
      <c r="R22" s="97" t="str">
        <f t="shared" si="7"/>
        <v xml:space="preserve"> </v>
      </c>
      <c r="S22" s="94" t="str">
        <f>IF(Table622027323337[[#This Row],[Non-Member]]="X"," ",IF(R22=" "," ",IFERROR(VLOOKUP(Q22,Points!$A$2:$B$14,2,FALSE)," ")))</f>
        <v xml:space="preserve"> </v>
      </c>
      <c r="T22" s="92">
        <v>29.34</v>
      </c>
      <c r="U22" s="97">
        <f t="shared" si="8"/>
        <v>13</v>
      </c>
      <c r="V22" s="97" t="str">
        <f t="shared" si="9"/>
        <v xml:space="preserve"> </v>
      </c>
      <c r="W22" s="94" t="str">
        <f>IF(Table622027323337[[#This Row],[Non-Member]]="X"," ",IF(V22=" "," ",IFERROR(VLOOKUP(U22,Points!$A$2:$B$14,2,FALSE)," ")))</f>
        <v xml:space="preserve"> </v>
      </c>
      <c r="X22" s="92"/>
      <c r="Y22" s="97" t="str">
        <f t="shared" si="10"/>
        <v xml:space="preserve"> </v>
      </c>
      <c r="Z22" s="97" t="str">
        <f t="shared" si="11"/>
        <v xml:space="preserve"> </v>
      </c>
      <c r="AA22" s="94" t="str">
        <f>IF(Table622027323337[[#This Row],[Non-Member]]="X"," ",IF(Z22=" "," ",IFERROR(VLOOKUP(Y22,Points!$A$2:$B$14,2,FALSE)," ")))</f>
        <v xml:space="preserve"> </v>
      </c>
      <c r="AB22" s="92"/>
      <c r="AC22" s="97" t="str">
        <f t="shared" si="12"/>
        <v xml:space="preserve"> </v>
      </c>
      <c r="AD22" s="97" t="str">
        <f t="shared" si="13"/>
        <v xml:space="preserve"> </v>
      </c>
      <c r="AE22" s="94" t="str">
        <f>IF(Table622027323337[[#This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8" t="str">
        <f t="shared" si="15"/>
        <v xml:space="preserve"> </v>
      </c>
      <c r="AH22" s="97" t="str">
        <f t="shared" si="16"/>
        <v xml:space="preserve"> </v>
      </c>
      <c r="AI22" s="94" t="str">
        <f>IF(Table622027323337[[#This Row],[Non-Member]]="X"," ",IF(AH22=" "," ",IFERROR(VLOOKUP(AG22,Points!$A$2:$B$14,2,FALSE)," ")))</f>
        <v xml:space="preserve"> </v>
      </c>
      <c r="AJ22" s="97">
        <f>IF(Table622027323337[[#This Row],[Non-Member]]="X"," ",((IF(G22=" ",0,G22))+(IF(K22=" ",0,K22))+(IF(O22=" ",0,O22))+(IF(S22=" ",0,S22))+(IF(W22=" ",0,W22))+(IF(AA22=" ",0,AA22))+(IF(AE22=" ",0,AE22))+(IF(AI22=" ",0,AI22))))</f>
        <v>0</v>
      </c>
      <c r="AK22" s="153" t="str">
        <f t="shared" si="17"/>
        <v xml:space="preserve"> </v>
      </c>
      <c r="AL22" s="98" t="str">
        <f t="shared" si="18"/>
        <v xml:space="preserve"> </v>
      </c>
    </row>
    <row r="23" spans="2:38" x14ac:dyDescent="0.25">
      <c r="B23" s="90" t="s">
        <v>228</v>
      </c>
      <c r="C23" s="91"/>
      <c r="D23" s="92">
        <v>42.356000000000002</v>
      </c>
      <c r="E23" s="93">
        <f t="shared" si="0"/>
        <v>11</v>
      </c>
      <c r="F23" s="93" t="str">
        <f t="shared" si="1"/>
        <v xml:space="preserve"> </v>
      </c>
      <c r="G23" s="94" t="str">
        <f>IF(Table622027323337[[#This Row],[Non-Member]]="X"," ",IF(F23=" "," ",IFERROR(VLOOKUP(E23,Points!$A$2:$B$14,2,FALSE)," ")))</f>
        <v xml:space="preserve"> </v>
      </c>
      <c r="H23" s="92">
        <v>37.273000000000003</v>
      </c>
      <c r="I23" s="93">
        <f t="shared" si="2"/>
        <v>15</v>
      </c>
      <c r="J23" s="93" t="str">
        <f t="shared" si="3"/>
        <v xml:space="preserve"> </v>
      </c>
      <c r="K23" s="94" t="str">
        <f>IF(Table622027323337[[#This Row],[Non-Member]]="X"," ",IF(J23=" "," ",IFERROR(VLOOKUP(I23,Points!$A$2:$B$14,2,FALSE)," ")))</f>
        <v xml:space="preserve"> </v>
      </c>
      <c r="L23" s="92">
        <v>0</v>
      </c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IF(Table622027323337[[#This Row],[Non-Member]]="X"," ",IF(N23=" "," ",IFERROR(VLOOKUP(M23,Points!$A$2:$B$14,2,FALSE)," ")))</f>
        <v xml:space="preserve"> </v>
      </c>
      <c r="P23" s="92">
        <v>37.201000000000001</v>
      </c>
      <c r="Q23" s="93">
        <f t="shared" si="6"/>
        <v>15</v>
      </c>
      <c r="R23" s="93" t="str">
        <f t="shared" si="7"/>
        <v xml:space="preserve"> </v>
      </c>
      <c r="S23" s="94" t="str">
        <f>IF(Table622027323337[[#This Row],[Non-Member]]="X"," ",IF(R23=" "," ",IFERROR(VLOOKUP(Q23,Points!$A$2:$B$14,2,FALSE)," ")))</f>
        <v xml:space="preserve"> </v>
      </c>
      <c r="T23" s="92">
        <v>37.677999999999997</v>
      </c>
      <c r="U23" s="93">
        <f t="shared" si="8"/>
        <v>17</v>
      </c>
      <c r="V23" s="93" t="str">
        <f t="shared" si="9"/>
        <v xml:space="preserve"> </v>
      </c>
      <c r="W23" s="94" t="str">
        <f>IF(Table622027323337[[#This Row],[Non-Member]]="X"," ",IF(V23=" "," ",IFERROR(VLOOKUP(U23,Points!$A$2:$B$14,2,FALSE)," ")))</f>
        <v xml:space="preserve"> </v>
      </c>
      <c r="X23" s="92">
        <v>31.853999999999999</v>
      </c>
      <c r="Y23" s="93">
        <f t="shared" si="10"/>
        <v>15</v>
      </c>
      <c r="Z23" s="93" t="str">
        <f t="shared" si="11"/>
        <v xml:space="preserve"> </v>
      </c>
      <c r="AA23" s="94" t="str">
        <f>IF(Table622027323337[[#This Row],[Non-Member]]="X"," ",IF(Z23=" "," ",IFERROR(VLOOKUP(Y23,Points!$A$2:$B$14,2,FALSE)," ")))</f>
        <v xml:space="preserve"> </v>
      </c>
      <c r="AB23" s="92">
        <v>31.332999999999998</v>
      </c>
      <c r="AC23" s="93">
        <f t="shared" si="12"/>
        <v>15</v>
      </c>
      <c r="AD23" s="93" t="str">
        <f t="shared" si="13"/>
        <v xml:space="preserve"> </v>
      </c>
      <c r="AE23" s="94" t="str">
        <f>IF(Table622027323337[[#This Row],[Non-Member]]="X"," ",IF(AD23=" "," ",IFERROR(VLOOKUP(AC23,Points!$A$2:$B$14,2,FALSE)," ")))</f>
        <v xml:space="preserve"> </v>
      </c>
      <c r="AF23" s="92">
        <f t="shared" si="14"/>
        <v>63.186999999999998</v>
      </c>
      <c r="AG23" s="93">
        <f t="shared" si="15"/>
        <v>15</v>
      </c>
      <c r="AH23" s="93" t="str">
        <f t="shared" si="16"/>
        <v xml:space="preserve"> </v>
      </c>
      <c r="AI23" s="94" t="str">
        <f>IF(Table622027323337[[#This Row],[Non-Member]]="X"," ",IF(AH23=" "," ",IFERROR(VLOOKUP(AG23,Points!$A$2:$B$14,2,FALSE)," ")))</f>
        <v xml:space="preserve"> </v>
      </c>
      <c r="AJ23" s="93">
        <f>IF(Table622027323337[[#This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25">
      <c r="B24" s="90" t="s">
        <v>227</v>
      </c>
      <c r="C24" s="91"/>
      <c r="D24" s="92">
        <v>0</v>
      </c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IF(Table622027323337[[#This Row],[Non-Member]]="X"," ",IF(F24=" "," ",IFERROR(VLOOKUP(E24,Points!$A$2:$B$14,2,FALSE)," ")))</f>
        <v xml:space="preserve"> </v>
      </c>
      <c r="H24" s="92">
        <v>27.018999999999998</v>
      </c>
      <c r="I24" s="93">
        <f t="shared" si="2"/>
        <v>12</v>
      </c>
      <c r="J24" s="93" t="str">
        <f t="shared" si="3"/>
        <v xml:space="preserve"> </v>
      </c>
      <c r="K24" s="94" t="str">
        <f>IF(Table622027323337[[#This Row],[Non-Member]]="X"," ",IF(J24=" "," ",IFERROR(VLOOKUP(I24,Points!$A$2:$B$14,2,FALSE)," ")))</f>
        <v xml:space="preserve"> </v>
      </c>
      <c r="L24" s="92">
        <v>25.202999999999999</v>
      </c>
      <c r="M24" s="93">
        <f t="shared" si="4"/>
        <v>12</v>
      </c>
      <c r="N24" s="93" t="str">
        <f t="shared" si="5"/>
        <v xml:space="preserve"> </v>
      </c>
      <c r="O24" s="94" t="str">
        <f>IF(Table622027323337[[#This Row],[Non-Member]]="X"," ",IF(N24=" "," ",IFERROR(VLOOKUP(M24,Points!$A$2:$B$14,2,FALSE)," ")))</f>
        <v xml:space="preserve"> </v>
      </c>
      <c r="P24" s="92">
        <v>0</v>
      </c>
      <c r="Q24" s="93" t="str">
        <f t="shared" si="6"/>
        <v xml:space="preserve"> </v>
      </c>
      <c r="R24" s="93" t="str">
        <f t="shared" si="7"/>
        <v xml:space="preserve"> </v>
      </c>
      <c r="S24" s="94" t="str">
        <f>IF(Table622027323337[[#This Row],[Non-Member]]="X"," ",IF(R24=" "," ",IFERROR(VLOOKUP(Q24,Points!$A$2:$B$14,2,FALSE)," ")))</f>
        <v xml:space="preserve"> </v>
      </c>
      <c r="T24" s="92">
        <v>27.068999999999999</v>
      </c>
      <c r="U24" s="93">
        <f t="shared" si="8"/>
        <v>10</v>
      </c>
      <c r="V24" s="93" t="str">
        <f t="shared" si="9"/>
        <v xml:space="preserve"> </v>
      </c>
      <c r="W24" s="94" t="str">
        <f>IF(Table622027323337[[#This Row],[Non-Member]]="X"," ",IF(V24=" "," ",IFERROR(VLOOKUP(U24,Points!$A$2:$B$14,2,FALSE)," ")))</f>
        <v xml:space="preserve"> </v>
      </c>
      <c r="X24" s="92">
        <v>29.297000000000001</v>
      </c>
      <c r="Y24" s="93">
        <f t="shared" si="10"/>
        <v>13</v>
      </c>
      <c r="Z24" s="93" t="str">
        <f t="shared" si="11"/>
        <v xml:space="preserve"> </v>
      </c>
      <c r="AA24" s="94" t="str">
        <f>IF(Table622027323337[[#This Row],[Non-Member]]="X"," ",IF(Z24=" "," ",IFERROR(VLOOKUP(Y24,Points!$A$2:$B$14,2,FALSE)," ")))</f>
        <v xml:space="preserve"> </v>
      </c>
      <c r="AB24" s="92">
        <v>28.215</v>
      </c>
      <c r="AC24" s="93">
        <f t="shared" si="12"/>
        <v>13</v>
      </c>
      <c r="AD24" s="93" t="str">
        <f t="shared" si="13"/>
        <v xml:space="preserve"> </v>
      </c>
      <c r="AE24" s="94" t="str">
        <f>IF(Table622027323337[[#This Row],[Non-Member]]="X"," ",IF(AD24=" "," ",IFERROR(VLOOKUP(AC24,Points!$A$2:$B$14,2,FALSE)," ")))</f>
        <v xml:space="preserve"> </v>
      </c>
      <c r="AF24" s="92">
        <f t="shared" si="14"/>
        <v>57.512</v>
      </c>
      <c r="AG24" s="93">
        <f t="shared" si="15"/>
        <v>13</v>
      </c>
      <c r="AH24" s="93" t="str">
        <f t="shared" si="16"/>
        <v xml:space="preserve"> </v>
      </c>
      <c r="AI24" s="94" t="str">
        <f>IF(Table622027323337[[#This Row],[Non-Member]]="X"," ",IF(AH24=" "," ",IFERROR(VLOOKUP(AG24,Points!$A$2:$B$14,2,FALSE)," ")))</f>
        <v xml:space="preserve"> </v>
      </c>
      <c r="AJ24" s="93">
        <f>IF(Table622027323337[[#This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25">
      <c r="B25" s="90" t="s">
        <v>229</v>
      </c>
      <c r="C25" s="91"/>
      <c r="D25" s="92">
        <v>53.389000000000003</v>
      </c>
      <c r="E25" s="93">
        <f t="shared" si="0"/>
        <v>13</v>
      </c>
      <c r="F25" s="93" t="str">
        <f t="shared" si="1"/>
        <v xml:space="preserve"> </v>
      </c>
      <c r="G25" s="94" t="str">
        <f>IF(Table622027323337[[#This Row],[Non-Member]]="X"," ",IF(F25=" "," ",IFERROR(VLOOKUP(E25,Points!$A$2:$B$14,2,FALSE)," ")))</f>
        <v xml:space="preserve"> </v>
      </c>
      <c r="H25" s="92">
        <v>37.584000000000003</v>
      </c>
      <c r="I25" s="93">
        <f t="shared" si="2"/>
        <v>16</v>
      </c>
      <c r="J25" s="93" t="str">
        <f t="shared" si="3"/>
        <v xml:space="preserve"> </v>
      </c>
      <c r="K25" s="94" t="str">
        <f>IF(Table622027323337[[#This Row],[Non-Member]]="X"," ",IF(J25=" "," ",IFERROR(VLOOKUP(I25,Points!$A$2:$B$14,2,FALSE)," ")))</f>
        <v xml:space="preserve"> </v>
      </c>
      <c r="L25" s="92">
        <v>29.492000000000001</v>
      </c>
      <c r="M25" s="93">
        <f t="shared" si="4"/>
        <v>14</v>
      </c>
      <c r="N25" s="93" t="str">
        <f t="shared" si="5"/>
        <v xml:space="preserve"> </v>
      </c>
      <c r="O25" s="94" t="str">
        <f>IF(Table622027323337[[#This Row],[Non-Member]]="X"," ",IF(N25=" "," ",IFERROR(VLOOKUP(M25,Points!$A$2:$B$14,2,FALSE)," ")))</f>
        <v xml:space="preserve"> </v>
      </c>
      <c r="P25" s="92">
        <v>0</v>
      </c>
      <c r="Q25" s="93" t="str">
        <f t="shared" si="6"/>
        <v xml:space="preserve"> </v>
      </c>
      <c r="R25" s="93" t="str">
        <f t="shared" si="7"/>
        <v xml:space="preserve"> </v>
      </c>
      <c r="S25" s="94" t="str">
        <f>IF(Table622027323337[[#This Row],[Non-Member]]="X"," ",IF(R25=" "," ",IFERROR(VLOOKUP(Q25,Points!$A$2:$B$14,2,FALSE)," ")))</f>
        <v xml:space="preserve"> </v>
      </c>
      <c r="T25" s="92">
        <v>25</v>
      </c>
      <c r="U25" s="93">
        <f t="shared" si="8"/>
        <v>9</v>
      </c>
      <c r="V25" s="93" t="str">
        <f t="shared" si="9"/>
        <v xml:space="preserve"> </v>
      </c>
      <c r="W25" s="94" t="str">
        <f>IF(Table622027323337[[#This Row],[Non-Member]]="X"," ",IF(V25=" "," ",IFERROR(VLOOKUP(U25,Points!$A$2:$B$14,2,FALSE)," ")))</f>
        <v xml:space="preserve"> </v>
      </c>
      <c r="X25" s="92">
        <v>23.501999999999999</v>
      </c>
      <c r="Y25" s="93">
        <f t="shared" si="10"/>
        <v>10</v>
      </c>
      <c r="Z25" s="93" t="str">
        <f t="shared" si="11"/>
        <v xml:space="preserve"> </v>
      </c>
      <c r="AA25" s="94" t="str">
        <f>IF(Table622027323337[[#This Row],[Non-Member]]="X"," ",IF(Z25=" "," ",IFERROR(VLOOKUP(Y25,Points!$A$2:$B$14,2,FALSE)," ")))</f>
        <v xml:space="preserve"> </v>
      </c>
      <c r="AB25" s="92">
        <v>25.106000000000002</v>
      </c>
      <c r="AC25" s="93">
        <f t="shared" si="12"/>
        <v>11</v>
      </c>
      <c r="AD25" s="93" t="str">
        <f t="shared" si="13"/>
        <v xml:space="preserve"> </v>
      </c>
      <c r="AE25" s="94" t="str">
        <f>IF(Table622027323337[[#This Row],[Non-Member]]="X"," ",IF(AD25=" "," ",IFERROR(VLOOKUP(AC25,Points!$A$2:$B$14,2,FALSE)," ")))</f>
        <v xml:space="preserve"> </v>
      </c>
      <c r="AF25" s="92">
        <f t="shared" si="14"/>
        <v>48.608000000000004</v>
      </c>
      <c r="AG25" s="93">
        <f t="shared" si="15"/>
        <v>11</v>
      </c>
      <c r="AH25" s="93" t="str">
        <f t="shared" si="16"/>
        <v xml:space="preserve"> </v>
      </c>
      <c r="AI25" s="94" t="str">
        <f>IF(Table622027323337[[#This Row],[Non-Member]]="X"," ",IF(AH25=" "," ",IFERROR(VLOOKUP(AG25,Points!$A$2:$B$14,2,FALSE)," ")))</f>
        <v xml:space="preserve"> </v>
      </c>
      <c r="AJ25" s="93">
        <f>IF(Table622027323337[[#This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x14ac:dyDescent="0.25">
      <c r="B26" s="90" t="s">
        <v>224</v>
      </c>
      <c r="C26" s="91"/>
      <c r="D26" s="92">
        <v>34.372</v>
      </c>
      <c r="E26" s="93">
        <f t="shared" si="0"/>
        <v>9</v>
      </c>
      <c r="F26" s="93" t="str">
        <f t="shared" si="1"/>
        <v xml:space="preserve"> </v>
      </c>
      <c r="G26" s="94" t="str">
        <f>IF(Table622027323337[[#This Row],[Non-Member]]="X"," ",IF(F26=" "," ",IFERROR(VLOOKUP(E26,Points!$A$2:$B$14,2,FALSE)," ")))</f>
        <v xml:space="preserve"> </v>
      </c>
      <c r="H26" s="92">
        <v>27.754000000000001</v>
      </c>
      <c r="I26" s="93">
        <f t="shared" si="2"/>
        <v>13</v>
      </c>
      <c r="J26" s="93" t="str">
        <f t="shared" si="3"/>
        <v xml:space="preserve"> </v>
      </c>
      <c r="K26" s="94" t="str">
        <f>IF(Table622027323337[[#This Row],[Non-Member]]="X"," ",IF(J26=" "," ",IFERROR(VLOOKUP(I26,Points!$A$2:$B$14,2,FALSE)," ")))</f>
        <v xml:space="preserve"> </v>
      </c>
      <c r="L26" s="92">
        <v>0</v>
      </c>
      <c r="M26" s="93" t="str">
        <f t="shared" si="4"/>
        <v xml:space="preserve"> </v>
      </c>
      <c r="N26" s="93" t="str">
        <f t="shared" si="5"/>
        <v xml:space="preserve"> </v>
      </c>
      <c r="O26" s="94" t="str">
        <f>IF(Table622027323337[[#This Row],[Non-Member]]="X"," ",IF(N26=" "," ",IFERROR(VLOOKUP(M26,Points!$A$2:$B$14,2,FALSE)," ")))</f>
        <v xml:space="preserve"> </v>
      </c>
      <c r="P26" s="92">
        <v>23.446000000000002</v>
      </c>
      <c r="Q26" s="93">
        <f t="shared" si="6"/>
        <v>9</v>
      </c>
      <c r="R26" s="93" t="str">
        <f t="shared" si="7"/>
        <v xml:space="preserve"> </v>
      </c>
      <c r="S26" s="94" t="str">
        <f>IF(Table622027323337[[#This Row],[Non-Member]]="X"," ",IF(R26=" "," ",IFERROR(VLOOKUP(Q26,Points!$A$2:$B$14,2,FALSE)," ")))</f>
        <v xml:space="preserve"> </v>
      </c>
      <c r="T26" s="92">
        <v>22.622</v>
      </c>
      <c r="U26" s="93">
        <f t="shared" si="8"/>
        <v>7</v>
      </c>
      <c r="V26" s="93" t="str">
        <f t="shared" si="9"/>
        <v xml:space="preserve"> </v>
      </c>
      <c r="W26" s="94" t="str">
        <f>IF(Table622027323337[[#This Row],[Non-Member]]="X"," ",IF(V26=" "," ",IFERROR(VLOOKUP(U26,Points!$A$2:$B$14,2,FALSE)," ")))</f>
        <v xml:space="preserve"> </v>
      </c>
      <c r="X26" s="92">
        <v>23.506</v>
      </c>
      <c r="Y26" s="93">
        <f t="shared" si="10"/>
        <v>11</v>
      </c>
      <c r="Z26" s="93" t="str">
        <f t="shared" si="11"/>
        <v xml:space="preserve"> </v>
      </c>
      <c r="AA26" s="94" t="str">
        <f>IF(Table622027323337[[#This Row],[Non-Member]]="X"," ",IF(Z26=" "," ",IFERROR(VLOOKUP(Y26,Points!$A$2:$B$14,2,FALSE)," ")))</f>
        <v xml:space="preserve"> </v>
      </c>
      <c r="AB26" s="92">
        <v>23.87</v>
      </c>
      <c r="AC26" s="93">
        <f t="shared" si="12"/>
        <v>9</v>
      </c>
      <c r="AD26" s="93" t="str">
        <f t="shared" si="13"/>
        <v xml:space="preserve"> </v>
      </c>
      <c r="AE26" s="94" t="str">
        <f>IF(Table622027323337[[#This Row],[Non-Member]]="X"," ",IF(AD26=" "," ",IFERROR(VLOOKUP(AC26,Points!$A$2:$B$14,2,FALSE)," ")))</f>
        <v xml:space="preserve"> </v>
      </c>
      <c r="AF26" s="92">
        <f t="shared" si="14"/>
        <v>47.376000000000005</v>
      </c>
      <c r="AG26" s="93">
        <f t="shared" si="15"/>
        <v>10</v>
      </c>
      <c r="AH26" s="93" t="str">
        <f t="shared" si="16"/>
        <v xml:space="preserve"> </v>
      </c>
      <c r="AI26" s="94" t="str">
        <f>IF(Table622027323337[[#This Row],[Non-Member]]="X"," ",IF(AH26=" "," ",IFERROR(VLOOKUP(AG26,Points!$A$2:$B$14,2,FALSE)," ")))</f>
        <v xml:space="preserve"> </v>
      </c>
      <c r="AJ26" s="93">
        <f>IF(Table622027323337[[#This Row],[Non-Member]]="X"," ",((IF(G26=" ",0,G26))+(IF(K26=" ",0,K26))+(IF(O26=" ",0,O26))+(IF(S26=" ",0,S26))+(IF(W26=" ",0,W26))+(IF(AA26=" ",0,AA26))+(IF(AE26=" ",0,AE26))+(IF(AI26=" ",0,AI26))))</f>
        <v>0</v>
      </c>
      <c r="AK26" s="95" t="str">
        <f t="shared" si="17"/>
        <v xml:space="preserve"> </v>
      </c>
      <c r="AL26" s="96" t="str">
        <f t="shared" si="18"/>
        <v xml:space="preserve"> </v>
      </c>
    </row>
    <row r="27" spans="2:38" x14ac:dyDescent="0.25">
      <c r="B27" s="90" t="s">
        <v>221</v>
      </c>
      <c r="C27" s="91"/>
      <c r="D27" s="92">
        <v>49.664999999999999</v>
      </c>
      <c r="E27" s="97">
        <f t="shared" si="0"/>
        <v>12</v>
      </c>
      <c r="F27" s="97" t="str">
        <f t="shared" si="1"/>
        <v xml:space="preserve"> </v>
      </c>
      <c r="G27" s="94" t="str">
        <f>IF(Table622027323337[[#This Row],[Non-Member]]="X"," ",IF(F27=" "," ",IFERROR(VLOOKUP(E27,Points!$A$2:$B$14,2,FALSE)," ")))</f>
        <v xml:space="preserve"> </v>
      </c>
      <c r="H27" s="92">
        <v>44.514000000000003</v>
      </c>
      <c r="I27" s="97">
        <f t="shared" si="2"/>
        <v>18</v>
      </c>
      <c r="J27" s="97" t="str">
        <f t="shared" si="3"/>
        <v xml:space="preserve"> </v>
      </c>
      <c r="K27" s="94" t="str">
        <f>IF(Table622027323337[[#This Row],[Non-Member]]="X"," ",IF(J27=" "," ",IFERROR(VLOOKUP(I27,Points!$A$2:$B$14,2,FALSE)," ")))</f>
        <v xml:space="preserve"> </v>
      </c>
      <c r="L27" s="92">
        <v>36.442999999999998</v>
      </c>
      <c r="M27" s="97">
        <f t="shared" si="4"/>
        <v>17</v>
      </c>
      <c r="N27" s="97" t="str">
        <f t="shared" si="5"/>
        <v xml:space="preserve"> </v>
      </c>
      <c r="O27" s="94" t="str">
        <f>IF(Table622027323337[[#This Row],[Non-Member]]="X"," ",IF(N27=" "," ",IFERROR(VLOOKUP(M27,Points!$A$2:$B$14,2,FALSE)," ")))</f>
        <v xml:space="preserve"> </v>
      </c>
      <c r="P27" s="92">
        <v>41.655000000000001</v>
      </c>
      <c r="Q27" s="97">
        <f t="shared" si="6"/>
        <v>16</v>
      </c>
      <c r="R27" s="97" t="str">
        <f t="shared" si="7"/>
        <v xml:space="preserve"> </v>
      </c>
      <c r="S27" s="94" t="str">
        <f>IF(Table622027323337[[#This Row],[Non-Member]]="X"," ",IF(R27=" "," ",IFERROR(VLOOKUP(Q27,Points!$A$2:$B$14,2,FALSE)," ")))</f>
        <v xml:space="preserve"> </v>
      </c>
      <c r="T27" s="92">
        <v>39.363999999999997</v>
      </c>
      <c r="U27" s="97">
        <f t="shared" si="8"/>
        <v>18</v>
      </c>
      <c r="V27" s="97" t="str">
        <f t="shared" si="9"/>
        <v xml:space="preserve"> </v>
      </c>
      <c r="W27" s="94" t="str">
        <f>IF(Table622027323337[[#This Row],[Non-Member]]="X"," ",IF(V27=" "," ",IFERROR(VLOOKUP(U27,Points!$A$2:$B$14,2,FALSE)," ")))</f>
        <v xml:space="preserve"> </v>
      </c>
      <c r="X27" s="92">
        <v>30.404</v>
      </c>
      <c r="Y27" s="97">
        <f t="shared" si="10"/>
        <v>14</v>
      </c>
      <c r="Z27" s="97" t="str">
        <f t="shared" si="11"/>
        <v xml:space="preserve"> </v>
      </c>
      <c r="AA27" s="94" t="str">
        <f>IF(Table622027323337[[#This Row],[Non-Member]]="X"," ",IF(Z27=" "," ",IFERROR(VLOOKUP(Y27,Points!$A$2:$B$14,2,FALSE)," ")))</f>
        <v xml:space="preserve"> </v>
      </c>
      <c r="AB27" s="92">
        <v>33.734000000000002</v>
      </c>
      <c r="AC27" s="97">
        <f t="shared" si="12"/>
        <v>17</v>
      </c>
      <c r="AD27" s="97" t="str">
        <f t="shared" si="13"/>
        <v xml:space="preserve"> </v>
      </c>
      <c r="AE27" s="94" t="str">
        <f>IF(Table622027323337[[#This Row],[Non-Member]]="X"," ",IF(AD27=" "," ",IFERROR(VLOOKUP(AC27,Points!$A$2:$B$14,2,FALSE)," ")))</f>
        <v xml:space="preserve"> </v>
      </c>
      <c r="AF27" s="92">
        <f t="shared" si="14"/>
        <v>64.138000000000005</v>
      </c>
      <c r="AG27" s="97">
        <f t="shared" si="15"/>
        <v>16</v>
      </c>
      <c r="AH27" s="97" t="str">
        <f t="shared" si="16"/>
        <v xml:space="preserve"> </v>
      </c>
      <c r="AI27" s="94" t="str">
        <f>IF(Table622027323337[[#This Row],[Non-Member]]="X"," ",IF(AH27=" "," ",IFERROR(VLOOKUP(AG27,Points!$A$2:$B$14,2,FALSE)," ")))</f>
        <v xml:space="preserve"> </v>
      </c>
      <c r="AJ27" s="97">
        <f>IF(Table622027323337[[#This Row],[Non-Member]]="X"," ",((IF(G27=" ",0,G27))+(IF(K27=" ",0,K27))+(IF(O27=" ",0,O27))+(IF(S27=" ",0,S27))+(IF(W27=" ",0,W27))+(IF(AA27=" ",0,AA27))+(IF(AE27=" ",0,AE27))+(IF(AI27=" ",0,AI27))))</f>
        <v>0</v>
      </c>
      <c r="AK27" s="95" t="str">
        <f t="shared" si="17"/>
        <v xml:space="preserve"> </v>
      </c>
      <c r="AL27" s="98" t="str">
        <f t="shared" si="18"/>
        <v xml:space="preserve"> </v>
      </c>
    </row>
    <row r="28" spans="2:38" x14ac:dyDescent="0.25">
      <c r="B28" s="90" t="s">
        <v>243</v>
      </c>
      <c r="C28" s="91" t="s">
        <v>95</v>
      </c>
      <c r="D28" s="92"/>
      <c r="E28" s="93" t="str">
        <f t="shared" si="0"/>
        <v xml:space="preserve"> </v>
      </c>
      <c r="F28" s="93" t="str">
        <f t="shared" si="1"/>
        <v xml:space="preserve"> </v>
      </c>
      <c r="G28" s="94" t="str">
        <f>IF(Table622027323337[[#This Row],[Non-Member]]="X"," ",IF(F28=" "," ",IFERROR(VLOOKUP(E28,Points!$A$2:$B$14,2,FALSE)," ")))</f>
        <v xml:space="preserve"> </v>
      </c>
      <c r="H28" s="92">
        <v>0</v>
      </c>
      <c r="I28" s="93" t="str">
        <f t="shared" si="2"/>
        <v xml:space="preserve"> </v>
      </c>
      <c r="J28" s="93" t="str">
        <f t="shared" si="3"/>
        <v xml:space="preserve"> </v>
      </c>
      <c r="K28" s="94" t="str">
        <f>IF(Table622027323337[[#This Row],[Non-Member]]="X"," ",IF(J28=" "," ",IFERROR(VLOOKUP(I28,Points!$A$2:$B$14,2,FALSE)," ")))</f>
        <v xml:space="preserve"> </v>
      </c>
      <c r="L28" s="92"/>
      <c r="M28" s="93" t="str">
        <f t="shared" si="4"/>
        <v xml:space="preserve"> </v>
      </c>
      <c r="N28" s="93" t="str">
        <f t="shared" si="5"/>
        <v xml:space="preserve"> </v>
      </c>
      <c r="O28" s="94" t="str">
        <f>IF(Table622027323337[[#This Row],[Non-Member]]="X"," ",IF(N28=" "," ",IFERROR(VLOOKUP(M28,Points!$A$2:$B$14,2,FALSE)," ")))</f>
        <v xml:space="preserve"> </v>
      </c>
      <c r="P28" s="92"/>
      <c r="Q28" s="93" t="str">
        <f t="shared" si="6"/>
        <v xml:space="preserve"> </v>
      </c>
      <c r="R28" s="93" t="str">
        <f t="shared" si="7"/>
        <v xml:space="preserve"> </v>
      </c>
      <c r="S28" s="94"/>
      <c r="T28" s="92"/>
      <c r="U28" s="93" t="str">
        <f t="shared" si="8"/>
        <v xml:space="preserve"> </v>
      </c>
      <c r="V28" s="93" t="str">
        <f t="shared" si="9"/>
        <v xml:space="preserve"> </v>
      </c>
      <c r="W28" s="94" t="str">
        <f>IF(Table622027323337[[#This Row],[Non-Member]]="X"," ",IF(V28=" "," ",IFERROR(VLOOKUP(U28,Points!$A$2:$B$14,2,FALSE)," ")))</f>
        <v xml:space="preserve"> </v>
      </c>
      <c r="X28" s="92"/>
      <c r="Y28" s="93" t="str">
        <f t="shared" si="10"/>
        <v xml:space="preserve"> </v>
      </c>
      <c r="Z28" s="93" t="str">
        <f t="shared" si="11"/>
        <v xml:space="preserve"> </v>
      </c>
      <c r="AA28" s="94" t="str">
        <f>IF(Table622027323337[[#This Row],[Non-Member]]="X"," ",IF(Z28=" "," ",IFERROR(VLOOKUP(Y28,Points!$A$2:$B$14,2,FALSE)," ")))</f>
        <v xml:space="preserve"> </v>
      </c>
      <c r="AB28" s="92"/>
      <c r="AC28" s="93" t="str">
        <f t="shared" si="12"/>
        <v xml:space="preserve"> </v>
      </c>
      <c r="AD28" s="93" t="str">
        <f t="shared" si="13"/>
        <v xml:space="preserve"> </v>
      </c>
      <c r="AE28" s="94" t="str">
        <f>IF(Table622027323337[[#This Row],[Non-Member]]="X"," ",IF(AD28=" "," ",IFERROR(VLOOKUP(AC28,Points!$A$2:$B$14,2,FALSE)," ")))</f>
        <v xml:space="preserve"> </v>
      </c>
      <c r="AF28" s="92" t="str">
        <f t="shared" si="14"/>
        <v xml:space="preserve"> </v>
      </c>
      <c r="AG28" s="93" t="str">
        <f t="shared" si="15"/>
        <v xml:space="preserve"> </v>
      </c>
      <c r="AH28" s="93" t="str">
        <f t="shared" si="16"/>
        <v xml:space="preserve"> </v>
      </c>
      <c r="AI28" s="94" t="str">
        <f>IF(Table622027323337[[#This Row],[Non-Member]]="X"," ",IF(AH28=" "," ",IFERROR(VLOOKUP(AG28,Points!$A$2:$B$14,2,FALSE)," ")))</f>
        <v xml:space="preserve"> </v>
      </c>
      <c r="AJ28" s="93" t="str">
        <f>IF(Table622027323337[[#This Row],[Non-Member]]="X"," ",((IF(G28=" ",0,G28))+(IF(K28=" ",0,K28))+(IF(O28=" ",0,O28))+(IF(S28=" ",0,S28))+(IF(W28=" ",0,W28))+(IF(AA28=" ",0,AA28))+(IF(AE28=" ",0,AE28))+(IF(AI28=" ",0,AI28))))</f>
        <v xml:space="preserve"> </v>
      </c>
      <c r="AK28" s="95" t="str">
        <f t="shared" si="17"/>
        <v xml:space="preserve"> </v>
      </c>
      <c r="AL28" s="96" t="str">
        <f t="shared" si="18"/>
        <v xml:space="preserve"> </v>
      </c>
    </row>
    <row r="29" spans="2:38" ht="14.4" thickBot="1" x14ac:dyDescent="0.3">
      <c r="B29" s="100" t="s">
        <v>237</v>
      </c>
      <c r="C29" s="101" t="s">
        <v>95</v>
      </c>
      <c r="D29" s="102"/>
      <c r="E29" s="155" t="str">
        <f t="shared" si="0"/>
        <v xml:space="preserve"> </v>
      </c>
      <c r="F29" s="155" t="str">
        <f t="shared" si="1"/>
        <v xml:space="preserve"> </v>
      </c>
      <c r="G29" s="104" t="str">
        <f>IF(Table622027323337[[#This Row],[Non-Member]]="X"," ",IF(F29=" "," ",IFERROR(VLOOKUP(E29,Points!$A$2:$B$14,2,FALSE)," ")))</f>
        <v xml:space="preserve"> </v>
      </c>
      <c r="H29" s="102">
        <v>25.244</v>
      </c>
      <c r="I29" s="155">
        <f t="shared" si="2"/>
        <v>11</v>
      </c>
      <c r="J29" s="155" t="str">
        <f t="shared" si="3"/>
        <v xml:space="preserve"> </v>
      </c>
      <c r="K29" s="104" t="str">
        <f>IF(Table622027323337[[#This Row],[Non-Member]]="X"," ",IF(J29=" "," ",IFERROR(VLOOKUP(I29,Points!$A$2:$B$14,2,FALSE)," ")))</f>
        <v xml:space="preserve"> </v>
      </c>
      <c r="L29" s="102">
        <v>20.521999999999998</v>
      </c>
      <c r="M29" s="155">
        <f t="shared" si="4"/>
        <v>8</v>
      </c>
      <c r="N29" s="155" t="str">
        <f t="shared" si="5"/>
        <v xml:space="preserve"> </v>
      </c>
      <c r="O29" s="104" t="str">
        <f>IF(Table622027323337[[#This Row],[Non-Member]]="X"," ",IF(N29=" "," ",IFERROR(VLOOKUP(M29,Points!$A$2:$B$14,2,FALSE)," ")))</f>
        <v xml:space="preserve"> </v>
      </c>
      <c r="P29" s="102">
        <v>20.283000000000001</v>
      </c>
      <c r="Q29" s="155">
        <f t="shared" si="6"/>
        <v>5</v>
      </c>
      <c r="R29" s="155">
        <f t="shared" si="7"/>
        <v>5</v>
      </c>
      <c r="S29" s="104" t="str">
        <f>IF(Table622027323337[[#This Row],[Non-Member]]="X"," ",IF(R29=" "," ",IFERROR(VLOOKUP(Q29,Points!$A$2:$B$14,2,FALSE)," ")))</f>
        <v xml:space="preserve"> </v>
      </c>
      <c r="T29" s="102"/>
      <c r="U29" s="155" t="str">
        <f t="shared" si="8"/>
        <v xml:space="preserve"> </v>
      </c>
      <c r="V29" s="155" t="str">
        <f t="shared" si="9"/>
        <v xml:space="preserve"> </v>
      </c>
      <c r="W29" s="104" t="str">
        <f>IF(Table622027323337[[#This Row],[Non-Member]]="X"," ",IF(V29=" "," ",IFERROR(VLOOKUP(U29,Points!$A$2:$B$14,2,FALSE)," ")))</f>
        <v xml:space="preserve"> </v>
      </c>
      <c r="X29" s="102"/>
      <c r="Y29" s="155" t="str">
        <f t="shared" si="10"/>
        <v xml:space="preserve"> </v>
      </c>
      <c r="Z29" s="155" t="str">
        <f t="shared" si="11"/>
        <v xml:space="preserve"> </v>
      </c>
      <c r="AA29" s="104" t="str">
        <f>IF(Table622027323337[[#This Row],[Non-Member]]="X"," ",IF(Z29=" "," ",IFERROR(VLOOKUP(Y29,Points!$A$2:$B$14,2,FALSE)," ")))</f>
        <v xml:space="preserve"> </v>
      </c>
      <c r="AB29" s="102"/>
      <c r="AC29" s="155" t="str">
        <f t="shared" si="12"/>
        <v xml:space="preserve"> </v>
      </c>
      <c r="AD29" s="155" t="str">
        <f t="shared" si="13"/>
        <v xml:space="preserve"> </v>
      </c>
      <c r="AE29" s="104" t="str">
        <f>IF(Table622027323337[[#This Row],[Non-Member]]="X"," ",IF(AD29=" "," ",IFERROR(VLOOKUP(AC29,Points!$A$2:$B$14,2,FALSE)," ")))</f>
        <v xml:space="preserve"> </v>
      </c>
      <c r="AF29" s="102" t="str">
        <f t="shared" si="14"/>
        <v xml:space="preserve"> </v>
      </c>
      <c r="AG29" s="156" t="str">
        <f t="shared" si="15"/>
        <v xml:space="preserve"> </v>
      </c>
      <c r="AH29" s="155" t="str">
        <f t="shared" si="16"/>
        <v xml:space="preserve"> </v>
      </c>
      <c r="AI29" s="104" t="str">
        <f>IF(Table622027323337[[#This Row],[Non-Member]]="X"," ",IF(AH29=" "," ",IFERROR(VLOOKUP(AG29,Points!$A$2:$B$14,2,FALSE)," ")))</f>
        <v xml:space="preserve"> </v>
      </c>
      <c r="AJ29" s="97" t="str">
        <f>IF(Table622027323337[[#This Row],[Non-Member]]="X"," ",((IF(G29=" ",0,G29))+(IF(K29=" ",0,K29))+(IF(O29=" ",0,O29))+(IF(S29=" ",0,S29))+(IF(W29=" ",0,W29))+(IF(AA29=" ",0,AA29))+(IF(AE29=" ",0,AE29))+(IF(AI29=" ",0,AI29))))</f>
        <v xml:space="preserve"> </v>
      </c>
      <c r="AK29" s="157" t="str">
        <f t="shared" si="17"/>
        <v xml:space="preserve"> </v>
      </c>
      <c r="AL29" s="98" t="str">
        <f t="shared" si="18"/>
        <v xml:space="preserve"> </v>
      </c>
    </row>
    <row r="30" spans="2:38" ht="14.4" thickBot="1" x14ac:dyDescent="0.3">
      <c r="B30" s="106" t="s">
        <v>235</v>
      </c>
      <c r="AG30" s="107"/>
    </row>
    <row r="32" spans="2:38" x14ac:dyDescent="0.25">
      <c r="F32" s="107"/>
    </row>
    <row r="33" spans="6:8" x14ac:dyDescent="0.25">
      <c r="F33" s="107"/>
    </row>
    <row r="34" spans="6:8" x14ac:dyDescent="0.25">
      <c r="H34" s="108"/>
    </row>
  </sheetData>
  <sheetProtection algorithmName="SHA-512" hashValue="4WpHhkCRrXT5xivjVIfKFm7jZMV1sN7YcLxU9njN4561JAxTphPzXFI4IhZR9wuBXUCMU02xC6JB89p1N/kgdQ==" saltValue="mlWRphWCN4gZujeQ3Dtk0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B080-A322-42A2-9E6C-5805E20BDE62}">
  <sheetPr codeName="Sheet54">
    <tabColor theme="4" tint="0.79998168889431442"/>
  </sheetPr>
  <dimension ref="B1:AL32"/>
  <sheetViews>
    <sheetView showGridLines="0" zoomScaleNormal="100" workbookViewId="0">
      <pane xSplit="2" topLeftCell="C1" activePane="topRight" state="frozen"/>
      <selection activeCell="K35" sqref="K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59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89</v>
      </c>
      <c r="C5" s="84"/>
      <c r="D5" s="85">
        <v>13.263999999999999</v>
      </c>
      <c r="E5" s="86">
        <f t="shared" ref="E5:E27" si="0">IF(D5=0," ",_xlfn.RANK.AVG(D5,D$5:D$27,1)-COUNTIF(D$5:D$27,0))</f>
        <v>1</v>
      </c>
      <c r="F5" s="86">
        <f t="shared" ref="F5:F27" si="1">IF(D5=0," ",IF((RANK(D5,D$5:D$27,1)-COUNTIF(D$5:D$27,0)&gt;6)," ",RANK(D5,D$5:D$27,1)-COUNTIF(D$5:D$27,0)))</f>
        <v>1</v>
      </c>
      <c r="G5" s="87">
        <f>IF(Table62202732333738[[#This Row],[Non-Member]]="X"," ",IF(F5=" "," ",IFERROR(VLOOKUP(E5,Points!$A$2:$B$14,2,FALSE)," ")))</f>
        <v>18</v>
      </c>
      <c r="H5" s="85">
        <v>14.045999999999999</v>
      </c>
      <c r="I5" s="86">
        <f t="shared" ref="I5:I27" si="2">IF(H5=0," ",_xlfn.RANK.AVG(H5,H$5:H$27,1)-COUNTIF(H$5:H$27,0))</f>
        <v>2</v>
      </c>
      <c r="J5" s="86">
        <f t="shared" ref="J5:J27" si="3">IF(H5=0," ",IF((RANK(H5,H$5:H$27,1)-COUNTIF(H$5:H$27,0)&gt;6)," ",RANK(H5,H$5:H$27,1)-COUNTIF(H$5:H$27,0)))</f>
        <v>2</v>
      </c>
      <c r="K5" s="87">
        <f>IF(Table62202732333738[[#This Row],[Non-Member]]="X"," ",IF(J5=" "," ",IFERROR(VLOOKUP(I5,Points!$A$2:$B$14,2,FALSE)," ")))</f>
        <v>15</v>
      </c>
      <c r="L5" s="85">
        <v>12.99</v>
      </c>
      <c r="M5" s="86">
        <f t="shared" ref="M5:M27" si="4">IF(L5=0," ",_xlfn.RANK.AVG(L5,L$5:L$27,1)-COUNTIF(L$5:L$27,0))</f>
        <v>1</v>
      </c>
      <c r="N5" s="86">
        <f t="shared" ref="N5:N27" si="5">IF(L5=0," ",IF((RANK(L5,L$5:L$27,1)-COUNTIF(L$5:L$27,0)&gt;6)," ",RANK(L5,L$5:L$27,1)-COUNTIF(L$5:L$27,0)))</f>
        <v>1</v>
      </c>
      <c r="O5" s="87">
        <f>IF(Table62202732333738[[#This Row],[Non-Member]]="X"," ",IF(N5=" "," ",IFERROR(VLOOKUP(M5,Points!$A$2:$B$14,2,FALSE)," ")))</f>
        <v>18</v>
      </c>
      <c r="P5" s="85">
        <v>13.675000000000001</v>
      </c>
      <c r="Q5" s="86">
        <f t="shared" ref="Q5:Q27" si="6">IF(P5=0," ",_xlfn.RANK.AVG(P5,P$5:P$27,1)-COUNTIF(P$5:P$27,0))</f>
        <v>4</v>
      </c>
      <c r="R5" s="86">
        <f t="shared" ref="R5:R27" si="7">IF(P5=0," ",IF((RANK(P5,P$5:P$27,1)-COUNTIF(P$5:P$27,0)&gt;6)," ",RANK(P5,P$5:P$27,1)-COUNTIF(P$5:P$27,0)))</f>
        <v>4</v>
      </c>
      <c r="S5" s="87">
        <f>IF(Table62202732333738[[#This Row],[Non-Member]]="X"," ",IF(R5=" "," ",IFERROR(VLOOKUP(Q5,Points!$A$2:$B$14,2,FALSE)," ")))</f>
        <v>9</v>
      </c>
      <c r="T5" s="85">
        <v>13.59</v>
      </c>
      <c r="U5" s="86">
        <f t="shared" ref="U5:U27" si="8">IF(T5=0," ",_xlfn.RANK.AVG(T5,T$5:T$27,1)-COUNTIF(T$5:T$27,0))</f>
        <v>1</v>
      </c>
      <c r="V5" s="86">
        <f t="shared" ref="V5:V27" si="9">IF(T5=0," ",IF((RANK(T5,T$5:T$27,1)-COUNTIF(T$5:T$27,0)&gt;6)," ",RANK(T5,T$5:T$27,1)-COUNTIF(T$5:T$27,0)))</f>
        <v>1</v>
      </c>
      <c r="W5" s="87">
        <f>IF(Table62202732333738[[#This Row],[Non-Member]]="X"," ",IF(V5=" "," ",IFERROR(VLOOKUP(U5,Points!$A$2:$B$14,2,FALSE)," ")))</f>
        <v>18</v>
      </c>
      <c r="X5" s="85">
        <v>12.994999999999999</v>
      </c>
      <c r="Y5" s="86">
        <f t="shared" ref="Y5:Y27" si="10">IF(X5=0," ",_xlfn.RANK.AVG(X5,X$5:X$27,1)-COUNTIF(X$5:X$27,0))</f>
        <v>1</v>
      </c>
      <c r="Z5" s="86">
        <f t="shared" ref="Z5:Z27" si="11">IF(X5=0," ",IF((RANK(X5,X$5:X$27,1)-COUNTIF(X$5:X$27,0)&gt;6)," ",RANK(X5,X$5:X$27,1)-COUNTIF(X$5:X$27,0)))</f>
        <v>1</v>
      </c>
      <c r="AA5" s="87">
        <f>IF(Table62202732333738[[#This Row],[Non-Member]]="X"," ",IF(Z5=" "," ",IFERROR(VLOOKUP(Y5,Points!$A$2:$B$14,2,FALSE)," ")))</f>
        <v>18</v>
      </c>
      <c r="AB5" s="85">
        <v>13.663</v>
      </c>
      <c r="AC5" s="86">
        <f t="shared" ref="AC5:AC27" si="12">IF(AB5=0," ",_xlfn.RANK.AVG(AB5,AB$5:AB$27,1)-COUNTIF(AB$5:AB$27,0))</f>
        <v>3</v>
      </c>
      <c r="AD5" s="86">
        <f t="shared" ref="AD5:AD27" si="13">IF(AB5=0," ",IF((RANK(AB5,AB$5:AB$27,1)-COUNTIF(AB$5:AB$27,0)&gt;6)," ",RANK(AB5,AB$5:AB$27,1)-COUNTIF(AB$5:AB$27,0)))</f>
        <v>3</v>
      </c>
      <c r="AE5" s="87">
        <f>IF(Table62202732333738[[#This Row],[Non-Member]]="X"," ",IF(AD5=" "," ",IFERROR(VLOOKUP(AC5,Points!$A$2:$B$14,2,FALSE)," ")))</f>
        <v>12</v>
      </c>
      <c r="AF5" s="85">
        <f t="shared" ref="AF5:AF27" si="14">IF(OR(X5=0,AB5=0)," ",X5+AB5)</f>
        <v>26.658000000000001</v>
      </c>
      <c r="AG5" s="86">
        <f t="shared" ref="AG5:AG27" si="15">IF(OR(AF5=0,AF5=" ")," ",_xlfn.RANK.AVG(AF5,AF$5:AF$27,1)-COUNTIF(AF$5:AF$27,0))</f>
        <v>1</v>
      </c>
      <c r="AH5" s="86">
        <f t="shared" ref="AH5:AH27" si="16">IF(OR(AF5=0,AF5=" ")," ",IF((RANK(AF5,AF$5:AF$27,1)-COUNTIF(AF$5:AF$27,0)&gt;6)," ",RANK(AF5,AF$5:AF$27,1)-COUNTIF(AF$5:AF$27,0)))</f>
        <v>1</v>
      </c>
      <c r="AI5" s="87">
        <f>IF(Table62202732333738[[#This Row],[Non-Member]]="X"," ",IF(AH5=" "," ",IFERROR(VLOOKUP(AG5,Points!$A$2:$B$14,2,FALSE)," ")))</f>
        <v>18</v>
      </c>
      <c r="AJ5" s="86">
        <f>IF(Table62202732333738[[#This Row],[Non-Member]]="X"," ",((IF(G5=" ",0,G5))+(IF(K5=" ",0,K5))+(IF(O5=" ",0,O5))+(IF(S5=" ",0,S5))+(IF(W5=" ",0,W5))+(IF(AA5=" ",0,AA5))+(IF(AE5=" ",0,AE5))+(IF(AI5=" ",0,AI5))))</f>
        <v>126</v>
      </c>
      <c r="AK5" s="88">
        <f t="shared" ref="AK5:AK27" si="17">IF(AJ5=0," ",AJ5)</f>
        <v>126</v>
      </c>
      <c r="AL5" s="89">
        <f t="shared" ref="AL5:AL27" si="18">IF(AK5=" "," ",RANK(AK5,$AK$5:$AK$27))</f>
        <v>1</v>
      </c>
    </row>
    <row r="6" spans="2:38" x14ac:dyDescent="0.25">
      <c r="B6" s="90" t="s">
        <v>85</v>
      </c>
      <c r="C6" s="91"/>
      <c r="D6" s="92">
        <v>15.207000000000001</v>
      </c>
      <c r="E6" s="93">
        <f t="shared" si="0"/>
        <v>2</v>
      </c>
      <c r="F6" s="93">
        <f t="shared" si="1"/>
        <v>2</v>
      </c>
      <c r="G6" s="94">
        <f>IF(Table62202732333738[[#This Row],[Non-Member]]="X"," ",IF(F6=" "," ",IFERROR(VLOOKUP(E6,Points!$A$2:$B$14,2,FALSE)," ")))</f>
        <v>15</v>
      </c>
      <c r="H6" s="92">
        <v>14.875999999999999</v>
      </c>
      <c r="I6" s="93">
        <f t="shared" si="2"/>
        <v>5</v>
      </c>
      <c r="J6" s="93">
        <f t="shared" si="3"/>
        <v>5</v>
      </c>
      <c r="K6" s="94">
        <f>IF(Table62202732333738[[#This Row],[Non-Member]]="X"," ",IF(J6=" "," ",IFERROR(VLOOKUP(I6,Points!$A$2:$B$14,2,FALSE)," ")))</f>
        <v>6</v>
      </c>
      <c r="L6" s="92">
        <v>14.77</v>
      </c>
      <c r="M6" s="93">
        <f t="shared" si="4"/>
        <v>4</v>
      </c>
      <c r="N6" s="93">
        <f t="shared" si="5"/>
        <v>4</v>
      </c>
      <c r="O6" s="94">
        <f>IF(Table62202732333738[[#This Row],[Non-Member]]="X"," ",IF(N6=" "," ",IFERROR(VLOOKUP(M6,Points!$A$2:$B$14,2,FALSE)," ")))</f>
        <v>9</v>
      </c>
      <c r="P6" s="92">
        <v>12.942</v>
      </c>
      <c r="Q6" s="93">
        <f t="shared" si="6"/>
        <v>1</v>
      </c>
      <c r="R6" s="93">
        <f t="shared" si="7"/>
        <v>1</v>
      </c>
      <c r="S6" s="94">
        <f>IF(Table62202732333738[[#This Row],[Non-Member]]="X"," ",IF(R6=" "," ",IFERROR(VLOOKUP(Q6,Points!$A$2:$B$14,2,FALSE)," ")))</f>
        <v>18</v>
      </c>
      <c r="T6" s="92">
        <v>14.159000000000001</v>
      </c>
      <c r="U6" s="93">
        <f t="shared" si="8"/>
        <v>4</v>
      </c>
      <c r="V6" s="93">
        <f t="shared" si="9"/>
        <v>4</v>
      </c>
      <c r="W6" s="94">
        <f>IF(Table62202732333738[[#This Row],[Non-Member]]="X"," ",IF(V6=" "," ",IFERROR(VLOOKUP(U6,Points!$A$2:$B$14,2,FALSE)," ")))</f>
        <v>9</v>
      </c>
      <c r="X6" s="92">
        <v>15.193</v>
      </c>
      <c r="Y6" s="93">
        <f t="shared" si="10"/>
        <v>6</v>
      </c>
      <c r="Z6" s="93">
        <f t="shared" si="11"/>
        <v>6</v>
      </c>
      <c r="AA6" s="94">
        <f>IF(Table62202732333738[[#This Row],[Non-Member]]="X"," ",IF(Z6=" "," ",IFERROR(VLOOKUP(Y6,Points!$A$2:$B$14,2,FALSE)," ")))</f>
        <v>3</v>
      </c>
      <c r="AB6" s="92">
        <v>13.555999999999999</v>
      </c>
      <c r="AC6" s="93">
        <f t="shared" si="12"/>
        <v>1</v>
      </c>
      <c r="AD6" s="93">
        <f t="shared" si="13"/>
        <v>1</v>
      </c>
      <c r="AE6" s="94">
        <f>IF(Table62202732333738[[#This Row],[Non-Member]]="X"," ",IF(AD6=" "," ",IFERROR(VLOOKUP(AC6,Points!$A$2:$B$14,2,FALSE)," ")))</f>
        <v>18</v>
      </c>
      <c r="AF6" s="92">
        <f t="shared" si="14"/>
        <v>28.748999999999999</v>
      </c>
      <c r="AG6" s="93">
        <f t="shared" si="15"/>
        <v>4</v>
      </c>
      <c r="AH6" s="93">
        <f t="shared" si="16"/>
        <v>4</v>
      </c>
      <c r="AI6" s="94">
        <f>IF(Table62202732333738[[#This Row],[Non-Member]]="X"," ",IF(AH6=" "," ",IFERROR(VLOOKUP(AG6,Points!$A$2:$B$14,2,FALSE)," ")))</f>
        <v>9</v>
      </c>
      <c r="AJ6" s="93">
        <f>IF(Table62202732333738[[#This Row],[Non-Member]]="X"," ",((IF(G6=" ",0,G6))+(IF(K6=" ",0,K6))+(IF(O6=" ",0,O6))+(IF(S6=" ",0,S6))+(IF(W6=" ",0,W6))+(IF(AA6=" ",0,AA6))+(IF(AE6=" ",0,AE6))+(IF(AI6=" ",0,AI6))))</f>
        <v>87</v>
      </c>
      <c r="AK6" s="95">
        <f t="shared" si="17"/>
        <v>87</v>
      </c>
      <c r="AL6" s="96">
        <f t="shared" si="18"/>
        <v>2</v>
      </c>
    </row>
    <row r="7" spans="2:38" x14ac:dyDescent="0.25">
      <c r="B7" s="90" t="s">
        <v>240</v>
      </c>
      <c r="C7" s="91"/>
      <c r="D7" s="92"/>
      <c r="E7" s="97" t="str">
        <f t="shared" si="0"/>
        <v xml:space="preserve"> </v>
      </c>
      <c r="F7" s="97" t="str">
        <f t="shared" si="1"/>
        <v xml:space="preserve"> </v>
      </c>
      <c r="G7" s="94" t="str">
        <f>IF(Table62202732333738[[#This Row],[Non-Member]]="X"," ",IF(F7=" "," ",IFERROR(VLOOKUP(E7,Points!$A$2:$B$14,2,FALSE)," ")))</f>
        <v xml:space="preserve"> </v>
      </c>
      <c r="H7" s="92">
        <v>13.832000000000001</v>
      </c>
      <c r="I7" s="97">
        <f t="shared" si="2"/>
        <v>1</v>
      </c>
      <c r="J7" s="97">
        <f t="shared" si="3"/>
        <v>1</v>
      </c>
      <c r="K7" s="94">
        <f>IF(Table62202732333738[[#This Row],[Non-Member]]="X"," ",IF(J7=" "," ",IFERROR(VLOOKUP(I7,Points!$A$2:$B$14,2,FALSE)," ")))</f>
        <v>18</v>
      </c>
      <c r="L7" s="92">
        <v>0</v>
      </c>
      <c r="M7" s="97" t="str">
        <f t="shared" si="4"/>
        <v xml:space="preserve"> </v>
      </c>
      <c r="N7" s="97" t="str">
        <f t="shared" si="5"/>
        <v xml:space="preserve"> </v>
      </c>
      <c r="O7" s="94" t="str">
        <f>IF(Table62202732333738[[#This Row],[Non-Member]]="X"," ",IF(N7=" "," ",IFERROR(VLOOKUP(M7,Points!$A$2:$B$14,2,FALSE)," ")))</f>
        <v xml:space="preserve"> </v>
      </c>
      <c r="P7" s="92">
        <v>13.478999999999999</v>
      </c>
      <c r="Q7" s="97">
        <f t="shared" si="6"/>
        <v>3</v>
      </c>
      <c r="R7" s="97">
        <f t="shared" si="7"/>
        <v>3</v>
      </c>
      <c r="S7" s="94">
        <f>IF(Table62202732333738[[#This Row],[Non-Member]]="X"," ",IF(R7=" "," ",IFERROR(VLOOKUP(Q7,Points!$A$2:$B$14,2,FALSE)," ")))</f>
        <v>12</v>
      </c>
      <c r="T7" s="92">
        <v>14.531000000000001</v>
      </c>
      <c r="U7" s="97">
        <f t="shared" si="8"/>
        <v>6</v>
      </c>
      <c r="V7" s="97">
        <f t="shared" si="9"/>
        <v>6</v>
      </c>
      <c r="W7" s="94">
        <f>IF(Table62202732333738[[#This Row],[Non-Member]]="X"," ",IF(V7=" "," ",IFERROR(VLOOKUP(U7,Points!$A$2:$B$14,2,FALSE)," ")))</f>
        <v>3</v>
      </c>
      <c r="X7" s="92">
        <v>13.551</v>
      </c>
      <c r="Y7" s="97">
        <f t="shared" si="10"/>
        <v>2</v>
      </c>
      <c r="Z7" s="97">
        <f t="shared" si="11"/>
        <v>2</v>
      </c>
      <c r="AA7" s="94">
        <f>IF(Table62202732333738[[#This Row],[Non-Member]]="X"," ",IF(Z7=" "," ",IFERROR(VLOOKUP(Y7,Points!$A$2:$B$14,2,FALSE)," ")))</f>
        <v>15</v>
      </c>
      <c r="AB7" s="92">
        <v>13.574999999999999</v>
      </c>
      <c r="AC7" s="97">
        <f t="shared" si="12"/>
        <v>2</v>
      </c>
      <c r="AD7" s="97">
        <f t="shared" si="13"/>
        <v>2</v>
      </c>
      <c r="AE7" s="94">
        <f>IF(Table62202732333738[[#This Row],[Non-Member]]="X"," ",IF(AD7=" "," ",IFERROR(VLOOKUP(AC7,Points!$A$2:$B$14,2,FALSE)," ")))</f>
        <v>15</v>
      </c>
      <c r="AF7" s="92">
        <f t="shared" si="14"/>
        <v>27.125999999999998</v>
      </c>
      <c r="AG7" s="98">
        <f t="shared" si="15"/>
        <v>2</v>
      </c>
      <c r="AH7" s="97">
        <f t="shared" si="16"/>
        <v>2</v>
      </c>
      <c r="AI7" s="94">
        <f>IF(Table62202732333738[[#This Row],[Non-Member]]="X"," ",IF(AH7=" "," ",IFERROR(VLOOKUP(AG7,Points!$A$2:$B$14,2,FALSE)," ")))</f>
        <v>15</v>
      </c>
      <c r="AJ7" s="97">
        <f>IF(Table62202732333738[[#This Row],[Non-Member]]="X"," ",((IF(G7=" ",0,G7))+(IF(K7=" ",0,K7))+(IF(O7=" ",0,O7))+(IF(S7=" ",0,S7))+(IF(W7=" ",0,W7))+(IF(AA7=" ",0,AA7))+(IF(AE7=" ",0,AE7))+(IF(AI7=" ",0,AI7))))</f>
        <v>78</v>
      </c>
      <c r="AK7" s="153">
        <f t="shared" si="17"/>
        <v>78</v>
      </c>
      <c r="AL7" s="98">
        <f t="shared" si="18"/>
        <v>3</v>
      </c>
    </row>
    <row r="8" spans="2:38" x14ac:dyDescent="0.25">
      <c r="B8" s="90" t="s">
        <v>87</v>
      </c>
      <c r="C8" s="91"/>
      <c r="D8" s="92">
        <v>15.7</v>
      </c>
      <c r="E8" s="97">
        <f t="shared" si="0"/>
        <v>4</v>
      </c>
      <c r="F8" s="97">
        <f t="shared" si="1"/>
        <v>4</v>
      </c>
      <c r="G8" s="94">
        <f>IF(Table62202732333738[[#This Row],[Non-Member]]="X"," ",IF(F8=" "," ",IFERROR(VLOOKUP(E8,Points!$A$2:$B$14,2,FALSE)," ")))</f>
        <v>9</v>
      </c>
      <c r="H8" s="92">
        <v>15.346</v>
      </c>
      <c r="I8" s="97">
        <f t="shared" si="2"/>
        <v>6</v>
      </c>
      <c r="J8" s="97">
        <f t="shared" si="3"/>
        <v>6</v>
      </c>
      <c r="K8" s="94">
        <f>IF(Table62202732333738[[#This Row],[Non-Member]]="X"," ",IF(J8=" "," ",IFERROR(VLOOKUP(I8,Points!$A$2:$B$14,2,FALSE)," ")))</f>
        <v>3</v>
      </c>
      <c r="L8" s="92">
        <v>13.75</v>
      </c>
      <c r="M8" s="97">
        <f t="shared" si="4"/>
        <v>2</v>
      </c>
      <c r="N8" s="97">
        <f t="shared" si="5"/>
        <v>2</v>
      </c>
      <c r="O8" s="94">
        <f>IF(Table62202732333738[[#This Row],[Non-Member]]="X"," ",IF(N8=" "," ",IFERROR(VLOOKUP(M8,Points!$A$2:$B$14,2,FALSE)," ")))</f>
        <v>15</v>
      </c>
      <c r="P8" s="92">
        <v>13.436999999999999</v>
      </c>
      <c r="Q8" s="97">
        <f t="shared" si="6"/>
        <v>2</v>
      </c>
      <c r="R8" s="97">
        <f t="shared" si="7"/>
        <v>2</v>
      </c>
      <c r="S8" s="94">
        <f>IF(Table62202732333738[[#This Row],[Non-Member]]="X"," ",IF(R8=" "," ",IFERROR(VLOOKUP(Q8,Points!$A$2:$B$14,2,FALSE)," ")))</f>
        <v>15</v>
      </c>
      <c r="T8" s="92">
        <v>14.132999999999999</v>
      </c>
      <c r="U8" s="97">
        <f t="shared" si="8"/>
        <v>2</v>
      </c>
      <c r="V8" s="97">
        <f t="shared" si="9"/>
        <v>2</v>
      </c>
      <c r="W8" s="94">
        <f>IF(Table62202732333738[[#This Row],[Non-Member]]="X"," ",IF(V8=" "," ",IFERROR(VLOOKUP(U8,Points!$A$2:$B$14,2,FALSE)," ")))</f>
        <v>15</v>
      </c>
      <c r="X8" s="92">
        <v>15.015000000000001</v>
      </c>
      <c r="Y8" s="97">
        <f t="shared" si="10"/>
        <v>4</v>
      </c>
      <c r="Z8" s="97">
        <f t="shared" si="11"/>
        <v>4</v>
      </c>
      <c r="AA8" s="94">
        <f>IF(Table62202732333738[[#This Row],[Non-Member]]="X"," ",IF(Z8=" "," ",IFERROR(VLOOKUP(Y8,Points!$A$2:$B$14,2,FALSE)," ")))</f>
        <v>9</v>
      </c>
      <c r="AB8" s="92">
        <v>19.411999999999999</v>
      </c>
      <c r="AC8" s="97">
        <f t="shared" si="12"/>
        <v>11</v>
      </c>
      <c r="AD8" s="97" t="str">
        <f t="shared" si="13"/>
        <v xml:space="preserve"> </v>
      </c>
      <c r="AE8" s="94" t="str">
        <f>IF(Table62202732333738[[#This Row],[Non-Member]]="X"," ",IF(AD8=" "," ",IFERROR(VLOOKUP(AC8,Points!$A$2:$B$14,2,FALSE)," ")))</f>
        <v xml:space="preserve"> </v>
      </c>
      <c r="AF8" s="92">
        <f t="shared" si="14"/>
        <v>34.427</v>
      </c>
      <c r="AG8" s="97">
        <f t="shared" si="15"/>
        <v>7</v>
      </c>
      <c r="AH8" s="97" t="str">
        <f t="shared" si="16"/>
        <v xml:space="preserve"> </v>
      </c>
      <c r="AI8" s="94" t="str">
        <f>IF(Table62202732333738[[#This Row],[Non-Member]]="X"," ",IF(AH8=" "," ",IFERROR(VLOOKUP(AG8,Points!$A$2:$B$14,2,FALSE)," ")))</f>
        <v xml:space="preserve"> </v>
      </c>
      <c r="AJ8" s="97">
        <f>IF(Table62202732333738[[#This Row],[Non-Member]]="X"," ",((IF(G8=" ",0,G8))+(IF(K8=" ",0,K8))+(IF(O8=" ",0,O8))+(IF(S8=" ",0,S8))+(IF(W8=" ",0,W8))+(IF(AA8=" ",0,AA8))+(IF(AE8=" ",0,AE8))+(IF(AI8=" ",0,AI8))))</f>
        <v>66</v>
      </c>
      <c r="AK8" s="95">
        <f t="shared" si="17"/>
        <v>66</v>
      </c>
      <c r="AL8" s="98">
        <f t="shared" si="18"/>
        <v>4</v>
      </c>
    </row>
    <row r="9" spans="2:38" x14ac:dyDescent="0.25">
      <c r="B9" s="90" t="s">
        <v>93</v>
      </c>
      <c r="C9" s="91"/>
      <c r="D9" s="92">
        <v>17.670999999999999</v>
      </c>
      <c r="E9" s="93">
        <f t="shared" si="0"/>
        <v>6</v>
      </c>
      <c r="F9" s="93">
        <f t="shared" si="1"/>
        <v>6</v>
      </c>
      <c r="G9" s="94">
        <f>IF(Table62202732333738[[#This Row],[Non-Member]]="X"," ",IF(F9=" "," ",IFERROR(VLOOKUP(E9,Points!$A$2:$B$14,2,FALSE)," ")))</f>
        <v>3</v>
      </c>
      <c r="H9" s="92">
        <v>14.375999999999999</v>
      </c>
      <c r="I9" s="93">
        <f t="shared" si="2"/>
        <v>3</v>
      </c>
      <c r="J9" s="93">
        <f t="shared" si="3"/>
        <v>3</v>
      </c>
      <c r="K9" s="94">
        <f>IF(Table62202732333738[[#This Row],[Non-Member]]="X"," ",IF(J9=" "," ",IFERROR(VLOOKUP(I9,Points!$A$2:$B$14,2,FALSE)," ")))</f>
        <v>12</v>
      </c>
      <c r="L9" s="92">
        <v>14.31</v>
      </c>
      <c r="M9" s="93">
        <f t="shared" si="4"/>
        <v>3</v>
      </c>
      <c r="N9" s="93">
        <f t="shared" si="5"/>
        <v>3</v>
      </c>
      <c r="O9" s="94">
        <f>IF(Table62202732333738[[#This Row],[Non-Member]]="X"," ",IF(N9=" "," ",IFERROR(VLOOKUP(M9,Points!$A$2:$B$14,2,FALSE)," ")))</f>
        <v>12</v>
      </c>
      <c r="P9" s="92">
        <v>14.185</v>
      </c>
      <c r="Q9" s="93">
        <f t="shared" si="6"/>
        <v>5</v>
      </c>
      <c r="R9" s="93">
        <f t="shared" si="7"/>
        <v>5</v>
      </c>
      <c r="S9" s="94">
        <f>IF(Table62202732333738[[#This Row],[Non-Member]]="X"," ",IF(R9=" "," ",IFERROR(VLOOKUP(Q9,Points!$A$2:$B$14,2,FALSE)," ")))</f>
        <v>6</v>
      </c>
      <c r="T9" s="92">
        <v>14.151999999999999</v>
      </c>
      <c r="U9" s="93">
        <f t="shared" si="8"/>
        <v>3</v>
      </c>
      <c r="V9" s="93">
        <f t="shared" si="9"/>
        <v>3</v>
      </c>
      <c r="W9" s="94">
        <f>IF(Table62202732333738[[#This Row],[Non-Member]]="X"," ",IF(V9=" "," ",IFERROR(VLOOKUP(U9,Points!$A$2:$B$14,2,FALSE)," ")))</f>
        <v>12</v>
      </c>
      <c r="X9" s="92">
        <v>15.397</v>
      </c>
      <c r="Y9" s="93">
        <f t="shared" si="10"/>
        <v>7</v>
      </c>
      <c r="Z9" s="93" t="str">
        <f t="shared" si="11"/>
        <v xml:space="preserve"> </v>
      </c>
      <c r="AA9" s="94" t="str">
        <f>IF(Table62202732333738[[#This Row],[Non-Member]]="X"," ",IF(Z9=" "," ",IFERROR(VLOOKUP(Y9,Points!$A$2:$B$14,2,FALSE)," ")))</f>
        <v xml:space="preserve"> </v>
      </c>
      <c r="AB9" s="92">
        <v>14.348000000000001</v>
      </c>
      <c r="AC9" s="93">
        <f t="shared" si="12"/>
        <v>5</v>
      </c>
      <c r="AD9" s="93">
        <f t="shared" si="13"/>
        <v>5</v>
      </c>
      <c r="AE9" s="94">
        <f>IF(Table62202732333738[[#This Row],[Non-Member]]="X"," ",IF(AD9=" "," ",IFERROR(VLOOKUP(AC9,Points!$A$2:$B$14,2,FALSE)," ")))</f>
        <v>6</v>
      </c>
      <c r="AF9" s="92">
        <f t="shared" si="14"/>
        <v>29.745000000000001</v>
      </c>
      <c r="AG9" s="93">
        <f t="shared" si="15"/>
        <v>5</v>
      </c>
      <c r="AH9" s="93">
        <f t="shared" si="16"/>
        <v>5</v>
      </c>
      <c r="AI9" s="94">
        <f>IF(Table62202732333738[[#This Row],[Non-Member]]="X"," ",IF(AH9=" "," ",IFERROR(VLOOKUP(AG9,Points!$A$2:$B$14,2,FALSE)," ")))</f>
        <v>6</v>
      </c>
      <c r="AJ9" s="93">
        <f>IF(Table62202732333738[[#This Row],[Non-Member]]="X"," ",((IF(G9=" ",0,G9))+(IF(K9=" ",0,K9))+(IF(O9=" ",0,O9))+(IF(S9=" ",0,S9))+(IF(W9=" ",0,W9))+(IF(AA9=" ",0,AA9))+(IF(AE9=" ",0,AE9))+(IF(AI9=" ",0,AI9))))</f>
        <v>57</v>
      </c>
      <c r="AK9" s="95">
        <f t="shared" si="17"/>
        <v>57</v>
      </c>
      <c r="AL9" s="96">
        <f t="shared" si="18"/>
        <v>5</v>
      </c>
    </row>
    <row r="10" spans="2:38" x14ac:dyDescent="0.25">
      <c r="B10" s="90" t="s">
        <v>92</v>
      </c>
      <c r="C10" s="91"/>
      <c r="D10" s="92">
        <v>16.591999999999999</v>
      </c>
      <c r="E10" s="93">
        <f t="shared" si="0"/>
        <v>5</v>
      </c>
      <c r="F10" s="93">
        <f t="shared" si="1"/>
        <v>5</v>
      </c>
      <c r="G10" s="94">
        <f>IF(Table62202732333738[[#This Row],[Non-Member]]="X"," ",IF(F10=" "," ",IFERROR(VLOOKUP(E10,Points!$A$2:$B$14,2,FALSE)," ")))</f>
        <v>6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IF(Table62202732333738[[#This Row],[Non-Member]]="X"," ",IF(J10=" "," ",IFERROR(VLOOKUP(I10,Points!$A$2:$B$14,2,FALSE)," ")))</f>
        <v xml:space="preserve"> </v>
      </c>
      <c r="L10" s="92">
        <v>17.86</v>
      </c>
      <c r="M10" s="93">
        <f t="shared" si="4"/>
        <v>10</v>
      </c>
      <c r="N10" s="93" t="str">
        <f t="shared" si="5"/>
        <v xml:space="preserve"> </v>
      </c>
      <c r="O10" s="94" t="str">
        <f>IF(Table62202732333738[[#This Row],[Non-Member]]="X"," ",IF(N10=" "," ",IFERROR(VLOOKUP(M10,Points!$A$2:$B$14,2,FALSE)," ")))</f>
        <v xml:space="preserve"> </v>
      </c>
      <c r="P10" s="92">
        <v>15.944000000000001</v>
      </c>
      <c r="Q10" s="93">
        <f t="shared" si="6"/>
        <v>10</v>
      </c>
      <c r="R10" s="93" t="str">
        <f t="shared" si="7"/>
        <v xml:space="preserve"> </v>
      </c>
      <c r="S10" s="94" t="str">
        <f>IF(Table62202732333738[[#This Row],[Non-Member]]="X"," ",IF(R10=" "," ",IFERROR(VLOOKUP(Q10,Points!$A$2:$B$14,2,FALSE)," ")))</f>
        <v xml:space="preserve"> </v>
      </c>
      <c r="T10" s="92">
        <v>14.759</v>
      </c>
      <c r="U10" s="93">
        <f t="shared" si="8"/>
        <v>7</v>
      </c>
      <c r="V10" s="93" t="str">
        <f t="shared" si="9"/>
        <v xml:space="preserve"> </v>
      </c>
      <c r="W10" s="94" t="str">
        <f>IF(Table62202732333738[[#This Row],[Non-Member]]="X"," ",IF(V10=" "," ",IFERROR(VLOOKUP(U10,Points!$A$2:$B$14,2,FALSE)," ")))</f>
        <v xml:space="preserve"> </v>
      </c>
      <c r="X10" s="92">
        <v>14.404999999999999</v>
      </c>
      <c r="Y10" s="93">
        <f t="shared" si="10"/>
        <v>3</v>
      </c>
      <c r="Z10" s="93">
        <f t="shared" si="11"/>
        <v>3</v>
      </c>
      <c r="AA10" s="94">
        <f>IF(Table62202732333738[[#This Row],[Non-Member]]="X"," ",IF(Z10=" "," ",IFERROR(VLOOKUP(Y10,Points!$A$2:$B$14,2,FALSE)," ")))</f>
        <v>12</v>
      </c>
      <c r="AB10" s="92">
        <v>14.010999999999999</v>
      </c>
      <c r="AC10" s="93">
        <f t="shared" si="12"/>
        <v>4</v>
      </c>
      <c r="AD10" s="93">
        <f t="shared" si="13"/>
        <v>4</v>
      </c>
      <c r="AE10" s="94">
        <f>IF(Table62202732333738[[#This Row],[Non-Member]]="X"," ",IF(AD10=" "," ",IFERROR(VLOOKUP(AC10,Points!$A$2:$B$14,2,FALSE)," ")))</f>
        <v>9</v>
      </c>
      <c r="AF10" s="92">
        <f t="shared" si="14"/>
        <v>28.415999999999997</v>
      </c>
      <c r="AG10" s="93">
        <f t="shared" si="15"/>
        <v>3</v>
      </c>
      <c r="AH10" s="93">
        <f t="shared" si="16"/>
        <v>3</v>
      </c>
      <c r="AI10" s="94">
        <f>IF(Table62202732333738[[#This Row],[Non-Member]]="X"," ",IF(AH10=" "," ",IFERROR(VLOOKUP(AG10,Points!$A$2:$B$14,2,FALSE)," ")))</f>
        <v>12</v>
      </c>
      <c r="AJ10" s="93">
        <f>IF(Table62202732333738[[#This Row],[Non-Member]]="X"," ",((IF(G10=" ",0,G10))+(IF(K10=" ",0,K10))+(IF(O10=" ",0,O10))+(IF(S10=" ",0,S10))+(IF(W10=" ",0,W10))+(IF(AA10=" ",0,AA10))+(IF(AE10=" ",0,AE10))+(IF(AI10=" ",0,AI10))))</f>
        <v>39</v>
      </c>
      <c r="AK10" s="95">
        <f t="shared" si="17"/>
        <v>39</v>
      </c>
      <c r="AL10" s="96">
        <f t="shared" si="18"/>
        <v>6</v>
      </c>
    </row>
    <row r="11" spans="2:38" x14ac:dyDescent="0.25">
      <c r="B11" s="90" t="s">
        <v>96</v>
      </c>
      <c r="C11" s="91"/>
      <c r="D11" s="92">
        <v>15.208</v>
      </c>
      <c r="E11" s="93">
        <f t="shared" si="0"/>
        <v>3</v>
      </c>
      <c r="F11" s="93">
        <f t="shared" si="1"/>
        <v>3</v>
      </c>
      <c r="G11" s="94">
        <f>IF(Table62202732333738[[#This Row],[Non-Member]]="X"," ",IF(F11=" "," ",IFERROR(VLOOKUP(E11,Points!$A$2:$B$14,2,FALSE)," ")))</f>
        <v>12</v>
      </c>
      <c r="H11" s="92">
        <v>14.688000000000001</v>
      </c>
      <c r="I11" s="93">
        <f t="shared" si="2"/>
        <v>4</v>
      </c>
      <c r="J11" s="93">
        <f t="shared" si="3"/>
        <v>4</v>
      </c>
      <c r="K11" s="94">
        <f>IF(Table62202732333738[[#This Row],[Non-Member]]="X"," ",IF(J11=" "," ",IFERROR(VLOOKUP(I11,Points!$A$2:$B$14,2,FALSE)," ")))</f>
        <v>9</v>
      </c>
      <c r="L11" s="92">
        <v>15.04</v>
      </c>
      <c r="M11" s="93">
        <f t="shared" si="4"/>
        <v>6</v>
      </c>
      <c r="N11" s="93">
        <f t="shared" si="5"/>
        <v>6</v>
      </c>
      <c r="O11" s="94">
        <f>IF(Table62202732333738[[#This Row],[Non-Member]]="X"," ",IF(N11=" "," ",IFERROR(VLOOKUP(M11,Points!$A$2:$B$14,2,FALSE)," ")))</f>
        <v>3</v>
      </c>
      <c r="P11" s="92">
        <v>14.529</v>
      </c>
      <c r="Q11" s="93">
        <f t="shared" si="6"/>
        <v>6</v>
      </c>
      <c r="R11" s="93">
        <f t="shared" si="7"/>
        <v>6</v>
      </c>
      <c r="S11" s="94">
        <f>IF(Table62202732333738[[#This Row],[Non-Member]]="X"," ",IF(R11=" "," ",IFERROR(VLOOKUP(Q11,Points!$A$2:$B$14,2,FALSE)," ")))</f>
        <v>3</v>
      </c>
      <c r="T11" s="92">
        <v>16.309000000000001</v>
      </c>
      <c r="U11" s="93">
        <f t="shared" si="8"/>
        <v>10</v>
      </c>
      <c r="V11" s="93" t="str">
        <f t="shared" si="9"/>
        <v xml:space="preserve"> </v>
      </c>
      <c r="W11" s="94" t="str">
        <f>IF(Table62202732333738[[#This Row],[Non-Member]]="X"," ",IF(V11=" "," ",IFERROR(VLOOKUP(U11,Points!$A$2:$B$14,2,FALSE)," ")))</f>
        <v xml:space="preserve"> </v>
      </c>
      <c r="X11" s="92">
        <v>15.476000000000001</v>
      </c>
      <c r="Y11" s="93">
        <f t="shared" si="10"/>
        <v>8</v>
      </c>
      <c r="Z11" s="93" t="str">
        <f t="shared" si="11"/>
        <v xml:space="preserve"> </v>
      </c>
      <c r="AA11" s="94" t="str">
        <f>IF(Table62202732333738[[#This Row],[Non-Member]]="X"," ",IF(Z11=" "," ",IFERROR(VLOOKUP(Y11,Points!$A$2:$B$14,2,FALSE)," ")))</f>
        <v xml:space="preserve"> </v>
      </c>
      <c r="AB11" s="92">
        <v>14.827</v>
      </c>
      <c r="AC11" s="93">
        <f t="shared" si="12"/>
        <v>6</v>
      </c>
      <c r="AD11" s="93">
        <f t="shared" si="13"/>
        <v>6</v>
      </c>
      <c r="AE11" s="94">
        <f>IF(Table62202732333738[[#This Row],[Non-Member]]="X"," ",IF(AD11=" "," ",IFERROR(VLOOKUP(AC11,Points!$A$2:$B$14,2,FALSE)," ")))</f>
        <v>3</v>
      </c>
      <c r="AF11" s="92">
        <f t="shared" si="14"/>
        <v>30.303000000000001</v>
      </c>
      <c r="AG11" s="93">
        <f t="shared" si="15"/>
        <v>6</v>
      </c>
      <c r="AH11" s="93">
        <f t="shared" si="16"/>
        <v>6</v>
      </c>
      <c r="AI11" s="94">
        <f>IF(Table62202732333738[[#This Row],[Non-Member]]="X"," ",IF(AH11=" "," ",IFERROR(VLOOKUP(AG11,Points!$A$2:$B$14,2,FALSE)," ")))</f>
        <v>3</v>
      </c>
      <c r="AJ11" s="93">
        <f>IF(Table62202732333738[[#This Row],[Non-Member]]="X"," ",((IF(G11=" ",0,G11))+(IF(K11=" ",0,K11))+(IF(O11=" ",0,O11))+(IF(S11=" ",0,S11))+(IF(W11=" ",0,W11))+(IF(AA11=" ",0,AA11))+(IF(AE11=" ",0,AE11))+(IF(AI11=" ",0,AI11))))</f>
        <v>33</v>
      </c>
      <c r="AK11" s="95">
        <f t="shared" si="17"/>
        <v>33</v>
      </c>
      <c r="AL11" s="96">
        <f t="shared" si="18"/>
        <v>7</v>
      </c>
    </row>
    <row r="12" spans="2:38" x14ac:dyDescent="0.25">
      <c r="B12" s="90" t="s">
        <v>225</v>
      </c>
      <c r="C12" s="91"/>
      <c r="D12" s="92">
        <v>18.187999999999999</v>
      </c>
      <c r="E12" s="93">
        <f t="shared" si="0"/>
        <v>8</v>
      </c>
      <c r="F12" s="93" t="str">
        <f t="shared" si="1"/>
        <v xml:space="preserve"> </v>
      </c>
      <c r="G12" s="94" t="str">
        <f>IF(Table62202732333738[[#This Row],[Non-Member]]="X"," ",IF(F12=" "," ",IFERROR(VLOOKUP(E12,Points!$A$2:$B$14,2,FALSE)," ")))</f>
        <v xml:space="preserve"> </v>
      </c>
      <c r="H12" s="92">
        <v>15.648999999999999</v>
      </c>
      <c r="I12" s="93">
        <f t="shared" si="2"/>
        <v>7</v>
      </c>
      <c r="J12" s="93" t="str">
        <f t="shared" si="3"/>
        <v xml:space="preserve"> </v>
      </c>
      <c r="K12" s="94" t="str">
        <f>IF(Table62202732333738[[#This Row],[Non-Member]]="X"," ",IF(J12=" "," ",IFERROR(VLOOKUP(I12,Points!$A$2:$B$14,2,FALSE)," ")))</f>
        <v xml:space="preserve"> </v>
      </c>
      <c r="L12" s="92">
        <v>14.96</v>
      </c>
      <c r="M12" s="93">
        <f t="shared" si="4"/>
        <v>5</v>
      </c>
      <c r="N12" s="93">
        <f t="shared" si="5"/>
        <v>5</v>
      </c>
      <c r="O12" s="94">
        <f>IF(Table62202732333738[[#This Row],[Non-Member]]="X"," ",IF(N12=" "," ",IFERROR(VLOOKUP(M12,Points!$A$2:$B$14,2,FALSE)," ")))</f>
        <v>6</v>
      </c>
      <c r="P12" s="92">
        <v>14.92</v>
      </c>
      <c r="Q12" s="93">
        <f t="shared" si="6"/>
        <v>7</v>
      </c>
      <c r="R12" s="93" t="str">
        <f t="shared" si="7"/>
        <v xml:space="preserve"> </v>
      </c>
      <c r="S12" s="94" t="str">
        <f>IF(Table62202732333738[[#This Row],[Non-Member]]="X"," ",IF(R12=" "," ",IFERROR(VLOOKUP(Q12,Points!$A$2:$B$14,2,FALSE)," ")))</f>
        <v xml:space="preserve"> </v>
      </c>
      <c r="T12" s="92">
        <v>15.798999999999999</v>
      </c>
      <c r="U12" s="93">
        <f t="shared" si="8"/>
        <v>9</v>
      </c>
      <c r="V12" s="93" t="str">
        <f t="shared" si="9"/>
        <v xml:space="preserve"> </v>
      </c>
      <c r="W12" s="94" t="str">
        <f>IF(Table62202732333738[[#This Row],[Non-Member]]="X"," ",IF(V12=" "," ",IFERROR(VLOOKUP(U12,Points!$A$2:$B$14,2,FALSE)," ")))</f>
        <v xml:space="preserve"> </v>
      </c>
      <c r="X12" s="92">
        <v>15.022</v>
      </c>
      <c r="Y12" s="93">
        <f t="shared" si="10"/>
        <v>5</v>
      </c>
      <c r="Z12" s="93">
        <f t="shared" si="11"/>
        <v>5</v>
      </c>
      <c r="AA12" s="94">
        <f>IF(Table62202732333738[[#This Row],[Non-Member]]="X"," ",IF(Z12=" "," ",IFERROR(VLOOKUP(Y12,Points!$A$2:$B$14,2,FALSE)," ")))</f>
        <v>6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IF(Table62202732333738[[#This Row],[Non-Member]]="X"," ",IF(AH12=" "," ",IFERROR(VLOOKUP(AG12,Points!$A$2:$B$14,2,FALSE)," ")))</f>
        <v xml:space="preserve"> </v>
      </c>
      <c r="AJ12" s="93">
        <f>IF(Table62202732333738[[#This Row],[Non-Member]]="X"," ",((IF(G12=" ",0,G12))+(IF(K12=" ",0,K12))+(IF(O12=" ",0,O12))+(IF(S12=" ",0,S12))+(IF(W12=" ",0,W12))+(IF(AA12=" ",0,AA12))+(IF(AE12=" ",0,AE12))+(IF(AI12=" ",0,AI12))))</f>
        <v>12</v>
      </c>
      <c r="AK12" s="95">
        <f t="shared" si="17"/>
        <v>12</v>
      </c>
      <c r="AL12" s="96">
        <f t="shared" si="18"/>
        <v>8</v>
      </c>
    </row>
    <row r="13" spans="2:38" x14ac:dyDescent="0.25">
      <c r="B13" s="90" t="s">
        <v>223</v>
      </c>
      <c r="C13" s="91"/>
      <c r="D13" s="92">
        <v>0</v>
      </c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IF(Table62202732333738[[#This Row],[Non-Member]]="X"," ",IF(F13=" "," ",IFERROR(VLOOKUP(E13,Points!$A$2:$B$14,2,FALSE)," ")))</f>
        <v xml:space="preserve"> </v>
      </c>
      <c r="H13" s="92">
        <v>15.654</v>
      </c>
      <c r="I13" s="97">
        <f t="shared" si="2"/>
        <v>8</v>
      </c>
      <c r="J13" s="97" t="str">
        <f t="shared" si="3"/>
        <v xml:space="preserve"> </v>
      </c>
      <c r="K13" s="94" t="str">
        <f>IF(Table62202732333738[[#This Row],[Non-Member]]="X"," ",IF(J13=" "," ",IFERROR(VLOOKUP(I13,Points!$A$2:$B$14,2,FALSE)," ")))</f>
        <v xml:space="preserve"> </v>
      </c>
      <c r="L13" s="92">
        <v>0</v>
      </c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IF(Table62202732333738[[#This Row],[Non-Member]]="X"," ",IF(N13=" "," ",IFERROR(VLOOKUP(M13,Points!$A$2:$B$14,2,FALSE)," ")))</f>
        <v xml:space="preserve"> </v>
      </c>
      <c r="P13" s="92">
        <v>0</v>
      </c>
      <c r="Q13" s="97" t="str">
        <f t="shared" si="6"/>
        <v xml:space="preserve"> </v>
      </c>
      <c r="R13" s="97" t="str">
        <f t="shared" si="7"/>
        <v xml:space="preserve"> </v>
      </c>
      <c r="S13" s="94" t="str">
        <f>IF(Table62202732333738[[#This Row],[Non-Member]]="X"," ",IF(R13=" "," ",IFERROR(VLOOKUP(Q13,Points!$A$2:$B$14,2,FALSE)," ")))</f>
        <v xml:space="preserve"> </v>
      </c>
      <c r="T13" s="92">
        <v>14.167</v>
      </c>
      <c r="U13" s="97">
        <f t="shared" si="8"/>
        <v>5</v>
      </c>
      <c r="V13" s="97">
        <f t="shared" si="9"/>
        <v>5</v>
      </c>
      <c r="W13" s="94">
        <f>IF(Table62202732333738[[#This Row],[Non-Member]]="X"," ",IF(V13=" "," ",IFERROR(VLOOKUP(U13,Points!$A$2:$B$14,2,FALSE)," ")))</f>
        <v>6</v>
      </c>
      <c r="X13" s="92">
        <v>20.061</v>
      </c>
      <c r="Y13" s="97">
        <f t="shared" si="10"/>
        <v>14</v>
      </c>
      <c r="Z13" s="97" t="str">
        <f t="shared" si="11"/>
        <v xml:space="preserve"> </v>
      </c>
      <c r="AA13" s="94" t="str">
        <f>IF(Table62202732333738[[#This Row],[Non-Member]]="X"," ",IF(Z13=" "," ",IFERROR(VLOOKUP(Y13,Points!$A$2:$B$14,2,FALSE)," ")))</f>
        <v xml:space="preserve"> </v>
      </c>
      <c r="AB13" s="92">
        <v>19.933</v>
      </c>
      <c r="AC13" s="97">
        <f t="shared" si="12"/>
        <v>12</v>
      </c>
      <c r="AD13" s="97" t="str">
        <f t="shared" si="13"/>
        <v xml:space="preserve"> </v>
      </c>
      <c r="AE13" s="94" t="str">
        <f>IF(Table62202732333738[[#This Row],[Non-Member]]="X"," ",IF(AD13=" "," ",IFERROR(VLOOKUP(AC13,Points!$A$2:$B$14,2,FALSE)," ")))</f>
        <v xml:space="preserve"> </v>
      </c>
      <c r="AF13" s="92">
        <f t="shared" si="14"/>
        <v>39.994</v>
      </c>
      <c r="AG13" s="97">
        <f t="shared" si="15"/>
        <v>12</v>
      </c>
      <c r="AH13" s="97" t="str">
        <f t="shared" si="16"/>
        <v xml:space="preserve"> </v>
      </c>
      <c r="AI13" s="94" t="str">
        <f>IF(Table62202732333738[[#This Row],[Non-Member]]="X"," ",IF(AH13=" "," ",IFERROR(VLOOKUP(AG13,Points!$A$2:$B$14,2,FALSE)," ")))</f>
        <v xml:space="preserve"> </v>
      </c>
      <c r="AJ13" s="97">
        <f>IF(Table62202732333738[[#This Row],[Non-Member]]="X"," ",((IF(G13=" ",0,G13))+(IF(K13=" ",0,K13))+(IF(O13=" ",0,O13))+(IF(S13=" ",0,S13))+(IF(W13=" ",0,W13))+(IF(AA13=" ",0,AA13))+(IF(AE13=" ",0,AE13))+(IF(AI13=" ",0,AI13))))</f>
        <v>6</v>
      </c>
      <c r="AK13" s="95">
        <f t="shared" si="17"/>
        <v>6</v>
      </c>
      <c r="AL13" s="98">
        <f t="shared" si="18"/>
        <v>9</v>
      </c>
    </row>
    <row r="14" spans="2:38" x14ac:dyDescent="0.25">
      <c r="B14" s="90" t="s">
        <v>226</v>
      </c>
      <c r="C14" s="91"/>
      <c r="D14" s="92">
        <v>0</v>
      </c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IF(Table62202732333738[[#This Row],[Non-Member]]="X"," ",IF(AH14=" "," ",IFERROR(VLOOKUP(AG14,Points!$A$2:$B$14,2,FALSE)," ")))</f>
        <v xml:space="preserve"> </v>
      </c>
      <c r="AJ14" s="93">
        <f>IF(Table62202732333738[[#This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25">
      <c r="B15" s="90" t="s">
        <v>242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IF(Table62202732333738[[#This Row],[Non-Member]]="X"," ",IF(J15=" "," ",IFERROR(VLOOKUP(I15,Points!$A$2:$B$14,2,FALSE)," ")))</f>
        <v xml:space="preserve"> </v>
      </c>
      <c r="L15" s="92">
        <v>28.93</v>
      </c>
      <c r="M15" s="93">
        <f t="shared" si="4"/>
        <v>14</v>
      </c>
      <c r="N15" s="93" t="str">
        <f t="shared" si="5"/>
        <v xml:space="preserve"> </v>
      </c>
      <c r="O15" s="94" t="str">
        <f>IF(Table62202732333738[[#This Row],[Non-Member]]="X"," ",IF(N15=" "," ",IFERROR(VLOOKUP(M15,Points!$A$2:$B$14,2,FALSE)," ")))</f>
        <v xml:space="preserve"> </v>
      </c>
      <c r="P15" s="92">
        <v>21.92</v>
      </c>
      <c r="Q15" s="93">
        <f t="shared" si="6"/>
        <v>15</v>
      </c>
      <c r="R15" s="93" t="str">
        <f t="shared" si="7"/>
        <v xml:space="preserve"> </v>
      </c>
      <c r="S15" s="94" t="str">
        <f>IF(Table62202732333738[[#This Row],[Non-Member]]="X"," ",IF(R15=" "," ",IFERROR(VLOOKUP(Q15,Points!$A$2:$B$14,2,FALSE)," ")))</f>
        <v xml:space="preserve"> </v>
      </c>
      <c r="T15" s="92">
        <v>19.437999999999999</v>
      </c>
      <c r="U15" s="93">
        <f t="shared" si="8"/>
        <v>13</v>
      </c>
      <c r="V15" s="93" t="str">
        <f t="shared" si="9"/>
        <v xml:space="preserve"> </v>
      </c>
      <c r="W15" s="94" t="str">
        <f>IF(Table62202732333738[[#This Row],[Non-Member]]="X"," ",IF(V15=" "," ",IFERROR(VLOOKUP(U15,Points!$A$2:$B$14,2,FALSE)," ")))</f>
        <v xml:space="preserve"> </v>
      </c>
      <c r="X15" s="92">
        <v>22.26</v>
      </c>
      <c r="Y15" s="93">
        <f t="shared" si="10"/>
        <v>16</v>
      </c>
      <c r="Z15" s="93" t="str">
        <f t="shared" si="11"/>
        <v xml:space="preserve"> </v>
      </c>
      <c r="AA15" s="94" t="str">
        <f>IF(Table62202732333738[[#This Row],[Non-Member]]="X"," ",IF(Z15=" "," ",IFERROR(VLOOKUP(Y15,Points!$A$2:$B$14,2,FALSE)," ")))</f>
        <v xml:space="preserve"> </v>
      </c>
      <c r="AB15" s="92">
        <v>24.989000000000001</v>
      </c>
      <c r="AC15" s="93">
        <f t="shared" si="12"/>
        <v>15</v>
      </c>
      <c r="AD15" s="93" t="str">
        <f t="shared" si="13"/>
        <v xml:space="preserve"> </v>
      </c>
      <c r="AE15" s="94" t="str">
        <f>IF(Table62202732333738[[#This Row],[Non-Member]]="X"," ",IF(AD15=" "," ",IFERROR(VLOOKUP(AC15,Points!$A$2:$B$14,2,FALSE)," ")))</f>
        <v xml:space="preserve"> </v>
      </c>
      <c r="AF15" s="92">
        <f t="shared" si="14"/>
        <v>47.249000000000002</v>
      </c>
      <c r="AG15" s="93">
        <f t="shared" si="15"/>
        <v>14</v>
      </c>
      <c r="AH15" s="93" t="str">
        <f t="shared" si="16"/>
        <v xml:space="preserve"> </v>
      </c>
      <c r="AI15" s="94" t="str">
        <f>IF(Table62202732333738[[#This Row],[Non-Member]]="X"," ",IF(AH15=" "," ",IFERROR(VLOOKUP(AG15,Points!$A$2:$B$14,2,FALSE)," ")))</f>
        <v xml:space="preserve"> </v>
      </c>
      <c r="AJ15" s="93">
        <f>IF(Table62202732333738[[#This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 t="s">
        <v>222</v>
      </c>
      <c r="C16" s="91"/>
      <c r="D16" s="138">
        <v>0</v>
      </c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IF(Table62202732333738[[#This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IF(Table62202732333738[[#This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IF(Table62202732333738[[#This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IF(Table62202732333738[[#This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IF(Table62202732333738[[#This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IF(Table62202732333738[[#This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IF(Table62202732333738[[#This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IF(Table62202732333738[[#This Row],[Non-Member]]="X"," ",IF(AH16=" "," ",IFERROR(VLOOKUP(AG16,Points!$A$2:$B$14,2,FALSE)," ")))</f>
        <v xml:space="preserve"> </v>
      </c>
      <c r="AJ16" s="97">
        <f>IF(Table62202732333738[[#This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25">
      <c r="B17" s="90" t="s">
        <v>84</v>
      </c>
      <c r="C17" s="91"/>
      <c r="D17" s="92">
        <v>17.736000000000001</v>
      </c>
      <c r="E17" s="93">
        <f t="shared" si="0"/>
        <v>7</v>
      </c>
      <c r="F17" s="93" t="str">
        <f t="shared" si="1"/>
        <v xml:space="preserve"> </v>
      </c>
      <c r="G17" s="94" t="str">
        <f>IF(Table62202732333738[[#This Row],[Non-Member]]="X"," ",IF(F17=" "," ",IFERROR(VLOOKUP(E17,Points!$A$2:$B$14,2,FALSE)," ")))</f>
        <v xml:space="preserve"> </v>
      </c>
      <c r="H17" s="92">
        <v>0</v>
      </c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IF(Table62202732333738[[#This Row],[Non-Member]]="X"," ",IF(J17=" "," ",IFERROR(VLOOKUP(I17,Points!$A$2:$B$14,2,FALSE)," ")))</f>
        <v xml:space="preserve"> </v>
      </c>
      <c r="L17" s="92">
        <v>17.79</v>
      </c>
      <c r="M17" s="93">
        <f t="shared" si="4"/>
        <v>9</v>
      </c>
      <c r="N17" s="93" t="str">
        <f t="shared" si="5"/>
        <v xml:space="preserve"> </v>
      </c>
      <c r="O17" s="94" t="str">
        <f>IF(Table62202732333738[[#This Row],[Non-Member]]="X"," ",IF(N17=" "," ",IFERROR(VLOOKUP(M17,Points!$A$2:$B$14,2,FALSE)," ")))</f>
        <v xml:space="preserve"> </v>
      </c>
      <c r="P17" s="92">
        <v>0</v>
      </c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IF(Table62202732333738[[#This Row],[Non-Member]]="X"," ",IF(R17=" "," ",IFERROR(VLOOKUP(Q17,Points!$A$2:$B$14,2,FALSE)," ")))</f>
        <v xml:space="preserve"> </v>
      </c>
      <c r="T17" s="92">
        <v>19.952999999999999</v>
      </c>
      <c r="U17" s="93">
        <f t="shared" si="8"/>
        <v>15</v>
      </c>
      <c r="V17" s="93" t="str">
        <f t="shared" si="9"/>
        <v xml:space="preserve"> </v>
      </c>
      <c r="W17" s="94" t="str">
        <f>IF(Table62202732333738[[#This Row],[Non-Member]]="X"," ",IF(V17=" "," ",IFERROR(VLOOKUP(U17,Points!$A$2:$B$14,2,FALSE)," ")))</f>
        <v xml:space="preserve"> </v>
      </c>
      <c r="X17" s="92">
        <v>16.824999999999999</v>
      </c>
      <c r="Y17" s="93">
        <f t="shared" si="10"/>
        <v>10</v>
      </c>
      <c r="Z17" s="93" t="str">
        <f t="shared" si="11"/>
        <v xml:space="preserve"> </v>
      </c>
      <c r="AA17" s="94" t="str">
        <f>IF(Table62202732333738[[#This Row],[Non-Member]]="X"," ",IF(Z17=" "," ",IFERROR(VLOOKUP(Y17,Points!$A$2:$B$14,2,FALSE)," ")))</f>
        <v xml:space="preserve"> </v>
      </c>
      <c r="AB17" s="92">
        <v>0</v>
      </c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3" t="str">
        <f t="shared" si="15"/>
        <v xml:space="preserve"> </v>
      </c>
      <c r="AH17" s="93" t="str">
        <f t="shared" si="16"/>
        <v xml:space="preserve"> </v>
      </c>
      <c r="AI17" s="94" t="str">
        <f>IF(Table62202732333738[[#This Row],[Non-Member]]="X"," ",IF(AH17=" "," ",IFERROR(VLOOKUP(AG17,Points!$A$2:$B$14,2,FALSE)," ")))</f>
        <v xml:space="preserve"> </v>
      </c>
      <c r="AJ17" s="93">
        <f>IF(Table62202732333738[[#This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6" t="str">
        <f t="shared" si="18"/>
        <v xml:space="preserve"> </v>
      </c>
    </row>
    <row r="18" spans="2:38" x14ac:dyDescent="0.25">
      <c r="B18" s="90" t="s">
        <v>94</v>
      </c>
      <c r="C18" s="91"/>
      <c r="D18" s="138">
        <v>0</v>
      </c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IF(Table62202732333738[[#This Row],[Non-Member]]="X"," ",IF(J18=" "," ",IFERROR(VLOOKUP(I18,Points!$A$2:$B$14,2,FALSE)," ")))</f>
        <v xml:space="preserve"> </v>
      </c>
      <c r="L18" s="92">
        <v>0</v>
      </c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IF(Table62202732333738[[#This Row],[Non-Member]]="X"," ",IF(N18=" "," ",IFERROR(VLOOKUP(M18,Points!$A$2:$B$14,2,FALSE)," ")))</f>
        <v xml:space="preserve"> </v>
      </c>
      <c r="P18" s="92">
        <v>18.413</v>
      </c>
      <c r="Q18" s="93">
        <f t="shared" si="6"/>
        <v>12</v>
      </c>
      <c r="R18" s="93" t="str">
        <f t="shared" si="7"/>
        <v xml:space="preserve"> </v>
      </c>
      <c r="S18" s="94" t="str">
        <f>IF(Table62202732333738[[#This Row],[Non-Member]]="X"," ",IF(R18=" "," ",IFERROR(VLOOKUP(Q18,Points!$A$2:$B$14,2,FALSE)," ")))</f>
        <v xml:space="preserve"> </v>
      </c>
      <c r="T18" s="92">
        <v>19.402999999999999</v>
      </c>
      <c r="U18" s="93">
        <f t="shared" si="8"/>
        <v>12</v>
      </c>
      <c r="V18" s="93" t="str">
        <f t="shared" si="9"/>
        <v xml:space="preserve"> </v>
      </c>
      <c r="W18" s="94" t="str">
        <f>IF(Table62202732333738[[#This Row],[Non-Member]]="X"," ",IF(V18=" "," ",IFERROR(VLOOKUP(U18,Points!$A$2:$B$14,2,FALSE)," ")))</f>
        <v xml:space="preserve"> </v>
      </c>
      <c r="X18" s="92">
        <v>17.902999999999999</v>
      </c>
      <c r="Y18" s="93">
        <f t="shared" si="10"/>
        <v>12</v>
      </c>
      <c r="Z18" s="93" t="str">
        <f t="shared" si="11"/>
        <v xml:space="preserve"> </v>
      </c>
      <c r="AA18" s="94" t="str">
        <f>IF(Table62202732333738[[#This Row],[Non-Member]]="X"," ",IF(Z18=" "," ",IFERROR(VLOOKUP(Y18,Points!$A$2:$B$14,2,FALSE)," ")))</f>
        <v xml:space="preserve"> </v>
      </c>
      <c r="AB18" s="92">
        <v>17.291</v>
      </c>
      <c r="AC18" s="93">
        <f t="shared" si="12"/>
        <v>7</v>
      </c>
      <c r="AD18" s="93" t="str">
        <f t="shared" si="13"/>
        <v xml:space="preserve"> </v>
      </c>
      <c r="AE18" s="94" t="str">
        <f>IF(Table62202732333738[[#This Row],[Non-Member]]="X"," ",IF(AD18=" "," ",IFERROR(VLOOKUP(AC18,Points!$A$2:$B$14,2,FALSE)," ")))</f>
        <v xml:space="preserve"> </v>
      </c>
      <c r="AF18" s="92">
        <f t="shared" si="14"/>
        <v>35.194000000000003</v>
      </c>
      <c r="AG18" s="93">
        <f t="shared" si="15"/>
        <v>9</v>
      </c>
      <c r="AH18" s="93" t="str">
        <f t="shared" si="16"/>
        <v xml:space="preserve"> </v>
      </c>
      <c r="AI18" s="94" t="str">
        <f>IF(Table62202732333738[[#This Row],[Non-Member]]="X"," ",IF(AH18=" "," ",IFERROR(VLOOKUP(AG18,Points!$A$2:$B$14,2,FALSE)," ")))</f>
        <v xml:space="preserve"> </v>
      </c>
      <c r="AJ18" s="93">
        <f>IF(Table62202732333738[[#This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25">
      <c r="B19" s="90" t="s">
        <v>90</v>
      </c>
      <c r="C19" s="91"/>
      <c r="D19" s="92">
        <v>29.771999999999998</v>
      </c>
      <c r="E19" s="93">
        <f t="shared" si="0"/>
        <v>11</v>
      </c>
      <c r="F19" s="93" t="str">
        <f t="shared" si="1"/>
        <v xml:space="preserve"> </v>
      </c>
      <c r="G19" s="94" t="str">
        <f>IF(Table62202732333738[[#This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IF(Table62202732333738[[#This Row],[Non-Member]]="X"," ",IF(AH19=" "," ",IFERROR(VLOOKUP(AG19,Points!$A$2:$B$14,2,FALSE)," ")))</f>
        <v xml:space="preserve"> </v>
      </c>
      <c r="AJ19" s="93">
        <f>IF(Table62202732333738[[#This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 t="s">
        <v>239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IF(Table62202732333738[[#This Row],[Non-Member]]="X"," ",IF(F20=" "," ",IFERROR(VLOOKUP(E20,Points!$A$2:$B$14,2,FALSE)," ")))</f>
        <v xml:space="preserve"> </v>
      </c>
      <c r="H20" s="92">
        <v>16.236999999999998</v>
      </c>
      <c r="I20" s="97">
        <f t="shared" si="2"/>
        <v>9</v>
      </c>
      <c r="J20" s="97" t="str">
        <f t="shared" si="3"/>
        <v xml:space="preserve"> </v>
      </c>
      <c r="K20" s="94" t="str">
        <f>IF(Table62202732333738[[#This Row],[Non-Member]]="X"," ",IF(J20=" "," ",IFERROR(VLOOKUP(I20,Points!$A$2:$B$14,2,FALSE)," ")))</f>
        <v xml:space="preserve"> </v>
      </c>
      <c r="L20" s="92">
        <v>16.190000000000001</v>
      </c>
      <c r="M20" s="97">
        <f t="shared" si="4"/>
        <v>7</v>
      </c>
      <c r="N20" s="97" t="str">
        <f t="shared" si="5"/>
        <v xml:space="preserve"> </v>
      </c>
      <c r="O20" s="94" t="str">
        <f>IF(Table62202732333738[[#This Row],[Non-Member]]="X"," ",IF(N20=" "," ",IFERROR(VLOOKUP(M20,Points!$A$2:$B$14,2,FALSE)," ")))</f>
        <v xml:space="preserve"> </v>
      </c>
      <c r="P20" s="92">
        <v>15.44</v>
      </c>
      <c r="Q20" s="97">
        <f t="shared" si="6"/>
        <v>8</v>
      </c>
      <c r="R20" s="97" t="str">
        <f t="shared" si="7"/>
        <v xml:space="preserve"> </v>
      </c>
      <c r="S20" s="94" t="str">
        <f>IF(Table62202732333738[[#This Row],[Non-Member]]="X"," ",IF(R20=" "," ",IFERROR(VLOOKUP(Q20,Points!$A$2:$B$14,2,FALSE)," ")))</f>
        <v xml:space="preserve"> </v>
      </c>
      <c r="T20" s="92">
        <v>15.754</v>
      </c>
      <c r="U20" s="97">
        <f t="shared" si="8"/>
        <v>8</v>
      </c>
      <c r="V20" s="97" t="str">
        <f t="shared" si="9"/>
        <v xml:space="preserve"> </v>
      </c>
      <c r="W20" s="94" t="str">
        <f>IF(Table62202732333738[[#This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IF(Table62202732333738[[#This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IF(Table62202732333738[[#This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8" t="str">
        <f t="shared" si="15"/>
        <v xml:space="preserve"> </v>
      </c>
      <c r="AH20" s="97" t="str">
        <f t="shared" si="16"/>
        <v xml:space="preserve"> </v>
      </c>
      <c r="AI20" s="94" t="str">
        <f>IF(Table62202732333738[[#This Row],[Non-Member]]="X"," ",IF(AH20=" "," ",IFERROR(VLOOKUP(AG20,Points!$A$2:$B$14,2,FALSE)," ")))</f>
        <v xml:space="preserve"> </v>
      </c>
      <c r="AJ20" s="97">
        <f>IF(Table62202732333738[[#This Row],[Non-Member]]="X"," ",((IF(G20=" ",0,G20))+(IF(K20=" ",0,K20))+(IF(O20=" ",0,O20))+(IF(S20=" ",0,S20))+(IF(W20=" ",0,W20))+(IF(AA20=" ",0,AA20))+(IF(AE20=" ",0,AE20))+(IF(AI20=" ",0,AI20))))</f>
        <v>0</v>
      </c>
      <c r="AK20" s="153" t="str">
        <f t="shared" si="17"/>
        <v xml:space="preserve"> </v>
      </c>
      <c r="AL20" s="98" t="str">
        <f t="shared" si="18"/>
        <v xml:space="preserve"> </v>
      </c>
    </row>
    <row r="21" spans="2:38" x14ac:dyDescent="0.25">
      <c r="B21" s="90" t="s">
        <v>238</v>
      </c>
      <c r="C21" s="91"/>
      <c r="D21" s="92"/>
      <c r="E21" s="97" t="str">
        <f t="shared" si="0"/>
        <v xml:space="preserve"> </v>
      </c>
      <c r="F21" s="97" t="str">
        <f t="shared" si="1"/>
        <v xml:space="preserve"> </v>
      </c>
      <c r="G21" s="94" t="str">
        <f>IF(Table62202732333738[[#This Row],[Non-Member]]="X"," ",IF(F21=" "," ",IFERROR(VLOOKUP(E21,Points!$A$2:$B$14,2,FALSE)," ")))</f>
        <v xml:space="preserve"> </v>
      </c>
      <c r="H21" s="92">
        <v>26.398</v>
      </c>
      <c r="I21" s="97">
        <f t="shared" si="2"/>
        <v>13</v>
      </c>
      <c r="J21" s="97" t="str">
        <f t="shared" si="3"/>
        <v xml:space="preserve"> </v>
      </c>
      <c r="K21" s="94" t="str">
        <f>IF(Table62202732333738[[#This Row],[Non-Member]]="X"," ",IF(J21=" "," ",IFERROR(VLOOKUP(I21,Points!$A$2:$B$14,2,FALSE)," ")))</f>
        <v xml:space="preserve"> </v>
      </c>
      <c r="L21" s="92">
        <v>25.92</v>
      </c>
      <c r="M21" s="97">
        <f t="shared" si="4"/>
        <v>12</v>
      </c>
      <c r="N21" s="97" t="str">
        <f t="shared" si="5"/>
        <v xml:space="preserve"> </v>
      </c>
      <c r="O21" s="94" t="str">
        <f>IF(Table62202732333738[[#This Row],[Non-Member]]="X"," ",IF(N21=" "," ",IFERROR(VLOOKUP(M21,Points!$A$2:$B$14,2,FALSE)," ")))</f>
        <v xml:space="preserve"> </v>
      </c>
      <c r="P21" s="92">
        <v>24.481000000000002</v>
      </c>
      <c r="Q21" s="97">
        <f t="shared" si="6"/>
        <v>16</v>
      </c>
      <c r="R21" s="97" t="str">
        <f t="shared" si="7"/>
        <v xml:space="preserve"> </v>
      </c>
      <c r="S21" s="94" t="str">
        <f>IF(Table62202732333738[[#This Row],[Non-Member]]="X"," ",IF(R21=" "," ",IFERROR(VLOOKUP(Q21,Points!$A$2:$B$14,2,FALSE)," ")))</f>
        <v xml:space="preserve"> </v>
      </c>
      <c r="T21" s="92">
        <v>0</v>
      </c>
      <c r="U21" s="97" t="str">
        <f t="shared" si="8"/>
        <v xml:space="preserve"> </v>
      </c>
      <c r="V21" s="97" t="str">
        <f t="shared" si="9"/>
        <v xml:space="preserve"> </v>
      </c>
      <c r="W21" s="94" t="str">
        <f>IF(Table62202732333738[[#This Row],[Non-Member]]="X"," ",IF(V21=" "," ",IFERROR(VLOOKUP(U21,Points!$A$2:$B$14,2,FALSE)," ")))</f>
        <v xml:space="preserve"> </v>
      </c>
      <c r="X21" s="92"/>
      <c r="Y21" s="97" t="str">
        <f t="shared" si="10"/>
        <v xml:space="preserve"> </v>
      </c>
      <c r="Z21" s="97" t="str">
        <f t="shared" si="11"/>
        <v xml:space="preserve"> </v>
      </c>
      <c r="AA21" s="94" t="str">
        <f>IF(Table62202732333738[[#This Row],[Non-Member]]="X"," ",IF(Z21=" "," ",IFERROR(VLOOKUP(Y21,Points!$A$2:$B$14,2,FALSE)," ")))</f>
        <v xml:space="preserve"> </v>
      </c>
      <c r="AB21" s="92"/>
      <c r="AC21" s="97" t="str">
        <f t="shared" si="12"/>
        <v xml:space="preserve"> </v>
      </c>
      <c r="AD21" s="97" t="str">
        <f t="shared" si="13"/>
        <v xml:space="preserve"> </v>
      </c>
      <c r="AE21" s="94" t="str">
        <f>IF(Table62202732333738[[#This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8" t="str">
        <f t="shared" si="15"/>
        <v xml:space="preserve"> </v>
      </c>
      <c r="AH21" s="97" t="str">
        <f t="shared" si="16"/>
        <v xml:space="preserve"> </v>
      </c>
      <c r="AI21" s="94" t="str">
        <f>IF(Table62202732333738[[#This Row],[Non-Member]]="X"," ",IF(AH21=" "," ",IFERROR(VLOOKUP(AG21,Points!$A$2:$B$14,2,FALSE)," ")))</f>
        <v xml:space="preserve"> </v>
      </c>
      <c r="AJ21" s="97">
        <f>IF(Table62202732333738[[#This Row],[Non-Member]]="X"," ",((IF(G21=" ",0,G21))+(IF(K21=" ",0,K21))+(IF(O21=" ",0,O21))+(IF(S21=" ",0,S21))+(IF(W21=" ",0,W21))+(IF(AA21=" ",0,AA21))+(IF(AE21=" ",0,AE21))+(IF(AI21=" ",0,AI21))))</f>
        <v>0</v>
      </c>
      <c r="AK21" s="153" t="str">
        <f t="shared" si="17"/>
        <v xml:space="preserve"> </v>
      </c>
      <c r="AL21" s="98" t="str">
        <f t="shared" si="18"/>
        <v xml:space="preserve"> </v>
      </c>
    </row>
    <row r="22" spans="2:38" x14ac:dyDescent="0.25">
      <c r="B22" s="90" t="s">
        <v>228</v>
      </c>
      <c r="C22" s="91"/>
      <c r="D22" s="92">
        <v>30.282</v>
      </c>
      <c r="E22" s="93">
        <f t="shared" si="0"/>
        <v>12</v>
      </c>
      <c r="F22" s="93" t="str">
        <f t="shared" si="1"/>
        <v xml:space="preserve"> </v>
      </c>
      <c r="G22" s="94" t="str">
        <f>IF(Table62202732333738[[#This Row],[Non-Member]]="X"," ",IF(F22=" "," ",IFERROR(VLOOKUP(E22,Points!$A$2:$B$14,2,FALSE)," ")))</f>
        <v xml:space="preserve"> </v>
      </c>
      <c r="H22" s="92">
        <v>0</v>
      </c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IF(Table62202732333738[[#This Row],[Non-Member]]="X"," ",IF(J22=" "," ",IFERROR(VLOOKUP(I22,Points!$A$2:$B$14,2,FALSE)," ")))</f>
        <v xml:space="preserve"> </v>
      </c>
      <c r="L22" s="92">
        <v>36.29</v>
      </c>
      <c r="M22" s="93">
        <f t="shared" si="4"/>
        <v>15</v>
      </c>
      <c r="N22" s="93" t="str">
        <f t="shared" si="5"/>
        <v xml:space="preserve"> </v>
      </c>
      <c r="O22" s="94" t="str">
        <f>IF(Table62202732333738[[#This Row],[Non-Member]]="X"," ",IF(N22=" "," ",IFERROR(VLOOKUP(M22,Points!$A$2:$B$14,2,FALSE)," ")))</f>
        <v xml:space="preserve"> </v>
      </c>
      <c r="P22" s="92">
        <v>0</v>
      </c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IF(Table62202732333738[[#This Row],[Non-Member]]="X"," ",IF(R22=" "," ",IFERROR(VLOOKUP(Q22,Points!$A$2:$B$14,2,FALSE)," ")))</f>
        <v xml:space="preserve"> </v>
      </c>
      <c r="T22" s="92">
        <v>39.316000000000003</v>
      </c>
      <c r="U22" s="93">
        <f t="shared" si="8"/>
        <v>17</v>
      </c>
      <c r="V22" s="93" t="str">
        <f t="shared" si="9"/>
        <v xml:space="preserve"> </v>
      </c>
      <c r="W22" s="94" t="str">
        <f>IF(Table62202732333738[[#This Row],[Non-Member]]="X"," ",IF(V22=" "," ",IFERROR(VLOOKUP(U22,Points!$A$2:$B$14,2,FALSE)," ")))</f>
        <v xml:space="preserve"> </v>
      </c>
      <c r="X22" s="92">
        <v>0</v>
      </c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IF(Table62202732333738[[#This Row],[Non-Member]]="X"," ",IF(Z22=" "," ",IFERROR(VLOOKUP(Y22,Points!$A$2:$B$14,2,FALSE)," ")))</f>
        <v xml:space="preserve"> </v>
      </c>
      <c r="AB22" s="92">
        <v>24.327000000000002</v>
      </c>
      <c r="AC22" s="93">
        <f t="shared" si="12"/>
        <v>14</v>
      </c>
      <c r="AD22" s="93" t="str">
        <f t="shared" si="13"/>
        <v xml:space="preserve"> </v>
      </c>
      <c r="AE22" s="94" t="str">
        <f>IF(Table62202732333738[[#This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IF(Table62202732333738[[#This Row],[Non-Member]]="X"," ",IF(AH22=" "," ",IFERROR(VLOOKUP(AG22,Points!$A$2:$B$14,2,FALSE)," ")))</f>
        <v xml:space="preserve"> </v>
      </c>
      <c r="AJ22" s="93">
        <f>IF(Table62202732333738[[#This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 t="s">
        <v>227</v>
      </c>
      <c r="C23" s="91"/>
      <c r="D23" s="92">
        <v>19.687000000000001</v>
      </c>
      <c r="E23" s="93">
        <f t="shared" si="0"/>
        <v>9</v>
      </c>
      <c r="F23" s="93" t="str">
        <f t="shared" si="1"/>
        <v xml:space="preserve"> </v>
      </c>
      <c r="G23" s="94" t="str">
        <f>IF(Table62202732333738[[#This Row],[Non-Member]]="X"," ",IF(F23=" "," ",IFERROR(VLOOKUP(E23,Points!$A$2:$B$14,2,FALSE)," ")))</f>
        <v xml:space="preserve"> </v>
      </c>
      <c r="H23" s="92">
        <v>18.655999999999999</v>
      </c>
      <c r="I23" s="93">
        <f t="shared" si="2"/>
        <v>11</v>
      </c>
      <c r="J23" s="93" t="str">
        <f t="shared" si="3"/>
        <v xml:space="preserve"> </v>
      </c>
      <c r="K23" s="94" t="str">
        <f>IF(Table62202732333738[[#This Row],[Non-Member]]="X"," ",IF(J23=" "," ",IFERROR(VLOOKUP(I23,Points!$A$2:$B$14,2,FALSE)," ")))</f>
        <v xml:space="preserve"> </v>
      </c>
      <c r="L23" s="92">
        <v>17.100000000000001</v>
      </c>
      <c r="M23" s="93">
        <f t="shared" si="4"/>
        <v>8</v>
      </c>
      <c r="N23" s="93" t="str">
        <f t="shared" si="5"/>
        <v xml:space="preserve"> </v>
      </c>
      <c r="O23" s="94" t="str">
        <f>IF(Table62202732333738[[#This Row],[Non-Member]]="X"," ",IF(N23=" "," ",IFERROR(VLOOKUP(M23,Points!$A$2:$B$14,2,FALSE)," ")))</f>
        <v xml:space="preserve"> </v>
      </c>
      <c r="P23" s="92">
        <v>19.259</v>
      </c>
      <c r="Q23" s="93">
        <f t="shared" si="6"/>
        <v>13</v>
      </c>
      <c r="R23" s="93" t="str">
        <f t="shared" si="7"/>
        <v xml:space="preserve"> </v>
      </c>
      <c r="S23" s="94" t="str">
        <f>IF(Table62202732333738[[#This Row],[Non-Member]]="X"," ",IF(R23=" "," ",IFERROR(VLOOKUP(Q23,Points!$A$2:$B$14,2,FALSE)," ")))</f>
        <v xml:space="preserve"> </v>
      </c>
      <c r="T23" s="92">
        <v>19.524999999999999</v>
      </c>
      <c r="U23" s="93">
        <f t="shared" si="8"/>
        <v>14</v>
      </c>
      <c r="V23" s="93" t="str">
        <f t="shared" si="9"/>
        <v xml:space="preserve"> </v>
      </c>
      <c r="W23" s="94" t="str">
        <f>IF(Table62202732333738[[#This Row],[Non-Member]]="X"," ",IF(V23=" "," ",IFERROR(VLOOKUP(U23,Points!$A$2:$B$14,2,FALSE)," ")))</f>
        <v xml:space="preserve"> </v>
      </c>
      <c r="X23" s="92">
        <v>18.649999999999999</v>
      </c>
      <c r="Y23" s="93">
        <f t="shared" si="10"/>
        <v>13</v>
      </c>
      <c r="Z23" s="93" t="str">
        <f t="shared" si="11"/>
        <v xml:space="preserve"> </v>
      </c>
      <c r="AA23" s="94" t="str">
        <f>IF(Table62202732333738[[#This Row],[Non-Member]]="X"," ",IF(Z23=" "," ",IFERROR(VLOOKUP(Y23,Points!$A$2:$B$14,2,FALSE)," ")))</f>
        <v xml:space="preserve"> </v>
      </c>
      <c r="AB23" s="92">
        <v>19.064</v>
      </c>
      <c r="AC23" s="93">
        <f t="shared" si="12"/>
        <v>9</v>
      </c>
      <c r="AD23" s="93" t="str">
        <f t="shared" si="13"/>
        <v xml:space="preserve"> </v>
      </c>
      <c r="AE23" s="94" t="str">
        <f>IF(Table62202732333738[[#This Row],[Non-Member]]="X"," ",IF(AD23=" "," ",IFERROR(VLOOKUP(AC23,Points!$A$2:$B$14,2,FALSE)," ")))</f>
        <v xml:space="preserve"> </v>
      </c>
      <c r="AF23" s="92">
        <f t="shared" si="14"/>
        <v>37.713999999999999</v>
      </c>
      <c r="AG23" s="93">
        <f t="shared" si="15"/>
        <v>11</v>
      </c>
      <c r="AH23" s="93" t="str">
        <f t="shared" si="16"/>
        <v xml:space="preserve"> </v>
      </c>
      <c r="AI23" s="94" t="str">
        <f>IF(Table62202732333738[[#This Row],[Non-Member]]="X"," ",IF(AH23=" "," ",IFERROR(VLOOKUP(AG23,Points!$A$2:$B$14,2,FALSE)," ")))</f>
        <v xml:space="preserve"> </v>
      </c>
      <c r="AJ23" s="93">
        <f>IF(Table62202732333738[[#This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x14ac:dyDescent="0.25">
      <c r="B24" s="90" t="s">
        <v>229</v>
      </c>
      <c r="C24" s="91"/>
      <c r="D24" s="92">
        <v>0</v>
      </c>
      <c r="E24" s="93" t="str">
        <f t="shared" si="0"/>
        <v xml:space="preserve"> </v>
      </c>
      <c r="F24" s="93" t="str">
        <f t="shared" si="1"/>
        <v xml:space="preserve"> </v>
      </c>
      <c r="G24" s="94" t="str">
        <f>IF(Table62202732333738[[#This Row],[Non-Member]]="X"," ",IF(F24=" "," ",IFERROR(VLOOKUP(E24,Points!$A$2:$B$14,2,FALSE)," ")))</f>
        <v xml:space="preserve"> </v>
      </c>
      <c r="H24" s="92">
        <v>0</v>
      </c>
      <c r="I24" s="93" t="str">
        <f t="shared" si="2"/>
        <v xml:space="preserve"> </v>
      </c>
      <c r="J24" s="93" t="str">
        <f t="shared" si="3"/>
        <v xml:space="preserve"> </v>
      </c>
      <c r="K24" s="94" t="str">
        <f>IF(Table62202732333738[[#This Row],[Non-Member]]="X"," ",IF(J24=" "," ",IFERROR(VLOOKUP(I24,Points!$A$2:$B$14,2,FALSE)," ")))</f>
        <v xml:space="preserve"> </v>
      </c>
      <c r="L24" s="92">
        <v>0</v>
      </c>
      <c r="M24" s="93" t="str">
        <f t="shared" si="4"/>
        <v xml:space="preserve"> </v>
      </c>
      <c r="N24" s="93" t="str">
        <f t="shared" si="5"/>
        <v xml:space="preserve"> </v>
      </c>
      <c r="O24" s="94" t="str">
        <f>IF(Table62202732333738[[#This Row],[Non-Member]]="X"," ",IF(N24=" "," ",IFERROR(VLOOKUP(M24,Points!$A$2:$B$14,2,FALSE)," ")))</f>
        <v xml:space="preserve"> </v>
      </c>
      <c r="P24" s="92">
        <v>17.155000000000001</v>
      </c>
      <c r="Q24" s="93">
        <f t="shared" si="6"/>
        <v>11</v>
      </c>
      <c r="R24" s="93" t="str">
        <f t="shared" si="7"/>
        <v xml:space="preserve"> </v>
      </c>
      <c r="S24" s="94" t="str">
        <f>IF(Table62202732333738[[#This Row],[Non-Member]]="X"," ",IF(R24=" "," ",IFERROR(VLOOKUP(Q24,Points!$A$2:$B$14,2,FALSE)," ")))</f>
        <v xml:space="preserve"> </v>
      </c>
      <c r="T24" s="92">
        <v>0</v>
      </c>
      <c r="U24" s="93" t="str">
        <f t="shared" si="8"/>
        <v xml:space="preserve"> </v>
      </c>
      <c r="V24" s="93" t="str">
        <f t="shared" si="9"/>
        <v xml:space="preserve"> </v>
      </c>
      <c r="W24" s="94" t="str">
        <f>IF(Table62202732333738[[#This Row],[Non-Member]]="X"," ",IF(V24=" "," ",IFERROR(VLOOKUP(U24,Points!$A$2:$B$14,2,FALSE)," ")))</f>
        <v xml:space="preserve"> </v>
      </c>
      <c r="X24" s="92">
        <v>16.27</v>
      </c>
      <c r="Y24" s="93">
        <f t="shared" si="10"/>
        <v>9</v>
      </c>
      <c r="Z24" s="93" t="str">
        <f t="shared" si="11"/>
        <v xml:space="preserve"> </v>
      </c>
      <c r="AA24" s="94" t="str">
        <f>IF(Table62202732333738[[#This Row],[Non-Member]]="X"," ",IF(Z24=" "," ",IFERROR(VLOOKUP(Y24,Points!$A$2:$B$14,2,FALSE)," ")))</f>
        <v xml:space="preserve"> </v>
      </c>
      <c r="AB24" s="92">
        <v>19.254999999999999</v>
      </c>
      <c r="AC24" s="93">
        <f t="shared" si="12"/>
        <v>10</v>
      </c>
      <c r="AD24" s="93" t="str">
        <f t="shared" si="13"/>
        <v xml:space="preserve"> </v>
      </c>
      <c r="AE24" s="94" t="str">
        <f>IF(Table62202732333738[[#This Row],[Non-Member]]="X"," ",IF(AD24=" "," ",IFERROR(VLOOKUP(AC24,Points!$A$2:$B$14,2,FALSE)," ")))</f>
        <v xml:space="preserve"> </v>
      </c>
      <c r="AF24" s="92">
        <f t="shared" si="14"/>
        <v>35.524999999999999</v>
      </c>
      <c r="AG24" s="93">
        <f t="shared" si="15"/>
        <v>10</v>
      </c>
      <c r="AH24" s="93" t="str">
        <f t="shared" si="16"/>
        <v xml:space="preserve"> </v>
      </c>
      <c r="AI24" s="94" t="str">
        <f>IF(Table62202732333738[[#This Row],[Non-Member]]="X"," ",IF(AH24=" "," ",IFERROR(VLOOKUP(AG24,Points!$A$2:$B$14,2,FALSE)," ")))</f>
        <v xml:space="preserve"> </v>
      </c>
      <c r="AJ24" s="93">
        <f>IF(Table62202732333738[[#This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25">
      <c r="B25" s="90" t="s">
        <v>224</v>
      </c>
      <c r="C25" s="91"/>
      <c r="D25" s="92">
        <v>20.620999999999999</v>
      </c>
      <c r="E25" s="93">
        <f t="shared" si="0"/>
        <v>10</v>
      </c>
      <c r="F25" s="93" t="str">
        <f t="shared" si="1"/>
        <v xml:space="preserve"> </v>
      </c>
      <c r="G25" s="94" t="str">
        <f>IF(Table62202732333738[[#This Row],[Non-Member]]="X"," ",IF(F25=" "," ",IFERROR(VLOOKUP(E25,Points!$A$2:$B$14,2,FALSE)," ")))</f>
        <v xml:space="preserve"> </v>
      </c>
      <c r="H25" s="92">
        <v>18.809999999999999</v>
      </c>
      <c r="I25" s="93">
        <f t="shared" si="2"/>
        <v>12</v>
      </c>
      <c r="J25" s="93" t="str">
        <f t="shared" si="3"/>
        <v xml:space="preserve"> </v>
      </c>
      <c r="K25" s="94" t="str">
        <f>IF(Table62202732333738[[#This Row],[Non-Member]]="X"," ",IF(J25=" "," ",IFERROR(VLOOKUP(I25,Points!$A$2:$B$14,2,FALSE)," ")))</f>
        <v xml:space="preserve"> </v>
      </c>
      <c r="L25" s="92">
        <v>0</v>
      </c>
      <c r="M25" s="93" t="str">
        <f t="shared" si="4"/>
        <v xml:space="preserve"> </v>
      </c>
      <c r="N25" s="93" t="str">
        <f t="shared" si="5"/>
        <v xml:space="preserve"> </v>
      </c>
      <c r="O25" s="94" t="str">
        <f>IF(Table62202732333738[[#This Row],[Non-Member]]="X"," ",IF(N25=" "," ",IFERROR(VLOOKUP(M25,Points!$A$2:$B$14,2,FALSE)," ")))</f>
        <v xml:space="preserve"> </v>
      </c>
      <c r="P25" s="92">
        <v>19.265000000000001</v>
      </c>
      <c r="Q25" s="93">
        <f t="shared" si="6"/>
        <v>14</v>
      </c>
      <c r="R25" s="93" t="str">
        <f t="shared" si="7"/>
        <v xml:space="preserve"> </v>
      </c>
      <c r="S25" s="94" t="str">
        <f>IF(Table62202732333738[[#This Row],[Non-Member]]="X"," ",IF(R25=" "," ",IFERROR(VLOOKUP(Q25,Points!$A$2:$B$14,2,FALSE)," ")))</f>
        <v xml:space="preserve"> </v>
      </c>
      <c r="T25" s="92">
        <v>17.492000000000001</v>
      </c>
      <c r="U25" s="93">
        <f t="shared" si="8"/>
        <v>11</v>
      </c>
      <c r="V25" s="93" t="str">
        <f t="shared" si="9"/>
        <v xml:space="preserve"> </v>
      </c>
      <c r="W25" s="94" t="str">
        <f>IF(Table62202732333738[[#This Row],[Non-Member]]="X"," ",IF(V25=" "," ",IFERROR(VLOOKUP(U25,Points!$A$2:$B$14,2,FALSE)," ")))</f>
        <v xml:space="preserve"> </v>
      </c>
      <c r="X25" s="92">
        <v>17.3</v>
      </c>
      <c r="Y25" s="93">
        <f t="shared" si="10"/>
        <v>11</v>
      </c>
      <c r="Z25" s="93" t="str">
        <f t="shared" si="11"/>
        <v xml:space="preserve"> </v>
      </c>
      <c r="AA25" s="94" t="str">
        <f>IF(Table62202732333738[[#This Row],[Non-Member]]="X"," ",IF(Z25=" "," ",IFERROR(VLOOKUP(Y25,Points!$A$2:$B$14,2,FALSE)," ")))</f>
        <v xml:space="preserve"> </v>
      </c>
      <c r="AB25" s="92">
        <v>17.553000000000001</v>
      </c>
      <c r="AC25" s="93">
        <f t="shared" si="12"/>
        <v>8</v>
      </c>
      <c r="AD25" s="93" t="str">
        <f t="shared" si="13"/>
        <v xml:space="preserve"> </v>
      </c>
      <c r="AE25" s="94" t="str">
        <f>IF(Table62202732333738[[#This Row],[Non-Member]]="X"," ",IF(AD25=" "," ",IFERROR(VLOOKUP(AC25,Points!$A$2:$B$14,2,FALSE)," ")))</f>
        <v xml:space="preserve"> </v>
      </c>
      <c r="AF25" s="92">
        <f t="shared" si="14"/>
        <v>34.853000000000002</v>
      </c>
      <c r="AG25" s="93">
        <f t="shared" si="15"/>
        <v>8</v>
      </c>
      <c r="AH25" s="93" t="str">
        <f t="shared" si="16"/>
        <v xml:space="preserve"> </v>
      </c>
      <c r="AI25" s="94" t="str">
        <f>IF(Table62202732333738[[#This Row],[Non-Member]]="X"," ",IF(AH25=" "," ",IFERROR(VLOOKUP(AG25,Points!$A$2:$B$14,2,FALSE)," ")))</f>
        <v xml:space="preserve"> </v>
      </c>
      <c r="AJ25" s="93">
        <f>IF(Table62202732333738[[#This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x14ac:dyDescent="0.25">
      <c r="B26" s="90" t="s">
        <v>221</v>
      </c>
      <c r="C26" s="91"/>
      <c r="D26" s="92">
        <v>33.027999999999999</v>
      </c>
      <c r="E26" s="93">
        <f t="shared" si="0"/>
        <v>13</v>
      </c>
      <c r="F26" s="93" t="str">
        <f t="shared" si="1"/>
        <v xml:space="preserve"> </v>
      </c>
      <c r="G26" s="94" t="str">
        <f>IF(Table62202732333738[[#This Row],[Non-Member]]="X"," ",IF(F26=" "," ",IFERROR(VLOOKUP(E26,Points!$A$2:$B$14,2,FALSE)," ")))</f>
        <v xml:space="preserve"> </v>
      </c>
      <c r="H26" s="92">
        <v>27.911999999999999</v>
      </c>
      <c r="I26" s="93">
        <f t="shared" si="2"/>
        <v>14</v>
      </c>
      <c r="J26" s="93" t="str">
        <f t="shared" si="3"/>
        <v xml:space="preserve"> </v>
      </c>
      <c r="K26" s="94" t="str">
        <f>IF(Table62202732333738[[#This Row],[Non-Member]]="X"," ",IF(J26=" "," ",IFERROR(VLOOKUP(I26,Points!$A$2:$B$14,2,FALSE)," ")))</f>
        <v xml:space="preserve"> </v>
      </c>
      <c r="L26" s="92">
        <v>26.71</v>
      </c>
      <c r="M26" s="93">
        <f t="shared" si="4"/>
        <v>13</v>
      </c>
      <c r="N26" s="93" t="str">
        <f t="shared" si="5"/>
        <v xml:space="preserve"> </v>
      </c>
      <c r="O26" s="94" t="str">
        <f>IF(Table62202732333738[[#This Row],[Non-Member]]="X"," ",IF(N26=" "," ",IFERROR(VLOOKUP(M26,Points!$A$2:$B$14,2,FALSE)," ")))</f>
        <v xml:space="preserve"> </v>
      </c>
      <c r="P26" s="92">
        <v>27.056000000000001</v>
      </c>
      <c r="Q26" s="93">
        <f t="shared" si="6"/>
        <v>17</v>
      </c>
      <c r="R26" s="93" t="str">
        <f t="shared" si="7"/>
        <v xml:space="preserve"> </v>
      </c>
      <c r="S26" s="94" t="str">
        <f>IF(Table62202732333738[[#This Row],[Non-Member]]="X"," ",IF(R26=" "," ",IFERROR(VLOOKUP(Q26,Points!$A$2:$B$14,2,FALSE)," ")))</f>
        <v xml:space="preserve"> </v>
      </c>
      <c r="T26" s="92">
        <v>36.838999999999999</v>
      </c>
      <c r="U26" s="93">
        <f t="shared" si="8"/>
        <v>16</v>
      </c>
      <c r="V26" s="93" t="str">
        <f t="shared" si="9"/>
        <v xml:space="preserve"> </v>
      </c>
      <c r="W26" s="94" t="str">
        <f>IF(Table62202732333738[[#This Row],[Non-Member]]="X"," ",IF(V26=" "," ",IFERROR(VLOOKUP(U26,Points!$A$2:$B$14,2,FALSE)," ")))</f>
        <v xml:space="preserve"> </v>
      </c>
      <c r="X26" s="92">
        <v>20.402000000000001</v>
      </c>
      <c r="Y26" s="93">
        <f t="shared" si="10"/>
        <v>15</v>
      </c>
      <c r="Z26" s="93" t="str">
        <f t="shared" si="11"/>
        <v xml:space="preserve"> </v>
      </c>
      <c r="AA26" s="94" t="str">
        <f>IF(Table62202732333738[[#This Row],[Non-Member]]="X"," ",IF(Z26=" "," ",IFERROR(VLOOKUP(Y26,Points!$A$2:$B$14,2,FALSE)," ")))</f>
        <v xml:space="preserve"> </v>
      </c>
      <c r="AB26" s="92">
        <v>22.795000000000002</v>
      </c>
      <c r="AC26" s="93">
        <f t="shared" si="12"/>
        <v>13</v>
      </c>
      <c r="AD26" s="93" t="str">
        <f t="shared" si="13"/>
        <v xml:space="preserve"> </v>
      </c>
      <c r="AE26" s="94" t="str">
        <f>IF(Table62202732333738[[#This Row],[Non-Member]]="X"," ",IF(AD26=" "," ",IFERROR(VLOOKUP(AC26,Points!$A$2:$B$14,2,FALSE)," ")))</f>
        <v xml:space="preserve"> </v>
      </c>
      <c r="AF26" s="92">
        <f t="shared" si="14"/>
        <v>43.197000000000003</v>
      </c>
      <c r="AG26" s="93">
        <f t="shared" si="15"/>
        <v>13</v>
      </c>
      <c r="AH26" s="93" t="str">
        <f t="shared" si="16"/>
        <v xml:space="preserve"> </v>
      </c>
      <c r="AI26" s="94" t="str">
        <f>IF(Table62202732333738[[#This Row],[Non-Member]]="X"," ",IF(AH26=" "," ",IFERROR(VLOOKUP(AG26,Points!$A$2:$B$14,2,FALSE)," ")))</f>
        <v xml:space="preserve"> </v>
      </c>
      <c r="AJ26" s="93">
        <f>IF(Table62202732333738[[#This Row],[Non-Member]]="X"," ",((IF(G26=" ",0,G26))+(IF(K26=" ",0,K26))+(IF(O26=" ",0,O26))+(IF(S26=" ",0,S26))+(IF(W26=" ",0,W26))+(IF(AA26=" ",0,AA26))+(IF(AE26=" ",0,AE26))+(IF(AI26=" ",0,AI26))))</f>
        <v>0</v>
      </c>
      <c r="AK26" s="95" t="str">
        <f t="shared" si="17"/>
        <v xml:space="preserve"> </v>
      </c>
      <c r="AL26" s="96" t="str">
        <f t="shared" si="18"/>
        <v xml:space="preserve"> </v>
      </c>
    </row>
    <row r="27" spans="2:38" ht="14.4" thickBot="1" x14ac:dyDescent="0.3">
      <c r="B27" s="100" t="s">
        <v>237</v>
      </c>
      <c r="C27" s="101" t="s">
        <v>95</v>
      </c>
      <c r="D27" s="102"/>
      <c r="E27" s="155" t="str">
        <f t="shared" si="0"/>
        <v xml:space="preserve"> </v>
      </c>
      <c r="F27" s="155" t="str">
        <f t="shared" si="1"/>
        <v xml:space="preserve"> </v>
      </c>
      <c r="G27" s="104" t="str">
        <f>IF(Table62202732333738[[#This Row],[Non-Member]]="X"," ",IF(F27=" "," ",IFERROR(VLOOKUP(E27,Points!$A$2:$B$14,2,FALSE)," ")))</f>
        <v xml:space="preserve"> </v>
      </c>
      <c r="H27" s="102">
        <v>16.724</v>
      </c>
      <c r="I27" s="155">
        <f t="shared" si="2"/>
        <v>10</v>
      </c>
      <c r="J27" s="155" t="str">
        <f t="shared" si="3"/>
        <v xml:space="preserve"> </v>
      </c>
      <c r="K27" s="104" t="str">
        <f>IF(Table62202732333738[[#This Row],[Non-Member]]="X"," ",IF(J27=" "," ",IFERROR(VLOOKUP(I27,Points!$A$2:$B$14,2,FALSE)," ")))</f>
        <v xml:space="preserve"> </v>
      </c>
      <c r="L27" s="102">
        <v>18.05</v>
      </c>
      <c r="M27" s="155">
        <f t="shared" si="4"/>
        <v>11</v>
      </c>
      <c r="N27" s="155" t="str">
        <f t="shared" si="5"/>
        <v xml:space="preserve"> </v>
      </c>
      <c r="O27" s="104" t="str">
        <f>IF(Table62202732333738[[#This Row],[Non-Member]]="X"," ",IF(N27=" "," ",IFERROR(VLOOKUP(M27,Points!$A$2:$B$14,2,FALSE)," ")))</f>
        <v xml:space="preserve"> </v>
      </c>
      <c r="P27" s="102">
        <v>15.778</v>
      </c>
      <c r="Q27" s="155">
        <f t="shared" si="6"/>
        <v>9</v>
      </c>
      <c r="R27" s="155" t="str">
        <f t="shared" si="7"/>
        <v xml:space="preserve"> </v>
      </c>
      <c r="S27" s="104" t="str">
        <f>IF(Table62202732333738[[#This Row],[Non-Member]]="X"," ",IF(R27=" "," ",IFERROR(VLOOKUP(Q27,Points!$A$2:$B$14,2,FALSE)," ")))</f>
        <v xml:space="preserve"> </v>
      </c>
      <c r="T27" s="102"/>
      <c r="U27" s="155" t="str">
        <f t="shared" si="8"/>
        <v xml:space="preserve"> </v>
      </c>
      <c r="V27" s="155" t="str">
        <f t="shared" si="9"/>
        <v xml:space="preserve"> </v>
      </c>
      <c r="W27" s="104" t="str">
        <f>IF(Table62202732333738[[#This Row],[Non-Member]]="X"," ",IF(V27=" "," ",IFERROR(VLOOKUP(U27,Points!$A$2:$B$14,2,FALSE)," ")))</f>
        <v xml:space="preserve"> </v>
      </c>
      <c r="X27" s="102"/>
      <c r="Y27" s="155" t="str">
        <f t="shared" si="10"/>
        <v xml:space="preserve"> </v>
      </c>
      <c r="Z27" s="155" t="str">
        <f t="shared" si="11"/>
        <v xml:space="preserve"> </v>
      </c>
      <c r="AA27" s="104" t="str">
        <f>IF(Table62202732333738[[#This Row],[Non-Member]]="X"," ",IF(Z27=" "," ",IFERROR(VLOOKUP(Y27,Points!$A$2:$B$14,2,FALSE)," ")))</f>
        <v xml:space="preserve"> </v>
      </c>
      <c r="AB27" s="102"/>
      <c r="AC27" s="155" t="str">
        <f t="shared" si="12"/>
        <v xml:space="preserve"> </v>
      </c>
      <c r="AD27" s="155" t="str">
        <f t="shared" si="13"/>
        <v xml:space="preserve"> </v>
      </c>
      <c r="AE27" s="104" t="str">
        <f>IF(Table62202732333738[[#This Row],[Non-Member]]="X"," ",IF(AD27=" "," ",IFERROR(VLOOKUP(AC27,Points!$A$2:$B$14,2,FALSE)," ")))</f>
        <v xml:space="preserve"> </v>
      </c>
      <c r="AF27" s="102" t="str">
        <f t="shared" si="14"/>
        <v xml:space="preserve"> </v>
      </c>
      <c r="AG27" s="156" t="str">
        <f t="shared" si="15"/>
        <v xml:space="preserve"> </v>
      </c>
      <c r="AH27" s="155" t="str">
        <f t="shared" si="16"/>
        <v xml:space="preserve"> </v>
      </c>
      <c r="AI27" s="104" t="str">
        <f>IF(Table62202732333738[[#This Row],[Non-Member]]="X"," ",IF(AH27=" "," ",IFERROR(VLOOKUP(AG27,Points!$A$2:$B$14,2,FALSE)," ")))</f>
        <v xml:space="preserve"> </v>
      </c>
      <c r="AJ27" s="97" t="str">
        <f>IF(Table62202732333738[[#This Row],[Non-Member]]="X"," ",((IF(G27=" ",0,G27))+(IF(K27=" ",0,K27))+(IF(O27=" ",0,O27))+(IF(S27=" ",0,S27))+(IF(W27=" ",0,W27))+(IF(AA27=" ",0,AA27))+(IF(AE27=" ",0,AE27))+(IF(AI27=" ",0,AI27))))</f>
        <v xml:space="preserve"> </v>
      </c>
      <c r="AK27" s="157" t="str">
        <f t="shared" si="17"/>
        <v xml:space="preserve"> </v>
      </c>
      <c r="AL27" s="98" t="str">
        <f t="shared" si="18"/>
        <v xml:space="preserve"> </v>
      </c>
    </row>
    <row r="28" spans="2:38" ht="14.4" thickBot="1" x14ac:dyDescent="0.3">
      <c r="B28" s="106" t="s">
        <v>235</v>
      </c>
      <c r="AG28" s="107"/>
    </row>
    <row r="30" spans="2:38" x14ac:dyDescent="0.25">
      <c r="F30" s="107"/>
    </row>
    <row r="31" spans="2:38" x14ac:dyDescent="0.25">
      <c r="F31" s="107"/>
    </row>
    <row r="32" spans="2:38" x14ac:dyDescent="0.25">
      <c r="H32" s="108"/>
    </row>
  </sheetData>
  <sheetProtection algorithmName="SHA-512" hashValue="mIx79fqKzt0jf19am0nyCJHXWv4b+QZT4Cf+m8A55dbjUcNwD+wMxGLf28dTDBV4ylBsSqNGeKcIy0ls25Qo8A==" saltValue="I5SDw1ro/WMgFZe/eOspu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EFEC-9A1F-4681-8E8A-B867EBA5D580}">
  <sheetPr codeName="Sheet55">
    <tabColor theme="4" tint="0.79998168889431442"/>
  </sheetPr>
  <dimension ref="B1:AL31"/>
  <sheetViews>
    <sheetView showGridLines="0" zoomScaleNormal="100" workbookViewId="0">
      <pane xSplit="2" topLeftCell="C1" activePane="topRight" state="frozen"/>
      <selection activeCell="K35" sqref="K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60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93</v>
      </c>
      <c r="C5" s="84"/>
      <c r="D5" s="85">
        <v>12.66</v>
      </c>
      <c r="E5" s="86">
        <f t="shared" ref="E5:E26" si="0">IF(D5=0," ",_xlfn.RANK.AVG(D5,D$5:D$26,1)-COUNTIF(D$5:D$26,0))</f>
        <v>4</v>
      </c>
      <c r="F5" s="86">
        <f t="shared" ref="F5:F26" si="1">IF(D5=0," ",IF((RANK(D5,D$5:D$26,1)-COUNTIF(D$5:D$26,0)&gt;6)," ",RANK(D5,D$5:D$26,1)-COUNTIF(D$5:D$26,0)))</f>
        <v>4</v>
      </c>
      <c r="G5" s="87">
        <f>IF(Table6220273233373839[[#This Row],[Non-Member]]="X"," ",IF(F5=" "," ",IFERROR(VLOOKUP(E5,Points!$A$2:$B$14,2,FALSE)," ")))</f>
        <v>9</v>
      </c>
      <c r="H5" s="85">
        <v>9.85</v>
      </c>
      <c r="I5" s="86">
        <f t="shared" ref="I5:I26" si="2">IF(H5=0," ",_xlfn.RANK.AVG(H5,H$5:H$26,1)-COUNTIF(H$5:H$26,0))</f>
        <v>2</v>
      </c>
      <c r="J5" s="86">
        <f t="shared" ref="J5:J26" si="3">IF(H5=0," ",IF((RANK(H5,H$5:H$26,1)-COUNTIF(H$5:H$26,0)&gt;6)," ",RANK(H5,H$5:H$26,1)-COUNTIF(H$5:H$26,0)))</f>
        <v>2</v>
      </c>
      <c r="K5" s="87">
        <f>IF(Table6220273233373839[[#This Row],[Non-Member]]="X"," ",IF(J5=" "," ",IFERROR(VLOOKUP(I5,Points!$A$2:$B$14,2,FALSE)," ")))</f>
        <v>15</v>
      </c>
      <c r="L5" s="85">
        <v>19.37</v>
      </c>
      <c r="M5" s="86">
        <f t="shared" ref="M5:M26" si="4">IF(L5=0," ",_xlfn.RANK.AVG(L5,L$5:L$26,1)-COUNTIF(L$5:L$26,0))</f>
        <v>13</v>
      </c>
      <c r="N5" s="86" t="str">
        <f t="shared" ref="N5:N26" si="5">IF(L5=0," ",IF((RANK(L5,L$5:L$26,1)-COUNTIF(L$5:L$26,0)&gt;6)," ",RANK(L5,L$5:L$26,1)-COUNTIF(L$5:L$26,0)))</f>
        <v xml:space="preserve"> </v>
      </c>
      <c r="O5" s="87" t="str">
        <f>IF(Table6220273233373839[[#This Row],[Non-Member]]="X"," ",IF(N5=" "," ",IFERROR(VLOOKUP(M5,Points!$A$2:$B$14,2,FALSE)," ")))</f>
        <v xml:space="preserve"> </v>
      </c>
      <c r="P5" s="85">
        <v>10.65</v>
      </c>
      <c r="Q5" s="86">
        <f t="shared" ref="Q5:Q26" si="6">IF(P5=0," ",_xlfn.RANK.AVG(P5,P$5:P$26,1)-COUNTIF(P$5:P$26,0))</f>
        <v>4</v>
      </c>
      <c r="R5" s="86">
        <f t="shared" ref="R5:R26" si="7">IF(P5=0," ",IF((RANK(P5,P$5:P$26,1)-COUNTIF(P$5:P$26,0)&gt;6)," ",RANK(P5,P$5:P$26,1)-COUNTIF(P$5:P$26,0)))</f>
        <v>4</v>
      </c>
      <c r="S5" s="87">
        <f>IF(Table6220273233373839[[#This Row],[Non-Member]]="X"," ",IF(R5=" "," ",IFERROR(VLOOKUP(Q5,Points!$A$2:$B$14,2,FALSE)," ")))</f>
        <v>9</v>
      </c>
      <c r="T5" s="85">
        <v>11.91</v>
      </c>
      <c r="U5" s="86">
        <f t="shared" ref="U5:U26" si="8">IF(T5=0," ",_xlfn.RANK.AVG(T5,T$5:T$26,1)-COUNTIF(T$5:T$26,0))</f>
        <v>6</v>
      </c>
      <c r="V5" s="86">
        <f t="shared" ref="V5:V26" si="9">IF(T5=0," ",IF((RANK(T5,T$5:T$26,1)-COUNTIF(T$5:T$26,0)&gt;6)," ",RANK(T5,T$5:T$26,1)-COUNTIF(T$5:T$26,0)))</f>
        <v>6</v>
      </c>
      <c r="W5" s="87">
        <f>IF(Table6220273233373839[[#This Row],[Non-Member]]="X"," ",IF(V5=" "," ",IFERROR(VLOOKUP(U5,Points!$A$2:$B$14,2,FALSE)," ")))</f>
        <v>3</v>
      </c>
      <c r="X5" s="85">
        <v>8.2799999999999994</v>
      </c>
      <c r="Y5" s="86">
        <f t="shared" ref="Y5:Y26" si="10">IF(X5=0," ",_xlfn.RANK.AVG(X5,X$5:X$26,1)-COUNTIF(X$5:X$26,0))</f>
        <v>1</v>
      </c>
      <c r="Z5" s="86">
        <f t="shared" ref="Z5:Z26" si="11">IF(X5=0," ",IF((RANK(X5,X$5:X$26,1)-COUNTIF(X$5:X$26,0)&gt;6)," ",RANK(X5,X$5:X$26,1)-COUNTIF(X$5:X$26,0)))</f>
        <v>1</v>
      </c>
      <c r="AA5" s="87">
        <f>IF(Table6220273233373839[[#This Row],[Non-Member]]="X"," ",IF(Z5=" "," ",IFERROR(VLOOKUP(Y5,Points!$A$2:$B$14,2,FALSE)," ")))</f>
        <v>18</v>
      </c>
      <c r="AB5" s="85">
        <v>8.94</v>
      </c>
      <c r="AC5" s="86">
        <f t="shared" ref="AC5:AC26" si="12">IF(AB5=0," ",_xlfn.RANK.AVG(AB5,AB$5:AB$26,1)-COUNTIF(AB$5:AB$26,0))</f>
        <v>1</v>
      </c>
      <c r="AD5" s="86">
        <f t="shared" ref="AD5:AD26" si="13">IF(AB5=0," ",IF((RANK(AB5,AB$5:AB$26,1)-COUNTIF(AB$5:AB$26,0)&gt;6)," ",RANK(AB5,AB$5:AB$26,1)-COUNTIF(AB$5:AB$26,0)))</f>
        <v>1</v>
      </c>
      <c r="AE5" s="87">
        <f>IF(Table6220273233373839[[#This Row],[Non-Member]]="X"," ",IF(AD5=" "," ",IFERROR(VLOOKUP(AC5,Points!$A$2:$B$14,2,FALSE)," ")))</f>
        <v>18</v>
      </c>
      <c r="AF5" s="85">
        <f t="shared" ref="AF5:AF26" si="14">IF(OR(X5=0,AB5=0)," ",X5+AB5)</f>
        <v>17.22</v>
      </c>
      <c r="AG5" s="86">
        <f t="shared" ref="AG5:AG26" si="15">IF(OR(AF5=0,AF5=" ")," ",_xlfn.RANK.AVG(AF5,AF$5:AF$26,1)-COUNTIF(AF$5:AF$26,0))</f>
        <v>1</v>
      </c>
      <c r="AH5" s="86">
        <f t="shared" ref="AH5:AH26" si="16">IF(OR(AF5=0,AF5=" ")," ",IF((RANK(AF5,AF$5:AF$26,1)-COUNTIF(AF$5:AF$26,0)&gt;6)," ",RANK(AF5,AF$5:AF$26,1)-COUNTIF(AF$5:AF$26,0)))</f>
        <v>1</v>
      </c>
      <c r="AI5" s="87">
        <f>IF(Table6220273233373839[[#This Row],[Non-Member]]="X"," ",IF(AH5=" "," ",IFERROR(VLOOKUP(AG5,Points!$A$2:$B$14,2,FALSE)," ")))</f>
        <v>18</v>
      </c>
      <c r="AJ5" s="86">
        <f>IF(Table6220273233373839[[#This Row],[Non-Member]]="X"," ",((IF(G5=" ",0,G5))+(IF(K5=" ",0,K5))+(IF(O5=" ",0,O5))+(IF(S5=" ",0,S5))+(IF(W5=" ",0,W5))+(IF(AA5=" ",0,AA5))+(IF(AE5=" ",0,AE5))+(IF(AI5=" ",0,AI5))))</f>
        <v>90</v>
      </c>
      <c r="AK5" s="88">
        <f t="shared" ref="AK5:AK26" si="17">IF(AJ5=0," ",AJ5)</f>
        <v>90</v>
      </c>
      <c r="AL5" s="89">
        <f t="shared" ref="AL5:AL26" si="18">IF(AK5=" "," ",RANK(AK5,$AK$5:$AK$26))</f>
        <v>1</v>
      </c>
    </row>
    <row r="6" spans="2:38" x14ac:dyDescent="0.25">
      <c r="B6" s="90" t="s">
        <v>89</v>
      </c>
      <c r="C6" s="91"/>
      <c r="D6" s="92">
        <v>14.34</v>
      </c>
      <c r="E6" s="93">
        <f t="shared" si="0"/>
        <v>7</v>
      </c>
      <c r="F6" s="93" t="str">
        <f t="shared" si="1"/>
        <v xml:space="preserve"> </v>
      </c>
      <c r="G6" s="94" t="str">
        <f>IF(Table6220273233373839[[#This Row],[Non-Member]]="X"," ",IF(F6=" "," ",IFERROR(VLOOKUP(E6,Points!$A$2:$B$14,2,FALSE)," ")))</f>
        <v xml:space="preserve"> </v>
      </c>
      <c r="H6" s="92">
        <v>11.22</v>
      </c>
      <c r="I6" s="93">
        <f t="shared" si="2"/>
        <v>4.5</v>
      </c>
      <c r="J6" s="93">
        <f t="shared" si="3"/>
        <v>4</v>
      </c>
      <c r="K6" s="94">
        <f>IF(Table6220273233373839[[#This Row],[Non-Member]]="X"," ",IF(J6=" "," ",IFERROR(VLOOKUP(I6,Points!$A$2:$B$14,2,FALSE)," ")))</f>
        <v>7.5</v>
      </c>
      <c r="L6" s="92">
        <v>10.34</v>
      </c>
      <c r="M6" s="93">
        <f t="shared" si="4"/>
        <v>1</v>
      </c>
      <c r="N6" s="93">
        <f t="shared" si="5"/>
        <v>1</v>
      </c>
      <c r="O6" s="94">
        <f>IF(Table6220273233373839[[#This Row],[Non-Member]]="X"," ",IF(N6=" "," ",IFERROR(VLOOKUP(M6,Points!$A$2:$B$14,2,FALSE)," ")))</f>
        <v>18</v>
      </c>
      <c r="P6" s="92">
        <v>10.34</v>
      </c>
      <c r="Q6" s="93">
        <f t="shared" si="6"/>
        <v>3</v>
      </c>
      <c r="R6" s="93">
        <f t="shared" si="7"/>
        <v>3</v>
      </c>
      <c r="S6" s="94">
        <f>IF(Table6220273233373839[[#This Row],[Non-Member]]="X"," ",IF(R6=" "," ",IFERROR(VLOOKUP(Q6,Points!$A$2:$B$14,2,FALSE)," ")))</f>
        <v>12</v>
      </c>
      <c r="T6" s="92">
        <v>11.56</v>
      </c>
      <c r="U6" s="93">
        <f t="shared" si="8"/>
        <v>4</v>
      </c>
      <c r="V6" s="93">
        <f t="shared" si="9"/>
        <v>4</v>
      </c>
      <c r="W6" s="94">
        <f>IF(Table6220273233373839[[#This Row],[Non-Member]]="X"," ",IF(V6=" "," ",IFERROR(VLOOKUP(U6,Points!$A$2:$B$14,2,FALSE)," ")))</f>
        <v>9</v>
      </c>
      <c r="X6" s="92">
        <v>10.44</v>
      </c>
      <c r="Y6" s="93">
        <f t="shared" si="10"/>
        <v>4</v>
      </c>
      <c r="Z6" s="93">
        <f t="shared" si="11"/>
        <v>4</v>
      </c>
      <c r="AA6" s="94">
        <f>IF(Table6220273233373839[[#This Row],[Non-Member]]="X"," ",IF(Z6=" "," ",IFERROR(VLOOKUP(Y6,Points!$A$2:$B$14,2,FALSE)," ")))</f>
        <v>9</v>
      </c>
      <c r="AB6" s="92">
        <v>10.84</v>
      </c>
      <c r="AC6" s="93">
        <f t="shared" si="12"/>
        <v>4</v>
      </c>
      <c r="AD6" s="93">
        <f t="shared" si="13"/>
        <v>4</v>
      </c>
      <c r="AE6" s="94">
        <f>IF(Table6220273233373839[[#This Row],[Non-Member]]="X"," ",IF(AD6=" "," ",IFERROR(VLOOKUP(AC6,Points!$A$2:$B$14,2,FALSE)," ")))</f>
        <v>9</v>
      </c>
      <c r="AF6" s="92">
        <f t="shared" si="14"/>
        <v>21.28</v>
      </c>
      <c r="AG6" s="93">
        <f t="shared" si="15"/>
        <v>2</v>
      </c>
      <c r="AH6" s="93">
        <f t="shared" si="16"/>
        <v>2</v>
      </c>
      <c r="AI6" s="94">
        <f>IF(Table6220273233373839[[#This Row],[Non-Member]]="X"," ",IF(AH6=" "," ",IFERROR(VLOOKUP(AG6,Points!$A$2:$B$14,2,FALSE)," ")))</f>
        <v>15</v>
      </c>
      <c r="AJ6" s="93">
        <f>IF(Table6220273233373839[[#This Row],[Non-Member]]="X"," ",((IF(G6=" ",0,G6))+(IF(K6=" ",0,K6))+(IF(O6=" ",0,O6))+(IF(S6=" ",0,S6))+(IF(W6=" ",0,W6))+(IF(AA6=" ",0,AA6))+(IF(AE6=" ",0,AE6))+(IF(AI6=" ",0,AI6))))</f>
        <v>79.5</v>
      </c>
      <c r="AK6" s="95">
        <f t="shared" si="17"/>
        <v>79.5</v>
      </c>
      <c r="AL6" s="96">
        <f t="shared" si="18"/>
        <v>2</v>
      </c>
    </row>
    <row r="7" spans="2:38" x14ac:dyDescent="0.25">
      <c r="B7" s="90" t="s">
        <v>84</v>
      </c>
      <c r="C7" s="91"/>
      <c r="D7" s="92">
        <v>14.05</v>
      </c>
      <c r="E7" s="93">
        <f t="shared" si="0"/>
        <v>6</v>
      </c>
      <c r="F7" s="93">
        <f t="shared" si="1"/>
        <v>6</v>
      </c>
      <c r="G7" s="94">
        <f>IF(Table6220273233373839[[#This Row],[Non-Member]]="X"," ",IF(F7=" "," ",IFERROR(VLOOKUP(E7,Points!$A$2:$B$14,2,FALSE)," ")))</f>
        <v>3</v>
      </c>
      <c r="H7" s="92">
        <v>11.22</v>
      </c>
      <c r="I7" s="93">
        <f t="shared" si="2"/>
        <v>4.5</v>
      </c>
      <c r="J7" s="93">
        <f t="shared" si="3"/>
        <v>4</v>
      </c>
      <c r="K7" s="94">
        <f>IF(Table6220273233373839[[#This Row],[Non-Member]]="X"," ",IF(J7=" "," ",IFERROR(VLOOKUP(I7,Points!$A$2:$B$14,2,FALSE)," ")))</f>
        <v>7.5</v>
      </c>
      <c r="L7" s="92">
        <v>10.73</v>
      </c>
      <c r="M7" s="93">
        <f t="shared" si="4"/>
        <v>2</v>
      </c>
      <c r="N7" s="93">
        <f t="shared" si="5"/>
        <v>2</v>
      </c>
      <c r="O7" s="94">
        <f>IF(Table6220273233373839[[#This Row],[Non-Member]]="X"," ",IF(N7=" "," ",IFERROR(VLOOKUP(M7,Points!$A$2:$B$14,2,FALSE)," ")))</f>
        <v>15</v>
      </c>
      <c r="P7" s="92">
        <v>9.93</v>
      </c>
      <c r="Q7" s="93">
        <f t="shared" si="6"/>
        <v>2</v>
      </c>
      <c r="R7" s="93">
        <f t="shared" si="7"/>
        <v>2</v>
      </c>
      <c r="S7" s="94">
        <f>IF(Table6220273233373839[[#This Row],[Non-Member]]="X"," ",IF(R7=" "," ",IFERROR(VLOOKUP(Q7,Points!$A$2:$B$14,2,FALSE)," ")))</f>
        <v>15</v>
      </c>
      <c r="T7" s="92">
        <v>12.9</v>
      </c>
      <c r="U7" s="93">
        <f t="shared" si="8"/>
        <v>9</v>
      </c>
      <c r="V7" s="93" t="str">
        <f t="shared" si="9"/>
        <v xml:space="preserve"> </v>
      </c>
      <c r="W7" s="94" t="str">
        <f>IF(Table6220273233373839[[#This Row],[Non-Member]]="X"," ",IF(V7=" "," ",IFERROR(VLOOKUP(U7,Points!$A$2:$B$14,2,FALSE)," ")))</f>
        <v xml:space="preserve"> </v>
      </c>
      <c r="X7" s="92">
        <v>9.75</v>
      </c>
      <c r="Y7" s="93">
        <f t="shared" si="10"/>
        <v>2</v>
      </c>
      <c r="Z7" s="93">
        <f t="shared" si="11"/>
        <v>2</v>
      </c>
      <c r="AA7" s="94">
        <f>IF(Table6220273233373839[[#This Row],[Non-Member]]="X"," ",IF(Z7=" "," ",IFERROR(VLOOKUP(Y7,Points!$A$2:$B$14,2,FALSE)," ")))</f>
        <v>15</v>
      </c>
      <c r="AB7" s="92">
        <v>12.87</v>
      </c>
      <c r="AC7" s="93">
        <f t="shared" si="12"/>
        <v>8</v>
      </c>
      <c r="AD7" s="93" t="str">
        <f t="shared" si="13"/>
        <v xml:space="preserve"> </v>
      </c>
      <c r="AE7" s="94" t="str">
        <f>IF(Table6220273233373839[[#This Row],[Non-Member]]="X"," ",IF(AD7=" "," ",IFERROR(VLOOKUP(AC7,Points!$A$2:$B$14,2,FALSE)," ")))</f>
        <v xml:space="preserve"> </v>
      </c>
      <c r="AF7" s="92">
        <f t="shared" si="14"/>
        <v>22.619999999999997</v>
      </c>
      <c r="AG7" s="93">
        <f t="shared" si="15"/>
        <v>4</v>
      </c>
      <c r="AH7" s="93">
        <f t="shared" si="16"/>
        <v>4</v>
      </c>
      <c r="AI7" s="94">
        <f>IF(Table6220273233373839[[#This Row],[Non-Member]]="X"," ",IF(AH7=" "," ",IFERROR(VLOOKUP(AG7,Points!$A$2:$B$14,2,FALSE)," ")))</f>
        <v>9</v>
      </c>
      <c r="AJ7" s="93">
        <f>IF(Table6220273233373839[[#This Row],[Non-Member]]="X"," ",((IF(G7=" ",0,G7))+(IF(K7=" ",0,K7))+(IF(O7=" ",0,O7))+(IF(S7=" ",0,S7))+(IF(W7=" ",0,W7))+(IF(AA7=" ",0,AA7))+(IF(AE7=" ",0,AE7))+(IF(AI7=" ",0,AI7))))</f>
        <v>64.5</v>
      </c>
      <c r="AK7" s="95">
        <f t="shared" si="17"/>
        <v>64.5</v>
      </c>
      <c r="AL7" s="96">
        <f t="shared" si="18"/>
        <v>3</v>
      </c>
    </row>
    <row r="8" spans="2:38" x14ac:dyDescent="0.25">
      <c r="B8" s="90" t="s">
        <v>223</v>
      </c>
      <c r="C8" s="91"/>
      <c r="D8" s="92">
        <v>10.58</v>
      </c>
      <c r="E8" s="93">
        <f t="shared" si="0"/>
        <v>1</v>
      </c>
      <c r="F8" s="93">
        <f t="shared" si="1"/>
        <v>1</v>
      </c>
      <c r="G8" s="94">
        <f>IF(Table6220273233373839[[#This Row],[Non-Member]]="X"," ",IF(F8=" "," ",IFERROR(VLOOKUP(E8,Points!$A$2:$B$14,2,FALSE)," ")))</f>
        <v>18</v>
      </c>
      <c r="H8" s="92">
        <v>11.88</v>
      </c>
      <c r="I8" s="93">
        <f t="shared" si="2"/>
        <v>6</v>
      </c>
      <c r="J8" s="93">
        <f t="shared" si="3"/>
        <v>6</v>
      </c>
      <c r="K8" s="94">
        <f>IF(Table6220273233373839[[#This Row],[Non-Member]]="X"," ",IF(J8=" "," ",IFERROR(VLOOKUP(I8,Points!$A$2:$B$14,2,FALSE)," ")))</f>
        <v>3</v>
      </c>
      <c r="L8" s="92">
        <v>12.03</v>
      </c>
      <c r="M8" s="93">
        <f t="shared" si="4"/>
        <v>5</v>
      </c>
      <c r="N8" s="93">
        <f t="shared" si="5"/>
        <v>5</v>
      </c>
      <c r="O8" s="94">
        <f>IF(Table6220273233373839[[#This Row],[Non-Member]]="X"," ",IF(N8=" "," ",IFERROR(VLOOKUP(M8,Points!$A$2:$B$14,2,FALSE)," ")))</f>
        <v>6</v>
      </c>
      <c r="P8" s="92">
        <v>11.62</v>
      </c>
      <c r="Q8" s="93">
        <f t="shared" si="6"/>
        <v>7</v>
      </c>
      <c r="R8" s="93" t="str">
        <f t="shared" si="7"/>
        <v xml:space="preserve"> </v>
      </c>
      <c r="S8" s="94" t="str">
        <f>IF(Table6220273233373839[[#This Row],[Non-Member]]="X"," ",IF(R8=" "," ",IFERROR(VLOOKUP(Q8,Points!$A$2:$B$14,2,FALSE)," ")))</f>
        <v xml:space="preserve"> </v>
      </c>
      <c r="T8" s="92">
        <v>10.34</v>
      </c>
      <c r="U8" s="93">
        <f t="shared" si="8"/>
        <v>2</v>
      </c>
      <c r="V8" s="93">
        <f t="shared" si="9"/>
        <v>2</v>
      </c>
      <c r="W8" s="94">
        <f>IF(Table6220273233373839[[#This Row],[Non-Member]]="X"," ",IF(V8=" "," ",IFERROR(VLOOKUP(U8,Points!$A$2:$B$14,2,FALSE)," ")))</f>
        <v>15</v>
      </c>
      <c r="X8" s="92">
        <v>12.91</v>
      </c>
      <c r="Y8" s="93">
        <f t="shared" si="10"/>
        <v>11</v>
      </c>
      <c r="Z8" s="93" t="str">
        <f t="shared" si="11"/>
        <v xml:space="preserve"> </v>
      </c>
      <c r="AA8" s="94" t="str">
        <f>IF(Table6220273233373839[[#This Row],[Non-Member]]="X"," ",IF(Z8=" "," ",IFERROR(VLOOKUP(Y8,Points!$A$2:$B$14,2,FALSE)," ")))</f>
        <v xml:space="preserve"> </v>
      </c>
      <c r="AB8" s="92">
        <v>9.82</v>
      </c>
      <c r="AC8" s="93">
        <f t="shared" si="12"/>
        <v>2</v>
      </c>
      <c r="AD8" s="93">
        <f t="shared" si="13"/>
        <v>2</v>
      </c>
      <c r="AE8" s="94">
        <f>IF(Table6220273233373839[[#This Row],[Non-Member]]="X"," ",IF(AD8=" "," ",IFERROR(VLOOKUP(AC8,Points!$A$2:$B$14,2,FALSE)," ")))</f>
        <v>15</v>
      </c>
      <c r="AF8" s="92">
        <f t="shared" si="14"/>
        <v>22.73</v>
      </c>
      <c r="AG8" s="93">
        <f t="shared" si="15"/>
        <v>5</v>
      </c>
      <c r="AH8" s="93">
        <f t="shared" si="16"/>
        <v>5</v>
      </c>
      <c r="AI8" s="94">
        <f>IF(Table6220273233373839[[#This Row],[Non-Member]]="X"," ",IF(AH8=" "," ",IFERROR(VLOOKUP(AG8,Points!$A$2:$B$14,2,FALSE)," ")))</f>
        <v>6</v>
      </c>
      <c r="AJ8" s="93">
        <f>IF(Table6220273233373839[[#This Row],[Non-Member]]="X"," ",((IF(G8=" ",0,G8))+(IF(K8=" ",0,K8))+(IF(O8=" ",0,O8))+(IF(S8=" ",0,S8))+(IF(W8=" ",0,W8))+(IF(AA8=" ",0,AA8))+(IF(AE8=" ",0,AE8))+(IF(AI8=" ",0,AI8))))</f>
        <v>63</v>
      </c>
      <c r="AK8" s="95">
        <f t="shared" si="17"/>
        <v>63</v>
      </c>
      <c r="AL8" s="96">
        <f t="shared" si="18"/>
        <v>4</v>
      </c>
    </row>
    <row r="9" spans="2:38" x14ac:dyDescent="0.25">
      <c r="B9" s="90" t="s">
        <v>85</v>
      </c>
      <c r="C9" s="91"/>
      <c r="D9" s="92">
        <v>12.07</v>
      </c>
      <c r="E9" s="97">
        <f t="shared" si="0"/>
        <v>2</v>
      </c>
      <c r="F9" s="97">
        <f t="shared" si="1"/>
        <v>2</v>
      </c>
      <c r="G9" s="94">
        <f>IF(Table6220273233373839[[#This Row],[Non-Member]]="X"," ",IF(F9=" "," ",IFERROR(VLOOKUP(E9,Points!$A$2:$B$14,2,FALSE)," ")))</f>
        <v>15</v>
      </c>
      <c r="H9" s="92">
        <v>10.97</v>
      </c>
      <c r="I9" s="97">
        <f t="shared" si="2"/>
        <v>3</v>
      </c>
      <c r="J9" s="97">
        <f t="shared" si="3"/>
        <v>3</v>
      </c>
      <c r="K9" s="94">
        <f>IF(Table6220273233373839[[#This Row],[Non-Member]]="X"," ",IF(J9=" "," ",IFERROR(VLOOKUP(I9,Points!$A$2:$B$14,2,FALSE)," ")))</f>
        <v>12</v>
      </c>
      <c r="L9" s="92">
        <v>15.33</v>
      </c>
      <c r="M9" s="97">
        <f t="shared" si="4"/>
        <v>9</v>
      </c>
      <c r="N9" s="97" t="str">
        <f t="shared" si="5"/>
        <v xml:space="preserve"> </v>
      </c>
      <c r="O9" s="94" t="str">
        <f>IF(Table6220273233373839[[#This Row],[Non-Member]]="X"," ",IF(N9=" "," ",IFERROR(VLOOKUP(M9,Points!$A$2:$B$14,2,FALSE)," ")))</f>
        <v xml:space="preserve"> </v>
      </c>
      <c r="P9" s="92">
        <v>12.57</v>
      </c>
      <c r="Q9" s="97">
        <f t="shared" si="6"/>
        <v>8</v>
      </c>
      <c r="R9" s="97" t="str">
        <f t="shared" si="7"/>
        <v xml:space="preserve"> </v>
      </c>
      <c r="S9" s="94" t="str">
        <f>IF(Table6220273233373839[[#This Row],[Non-Member]]="X"," ",IF(R9=" "," ",IFERROR(VLOOKUP(Q9,Points!$A$2:$B$14,2,FALSE)," ")))</f>
        <v xml:space="preserve"> </v>
      </c>
      <c r="T9" s="92">
        <v>10.87</v>
      </c>
      <c r="U9" s="97">
        <f t="shared" si="8"/>
        <v>3</v>
      </c>
      <c r="V9" s="97">
        <f t="shared" si="9"/>
        <v>3</v>
      </c>
      <c r="W9" s="94">
        <f>IF(Table6220273233373839[[#This Row],[Non-Member]]="X"," ",IF(V9=" "," ",IFERROR(VLOOKUP(U9,Points!$A$2:$B$14,2,FALSE)," ")))</f>
        <v>12</v>
      </c>
      <c r="X9" s="92">
        <v>10.119999999999999</v>
      </c>
      <c r="Y9" s="97">
        <f t="shared" si="10"/>
        <v>3</v>
      </c>
      <c r="Z9" s="97">
        <f t="shared" si="11"/>
        <v>3</v>
      </c>
      <c r="AA9" s="94">
        <f>IF(Table6220273233373839[[#This Row],[Non-Member]]="X"," ",IF(Z9=" "," ",IFERROR(VLOOKUP(Y9,Points!$A$2:$B$14,2,FALSE)," ")))</f>
        <v>12</v>
      </c>
      <c r="AB9" s="92">
        <v>15.59</v>
      </c>
      <c r="AC9" s="97">
        <f t="shared" si="12"/>
        <v>14</v>
      </c>
      <c r="AD9" s="97" t="str">
        <f t="shared" si="13"/>
        <v xml:space="preserve"> </v>
      </c>
      <c r="AE9" s="94" t="str">
        <f>IF(Table6220273233373839[[#This Row],[Non-Member]]="X"," ",IF(AD9=" "," ",IFERROR(VLOOKUP(AC9,Points!$A$2:$B$14,2,FALSE)," ")))</f>
        <v xml:space="preserve"> </v>
      </c>
      <c r="AF9" s="92">
        <f t="shared" si="14"/>
        <v>25.71</v>
      </c>
      <c r="AG9" s="97">
        <f t="shared" si="15"/>
        <v>11</v>
      </c>
      <c r="AH9" s="97" t="str">
        <f t="shared" si="16"/>
        <v xml:space="preserve"> </v>
      </c>
      <c r="AI9" s="94" t="str">
        <f>IF(Table6220273233373839[[#This Row],[Non-Member]]="X"," ",IF(AH9=" "," ",IFERROR(VLOOKUP(AG9,Points!$A$2:$B$14,2,FALSE)," ")))</f>
        <v xml:space="preserve"> </v>
      </c>
      <c r="AJ9" s="97">
        <f>IF(Table6220273233373839[[#This Row],[Non-Member]]="X"," ",((IF(G9=" ",0,G9))+(IF(K9=" ",0,K9))+(IF(O9=" ",0,O9))+(IF(S9=" ",0,S9))+(IF(W9=" ",0,W9))+(IF(AA9=" ",0,AA9))+(IF(AE9=" ",0,AE9))+(IF(AI9=" ",0,AI9))))</f>
        <v>51</v>
      </c>
      <c r="AK9" s="95">
        <f t="shared" si="17"/>
        <v>51</v>
      </c>
      <c r="AL9" s="98">
        <f t="shared" si="18"/>
        <v>5</v>
      </c>
    </row>
    <row r="10" spans="2:38" x14ac:dyDescent="0.25">
      <c r="B10" s="90" t="s">
        <v>239</v>
      </c>
      <c r="C10" s="91"/>
      <c r="D10" s="92"/>
      <c r="E10" s="97" t="str">
        <f t="shared" si="0"/>
        <v xml:space="preserve"> </v>
      </c>
      <c r="F10" s="97" t="str">
        <f t="shared" si="1"/>
        <v xml:space="preserve"> </v>
      </c>
      <c r="G10" s="94" t="str">
        <f>IF(Table6220273233373839[[#This Row],[Non-Member]]="X"," ",IF(F10=" "," ",IFERROR(VLOOKUP(E10,Points!$A$2:$B$14,2,FALSE)," ")))</f>
        <v xml:space="preserve"> </v>
      </c>
      <c r="H10" s="92">
        <v>9.81</v>
      </c>
      <c r="I10" s="97">
        <f t="shared" si="2"/>
        <v>1</v>
      </c>
      <c r="J10" s="97">
        <f t="shared" si="3"/>
        <v>1</v>
      </c>
      <c r="K10" s="94">
        <f>IF(Table6220273233373839[[#This Row],[Non-Member]]="X"," ",IF(J10=" "," ",IFERROR(VLOOKUP(I10,Points!$A$2:$B$14,2,FALSE)," ")))</f>
        <v>18</v>
      </c>
      <c r="L10" s="92">
        <v>12.98</v>
      </c>
      <c r="M10" s="97">
        <f t="shared" si="4"/>
        <v>6</v>
      </c>
      <c r="N10" s="97">
        <f t="shared" si="5"/>
        <v>6</v>
      </c>
      <c r="O10" s="94">
        <f>IF(Table6220273233373839[[#This Row],[Non-Member]]="X"," ",IF(N10=" "," ",IFERROR(VLOOKUP(M10,Points!$A$2:$B$14,2,FALSE)," ")))</f>
        <v>3</v>
      </c>
      <c r="P10" s="92">
        <v>10.92</v>
      </c>
      <c r="Q10" s="97">
        <f t="shared" si="6"/>
        <v>5</v>
      </c>
      <c r="R10" s="97">
        <f t="shared" si="7"/>
        <v>5</v>
      </c>
      <c r="S10" s="94">
        <f>IF(Table6220273233373839[[#This Row],[Non-Member]]="X"," ",IF(R10=" "," ",IFERROR(VLOOKUP(Q10,Points!$A$2:$B$14,2,FALSE)," ")))</f>
        <v>6</v>
      </c>
      <c r="T10" s="92">
        <v>10.28</v>
      </c>
      <c r="U10" s="97">
        <f t="shared" si="8"/>
        <v>1</v>
      </c>
      <c r="V10" s="97">
        <f t="shared" si="9"/>
        <v>1</v>
      </c>
      <c r="W10" s="94">
        <f>IF(Table6220273233373839[[#This Row],[Non-Member]]="X"," ",IF(V10=" "," ",IFERROR(VLOOKUP(U10,Points!$A$2:$B$14,2,FALSE)," ")))</f>
        <v>18</v>
      </c>
      <c r="X10" s="92"/>
      <c r="Y10" s="97" t="str">
        <f t="shared" si="10"/>
        <v xml:space="preserve"> </v>
      </c>
      <c r="Z10" s="97" t="str">
        <f t="shared" si="11"/>
        <v xml:space="preserve"> </v>
      </c>
      <c r="AA10" s="94" t="str">
        <f>IF(Table6220273233373839[[#This Row],[Non-Member]]="X"," ",IF(Z10=" "," ",IFERROR(VLOOKUP(Y10,Points!$A$2:$B$14,2,FALSE)," ")))</f>
        <v xml:space="preserve"> </v>
      </c>
      <c r="AB10" s="92"/>
      <c r="AC10" s="97" t="str">
        <f t="shared" si="12"/>
        <v xml:space="preserve"> </v>
      </c>
      <c r="AD10" s="97" t="str">
        <f t="shared" si="13"/>
        <v xml:space="preserve"> </v>
      </c>
      <c r="AE10" s="94" t="str">
        <f>IF(Table6220273233373839[[#This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8" t="str">
        <f t="shared" si="15"/>
        <v xml:space="preserve"> </v>
      </c>
      <c r="AH10" s="97" t="str">
        <f t="shared" si="16"/>
        <v xml:space="preserve"> </v>
      </c>
      <c r="AI10" s="94" t="str">
        <f>IF(Table6220273233373839[[#This Row],[Non-Member]]="X"," ",IF(AH10=" "," ",IFERROR(VLOOKUP(AG10,Points!$A$2:$B$14,2,FALSE)," ")))</f>
        <v xml:space="preserve"> </v>
      </c>
      <c r="AJ10" s="97">
        <f>IF(Table6220273233373839[[#This Row],[Non-Member]]="X"," ",((IF(G10=" ",0,G10))+(IF(K10=" ",0,K10))+(IF(O10=" ",0,O10))+(IF(S10=" ",0,S10))+(IF(W10=" ",0,W10))+(IF(AA10=" ",0,AA10))+(IF(AE10=" ",0,AE10))+(IF(AI10=" ",0,AI10))))</f>
        <v>45</v>
      </c>
      <c r="AK10" s="153">
        <f t="shared" si="17"/>
        <v>45</v>
      </c>
      <c r="AL10" s="98">
        <f t="shared" si="18"/>
        <v>6</v>
      </c>
    </row>
    <row r="11" spans="2:38" x14ac:dyDescent="0.25">
      <c r="B11" s="90" t="s">
        <v>87</v>
      </c>
      <c r="C11" s="91"/>
      <c r="D11" s="92">
        <v>24.81</v>
      </c>
      <c r="E11" s="93">
        <f t="shared" si="0"/>
        <v>11</v>
      </c>
      <c r="F11" s="93" t="str">
        <f t="shared" si="1"/>
        <v xml:space="preserve"> </v>
      </c>
      <c r="G11" s="94" t="str">
        <f>IF(Table6220273233373839[[#This Row],[Non-Member]]="X"," ",IF(F11=" "," ",IFERROR(VLOOKUP(E11,Points!$A$2:$B$14,2,FALSE)," ")))</f>
        <v xml:space="preserve"> </v>
      </c>
      <c r="H11" s="92">
        <v>15.97</v>
      </c>
      <c r="I11" s="93">
        <f t="shared" si="2"/>
        <v>11</v>
      </c>
      <c r="J11" s="93" t="str">
        <f t="shared" si="3"/>
        <v xml:space="preserve"> </v>
      </c>
      <c r="K11" s="94" t="str">
        <f>IF(Table6220273233373839[[#This Row],[Non-Member]]="X"," ",IF(J11=" "," ",IFERROR(VLOOKUP(I11,Points!$A$2:$B$14,2,FALSE)," ")))</f>
        <v xml:space="preserve"> </v>
      </c>
      <c r="L11" s="92">
        <v>13.07</v>
      </c>
      <c r="M11" s="93">
        <f t="shared" si="4"/>
        <v>7.5</v>
      </c>
      <c r="N11" s="93" t="str">
        <f t="shared" si="5"/>
        <v xml:space="preserve"> </v>
      </c>
      <c r="O11" s="94" t="str">
        <f>IF(Table6220273233373839[[#This Row],[Non-Member]]="X"," ",IF(N11=" "," ",IFERROR(VLOOKUP(M11,Points!$A$2:$B$14,2,FALSE)," ")))</f>
        <v xml:space="preserve"> </v>
      </c>
      <c r="P11" s="92">
        <v>11.31</v>
      </c>
      <c r="Q11" s="93">
        <f t="shared" si="6"/>
        <v>6</v>
      </c>
      <c r="R11" s="93">
        <f t="shared" si="7"/>
        <v>6</v>
      </c>
      <c r="S11" s="94">
        <f>IF(Table6220273233373839[[#This Row],[Non-Member]]="X"," ",IF(R11=" "," ",IFERROR(VLOOKUP(Q11,Points!$A$2:$B$14,2,FALSE)," ")))</f>
        <v>3</v>
      </c>
      <c r="T11" s="92">
        <v>13.7</v>
      </c>
      <c r="U11" s="93">
        <f t="shared" si="8"/>
        <v>10</v>
      </c>
      <c r="V11" s="93" t="str">
        <f t="shared" si="9"/>
        <v xml:space="preserve"> </v>
      </c>
      <c r="W11" s="94" t="str">
        <f>IF(Table6220273233373839[[#This Row],[Non-Member]]="X"," ",IF(V11=" "," ",IFERROR(VLOOKUP(U11,Points!$A$2:$B$14,2,FALSE)," ")))</f>
        <v xml:space="preserve"> </v>
      </c>
      <c r="X11" s="92">
        <v>11.03</v>
      </c>
      <c r="Y11" s="93">
        <f t="shared" si="10"/>
        <v>5</v>
      </c>
      <c r="Z11" s="93">
        <f t="shared" si="11"/>
        <v>5</v>
      </c>
      <c r="AA11" s="94">
        <f>IF(Table6220273233373839[[#This Row],[Non-Member]]="X"," ",IF(Z11=" "," ",IFERROR(VLOOKUP(Y11,Points!$A$2:$B$14,2,FALSE)," ")))</f>
        <v>6</v>
      </c>
      <c r="AB11" s="92">
        <v>11.09</v>
      </c>
      <c r="AC11" s="93">
        <f t="shared" si="12"/>
        <v>5</v>
      </c>
      <c r="AD11" s="93">
        <f t="shared" si="13"/>
        <v>5</v>
      </c>
      <c r="AE11" s="94">
        <f>IF(Table6220273233373839[[#This Row],[Non-Member]]="X"," ",IF(AD11=" "," ",IFERROR(VLOOKUP(AC11,Points!$A$2:$B$14,2,FALSE)," ")))</f>
        <v>6</v>
      </c>
      <c r="AF11" s="92">
        <f t="shared" si="14"/>
        <v>22.119999999999997</v>
      </c>
      <c r="AG11" s="93">
        <f t="shared" si="15"/>
        <v>3</v>
      </c>
      <c r="AH11" s="93">
        <f t="shared" si="16"/>
        <v>3</v>
      </c>
      <c r="AI11" s="94">
        <f>IF(Table6220273233373839[[#This Row],[Non-Member]]="X"," ",IF(AH11=" "," ",IFERROR(VLOOKUP(AG11,Points!$A$2:$B$14,2,FALSE)," ")))</f>
        <v>12</v>
      </c>
      <c r="AJ11" s="93">
        <f>IF(Table6220273233373839[[#This Row],[Non-Member]]="X"," ",((IF(G11=" ",0,G11))+(IF(K11=" ",0,K11))+(IF(O11=" ",0,O11))+(IF(S11=" ",0,S11))+(IF(W11=" ",0,W11))+(IF(AA11=" ",0,AA11))+(IF(AE11=" ",0,AE11))+(IF(AI11=" ",0,AI11))))</f>
        <v>27</v>
      </c>
      <c r="AK11" s="95">
        <f t="shared" si="17"/>
        <v>27</v>
      </c>
      <c r="AL11" s="96">
        <f t="shared" si="18"/>
        <v>7</v>
      </c>
    </row>
    <row r="12" spans="2:38" x14ac:dyDescent="0.25">
      <c r="B12" s="90" t="s">
        <v>225</v>
      </c>
      <c r="C12" s="91"/>
      <c r="D12" s="92">
        <v>12.2</v>
      </c>
      <c r="E12" s="97">
        <f t="shared" si="0"/>
        <v>3</v>
      </c>
      <c r="F12" s="97">
        <f t="shared" si="1"/>
        <v>3</v>
      </c>
      <c r="G12" s="94">
        <f>IF(Table6220273233373839[[#This Row],[Non-Member]]="X"," ",IF(F12=" "," ",IFERROR(VLOOKUP(E12,Points!$A$2:$B$14,2,FALSE)," ")))</f>
        <v>12</v>
      </c>
      <c r="H12" s="92">
        <v>11.93</v>
      </c>
      <c r="I12" s="97">
        <f t="shared" si="2"/>
        <v>7</v>
      </c>
      <c r="J12" s="97" t="str">
        <f t="shared" si="3"/>
        <v xml:space="preserve"> </v>
      </c>
      <c r="K12" s="94" t="str">
        <f>IF(Table6220273233373839[[#This Row],[Non-Member]]="X"," ",IF(J12=" "," ",IFERROR(VLOOKUP(I12,Points!$A$2:$B$14,2,FALSE)," ")))</f>
        <v xml:space="preserve"> </v>
      </c>
      <c r="L12" s="92">
        <v>10.92</v>
      </c>
      <c r="M12" s="97">
        <f t="shared" si="4"/>
        <v>3</v>
      </c>
      <c r="N12" s="97">
        <f t="shared" si="5"/>
        <v>3</v>
      </c>
      <c r="O12" s="94">
        <f>IF(Table6220273233373839[[#This Row],[Non-Member]]="X"," ",IF(N12=" "," ",IFERROR(VLOOKUP(M12,Points!$A$2:$B$14,2,FALSE)," ")))</f>
        <v>12</v>
      </c>
      <c r="P12" s="92">
        <v>15.09</v>
      </c>
      <c r="Q12" s="97">
        <f t="shared" si="6"/>
        <v>13</v>
      </c>
      <c r="R12" s="97" t="str">
        <f t="shared" si="7"/>
        <v xml:space="preserve"> </v>
      </c>
      <c r="S12" s="94" t="str">
        <f>IF(Table6220273233373839[[#This Row],[Non-Member]]="X"," ",IF(R12=" "," ",IFERROR(VLOOKUP(Q12,Points!$A$2:$B$14,2,FALSE)," ")))</f>
        <v xml:space="preserve"> </v>
      </c>
      <c r="T12" s="92">
        <v>12.18</v>
      </c>
      <c r="U12" s="97">
        <f t="shared" si="8"/>
        <v>8</v>
      </c>
      <c r="V12" s="97" t="str">
        <f t="shared" si="9"/>
        <v xml:space="preserve"> </v>
      </c>
      <c r="W12" s="94" t="str">
        <f>IF(Table6220273233373839[[#This Row],[Non-Member]]="X"," ",IF(V12=" "," ",IFERROR(VLOOKUP(U12,Points!$A$2:$B$14,2,FALSE)," ")))</f>
        <v xml:space="preserve"> </v>
      </c>
      <c r="X12" s="92">
        <v>11.63</v>
      </c>
      <c r="Y12" s="97">
        <f t="shared" si="10"/>
        <v>8</v>
      </c>
      <c r="Z12" s="97" t="str">
        <f t="shared" si="11"/>
        <v xml:space="preserve"> </v>
      </c>
      <c r="AA12" s="94" t="str">
        <f>IF(Table6220273233373839[[#This Row],[Non-Member]]="X"," ",IF(Z12=" "," ",IFERROR(VLOOKUP(Y12,Points!$A$2:$B$14,2,FALSE)," ")))</f>
        <v xml:space="preserve"> </v>
      </c>
      <c r="AB12" s="92">
        <v>13.35</v>
      </c>
      <c r="AC12" s="97">
        <f t="shared" si="12"/>
        <v>10</v>
      </c>
      <c r="AD12" s="97" t="str">
        <f t="shared" si="13"/>
        <v xml:space="preserve"> </v>
      </c>
      <c r="AE12" s="94" t="str">
        <f>IF(Table6220273233373839[[#This Row],[Non-Member]]="X"," ",IF(AD12=" "," ",IFERROR(VLOOKUP(AC12,Points!$A$2:$B$14,2,FALSE)," ")))</f>
        <v xml:space="preserve"> </v>
      </c>
      <c r="AF12" s="92">
        <f t="shared" si="14"/>
        <v>24.98</v>
      </c>
      <c r="AG12" s="97">
        <f t="shared" si="15"/>
        <v>9</v>
      </c>
      <c r="AH12" s="97" t="str">
        <f t="shared" si="16"/>
        <v xml:space="preserve"> </v>
      </c>
      <c r="AI12" s="94" t="str">
        <f>IF(Table6220273233373839[[#This Row],[Non-Member]]="X"," ",IF(AH12=" "," ",IFERROR(VLOOKUP(AG12,Points!$A$2:$B$14,2,FALSE)," ")))</f>
        <v xml:space="preserve"> </v>
      </c>
      <c r="AJ12" s="97">
        <f>IF(Table6220273233373839[[#This Row],[Non-Member]]="X"," ",((IF(G12=" ",0,G12))+(IF(K12=" ",0,K12))+(IF(O12=" ",0,O12))+(IF(S12=" ",0,S12))+(IF(W12=" ",0,W12))+(IF(AA12=" ",0,AA12))+(IF(AE12=" ",0,AE12))+(IF(AI12=" ",0,AI12))))</f>
        <v>24</v>
      </c>
      <c r="AK12" s="95">
        <f t="shared" si="17"/>
        <v>24</v>
      </c>
      <c r="AL12" s="98">
        <f t="shared" si="18"/>
        <v>8</v>
      </c>
    </row>
    <row r="13" spans="2:38" x14ac:dyDescent="0.25">
      <c r="B13" s="90" t="s">
        <v>240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IF(Table6220273233373839[[#This Row],[Non-Member]]="X"," ",IF(F13=" "," ",IFERROR(VLOOKUP(E13,Points!$A$2:$B$14,2,FALSE)," ")))</f>
        <v xml:space="preserve"> </v>
      </c>
      <c r="H13" s="92">
        <v>18.12</v>
      </c>
      <c r="I13" s="97">
        <f t="shared" si="2"/>
        <v>12</v>
      </c>
      <c r="J13" s="97" t="str">
        <f t="shared" si="3"/>
        <v xml:space="preserve"> </v>
      </c>
      <c r="K13" s="94" t="str">
        <f>IF(Table6220273233373839[[#This Row],[Non-Member]]="X"," ",IF(J13=" "," ",IFERROR(VLOOKUP(I13,Points!$A$2:$B$14,2,FALSE)," ")))</f>
        <v xml:space="preserve"> </v>
      </c>
      <c r="L13" s="92">
        <v>19.02</v>
      </c>
      <c r="M13" s="97">
        <f t="shared" si="4"/>
        <v>12</v>
      </c>
      <c r="N13" s="97" t="str">
        <f t="shared" si="5"/>
        <v xml:space="preserve"> </v>
      </c>
      <c r="O13" s="94" t="str">
        <f>IF(Table6220273233373839[[#This Row],[Non-Member]]="X"," ",IF(N13=" "," ",IFERROR(VLOOKUP(M13,Points!$A$2:$B$14,2,FALSE)," ")))</f>
        <v xml:space="preserve"> </v>
      </c>
      <c r="P13" s="92">
        <v>15.02</v>
      </c>
      <c r="Q13" s="97">
        <f t="shared" si="6"/>
        <v>12</v>
      </c>
      <c r="R13" s="97" t="str">
        <f t="shared" si="7"/>
        <v xml:space="preserve"> </v>
      </c>
      <c r="S13" s="94" t="str">
        <f>IF(Table6220273233373839[[#This Row],[Non-Member]]="X"," ",IF(R13=" "," ",IFERROR(VLOOKUP(Q13,Points!$A$2:$B$14,2,FALSE)," ")))</f>
        <v xml:space="preserve"> </v>
      </c>
      <c r="T13" s="92">
        <v>22.09</v>
      </c>
      <c r="U13" s="97">
        <f t="shared" si="8"/>
        <v>16</v>
      </c>
      <c r="V13" s="97" t="str">
        <f t="shared" si="9"/>
        <v xml:space="preserve"> </v>
      </c>
      <c r="W13" s="94" t="str">
        <f>IF(Table6220273233373839[[#This Row],[Non-Member]]="X"," ",IF(V13=" "," ",IFERROR(VLOOKUP(U13,Points!$A$2:$B$14,2,FALSE)," ")))</f>
        <v xml:space="preserve"> </v>
      </c>
      <c r="X13" s="92">
        <v>12.09</v>
      </c>
      <c r="Y13" s="97">
        <f t="shared" si="10"/>
        <v>9</v>
      </c>
      <c r="Z13" s="97" t="str">
        <f t="shared" si="11"/>
        <v xml:space="preserve"> </v>
      </c>
      <c r="AA13" s="94" t="str">
        <f>IF(Table6220273233373839[[#This Row],[Non-Member]]="X"," ",IF(Z13=" "," ",IFERROR(VLOOKUP(Y13,Points!$A$2:$B$14,2,FALSE)," ")))</f>
        <v xml:space="preserve"> </v>
      </c>
      <c r="AB13" s="92">
        <v>10.69</v>
      </c>
      <c r="AC13" s="97">
        <f t="shared" si="12"/>
        <v>3</v>
      </c>
      <c r="AD13" s="97">
        <f t="shared" si="13"/>
        <v>3</v>
      </c>
      <c r="AE13" s="94">
        <f>IF(Table6220273233373839[[#This Row],[Non-Member]]="X"," ",IF(AD13=" "," ",IFERROR(VLOOKUP(AC13,Points!$A$2:$B$14,2,FALSE)," ")))</f>
        <v>12</v>
      </c>
      <c r="AF13" s="92">
        <f t="shared" si="14"/>
        <v>22.78</v>
      </c>
      <c r="AG13" s="98">
        <f t="shared" si="15"/>
        <v>6</v>
      </c>
      <c r="AH13" s="97">
        <f t="shared" si="16"/>
        <v>6</v>
      </c>
      <c r="AI13" s="94">
        <f>IF(Table6220273233373839[[#This Row],[Non-Member]]="X"," ",IF(AH13=" "," ",IFERROR(VLOOKUP(AG13,Points!$A$2:$B$14,2,FALSE)," ")))</f>
        <v>3</v>
      </c>
      <c r="AJ13" s="97">
        <f>IF(Table6220273233373839[[#This Row],[Non-Member]]="X"," ",((IF(G13=" ",0,G13))+(IF(K13=" ",0,K13))+(IF(O13=" ",0,O13))+(IF(S13=" ",0,S13))+(IF(W13=" ",0,W13))+(IF(AA13=" ",0,AA13))+(IF(AE13=" ",0,AE13))+(IF(AI13=" ",0,AI13))))</f>
        <v>15</v>
      </c>
      <c r="AK13" s="153">
        <f t="shared" si="17"/>
        <v>15</v>
      </c>
      <c r="AL13" s="98">
        <f t="shared" si="18"/>
        <v>9</v>
      </c>
    </row>
    <row r="14" spans="2:38" x14ac:dyDescent="0.25">
      <c r="B14" s="90" t="s">
        <v>96</v>
      </c>
      <c r="C14" s="91"/>
      <c r="D14" s="92">
        <v>13.35</v>
      </c>
      <c r="E14" s="93">
        <f t="shared" si="0"/>
        <v>5</v>
      </c>
      <c r="F14" s="93">
        <f t="shared" si="1"/>
        <v>5</v>
      </c>
      <c r="G14" s="94">
        <f>IF(Table6220273233373839[[#This Row],[Non-Member]]="X"," ",IF(F14=" "," ",IFERROR(VLOOKUP(E14,Points!$A$2:$B$14,2,FALSE)," ")))</f>
        <v>6</v>
      </c>
      <c r="H14" s="92">
        <v>12</v>
      </c>
      <c r="I14" s="93">
        <f t="shared" si="2"/>
        <v>8</v>
      </c>
      <c r="J14" s="93" t="str">
        <f t="shared" si="3"/>
        <v xml:space="preserve"> </v>
      </c>
      <c r="K14" s="94" t="str">
        <f>IF(Table6220273233373839[[#This Row],[Non-Member]]="X"," ",IF(J14=" "," ",IFERROR(VLOOKUP(I14,Points!$A$2:$B$14,2,FALSE)," ")))</f>
        <v xml:space="preserve"> </v>
      </c>
      <c r="L14" s="92">
        <v>13.07</v>
      </c>
      <c r="M14" s="93">
        <f t="shared" si="4"/>
        <v>7.5</v>
      </c>
      <c r="N14" s="93" t="str">
        <f t="shared" si="5"/>
        <v xml:space="preserve"> </v>
      </c>
      <c r="O14" s="94" t="str">
        <f>IF(Table6220273233373839[[#This Row],[Non-Member]]="X"," ",IF(N14=" "," ",IFERROR(VLOOKUP(M14,Points!$A$2:$B$14,2,FALSE)," ")))</f>
        <v xml:space="preserve"> </v>
      </c>
      <c r="P14" s="92">
        <v>13.77</v>
      </c>
      <c r="Q14" s="93">
        <f t="shared" si="6"/>
        <v>10</v>
      </c>
      <c r="R14" s="93" t="str">
        <f t="shared" si="7"/>
        <v xml:space="preserve"> </v>
      </c>
      <c r="S14" s="94" t="str">
        <f>IF(Table6220273233373839[[#This Row],[Non-Member]]="X"," ",IF(R14=" "," ",IFERROR(VLOOKUP(Q14,Points!$A$2:$B$14,2,FALSE)," ")))</f>
        <v xml:space="preserve"> </v>
      </c>
      <c r="T14" s="92">
        <v>11.78</v>
      </c>
      <c r="U14" s="93">
        <f t="shared" si="8"/>
        <v>5</v>
      </c>
      <c r="V14" s="93">
        <f t="shared" si="9"/>
        <v>5</v>
      </c>
      <c r="W14" s="94">
        <f>IF(Table6220273233373839[[#This Row],[Non-Member]]="X"," ",IF(V14=" "," ",IFERROR(VLOOKUP(U14,Points!$A$2:$B$14,2,FALSE)," ")))</f>
        <v>6</v>
      </c>
      <c r="X14" s="92">
        <v>11.34</v>
      </c>
      <c r="Y14" s="93">
        <f t="shared" si="10"/>
        <v>6.5</v>
      </c>
      <c r="Z14" s="93">
        <f t="shared" si="11"/>
        <v>6</v>
      </c>
      <c r="AA14" s="94">
        <f>IF(Table6220273233373839[[#This Row],[Non-Member]]="X"," ",IF(Z14=" "," ",IFERROR(VLOOKUP(Y14,Points!$A$2:$B$14,2,FALSE)," ")))</f>
        <v>1.5</v>
      </c>
      <c r="AB14" s="92">
        <v>14.19</v>
      </c>
      <c r="AC14" s="93">
        <f t="shared" si="12"/>
        <v>13</v>
      </c>
      <c r="AD14" s="93" t="str">
        <f t="shared" si="13"/>
        <v xml:space="preserve"> </v>
      </c>
      <c r="AE14" s="94" t="str">
        <f>IF(Table6220273233373839[[#This Row],[Non-Member]]="X"," ",IF(AD14=" "," ",IFERROR(VLOOKUP(AC14,Points!$A$2:$B$14,2,FALSE)," ")))</f>
        <v xml:space="preserve"> </v>
      </c>
      <c r="AF14" s="92">
        <f t="shared" si="14"/>
        <v>25.53</v>
      </c>
      <c r="AG14" s="93">
        <f t="shared" si="15"/>
        <v>10</v>
      </c>
      <c r="AH14" s="93" t="str">
        <f t="shared" si="16"/>
        <v xml:space="preserve"> </v>
      </c>
      <c r="AI14" s="94" t="str">
        <f>IF(Table6220273233373839[[#This Row],[Non-Member]]="X"," ",IF(AH14=" "," ",IFERROR(VLOOKUP(AG14,Points!$A$2:$B$14,2,FALSE)," ")))</f>
        <v xml:space="preserve"> </v>
      </c>
      <c r="AJ14" s="93">
        <f>IF(Table6220273233373839[[#This Row],[Non-Member]]="X"," ",((IF(G14=" ",0,G14))+(IF(K14=" ",0,K14))+(IF(O14=" ",0,O14))+(IF(S14=" ",0,S14))+(IF(W14=" ",0,W14))+(IF(AA14=" ",0,AA14))+(IF(AE14=" ",0,AE14))+(IF(AI14=" ",0,AI14))))</f>
        <v>13.5</v>
      </c>
      <c r="AK14" s="95">
        <f t="shared" si="17"/>
        <v>13.5</v>
      </c>
      <c r="AL14" s="96">
        <f t="shared" si="18"/>
        <v>10</v>
      </c>
    </row>
    <row r="15" spans="2:38" x14ac:dyDescent="0.25">
      <c r="B15" s="90" t="s">
        <v>242</v>
      </c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IF(Table6220273233373839[[#This Row],[Non-Member]]="X"," ",IF(F15=" "," ",IFERROR(VLOOKUP(E15,Points!$A$2:$B$14,2,FALSE)," ")))</f>
        <v xml:space="preserve"> </v>
      </c>
      <c r="H15" s="92">
        <v>0</v>
      </c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IF(Table6220273233373839[[#This Row],[Non-Member]]="X"," ",IF(J15=" "," ",IFERROR(VLOOKUP(I15,Points!$A$2:$B$14,2,FALSE)," ")))</f>
        <v xml:space="preserve"> </v>
      </c>
      <c r="L15" s="92">
        <v>18.079999999999998</v>
      </c>
      <c r="M15" s="93">
        <f t="shared" si="4"/>
        <v>11</v>
      </c>
      <c r="N15" s="93" t="str">
        <f t="shared" si="5"/>
        <v xml:space="preserve"> </v>
      </c>
      <c r="O15" s="94" t="str">
        <f>IF(Table6220273233373839[[#This Row],[Non-Member]]="X"," ",IF(N15=" "," ",IFERROR(VLOOKUP(M15,Points!$A$2:$B$14,2,FALSE)," ")))</f>
        <v xml:space="preserve"> </v>
      </c>
      <c r="P15" s="92">
        <v>13.93</v>
      </c>
      <c r="Q15" s="93">
        <f t="shared" si="6"/>
        <v>11</v>
      </c>
      <c r="R15" s="93" t="str">
        <f t="shared" si="7"/>
        <v xml:space="preserve"> </v>
      </c>
      <c r="S15" s="94" t="str">
        <f>IF(Table6220273233373839[[#This Row],[Non-Member]]="X"," ",IF(R15=" "," ",IFERROR(VLOOKUP(Q15,Points!$A$2:$B$14,2,FALSE)," ")))</f>
        <v xml:space="preserve"> </v>
      </c>
      <c r="T15" s="92">
        <v>16.97</v>
      </c>
      <c r="U15" s="93">
        <f t="shared" si="8"/>
        <v>14</v>
      </c>
      <c r="V15" s="93" t="str">
        <f t="shared" si="9"/>
        <v xml:space="preserve"> </v>
      </c>
      <c r="W15" s="94" t="str">
        <f>IF(Table6220273233373839[[#This Row],[Non-Member]]="X"," ",IF(V15=" "," ",IFERROR(VLOOKUP(U15,Points!$A$2:$B$14,2,FALSE)," ")))</f>
        <v xml:space="preserve"> </v>
      </c>
      <c r="X15" s="92">
        <v>12.13</v>
      </c>
      <c r="Y15" s="93">
        <f t="shared" si="10"/>
        <v>10</v>
      </c>
      <c r="Z15" s="93" t="str">
        <f t="shared" si="11"/>
        <v xml:space="preserve"> </v>
      </c>
      <c r="AA15" s="94" t="str">
        <f>IF(Table6220273233373839[[#This Row],[Non-Member]]="X"," ",IF(Z15=" "," ",IFERROR(VLOOKUP(Y15,Points!$A$2:$B$14,2,FALSE)," ")))</f>
        <v xml:space="preserve"> </v>
      </c>
      <c r="AB15" s="92">
        <v>12.66</v>
      </c>
      <c r="AC15" s="93">
        <f t="shared" si="12"/>
        <v>6</v>
      </c>
      <c r="AD15" s="93">
        <f t="shared" si="13"/>
        <v>6</v>
      </c>
      <c r="AE15" s="94">
        <f>IF(Table6220273233373839[[#This Row],[Non-Member]]="X"," ",IF(AD15=" "," ",IFERROR(VLOOKUP(AC15,Points!$A$2:$B$14,2,FALSE)," ")))</f>
        <v>3</v>
      </c>
      <c r="AF15" s="92">
        <f t="shared" si="14"/>
        <v>24.79</v>
      </c>
      <c r="AG15" s="93">
        <f t="shared" si="15"/>
        <v>8</v>
      </c>
      <c r="AH15" s="93" t="str">
        <f t="shared" si="16"/>
        <v xml:space="preserve"> </v>
      </c>
      <c r="AI15" s="94" t="str">
        <f>IF(Table6220273233373839[[#This Row],[Non-Member]]="X"," ",IF(AH15=" "," ",IFERROR(VLOOKUP(AG15,Points!$A$2:$B$14,2,FALSE)," ")))</f>
        <v xml:space="preserve"> </v>
      </c>
      <c r="AJ15" s="93">
        <f>IF(Table6220273233373839[[#This Row],[Non-Member]]="X"," ",((IF(G15=" ",0,G15))+(IF(K15=" ",0,K15))+(IF(O15=" ",0,O15))+(IF(S15=" ",0,S15))+(IF(W15=" ",0,W15))+(IF(AA15=" ",0,AA15))+(IF(AE15=" ",0,AE15))+(IF(AI15=" ",0,AI15))))</f>
        <v>3</v>
      </c>
      <c r="AK15" s="95">
        <f t="shared" si="17"/>
        <v>3</v>
      </c>
      <c r="AL15" s="96">
        <f t="shared" si="18"/>
        <v>11</v>
      </c>
    </row>
    <row r="16" spans="2:38" x14ac:dyDescent="0.25">
      <c r="B16" s="90" t="s">
        <v>227</v>
      </c>
      <c r="C16" s="91"/>
      <c r="D16" s="92">
        <v>44.25</v>
      </c>
      <c r="E16" s="93">
        <f t="shared" si="0"/>
        <v>14</v>
      </c>
      <c r="F16" s="93" t="str">
        <f t="shared" si="1"/>
        <v xml:space="preserve"> </v>
      </c>
      <c r="G16" s="94" t="str">
        <f>IF(Table6220273233373839[[#This Row],[Non-Member]]="X"," ",IF(F16=" "," ",IFERROR(VLOOKUP(E16,Points!$A$2:$B$14,2,FALSE)," ")))</f>
        <v xml:space="preserve"> </v>
      </c>
      <c r="H16" s="92">
        <v>32.19</v>
      </c>
      <c r="I16" s="93">
        <f t="shared" si="2"/>
        <v>17</v>
      </c>
      <c r="J16" s="93" t="str">
        <f t="shared" si="3"/>
        <v xml:space="preserve"> </v>
      </c>
      <c r="K16" s="94" t="str">
        <f>IF(Table6220273233373839[[#This Row],[Non-Member]]="X"," ",IF(J16=" "," ",IFERROR(VLOOKUP(I16,Points!$A$2:$B$14,2,FALSE)," ")))</f>
        <v xml:space="preserve"> </v>
      </c>
      <c r="L16" s="92">
        <v>20.12</v>
      </c>
      <c r="M16" s="93">
        <f t="shared" si="4"/>
        <v>15</v>
      </c>
      <c r="N16" s="93" t="str">
        <f t="shared" si="5"/>
        <v xml:space="preserve"> </v>
      </c>
      <c r="O16" s="94" t="str">
        <f>IF(Table6220273233373839[[#This Row],[Non-Member]]="X"," ",IF(N16=" "," ",IFERROR(VLOOKUP(M16,Points!$A$2:$B$14,2,FALSE)," ")))</f>
        <v xml:space="preserve"> </v>
      </c>
      <c r="P16" s="92">
        <v>18.3</v>
      </c>
      <c r="Q16" s="93">
        <f t="shared" si="6"/>
        <v>15</v>
      </c>
      <c r="R16" s="93" t="str">
        <f t="shared" si="7"/>
        <v xml:space="preserve"> </v>
      </c>
      <c r="S16" s="94" t="str">
        <f>IF(Table6220273233373839[[#This Row],[Non-Member]]="X"," ",IF(R16=" "," ",IFERROR(VLOOKUP(Q16,Points!$A$2:$B$14,2,FALSE)," ")))</f>
        <v xml:space="preserve"> </v>
      </c>
      <c r="T16" s="92">
        <v>14.36</v>
      </c>
      <c r="U16" s="93">
        <f t="shared" si="8"/>
        <v>11</v>
      </c>
      <c r="V16" s="93" t="str">
        <f t="shared" si="9"/>
        <v xml:space="preserve"> </v>
      </c>
      <c r="W16" s="94" t="str">
        <f>IF(Table6220273233373839[[#This Row],[Non-Member]]="X"," ",IF(V16=" "," ",IFERROR(VLOOKUP(U16,Points!$A$2:$B$14,2,FALSE)," ")))</f>
        <v xml:space="preserve"> </v>
      </c>
      <c r="X16" s="92">
        <v>11.34</v>
      </c>
      <c r="Y16" s="93">
        <f t="shared" si="10"/>
        <v>6.5</v>
      </c>
      <c r="Z16" s="93">
        <f t="shared" si="11"/>
        <v>6</v>
      </c>
      <c r="AA16" s="94">
        <f>IF(Table6220273233373839[[#This Row],[Non-Member]]="X"," ",IF(Z16=" "," ",IFERROR(VLOOKUP(Y16,Points!$A$2:$B$14,2,FALSE)," ")))</f>
        <v>1.5</v>
      </c>
      <c r="AB16" s="92">
        <v>12.72</v>
      </c>
      <c r="AC16" s="93">
        <f t="shared" si="12"/>
        <v>7</v>
      </c>
      <c r="AD16" s="93" t="str">
        <f t="shared" si="13"/>
        <v xml:space="preserve"> </v>
      </c>
      <c r="AE16" s="94" t="str">
        <f>IF(Table6220273233373839[[#This Row],[Non-Member]]="X"," ",IF(AD16=" "," ",IFERROR(VLOOKUP(AC16,Points!$A$2:$B$14,2,FALSE)," ")))</f>
        <v xml:space="preserve"> </v>
      </c>
      <c r="AF16" s="92">
        <f t="shared" si="14"/>
        <v>24.060000000000002</v>
      </c>
      <c r="AG16" s="93">
        <f t="shared" si="15"/>
        <v>7</v>
      </c>
      <c r="AH16" s="93" t="str">
        <f t="shared" si="16"/>
        <v xml:space="preserve"> </v>
      </c>
      <c r="AI16" s="94" t="str">
        <f>IF(Table6220273233373839[[#This Row],[Non-Member]]="X"," ",IF(AH16=" "," ",IFERROR(VLOOKUP(AG16,Points!$A$2:$B$14,2,FALSE)," ")))</f>
        <v xml:space="preserve"> </v>
      </c>
      <c r="AJ16" s="93">
        <f>IF(Table6220273233373839[[#This Row],[Non-Member]]="X"," ",((IF(G16=" ",0,G16))+(IF(K16=" ",0,K16))+(IF(O16=" ",0,O16))+(IF(S16=" ",0,S16))+(IF(W16=" ",0,W16))+(IF(AA16=" ",0,AA16))+(IF(AE16=" ",0,AE16))+(IF(AI16=" ",0,AI16))))</f>
        <v>1.5</v>
      </c>
      <c r="AK16" s="95">
        <f t="shared" si="17"/>
        <v>1.5</v>
      </c>
      <c r="AL16" s="96">
        <f t="shared" si="18"/>
        <v>12</v>
      </c>
    </row>
    <row r="17" spans="2:38" x14ac:dyDescent="0.25">
      <c r="B17" s="90" t="s">
        <v>222</v>
      </c>
      <c r="C17" s="91"/>
      <c r="D17" s="92">
        <v>0</v>
      </c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IF(Table6220273233373839[[#This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IF(Table6220273233373839[[#This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IF(Table6220273233373839[[#This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IF(Table6220273233373839[[#This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IF(Table6220273233373839[[#This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IF(Table6220273233373839[[#This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IF(Table6220273233373839[[#This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IF(Table6220273233373839[[#This Row],[Non-Member]]="X"," ",IF(AH17=" "," ",IFERROR(VLOOKUP(AG17,Points!$A$2:$B$14,2,FALSE)," ")))</f>
        <v xml:space="preserve"> </v>
      </c>
      <c r="AJ17" s="97">
        <f>IF(Table6220273233373839[[#This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25">
      <c r="B18" s="90" t="s">
        <v>94</v>
      </c>
      <c r="C18" s="91"/>
      <c r="D18" s="92">
        <v>0</v>
      </c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3" t="str">
        <f t="shared" si="15"/>
        <v xml:space="preserve"> </v>
      </c>
      <c r="AH18" s="93" t="str">
        <f t="shared" si="16"/>
        <v xml:space="preserve"> </v>
      </c>
      <c r="AI18" s="94" t="str">
        <f>IF(Table6220273233373839[[#This Row],[Non-Member]]="X"," ",IF(AH18=" "," ",IFERROR(VLOOKUP(AG18,Points!$A$2:$B$14,2,FALSE)," ")))</f>
        <v xml:space="preserve"> </v>
      </c>
      <c r="AJ18" s="93">
        <f>IF(Table6220273233373839[[#This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6" t="str">
        <f t="shared" si="18"/>
        <v xml:space="preserve"> </v>
      </c>
    </row>
    <row r="19" spans="2:38" x14ac:dyDescent="0.25">
      <c r="B19" s="90" t="s">
        <v>90</v>
      </c>
      <c r="C19" s="91"/>
      <c r="D19" s="92">
        <v>21.9</v>
      </c>
      <c r="E19" s="93">
        <f t="shared" si="0"/>
        <v>10</v>
      </c>
      <c r="F19" s="93" t="str">
        <f t="shared" si="1"/>
        <v xml:space="preserve"> </v>
      </c>
      <c r="G19" s="94" t="str">
        <f>IF(Table6220273233373839[[#This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IF(Table6220273233373839[[#This Row],[Non-Member]]="X"," ",IF(AH19=" "," ",IFERROR(VLOOKUP(AG19,Points!$A$2:$B$14,2,FALSE)," ")))</f>
        <v xml:space="preserve"> </v>
      </c>
      <c r="AJ19" s="93">
        <f>IF(Table6220273233373839[[#This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 t="s">
        <v>238</v>
      </c>
      <c r="C20" s="91"/>
      <c r="D20" s="92"/>
      <c r="E20" s="97" t="str">
        <f t="shared" si="0"/>
        <v xml:space="preserve"> </v>
      </c>
      <c r="F20" s="97" t="str">
        <f t="shared" si="1"/>
        <v xml:space="preserve"> </v>
      </c>
      <c r="G20" s="94" t="str">
        <f>IF(Table6220273233373839[[#This Row],[Non-Member]]="X"," ",IF(F20=" "," ",IFERROR(VLOOKUP(E20,Points!$A$2:$B$14,2,FALSE)," ")))</f>
        <v xml:space="preserve"> </v>
      </c>
      <c r="H20" s="92">
        <v>30.18</v>
      </c>
      <c r="I20" s="97">
        <f t="shared" si="2"/>
        <v>16</v>
      </c>
      <c r="J20" s="97" t="str">
        <f t="shared" si="3"/>
        <v xml:space="preserve"> </v>
      </c>
      <c r="K20" s="94" t="str">
        <f>IF(Table6220273233373839[[#This Row],[Non-Member]]="X"," ",IF(J20=" "," ",IFERROR(VLOOKUP(I20,Points!$A$2:$B$14,2,FALSE)," ")))</f>
        <v xml:space="preserve"> </v>
      </c>
      <c r="L20" s="92">
        <v>23</v>
      </c>
      <c r="M20" s="97">
        <f t="shared" si="4"/>
        <v>17</v>
      </c>
      <c r="N20" s="97" t="str">
        <f t="shared" si="5"/>
        <v xml:space="preserve"> </v>
      </c>
      <c r="O20" s="94" t="str">
        <f>IF(Table6220273233373839[[#This Row],[Non-Member]]="X"," ",IF(N20=" "," ",IFERROR(VLOOKUP(M20,Points!$A$2:$B$14,2,FALSE)," ")))</f>
        <v xml:space="preserve"> </v>
      </c>
      <c r="P20" s="92">
        <v>25.97</v>
      </c>
      <c r="Q20" s="97">
        <f t="shared" si="6"/>
        <v>18</v>
      </c>
      <c r="R20" s="97" t="str">
        <f t="shared" si="7"/>
        <v xml:space="preserve"> </v>
      </c>
      <c r="S20" s="94" t="str">
        <f>IF(Table6220273233373839[[#This Row],[Non-Member]]="X"," ",IF(R20=" "," ",IFERROR(VLOOKUP(Q20,Points!$A$2:$B$14,2,FALSE)," ")))</f>
        <v xml:space="preserve"> </v>
      </c>
      <c r="T20" s="92">
        <v>36.340000000000003</v>
      </c>
      <c r="U20" s="97">
        <f t="shared" si="8"/>
        <v>18</v>
      </c>
      <c r="V20" s="97" t="str">
        <f t="shared" si="9"/>
        <v xml:space="preserve"> </v>
      </c>
      <c r="W20" s="94" t="str">
        <f>IF(Table6220273233373839[[#This Row],[Non-Member]]="X"," ",IF(V20=" "," ",IFERROR(VLOOKUP(U20,Points!$A$2:$B$14,2,FALSE)," ")))</f>
        <v xml:space="preserve"> </v>
      </c>
      <c r="X20" s="92"/>
      <c r="Y20" s="97" t="str">
        <f t="shared" si="10"/>
        <v xml:space="preserve"> </v>
      </c>
      <c r="Z20" s="97" t="str">
        <f t="shared" si="11"/>
        <v xml:space="preserve"> </v>
      </c>
      <c r="AA20" s="94" t="str">
        <f>IF(Table6220273233373839[[#This Row],[Non-Member]]="X"," ",IF(Z20=" "," ",IFERROR(VLOOKUP(Y20,Points!$A$2:$B$14,2,FALSE)," ")))</f>
        <v xml:space="preserve"> </v>
      </c>
      <c r="AB20" s="92"/>
      <c r="AC20" s="97" t="str">
        <f t="shared" si="12"/>
        <v xml:space="preserve"> </v>
      </c>
      <c r="AD20" s="97" t="str">
        <f t="shared" si="13"/>
        <v xml:space="preserve"> </v>
      </c>
      <c r="AE20" s="94" t="str">
        <f>IF(Table6220273233373839[[#This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8" t="str">
        <f t="shared" si="15"/>
        <v xml:space="preserve"> </v>
      </c>
      <c r="AH20" s="97" t="str">
        <f t="shared" si="16"/>
        <v xml:space="preserve"> </v>
      </c>
      <c r="AI20" s="94" t="str">
        <f>IF(Table6220273233373839[[#This Row],[Non-Member]]="X"," ",IF(AH20=" "," ",IFERROR(VLOOKUP(AG20,Points!$A$2:$B$14,2,FALSE)," ")))</f>
        <v xml:space="preserve"> </v>
      </c>
      <c r="AJ20" s="97">
        <f>IF(Table6220273233373839[[#This Row],[Non-Member]]="X"," ",((IF(G20=" ",0,G20))+(IF(K20=" ",0,K20))+(IF(O20=" ",0,O20))+(IF(S20=" ",0,S20))+(IF(W20=" ",0,W20))+(IF(AA20=" ",0,AA20))+(IF(AE20=" ",0,AE20))+(IF(AI20=" ",0,AI20))))</f>
        <v>0</v>
      </c>
      <c r="AK20" s="153" t="str">
        <f t="shared" si="17"/>
        <v xml:space="preserve"> </v>
      </c>
      <c r="AL20" s="98" t="str">
        <f t="shared" si="18"/>
        <v xml:space="preserve"> </v>
      </c>
    </row>
    <row r="21" spans="2:38" x14ac:dyDescent="0.25">
      <c r="B21" s="90" t="s">
        <v>228</v>
      </c>
      <c r="C21" s="91"/>
      <c r="D21" s="92">
        <v>27.24</v>
      </c>
      <c r="E21" s="93">
        <f t="shared" si="0"/>
        <v>12</v>
      </c>
      <c r="F21" s="93" t="str">
        <f t="shared" si="1"/>
        <v xml:space="preserve"> </v>
      </c>
      <c r="G21" s="94" t="str">
        <f>IF(Table6220273233373839[[#This Row],[Non-Member]]="X"," ",IF(F21=" "," ",IFERROR(VLOOKUP(E21,Points!$A$2:$B$14,2,FALSE)," ")))</f>
        <v xml:space="preserve"> </v>
      </c>
      <c r="H21" s="92">
        <v>47.35</v>
      </c>
      <c r="I21" s="93">
        <f t="shared" si="2"/>
        <v>18</v>
      </c>
      <c r="J21" s="93" t="str">
        <f t="shared" si="3"/>
        <v xml:space="preserve"> </v>
      </c>
      <c r="K21" s="94" t="str">
        <f>IF(Table6220273233373839[[#This Row],[Non-Member]]="X"," ",IF(J21=" "," ",IFERROR(VLOOKUP(I21,Points!$A$2:$B$14,2,FALSE)," ")))</f>
        <v xml:space="preserve"> </v>
      </c>
      <c r="L21" s="92">
        <v>23.65</v>
      </c>
      <c r="M21" s="93">
        <f t="shared" si="4"/>
        <v>18</v>
      </c>
      <c r="N21" s="93" t="str">
        <f t="shared" si="5"/>
        <v xml:space="preserve"> </v>
      </c>
      <c r="O21" s="94" t="str">
        <f>IF(Table6220273233373839[[#This Row],[Non-Member]]="X"," ",IF(N21=" "," ",IFERROR(VLOOKUP(M21,Points!$A$2:$B$14,2,FALSE)," ")))</f>
        <v xml:space="preserve"> </v>
      </c>
      <c r="P21" s="92">
        <v>18.28</v>
      </c>
      <c r="Q21" s="93">
        <f t="shared" si="6"/>
        <v>14</v>
      </c>
      <c r="R21" s="93" t="str">
        <f t="shared" si="7"/>
        <v xml:space="preserve"> </v>
      </c>
      <c r="S21" s="94" t="str">
        <f>IF(Table6220273233373839[[#This Row],[Non-Member]]="X"," ",IF(R21=" "," ",IFERROR(VLOOKUP(Q21,Points!$A$2:$B$14,2,FALSE)," ")))</f>
        <v xml:space="preserve"> </v>
      </c>
      <c r="T21" s="92">
        <v>22.12</v>
      </c>
      <c r="U21" s="93">
        <f t="shared" si="8"/>
        <v>17</v>
      </c>
      <c r="V21" s="93" t="str">
        <f t="shared" si="9"/>
        <v xml:space="preserve"> </v>
      </c>
      <c r="W21" s="94" t="str">
        <f>IF(Table6220273233373839[[#This Row],[Non-Member]]="X"," ",IF(V21=" "," ",IFERROR(VLOOKUP(U21,Points!$A$2:$B$14,2,FALSE)," ")))</f>
        <v xml:space="preserve"> </v>
      </c>
      <c r="X21" s="92">
        <v>18.12</v>
      </c>
      <c r="Y21" s="93">
        <f t="shared" si="10"/>
        <v>15</v>
      </c>
      <c r="Z21" s="93" t="str">
        <f t="shared" si="11"/>
        <v xml:space="preserve"> </v>
      </c>
      <c r="AA21" s="94" t="str">
        <f>IF(Table6220273233373839[[#This Row],[Non-Member]]="X"," ",IF(Z21=" "," ",IFERROR(VLOOKUP(Y21,Points!$A$2:$B$14,2,FALSE)," ")))</f>
        <v xml:space="preserve"> </v>
      </c>
      <c r="AB21" s="92">
        <v>18.72</v>
      </c>
      <c r="AC21" s="93">
        <f t="shared" si="12"/>
        <v>16</v>
      </c>
      <c r="AD21" s="93" t="str">
        <f t="shared" si="13"/>
        <v xml:space="preserve"> </v>
      </c>
      <c r="AE21" s="94" t="str">
        <f>IF(Table6220273233373839[[#This Row],[Non-Member]]="X"," ",IF(AD21=" "," ",IFERROR(VLOOKUP(AC21,Points!$A$2:$B$14,2,FALSE)," ")))</f>
        <v xml:space="preserve"> </v>
      </c>
      <c r="AF21" s="92">
        <f t="shared" si="14"/>
        <v>36.840000000000003</v>
      </c>
      <c r="AG21" s="93">
        <f t="shared" si="15"/>
        <v>16</v>
      </c>
      <c r="AH21" s="93" t="str">
        <f t="shared" si="16"/>
        <v xml:space="preserve"> </v>
      </c>
      <c r="AI21" s="94" t="str">
        <f>IF(Table6220273233373839[[#This Row],[Non-Member]]="X"," ",IF(AH21=" "," ",IFERROR(VLOOKUP(AG21,Points!$A$2:$B$14,2,FALSE)," ")))</f>
        <v xml:space="preserve"> </v>
      </c>
      <c r="AJ21" s="93">
        <f>IF(Table6220273233373839[[#This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 t="s">
        <v>92</v>
      </c>
      <c r="C22" s="91"/>
      <c r="D22" s="92">
        <v>27.82</v>
      </c>
      <c r="E22" s="93">
        <f t="shared" si="0"/>
        <v>13</v>
      </c>
      <c r="F22" s="93" t="str">
        <f t="shared" si="1"/>
        <v xml:space="preserve"> </v>
      </c>
      <c r="G22" s="94" t="str">
        <f>IF(Table6220273233373839[[#This Row],[Non-Member]]="X"," ",IF(F22=" "," ",IFERROR(VLOOKUP(E22,Points!$A$2:$B$14,2,FALSE)," ")))</f>
        <v xml:space="preserve"> </v>
      </c>
      <c r="H22" s="92">
        <v>18.84</v>
      </c>
      <c r="I22" s="93">
        <f t="shared" si="2"/>
        <v>13</v>
      </c>
      <c r="J22" s="93" t="str">
        <f t="shared" si="3"/>
        <v xml:space="preserve"> </v>
      </c>
      <c r="K22" s="94" t="str">
        <f>IF(Table6220273233373839[[#This Row],[Non-Member]]="X"," ",IF(J22=" "," ",IFERROR(VLOOKUP(I22,Points!$A$2:$B$14,2,FALSE)," ")))</f>
        <v xml:space="preserve"> </v>
      </c>
      <c r="L22" s="92">
        <v>21.19</v>
      </c>
      <c r="M22" s="93">
        <f t="shared" si="4"/>
        <v>16</v>
      </c>
      <c r="N22" s="93" t="str">
        <f t="shared" si="5"/>
        <v xml:space="preserve"> </v>
      </c>
      <c r="O22" s="94" t="str">
        <f>IF(Table6220273233373839[[#This Row],[Non-Member]]="X"," ",IF(N22=" "," ",IFERROR(VLOOKUP(M22,Points!$A$2:$B$14,2,FALSE)," ")))</f>
        <v xml:space="preserve"> </v>
      </c>
      <c r="P22" s="92">
        <v>12.58</v>
      </c>
      <c r="Q22" s="93">
        <f t="shared" si="6"/>
        <v>9</v>
      </c>
      <c r="R22" s="93" t="str">
        <f t="shared" si="7"/>
        <v xml:space="preserve"> </v>
      </c>
      <c r="S22" s="94" t="str">
        <f>IF(Table6220273233373839[[#This Row],[Non-Member]]="X"," ",IF(R22=" "," ",IFERROR(VLOOKUP(Q22,Points!$A$2:$B$14,2,FALSE)," ")))</f>
        <v xml:space="preserve"> </v>
      </c>
      <c r="T22" s="92">
        <v>12.03</v>
      </c>
      <c r="U22" s="93">
        <f t="shared" si="8"/>
        <v>7</v>
      </c>
      <c r="V22" s="93" t="str">
        <f t="shared" si="9"/>
        <v xml:space="preserve"> </v>
      </c>
      <c r="W22" s="94" t="str">
        <f>IF(Table6220273233373839[[#This Row],[Non-Member]]="X"," ",IF(V22=" "," ",IFERROR(VLOOKUP(U22,Points!$A$2:$B$14,2,FALSE)," ")))</f>
        <v xml:space="preserve"> </v>
      </c>
      <c r="X22" s="92">
        <v>20.25</v>
      </c>
      <c r="Y22" s="93">
        <f t="shared" si="10"/>
        <v>16</v>
      </c>
      <c r="Z22" s="93" t="str">
        <f t="shared" si="11"/>
        <v xml:space="preserve"> </v>
      </c>
      <c r="AA22" s="94" t="str">
        <f>IF(Table6220273233373839[[#This Row],[Non-Member]]="X"," ",IF(Z22=" "," ",IFERROR(VLOOKUP(Y22,Points!$A$2:$B$14,2,FALSE)," ")))</f>
        <v xml:space="preserve"> </v>
      </c>
      <c r="AB22" s="92">
        <v>13.31</v>
      </c>
      <c r="AC22" s="93">
        <f t="shared" si="12"/>
        <v>9</v>
      </c>
      <c r="AD22" s="93" t="str">
        <f t="shared" si="13"/>
        <v xml:space="preserve"> </v>
      </c>
      <c r="AE22" s="94" t="str">
        <f>IF(Table6220273233373839[[#This Row],[Non-Member]]="X"," ",IF(AD22=" "," ",IFERROR(VLOOKUP(AC22,Points!$A$2:$B$14,2,FALSE)," ")))</f>
        <v xml:space="preserve"> </v>
      </c>
      <c r="AF22" s="92">
        <f t="shared" si="14"/>
        <v>33.56</v>
      </c>
      <c r="AG22" s="93">
        <f t="shared" si="15"/>
        <v>14</v>
      </c>
      <c r="AH22" s="93" t="str">
        <f t="shared" si="16"/>
        <v xml:space="preserve"> </v>
      </c>
      <c r="AI22" s="94" t="str">
        <f>IF(Table6220273233373839[[#This Row],[Non-Member]]="X"," ",IF(AH22=" "," ",IFERROR(VLOOKUP(AG22,Points!$A$2:$B$14,2,FALSE)," ")))</f>
        <v xml:space="preserve"> </v>
      </c>
      <c r="AJ22" s="93">
        <f>IF(Table6220273233373839[[#This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 t="s">
        <v>229</v>
      </c>
      <c r="C23" s="91"/>
      <c r="D23" s="92"/>
      <c r="E23" s="97" t="str">
        <f t="shared" si="0"/>
        <v xml:space="preserve"> </v>
      </c>
      <c r="F23" s="97" t="str">
        <f t="shared" si="1"/>
        <v xml:space="preserve"> </v>
      </c>
      <c r="G23" s="94" t="str">
        <f>IF(Table6220273233373839[[#This Row],[Non-Member]]="X"," ",IF(F23=" "," ",IFERROR(VLOOKUP(E23,Points!$A$2:$B$14,2,FALSE)," ")))</f>
        <v xml:space="preserve"> </v>
      </c>
      <c r="H23" s="92">
        <v>19.78</v>
      </c>
      <c r="I23" s="97">
        <f t="shared" si="2"/>
        <v>14</v>
      </c>
      <c r="J23" s="97" t="str">
        <f t="shared" si="3"/>
        <v xml:space="preserve"> </v>
      </c>
      <c r="K23" s="94" t="str">
        <f>IF(Table6220273233373839[[#This Row],[Non-Member]]="X"," ",IF(J23=" "," ",IFERROR(VLOOKUP(I23,Points!$A$2:$B$14,2,FALSE)," ")))</f>
        <v xml:space="preserve"> </v>
      </c>
      <c r="L23" s="92">
        <v>37.24</v>
      </c>
      <c r="M23" s="97">
        <f t="shared" si="4"/>
        <v>19</v>
      </c>
      <c r="N23" s="97" t="str">
        <f t="shared" si="5"/>
        <v xml:space="preserve"> </v>
      </c>
      <c r="O23" s="94" t="str">
        <f>IF(Table6220273233373839[[#This Row],[Non-Member]]="X"," ",IF(N23=" "," ",IFERROR(VLOOKUP(M23,Points!$A$2:$B$14,2,FALSE)," ")))</f>
        <v xml:space="preserve"> </v>
      </c>
      <c r="P23" s="92">
        <v>39.31</v>
      </c>
      <c r="Q23" s="97">
        <f t="shared" si="6"/>
        <v>19</v>
      </c>
      <c r="R23" s="97" t="str">
        <f t="shared" si="7"/>
        <v xml:space="preserve"> </v>
      </c>
      <c r="S23" s="94" t="str">
        <f>IF(Table6220273233373839[[#This Row],[Non-Member]]="X"," ",IF(R23=" "," ",IFERROR(VLOOKUP(Q23,Points!$A$2:$B$14,2,FALSE)," ")))</f>
        <v xml:space="preserve"> </v>
      </c>
      <c r="T23" s="92">
        <v>18.62</v>
      </c>
      <c r="U23" s="97">
        <f t="shared" si="8"/>
        <v>15</v>
      </c>
      <c r="V23" s="97" t="str">
        <f t="shared" si="9"/>
        <v xml:space="preserve"> </v>
      </c>
      <c r="W23" s="94" t="str">
        <f>IF(Table6220273233373839[[#This Row],[Non-Member]]="X"," ",IF(V23=" "," ",IFERROR(VLOOKUP(U23,Points!$A$2:$B$14,2,FALSE)," ")))</f>
        <v xml:space="preserve"> </v>
      </c>
      <c r="X23" s="92">
        <v>15.78</v>
      </c>
      <c r="Y23" s="97">
        <f t="shared" si="10"/>
        <v>13</v>
      </c>
      <c r="Z23" s="97" t="str">
        <f t="shared" si="11"/>
        <v xml:space="preserve"> </v>
      </c>
      <c r="AA23" s="94" t="str">
        <f>IF(Table6220273233373839[[#This Row],[Non-Member]]="X"," ",IF(Z23=" "," ",IFERROR(VLOOKUP(Y23,Points!$A$2:$B$14,2,FALSE)," ")))</f>
        <v xml:space="preserve"> </v>
      </c>
      <c r="AB23" s="92">
        <v>13.81</v>
      </c>
      <c r="AC23" s="97">
        <f t="shared" si="12"/>
        <v>11</v>
      </c>
      <c r="AD23" s="97" t="str">
        <f t="shared" si="13"/>
        <v xml:space="preserve"> </v>
      </c>
      <c r="AE23" s="94" t="str">
        <f>IF(Table6220273233373839[[#This Row],[Non-Member]]="X"," ",IF(AD23=" "," ",IFERROR(VLOOKUP(AC23,Points!$A$2:$B$14,2,FALSE)," ")))</f>
        <v xml:space="preserve"> </v>
      </c>
      <c r="AF23" s="92">
        <f t="shared" si="14"/>
        <v>29.59</v>
      </c>
      <c r="AG23" s="98">
        <f t="shared" si="15"/>
        <v>13</v>
      </c>
      <c r="AH23" s="97" t="str">
        <f t="shared" si="16"/>
        <v xml:space="preserve"> </v>
      </c>
      <c r="AI23" s="94" t="str">
        <f>IF(Table6220273233373839[[#This Row],[Non-Member]]="X"," ",IF(AH23=" "," ",IFERROR(VLOOKUP(AG23,Points!$A$2:$B$14,2,FALSE)," ")))</f>
        <v xml:space="preserve"> </v>
      </c>
      <c r="AJ23" s="97">
        <f>IF(Table6220273233373839[[#This Row],[Non-Member]]="X"," ",((IF(G23=" ",0,G23))+(IF(K23=" ",0,K23))+(IF(O23=" ",0,O23))+(IF(S23=" ",0,S23))+(IF(W23=" ",0,W23))+(IF(AA23=" ",0,AA23))+(IF(AE23=" ",0,AE23))+(IF(AI23=" ",0,AI23))))</f>
        <v>0</v>
      </c>
      <c r="AK23" s="153" t="str">
        <f t="shared" si="17"/>
        <v xml:space="preserve"> </v>
      </c>
      <c r="AL23" s="98" t="str">
        <f t="shared" si="18"/>
        <v xml:space="preserve"> </v>
      </c>
    </row>
    <row r="24" spans="2:38" x14ac:dyDescent="0.25">
      <c r="B24" s="90" t="s">
        <v>224</v>
      </c>
      <c r="C24" s="91"/>
      <c r="D24" s="92">
        <v>21.06</v>
      </c>
      <c r="E24" s="93">
        <f t="shared" si="0"/>
        <v>9</v>
      </c>
      <c r="F24" s="93" t="str">
        <f t="shared" si="1"/>
        <v xml:space="preserve"> </v>
      </c>
      <c r="G24" s="94" t="str">
        <f>IF(Table6220273233373839[[#This Row],[Non-Member]]="X"," ",IF(F24=" "," ",IFERROR(VLOOKUP(E24,Points!$A$2:$B$14,2,FALSE)," ")))</f>
        <v xml:space="preserve"> </v>
      </c>
      <c r="H24" s="92">
        <v>14.81</v>
      </c>
      <c r="I24" s="93">
        <f t="shared" si="2"/>
        <v>10</v>
      </c>
      <c r="J24" s="93" t="str">
        <f t="shared" si="3"/>
        <v xml:space="preserve"> </v>
      </c>
      <c r="K24" s="94" t="str">
        <f>IF(Table6220273233373839[[#This Row],[Non-Member]]="X"," ",IF(J24=" "," ",IFERROR(VLOOKUP(I24,Points!$A$2:$B$14,2,FALSE)," ")))</f>
        <v xml:space="preserve"> </v>
      </c>
      <c r="L24" s="92">
        <v>17.04</v>
      </c>
      <c r="M24" s="93">
        <f t="shared" si="4"/>
        <v>10</v>
      </c>
      <c r="N24" s="93" t="str">
        <f t="shared" si="5"/>
        <v xml:space="preserve"> </v>
      </c>
      <c r="O24" s="94" t="str">
        <f>IF(Table6220273233373839[[#This Row],[Non-Member]]="X"," ",IF(N24=" "," ",IFERROR(VLOOKUP(M24,Points!$A$2:$B$14,2,FALSE)," ")))</f>
        <v xml:space="preserve"> </v>
      </c>
      <c r="P24" s="92">
        <v>19.2</v>
      </c>
      <c r="Q24" s="93">
        <f t="shared" si="6"/>
        <v>17</v>
      </c>
      <c r="R24" s="93" t="str">
        <f t="shared" si="7"/>
        <v xml:space="preserve"> </v>
      </c>
      <c r="S24" s="94" t="str">
        <f>IF(Table6220273233373839[[#This Row],[Non-Member]]="X"," ",IF(R24=" "," ",IFERROR(VLOOKUP(Q24,Points!$A$2:$B$14,2,FALSE)," ")))</f>
        <v xml:space="preserve"> </v>
      </c>
      <c r="T24" s="92">
        <v>14.39</v>
      </c>
      <c r="U24" s="93">
        <f t="shared" si="8"/>
        <v>12</v>
      </c>
      <c r="V24" s="93" t="str">
        <f t="shared" si="9"/>
        <v xml:space="preserve"> </v>
      </c>
      <c r="W24" s="94" t="str">
        <f>IF(Table6220273233373839[[#This Row],[Non-Member]]="X"," ",IF(V24=" "," ",IFERROR(VLOOKUP(U24,Points!$A$2:$B$14,2,FALSE)," ")))</f>
        <v xml:space="preserve"> </v>
      </c>
      <c r="X24" s="92">
        <v>15.1</v>
      </c>
      <c r="Y24" s="93">
        <f t="shared" si="10"/>
        <v>12</v>
      </c>
      <c r="Z24" s="93" t="str">
        <f t="shared" si="11"/>
        <v xml:space="preserve"> </v>
      </c>
      <c r="AA24" s="94" t="str">
        <f>IF(Table6220273233373839[[#This Row],[Non-Member]]="X"," ",IF(Z24=" "," ",IFERROR(VLOOKUP(Y24,Points!$A$2:$B$14,2,FALSE)," ")))</f>
        <v xml:space="preserve"> </v>
      </c>
      <c r="AB24" s="92">
        <v>14</v>
      </c>
      <c r="AC24" s="93">
        <f t="shared" si="12"/>
        <v>12</v>
      </c>
      <c r="AD24" s="93" t="str">
        <f t="shared" si="13"/>
        <v xml:space="preserve"> </v>
      </c>
      <c r="AE24" s="94" t="str">
        <f>IF(Table6220273233373839[[#This Row],[Non-Member]]="X"," ",IF(AD24=" "," ",IFERROR(VLOOKUP(AC24,Points!$A$2:$B$14,2,FALSE)," ")))</f>
        <v xml:space="preserve"> </v>
      </c>
      <c r="AF24" s="92">
        <f t="shared" si="14"/>
        <v>29.1</v>
      </c>
      <c r="AG24" s="93">
        <f t="shared" si="15"/>
        <v>12</v>
      </c>
      <c r="AH24" s="93" t="str">
        <f t="shared" si="16"/>
        <v xml:space="preserve"> </v>
      </c>
      <c r="AI24" s="94" t="str">
        <f>IF(Table6220273233373839[[#This Row],[Non-Member]]="X"," ",IF(AH24=" "," ",IFERROR(VLOOKUP(AG24,Points!$A$2:$B$14,2,FALSE)," ")))</f>
        <v xml:space="preserve"> </v>
      </c>
      <c r="AJ24" s="93">
        <f>IF(Table6220273233373839[[#This Row],[Non-Member]]="X"," ",((IF(G24=" ",0,G24))+(IF(K24=" ",0,K24))+(IF(O24=" ",0,O24))+(IF(S24=" ",0,S24))+(IF(W24=" ",0,W24))+(IF(AA24=" ",0,AA24))+(IF(AE24=" ",0,AE24))+(IF(AI24=" ",0,AI24))))</f>
        <v>0</v>
      </c>
      <c r="AK24" s="95" t="str">
        <f t="shared" si="17"/>
        <v xml:space="preserve"> </v>
      </c>
      <c r="AL24" s="96" t="str">
        <f t="shared" si="18"/>
        <v xml:space="preserve"> </v>
      </c>
    </row>
    <row r="25" spans="2:38" x14ac:dyDescent="0.25">
      <c r="B25" s="90" t="s">
        <v>221</v>
      </c>
      <c r="C25" s="91"/>
      <c r="D25" s="92">
        <v>20.079999999999998</v>
      </c>
      <c r="E25" s="93">
        <f t="shared" si="0"/>
        <v>8</v>
      </c>
      <c r="F25" s="93" t="str">
        <f t="shared" si="1"/>
        <v xml:space="preserve"> </v>
      </c>
      <c r="G25" s="94" t="str">
        <f>IF(Table6220273233373839[[#This Row],[Non-Member]]="X"," ",IF(F25=" "," ",IFERROR(VLOOKUP(E25,Points!$A$2:$B$14,2,FALSE)," ")))</f>
        <v xml:space="preserve"> </v>
      </c>
      <c r="H25" s="92">
        <v>29.34</v>
      </c>
      <c r="I25" s="93">
        <f t="shared" si="2"/>
        <v>15</v>
      </c>
      <c r="J25" s="93" t="str">
        <f t="shared" si="3"/>
        <v xml:space="preserve"> </v>
      </c>
      <c r="K25" s="94" t="str">
        <f>IF(Table6220273233373839[[#This Row],[Non-Member]]="X"," ",IF(J25=" "," ",IFERROR(VLOOKUP(I25,Points!$A$2:$B$14,2,FALSE)," ")))</f>
        <v xml:space="preserve"> </v>
      </c>
      <c r="L25" s="92">
        <v>19.440000000000001</v>
      </c>
      <c r="M25" s="93">
        <f t="shared" si="4"/>
        <v>14</v>
      </c>
      <c r="N25" s="93" t="str">
        <f t="shared" si="5"/>
        <v xml:space="preserve"> </v>
      </c>
      <c r="O25" s="94" t="str">
        <f>IF(Table6220273233373839[[#This Row],[Non-Member]]="X"," ",IF(N25=" "," ",IFERROR(VLOOKUP(M25,Points!$A$2:$B$14,2,FALSE)," ")))</f>
        <v xml:space="preserve"> </v>
      </c>
      <c r="P25" s="92">
        <v>19.03</v>
      </c>
      <c r="Q25" s="93">
        <f t="shared" si="6"/>
        <v>16</v>
      </c>
      <c r="R25" s="93" t="str">
        <f t="shared" si="7"/>
        <v xml:space="preserve"> </v>
      </c>
      <c r="S25" s="94" t="str">
        <f>IF(Table6220273233373839[[#This Row],[Non-Member]]="X"," ",IF(R25=" "," ",IFERROR(VLOOKUP(Q25,Points!$A$2:$B$14,2,FALSE)," ")))</f>
        <v xml:space="preserve"> </v>
      </c>
      <c r="T25" s="92">
        <v>16.55</v>
      </c>
      <c r="U25" s="93">
        <f t="shared" si="8"/>
        <v>13</v>
      </c>
      <c r="V25" s="93" t="str">
        <f t="shared" si="9"/>
        <v xml:space="preserve"> </v>
      </c>
      <c r="W25" s="94" t="str">
        <f>IF(Table6220273233373839[[#This Row],[Non-Member]]="X"," ",IF(V25=" "," ",IFERROR(VLOOKUP(U25,Points!$A$2:$B$14,2,FALSE)," ")))</f>
        <v xml:space="preserve"> </v>
      </c>
      <c r="X25" s="92">
        <v>17.75</v>
      </c>
      <c r="Y25" s="93">
        <f t="shared" si="10"/>
        <v>14</v>
      </c>
      <c r="Z25" s="93" t="str">
        <f t="shared" si="11"/>
        <v xml:space="preserve"> </v>
      </c>
      <c r="AA25" s="94" t="str">
        <f>IF(Table6220273233373839[[#This Row],[Non-Member]]="X"," ",IF(Z25=" "," ",IFERROR(VLOOKUP(Y25,Points!$A$2:$B$14,2,FALSE)," ")))</f>
        <v xml:space="preserve"> </v>
      </c>
      <c r="AB25" s="92">
        <v>16.809999999999999</v>
      </c>
      <c r="AC25" s="93">
        <f t="shared" si="12"/>
        <v>15</v>
      </c>
      <c r="AD25" s="93" t="str">
        <f t="shared" si="13"/>
        <v xml:space="preserve"> </v>
      </c>
      <c r="AE25" s="94" t="str">
        <f>IF(Table6220273233373839[[#This Row],[Non-Member]]="X"," ",IF(AD25=" "," ",IFERROR(VLOOKUP(AC25,Points!$A$2:$B$14,2,FALSE)," ")))</f>
        <v xml:space="preserve"> </v>
      </c>
      <c r="AF25" s="92">
        <f t="shared" si="14"/>
        <v>34.56</v>
      </c>
      <c r="AG25" s="93">
        <f t="shared" si="15"/>
        <v>15</v>
      </c>
      <c r="AH25" s="93" t="str">
        <f t="shared" si="16"/>
        <v xml:space="preserve"> </v>
      </c>
      <c r="AI25" s="94" t="str">
        <f>IF(Table6220273233373839[[#This Row],[Non-Member]]="X"," ",IF(AH25=" "," ",IFERROR(VLOOKUP(AG25,Points!$A$2:$B$14,2,FALSE)," ")))</f>
        <v xml:space="preserve"> </v>
      </c>
      <c r="AJ25" s="93">
        <f>IF(Table6220273233373839[[#This Row],[Non-Member]]="X"," ",((IF(G25=" ",0,G25))+(IF(K25=" ",0,K25))+(IF(O25=" ",0,O25))+(IF(S25=" ",0,S25))+(IF(W25=" ",0,W25))+(IF(AA25=" ",0,AA25))+(IF(AE25=" ",0,AE25))+(IF(AI25=" ",0,AI25))))</f>
        <v>0</v>
      </c>
      <c r="AK25" s="95" t="str">
        <f t="shared" si="17"/>
        <v xml:space="preserve"> </v>
      </c>
      <c r="AL25" s="96" t="str">
        <f t="shared" si="18"/>
        <v xml:space="preserve"> </v>
      </c>
    </row>
    <row r="26" spans="2:38" ht="14.4" thickBot="1" x14ac:dyDescent="0.3">
      <c r="B26" s="100" t="s">
        <v>237</v>
      </c>
      <c r="C26" s="101" t="s">
        <v>95</v>
      </c>
      <c r="D26" s="102"/>
      <c r="E26" s="103" t="str">
        <f t="shared" si="0"/>
        <v xml:space="preserve"> </v>
      </c>
      <c r="F26" s="103" t="str">
        <f t="shared" si="1"/>
        <v xml:space="preserve"> </v>
      </c>
      <c r="G26" s="104" t="str">
        <f>IF(Table6220273233373839[[#This Row],[Non-Member]]="X"," ",IF(F26=" "," ",IFERROR(VLOOKUP(E26,Points!$A$2:$B$14,2,FALSE)," ")))</f>
        <v xml:space="preserve"> </v>
      </c>
      <c r="H26" s="102">
        <v>12.03</v>
      </c>
      <c r="I26" s="103">
        <f t="shared" si="2"/>
        <v>9</v>
      </c>
      <c r="J26" s="103" t="str">
        <f t="shared" si="3"/>
        <v xml:space="preserve"> </v>
      </c>
      <c r="K26" s="104" t="str">
        <f>IF(Table6220273233373839[[#This Row],[Non-Member]]="X"," ",IF(J26=" "," ",IFERROR(VLOOKUP(I26,Points!$A$2:$B$14,2,FALSE)," ")))</f>
        <v xml:space="preserve"> </v>
      </c>
      <c r="L26" s="102">
        <v>11.28</v>
      </c>
      <c r="M26" s="103">
        <f t="shared" si="4"/>
        <v>4</v>
      </c>
      <c r="N26" s="103">
        <f t="shared" si="5"/>
        <v>4</v>
      </c>
      <c r="O26" s="104" t="str">
        <f>IF(Table6220273233373839[[#This Row],[Non-Member]]="X"," ",IF(N26=" "," ",IFERROR(VLOOKUP(M26,Points!$A$2:$B$14,2,FALSE)," ")))</f>
        <v xml:space="preserve"> </v>
      </c>
      <c r="P26" s="102">
        <v>9.7799999999999994</v>
      </c>
      <c r="Q26" s="103">
        <f t="shared" si="6"/>
        <v>1</v>
      </c>
      <c r="R26" s="103">
        <f t="shared" si="7"/>
        <v>1</v>
      </c>
      <c r="S26" s="104" t="str">
        <f>IF(Table6220273233373839[[#This Row],[Non-Member]]="X"," ",IF(R26=" "," ",IFERROR(VLOOKUP(Q26,Points!$A$2:$B$14,2,FALSE)," ")))</f>
        <v xml:space="preserve"> </v>
      </c>
      <c r="T26" s="102"/>
      <c r="U26" s="103" t="str">
        <f t="shared" si="8"/>
        <v xml:space="preserve"> </v>
      </c>
      <c r="V26" s="103" t="str">
        <f t="shared" si="9"/>
        <v xml:space="preserve"> </v>
      </c>
      <c r="W26" s="104" t="str">
        <f>IF(Table6220273233373839[[#This Row],[Non-Member]]="X"," ",IF(V26=" "," ",IFERROR(VLOOKUP(U26,Points!$A$2:$B$14,2,FALSE)," ")))</f>
        <v xml:space="preserve"> </v>
      </c>
      <c r="X26" s="102"/>
      <c r="Y26" s="103" t="str">
        <f t="shared" si="10"/>
        <v xml:space="preserve"> </v>
      </c>
      <c r="Z26" s="103" t="str">
        <f t="shared" si="11"/>
        <v xml:space="preserve"> </v>
      </c>
      <c r="AA26" s="104" t="str">
        <f>IF(Table6220273233373839[[#This Row],[Non-Member]]="X"," ",IF(Z26=" "," ",IFERROR(VLOOKUP(Y26,Points!$A$2:$B$14,2,FALSE)," ")))</f>
        <v xml:space="preserve"> </v>
      </c>
      <c r="AB26" s="102"/>
      <c r="AC26" s="103" t="str">
        <f t="shared" si="12"/>
        <v xml:space="preserve"> </v>
      </c>
      <c r="AD26" s="103" t="str">
        <f t="shared" si="13"/>
        <v xml:space="preserve"> </v>
      </c>
      <c r="AE26" s="104" t="str">
        <f>IF(Table6220273233373839[[#This Row],[Non-Member]]="X"," ",IF(AD26=" "," ",IFERROR(VLOOKUP(AC26,Points!$A$2:$B$14,2,FALSE)," ")))</f>
        <v xml:space="preserve"> </v>
      </c>
      <c r="AF26" s="102" t="str">
        <f t="shared" si="14"/>
        <v xml:space="preserve"> </v>
      </c>
      <c r="AG26" s="103" t="str">
        <f t="shared" si="15"/>
        <v xml:space="preserve"> </v>
      </c>
      <c r="AH26" s="103" t="str">
        <f t="shared" si="16"/>
        <v xml:space="preserve"> </v>
      </c>
      <c r="AI26" s="104" t="str">
        <f>IF(Table6220273233373839[[#This Row],[Non-Member]]="X"," ",IF(AH26=" "," ",IFERROR(VLOOKUP(AG26,Points!$A$2:$B$14,2,FALSE)," ")))</f>
        <v xml:space="preserve"> </v>
      </c>
      <c r="AJ26" s="93" t="str">
        <f>IF(Table6220273233373839[[#This Row],[Non-Member]]="X"," ",((IF(G26=" ",0,G26))+(IF(K26=" ",0,K26))+(IF(O26=" ",0,O26))+(IF(S26=" ",0,S26))+(IF(W26=" ",0,W26))+(IF(AA26=" ",0,AA26))+(IF(AE26=" ",0,AE26))+(IF(AI26=" ",0,AI26))))</f>
        <v xml:space="preserve"> </v>
      </c>
      <c r="AK26" s="105" t="str">
        <f t="shared" si="17"/>
        <v xml:space="preserve"> </v>
      </c>
      <c r="AL26" s="96" t="str">
        <f t="shared" si="18"/>
        <v xml:space="preserve"> </v>
      </c>
    </row>
    <row r="27" spans="2:38" ht="14.4" thickBot="1" x14ac:dyDescent="0.3">
      <c r="B27" s="106" t="s">
        <v>235</v>
      </c>
      <c r="AG27" s="107"/>
    </row>
    <row r="29" spans="2:38" x14ac:dyDescent="0.25">
      <c r="F29" s="107"/>
    </row>
    <row r="30" spans="2:38" x14ac:dyDescent="0.25">
      <c r="F30" s="107"/>
    </row>
    <row r="31" spans="2:38" x14ac:dyDescent="0.25">
      <c r="H31" s="108"/>
    </row>
  </sheetData>
  <sheetProtection algorithmName="SHA-512" hashValue="P127R8JLKO26sHvJGElzOtXuSKXgDgzsnmd2DhC7LIWEwXTX+fncUyZGPtQTfnDz1dLr1lFNRcyyV7ANf5Zhzg==" saltValue="gRSctu0xzIc5/8dYSLCIJ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6746-882C-4386-8D90-9546B26B941F}">
  <sheetPr codeName="Sheet46">
    <tabColor theme="4" tint="0.79998168889431442"/>
    <pageSetUpPr fitToPage="1"/>
  </sheetPr>
  <dimension ref="B1:AC30"/>
  <sheetViews>
    <sheetView showGridLines="0" workbookViewId="0">
      <pane xSplit="2" topLeftCell="D1" activePane="topRight" state="frozen"/>
      <selection activeCell="K35" sqref="K35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47" style="62" customWidth="1"/>
    <col min="3" max="3" width="11.6640625" style="60" hidden="1" customWidth="1"/>
    <col min="4" max="4" width="11.6640625" style="60" customWidth="1"/>
    <col min="5" max="5" width="11.6640625" style="57" customWidth="1"/>
    <col min="6" max="6" width="11.6640625" style="60" hidden="1" customWidth="1"/>
    <col min="7" max="7" width="11.6640625" style="60" customWidth="1"/>
    <col min="8" max="8" width="11.6640625" style="57" customWidth="1"/>
    <col min="9" max="9" width="11.6640625" style="60" hidden="1" customWidth="1"/>
    <col min="10" max="10" width="11.6640625" style="60" customWidth="1"/>
    <col min="11" max="11" width="11.6640625" style="57" customWidth="1"/>
    <col min="12" max="12" width="11.6640625" style="60" hidden="1" customWidth="1"/>
    <col min="13" max="13" width="11.6640625" style="60" customWidth="1"/>
    <col min="14" max="14" width="11.6640625" style="57" customWidth="1"/>
    <col min="15" max="15" width="11.6640625" style="60" hidden="1" customWidth="1"/>
    <col min="16" max="16" width="11.6640625" style="60" customWidth="1"/>
    <col min="17" max="17" width="11.6640625" style="57" customWidth="1"/>
    <col min="18" max="18" width="11.6640625" style="60" hidden="1" customWidth="1"/>
    <col min="19" max="19" width="11.6640625" style="60" customWidth="1"/>
    <col min="20" max="20" width="11.6640625" style="57" customWidth="1"/>
    <col min="21" max="21" width="11.6640625" style="60" hidden="1" customWidth="1"/>
    <col min="22" max="22" width="11.6640625" style="60" customWidth="1"/>
    <col min="23" max="23" width="11.6640625" style="57" customWidth="1"/>
    <col min="24" max="24" width="11.6640625" style="60" hidden="1" customWidth="1"/>
    <col min="25" max="25" width="11.6640625" style="60" customWidth="1"/>
    <col min="26" max="26" width="11.6640625" style="57" customWidth="1"/>
    <col min="27" max="27" width="11.6640625" style="60" hidden="1" customWidth="1"/>
    <col min="28" max="28" width="11.6640625" style="60" customWidth="1"/>
    <col min="29" max="29" width="11.6640625" style="57" customWidth="1"/>
    <col min="30" max="16384" width="9.109375" style="62"/>
  </cols>
  <sheetData>
    <row r="1" spans="2:29" ht="18" thickBot="1" x14ac:dyDescent="0.35">
      <c r="B1" s="54"/>
    </row>
    <row r="2" spans="2:29" s="64" customFormat="1" ht="17.399999999999999" x14ac:dyDescent="0.3">
      <c r="B2" s="139" t="s">
        <v>65</v>
      </c>
      <c r="C2" s="165">
        <v>43590</v>
      </c>
      <c r="D2" s="166"/>
      <c r="E2" s="167"/>
      <c r="F2" s="166">
        <v>43632</v>
      </c>
      <c r="G2" s="166"/>
      <c r="H2" s="167"/>
      <c r="I2" s="166">
        <v>43659</v>
      </c>
      <c r="J2" s="166"/>
      <c r="K2" s="167"/>
      <c r="L2" s="166">
        <v>43660</v>
      </c>
      <c r="M2" s="166"/>
      <c r="N2" s="167"/>
      <c r="O2" s="166">
        <v>43681</v>
      </c>
      <c r="P2" s="166"/>
      <c r="Q2" s="167"/>
      <c r="R2" s="166" t="s">
        <v>183</v>
      </c>
      <c r="S2" s="166"/>
      <c r="T2" s="167"/>
      <c r="U2" s="166" t="s">
        <v>184</v>
      </c>
      <c r="V2" s="166"/>
      <c r="W2" s="167"/>
      <c r="X2" s="166" t="s">
        <v>3</v>
      </c>
      <c r="Y2" s="166"/>
      <c r="Z2" s="167"/>
      <c r="AA2" s="166" t="s">
        <v>4</v>
      </c>
      <c r="AB2" s="166"/>
      <c r="AC2" s="167"/>
    </row>
    <row r="3" spans="2:29" s="74" customFormat="1" ht="14.4" thickBot="1" x14ac:dyDescent="0.3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3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25">
      <c r="B5" s="140" t="s">
        <v>89</v>
      </c>
      <c r="C5" s="118">
        <f>IFERROR(IF(VLOOKUP($B5,'MM G-Dummy Roping'!$B$5:$AI$24,6,FALSE)=" ",0,VLOOKUP($B5,'MM G-Dummy Roping'!$B$5:$AI$24,6,FALSE)),0)+IFERROR(IF(VLOOKUP($B5,'MM G-Barrels'!$B$5:$AI$29,6,FALSE)=" ",0,VLOOKUP($B5,'MM G-Barrels'!$B$5:$AI$29,6,FALSE)),0)+IFERROR(IF(VLOOKUP($B5,'MM G-Figure 8'!$B$5:$AI$27,6,FALSE)=" ",0,VLOOKUP($B5,'MM G-Figure 8'!$B$5:$AI$27,6,FALSE)),0)+IFERROR(IF(VLOOKUP($B5,'MM G-Goats'!$B$5:$AI$26,6,FALSE)=" ",0,VLOOKUP($B5,'MM G-Goats'!$B$5:$AI$26,6,FALSE)),0)</f>
        <v>51</v>
      </c>
      <c r="D5" s="88">
        <f t="shared" ref="D5:D26" si="0">IF(C5&gt;0,C5," ")</f>
        <v>51</v>
      </c>
      <c r="E5" s="158">
        <f t="shared" ref="E5:E26" si="1">IF(C5=0," ",RANK(C5,C$5:C$26,0))</f>
        <v>2</v>
      </c>
      <c r="F5" s="119">
        <f>IFERROR(IF(VLOOKUP($B5,'MM G-Dummy Roping'!$B$5:$AI$24,10,FALSE)=" ",0,VLOOKUP($B5,'MM G-Dummy Roping'!$B$5:$AI$24,10,FALSE)),0)+IFERROR(IF(VLOOKUP($B5,'MM G-Barrels'!$B$5:$AI$29,10,FALSE)=" ",0,VLOOKUP($B5,'MM G-Barrels'!$B$5:$AI$29,10,FALSE)),0)+IFERROR(IF(VLOOKUP($B5,'MM G-Figure 8'!$B$5:$AI$27,10,FALSE)=" ",0,VLOOKUP($B5,'MM G-Figure 8'!$B$5:$AI$27,10,FALSE)),0)+IFERROR(IF(VLOOKUP($B5,'MM G-Goats'!$B$5:$AI$26,10,FALSE)=" ",0,VLOOKUP($B5,'MM G-Goats'!$B$5:$AI$26,10,FALSE)),0)</f>
        <v>54</v>
      </c>
      <c r="G5" s="88">
        <f t="shared" ref="G5:G26" si="2">IF(F5&gt;0,F5," ")</f>
        <v>54</v>
      </c>
      <c r="H5" s="158">
        <f t="shared" ref="H5:H26" si="3">IF(F5=0," ",RANK(F5,F$5:F$26,0))</f>
        <v>1</v>
      </c>
      <c r="I5" s="119">
        <f>IFERROR(IF(VLOOKUP($B5,'MM G-Dummy Roping'!$B$5:$AI$24,14,FALSE)=" ",0,VLOOKUP($B5,'MM G-Dummy Roping'!$B$5:$AI$24,14,FALSE)),0)+IFERROR(IF(VLOOKUP($B5,'MM G-Barrels'!$B$5:$AI$29,14,FALSE)=" ",0,VLOOKUP($B5,'MM G-Barrels'!$B$5:$AI$29,14,FALSE)),0)+IFERROR(IF(VLOOKUP($B5,'MM G-Figure 8'!$B$5:$AI$27,14,FALSE)=" ",0,VLOOKUP($B5,'MM G-Figure 8'!$B$5:$AI$27,14,FALSE)),0)+IFERROR(IF(VLOOKUP($B5,'MM G-Goats'!$B$5:$AI$26,14,FALSE)=" ",0,VLOOKUP($B5,'MM G-Goats'!$B$5:$AI$26,14,FALSE)),0)</f>
        <v>36</v>
      </c>
      <c r="J5" s="88">
        <f t="shared" ref="J5:J26" si="4">IF(I5&gt;0,I5," ")</f>
        <v>36</v>
      </c>
      <c r="K5" s="158">
        <f t="shared" ref="K5:K26" si="5">IF(I5=0," ",RANK(I5,I$5:I$26,0))</f>
        <v>2</v>
      </c>
      <c r="L5" s="119">
        <f>IFERROR(IF(VLOOKUP($B5,'MM G-Dummy Roping'!$B$5:$AI$24,18,FALSE)=" ",0,VLOOKUP($B5,'MM G-Dummy Roping'!$B$5:$AI$24,18,FALSE)),0)+IFERROR(IF(VLOOKUP($B5,'MM G-Barrels'!$B$5:$AI$29,18,FALSE)=" ",0,VLOOKUP($B5,'MM G-Barrels'!$B$5:$AI$29,18,FALSE)),0)+IFERROR(IF(VLOOKUP($B5,'MM G-Figure 8'!$B$5:$AI$27,18,FALSE)=" ",0,VLOOKUP($B5,'MM G-Figure 8'!$B$5:$AI$27,18,FALSE)),0)+IFERROR(IF(VLOOKUP($B5,'MM G-Goats'!$B$5:$AI$26,18,FALSE)=" ",0,VLOOKUP($B5,'MM G-Goats'!$B$5:$AI$26,18,FALSE)),0)</f>
        <v>33</v>
      </c>
      <c r="M5" s="88">
        <f t="shared" ref="M5:M26" si="6">IF(L5&gt;0,L5," ")</f>
        <v>33</v>
      </c>
      <c r="N5" s="158">
        <f t="shared" ref="N5:N26" si="7">IF(L5=0," ",RANK(L5,L$5:L$26,0))</f>
        <v>1</v>
      </c>
      <c r="O5" s="119">
        <f>IFERROR(IF(VLOOKUP($B5,'MM G-Dummy Roping'!$B$5:$AI$24,22,FALSE)=" ",0,VLOOKUP($B5,'MM G-Dummy Roping'!$B$5:$AI$24,22,FALSE)),0)+IFERROR(IF(VLOOKUP($B5,'MM G-Barrels'!$B$5:$AI$29,22,FALSE)=" ",0,VLOOKUP($B5,'MM G-Barrels'!$B$5:$AI$29,22,FALSE)),0)+IFERROR(IF(VLOOKUP($B5,'MM G-Figure 8'!$B$5:$AI$27,22,FALSE)=" ",0,VLOOKUP($B5,'MM G-Figure 8'!$B$5:$AI$27,22,FALSE)),0)+IFERROR(IF(VLOOKUP($B5,'MM G-Goats'!$B$5:$AI$26,22,FALSE)=" ",0,VLOOKUP($B5,'MM G-Goats'!$B$5:$AI$26,22,FALSE)),0)</f>
        <v>43.5</v>
      </c>
      <c r="P5" s="88">
        <f t="shared" ref="P5:P26" si="8">IF(O5&gt;0,O5," ")</f>
        <v>43.5</v>
      </c>
      <c r="Q5" s="158">
        <f t="shared" ref="Q5:Q26" si="9">IF(O5=0," ",RANK(O5,O$5:O$26,0))</f>
        <v>1</v>
      </c>
      <c r="R5" s="119">
        <f>IFERROR(IF(VLOOKUP($B5,'MM G-Dummy Roping'!$B$5:$AI$24,26,FALSE)=" ",0,VLOOKUP($B5,'MM G-Dummy Roping'!$B$5:$AI$24,26,FALSE)),0)+IFERROR(IF(VLOOKUP($B5,'MM G-Barrels'!$B$5:$AI$29,26,FALSE)=" ",0,VLOOKUP($B5,'MM G-Barrels'!$B$5:$AI$29,26,FALSE)),0)+IFERROR(IF(VLOOKUP($B5,'MM G-Figure 8'!$B$5:$AI$27,26,FALSE)=" ",0,VLOOKUP($B5,'MM G-Figure 8'!$B$5:$AI$27,26,FALSE)),0)+IFERROR(IF(VLOOKUP($B5,'MM G-Goats'!$B$5:$AI$26,26,FALSE)=" ",0,VLOOKUP($B5,'MM G-Goats'!$B$5:$AI$26,26,FALSE)),0)</f>
        <v>63</v>
      </c>
      <c r="S5" s="88">
        <f t="shared" ref="S5:S26" si="10">IF(R5&gt;0,R5," ")</f>
        <v>63</v>
      </c>
      <c r="T5" s="158">
        <f t="shared" ref="T5:T26" si="11">IF(R5=0," ",RANK(R5,R$5:R$26,0))</f>
        <v>1</v>
      </c>
      <c r="U5" s="119">
        <f>IFERROR(IF(VLOOKUP($B5,'MM G-Dummy Roping'!$B$5:$AI$24,30,FALSE)=" ",0,VLOOKUP($B5,'MM G-Dummy Roping'!$B$5:$AI$24,30,FALSE)),0)+IFERROR(IF(VLOOKUP($B5,'MM G-Barrels'!$B$5:$AI$29,30,FALSE)=" ",0,VLOOKUP($B5,'MM G-Barrels'!$B$5:$AI$29,30,FALSE)),0)+IFERROR(IF(VLOOKUP($B5,'MM G-Figure 8'!$B$5:$AI$27,30,FALSE)=" ",0,VLOOKUP($B5,'MM G-Figure 8'!$B$5:$AI$27,30,FALSE)),0)+IFERROR(IF(VLOOKUP($B5,'MM G-Goats'!$B$5:$AI$26,30,FALSE)=" ",0,VLOOKUP($B5,'MM G-Goats'!$B$5:$AI$26,30,FALSE)),0)</f>
        <v>57</v>
      </c>
      <c r="V5" s="88">
        <f t="shared" ref="V5:V26" si="12">IF(U5&gt;0,U5," ")</f>
        <v>57</v>
      </c>
      <c r="W5" s="158">
        <f t="shared" ref="W5:W26" si="13">IF(U5=0," ",RANK(U5,U$5:U$26,0))</f>
        <v>1</v>
      </c>
      <c r="X5" s="119">
        <f>IFERROR(IF(VLOOKUP($B5,'MM G-Dummy Roping'!$B$5:$AI$24,34,FALSE)=" ",0,VLOOKUP($B5,'MM G-Dummy Roping'!$B$5:$AI$24,34,FALSE)),0)+IFERROR(IF(VLOOKUP($B5,'MM G-Barrels'!$B$5:$AI$29,34,FALSE)=" ",0,VLOOKUP($B5,'MM G-Barrels'!$B$5:$AI$29,34,FALSE)),0)+IFERROR(IF(VLOOKUP($B5,'MM G-Figure 8'!$B$5:$AI$27,34,FALSE)=" ",0,VLOOKUP($B5,'MM G-Figure 8'!$B$5:$AI$27,34,FALSE)),0)+IFERROR(IF(VLOOKUP($B5,'MM G-Goats'!$B$5:$AI$26,34,FALSE)=" ",0,VLOOKUP($B5,'MM G-Goats'!$B$5:$AI$26,34,FALSE)),0)</f>
        <v>69</v>
      </c>
      <c r="Y5" s="88">
        <f t="shared" ref="Y5:Y26" si="14">IF(X5&gt;0,X5," ")</f>
        <v>69</v>
      </c>
      <c r="Z5" s="158">
        <f t="shared" ref="Z5:Z26" si="15">IF(X5=0," ",RANK(X5,X$5:X$26,0))</f>
        <v>1</v>
      </c>
      <c r="AA5" s="119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406.5</v>
      </c>
      <c r="AB5" s="88">
        <f t="shared" ref="AB5:AB26" si="16">IF(AA5&gt;0,AA5," ")</f>
        <v>406.5</v>
      </c>
      <c r="AC5" s="158">
        <f t="shared" ref="AC5:AC26" si="17">IF(AB5=" "," ",RANK(AB5,AB$5:AB$26))</f>
        <v>1</v>
      </c>
    </row>
    <row r="6" spans="2:29" x14ac:dyDescent="0.25">
      <c r="B6" s="141" t="s">
        <v>85</v>
      </c>
      <c r="C6" s="120">
        <f>IFERROR(IF(VLOOKUP($B6,'MM G-Dummy Roping'!$B$5:$AI$24,6,FALSE)=" ",0,VLOOKUP($B6,'MM G-Dummy Roping'!$B$5:$AI$24,6,FALSE)),0)+IFERROR(IF(VLOOKUP($B6,'MM G-Barrels'!$B$5:$AI$29,6,FALSE)=" ",0,VLOOKUP($B6,'MM G-Barrels'!$B$5:$AI$29,6,FALSE)),0)+IFERROR(IF(VLOOKUP($B6,'MM G-Figure 8'!$B$5:$AI$27,6,FALSE)=" ",0,VLOOKUP($B6,'MM G-Figure 8'!$B$5:$AI$27,6,FALSE)),0)+IFERROR(IF(VLOOKUP($B6,'MM G-Goats'!$B$5:$AI$26,6,FALSE)=" ",0,VLOOKUP($B6,'MM G-Goats'!$B$5:$AI$26,6,FALSE)),0)</f>
        <v>63</v>
      </c>
      <c r="D6" s="95">
        <f t="shared" si="0"/>
        <v>63</v>
      </c>
      <c r="E6" s="91">
        <f t="shared" si="1"/>
        <v>1</v>
      </c>
      <c r="F6" s="121">
        <f>IFERROR(IF(VLOOKUP($B6,'MM G-Dummy Roping'!$B$5:$AI$24,10,FALSE)=" ",0,VLOOKUP($B6,'MM G-Dummy Roping'!$B$5:$AI$24,10,FALSE)),0)+IFERROR(IF(VLOOKUP($B6,'MM G-Barrels'!$B$5:$AI$29,10,FALSE)=" ",0,VLOOKUP($B6,'MM G-Barrels'!$B$5:$AI$29,10,FALSE)),0)+IFERROR(IF(VLOOKUP($B6,'MM G-Figure 8'!$B$5:$AI$27,10,FALSE)=" ",0,VLOOKUP($B6,'MM G-Figure 8'!$B$5:$AI$27,10,FALSE)),0)+IFERROR(IF(VLOOKUP($B6,'MM G-Goats'!$B$5:$AI$26,10,FALSE)=" ",0,VLOOKUP($B6,'MM G-Goats'!$B$5:$AI$26,10,FALSE)),0)</f>
        <v>30</v>
      </c>
      <c r="G6" s="95">
        <f t="shared" si="2"/>
        <v>30</v>
      </c>
      <c r="H6" s="91">
        <f t="shared" si="3"/>
        <v>3</v>
      </c>
      <c r="I6" s="121">
        <f>IFERROR(IF(VLOOKUP($B6,'MM G-Dummy Roping'!$B$5:$AI$24,14,FALSE)=" ",0,VLOOKUP($B6,'MM G-Dummy Roping'!$B$5:$AI$24,14,FALSE)),0)+IFERROR(IF(VLOOKUP($B6,'MM G-Barrels'!$B$5:$AI$29,14,FALSE)=" ",0,VLOOKUP($B6,'MM G-Barrels'!$B$5:$AI$29,14,FALSE)),0)+IFERROR(IF(VLOOKUP($B6,'MM G-Figure 8'!$B$5:$AI$27,14,FALSE)=" ",0,VLOOKUP($B6,'MM G-Figure 8'!$B$5:$AI$27,14,FALSE)),0)+IFERROR(IF(VLOOKUP($B6,'MM G-Goats'!$B$5:$AI$26,14,FALSE)=" ",0,VLOOKUP($B6,'MM G-Goats'!$B$5:$AI$26,14,FALSE)),0)</f>
        <v>21</v>
      </c>
      <c r="J6" s="95">
        <f t="shared" si="4"/>
        <v>21</v>
      </c>
      <c r="K6" s="91">
        <f t="shared" si="5"/>
        <v>4</v>
      </c>
      <c r="L6" s="121">
        <f>IFERROR(IF(VLOOKUP($B6,'MM G-Dummy Roping'!$B$5:$AI$24,18,FALSE)=" ",0,VLOOKUP($B6,'MM G-Dummy Roping'!$B$5:$AI$24,18,FALSE)),0)+IFERROR(IF(VLOOKUP($B6,'MM G-Barrels'!$B$5:$AI$29,18,FALSE)=" ",0,VLOOKUP($B6,'MM G-Barrels'!$B$5:$AI$29,18,FALSE)),0)+IFERROR(IF(VLOOKUP($B6,'MM G-Figure 8'!$B$5:$AI$27,18,FALSE)=" ",0,VLOOKUP($B6,'MM G-Figure 8'!$B$5:$AI$27,18,FALSE)),0)+IFERROR(IF(VLOOKUP($B6,'MM G-Goats'!$B$5:$AI$26,18,FALSE)=" ",0,VLOOKUP($B6,'MM G-Goats'!$B$5:$AI$26,18,FALSE)),0)</f>
        <v>18</v>
      </c>
      <c r="M6" s="95">
        <f t="shared" si="6"/>
        <v>18</v>
      </c>
      <c r="N6" s="91">
        <f t="shared" si="7"/>
        <v>5</v>
      </c>
      <c r="O6" s="121">
        <f>IFERROR(IF(VLOOKUP($B6,'MM G-Dummy Roping'!$B$5:$AI$24,22,FALSE)=" ",0,VLOOKUP($B6,'MM G-Dummy Roping'!$B$5:$AI$24,22,FALSE)),0)+IFERROR(IF(VLOOKUP($B6,'MM G-Barrels'!$B$5:$AI$29,22,FALSE)=" ",0,VLOOKUP($B6,'MM G-Barrels'!$B$5:$AI$29,22,FALSE)),0)+IFERROR(IF(VLOOKUP($B6,'MM G-Figure 8'!$B$5:$AI$27,22,FALSE)=" ",0,VLOOKUP($B6,'MM G-Figure 8'!$B$5:$AI$27,22,FALSE)),0)+IFERROR(IF(VLOOKUP($B6,'MM G-Goats'!$B$5:$AI$26,22,FALSE)=" ",0,VLOOKUP($B6,'MM G-Goats'!$B$5:$AI$26,22,FALSE)),0)</f>
        <v>42</v>
      </c>
      <c r="P6" s="95">
        <f t="shared" si="8"/>
        <v>42</v>
      </c>
      <c r="Q6" s="91">
        <f t="shared" si="9"/>
        <v>2</v>
      </c>
      <c r="R6" s="121">
        <f>IFERROR(IF(VLOOKUP($B6,'MM G-Dummy Roping'!$B$5:$AI$24,26,FALSE)=" ",0,VLOOKUP($B6,'MM G-Dummy Roping'!$B$5:$AI$24,26,FALSE)),0)+IFERROR(IF(VLOOKUP($B6,'MM G-Barrels'!$B$5:$AI$29,26,FALSE)=" ",0,VLOOKUP($B6,'MM G-Barrels'!$B$5:$AI$29,26,FALSE)),0)+IFERROR(IF(VLOOKUP($B6,'MM G-Figure 8'!$B$5:$AI$27,26,FALSE)=" ",0,VLOOKUP($B6,'MM G-Figure 8'!$B$5:$AI$27,26,FALSE)),0)+IFERROR(IF(VLOOKUP($B6,'MM G-Goats'!$B$5:$AI$26,26,FALSE)=" ",0,VLOOKUP($B6,'MM G-Goats'!$B$5:$AI$26,26,FALSE)),0)</f>
        <v>27</v>
      </c>
      <c r="S6" s="95">
        <f t="shared" si="10"/>
        <v>27</v>
      </c>
      <c r="T6" s="91">
        <f t="shared" si="11"/>
        <v>4</v>
      </c>
      <c r="U6" s="121">
        <f>IFERROR(IF(VLOOKUP($B6,'MM G-Dummy Roping'!$B$5:$AI$24,30,FALSE)=" ",0,VLOOKUP($B6,'MM G-Dummy Roping'!$B$5:$AI$24,30,FALSE)),0)+IFERROR(IF(VLOOKUP($B6,'MM G-Barrels'!$B$5:$AI$29,30,FALSE)=" ",0,VLOOKUP($B6,'MM G-Barrels'!$B$5:$AI$29,30,FALSE)),0)+IFERROR(IF(VLOOKUP($B6,'MM G-Figure 8'!$B$5:$AI$27,30,FALSE)=" ",0,VLOOKUP($B6,'MM G-Figure 8'!$B$5:$AI$27,30,FALSE)),0)+IFERROR(IF(VLOOKUP($B6,'MM G-Goats'!$B$5:$AI$26,30,FALSE)=" ",0,VLOOKUP($B6,'MM G-Goats'!$B$5:$AI$26,30,FALSE)),0)</f>
        <v>37.5</v>
      </c>
      <c r="V6" s="95">
        <f t="shared" si="12"/>
        <v>37.5</v>
      </c>
      <c r="W6" s="91">
        <f t="shared" si="13"/>
        <v>3</v>
      </c>
      <c r="X6" s="121">
        <f>IFERROR(IF(VLOOKUP($B6,'MM G-Dummy Roping'!$B$5:$AI$24,34,FALSE)=" ",0,VLOOKUP($B6,'MM G-Dummy Roping'!$B$5:$AI$24,34,FALSE)),0)+IFERROR(IF(VLOOKUP($B6,'MM G-Barrels'!$B$5:$AI$29,34,FALSE)=" ",0,VLOOKUP($B6,'MM G-Barrels'!$B$5:$AI$29,34,FALSE)),0)+IFERROR(IF(VLOOKUP($B6,'MM G-Figure 8'!$B$5:$AI$27,34,FALSE)=" ",0,VLOOKUP($B6,'MM G-Figure 8'!$B$5:$AI$27,34,FALSE)),0)+IFERROR(IF(VLOOKUP($B6,'MM G-Goats'!$B$5:$AI$26,34,FALSE)=" ",0,VLOOKUP($B6,'MM G-Goats'!$B$5:$AI$26,34,FALSE)),0)</f>
        <v>25.5</v>
      </c>
      <c r="Y6" s="95">
        <f t="shared" si="14"/>
        <v>25.5</v>
      </c>
      <c r="Z6" s="91">
        <f t="shared" si="15"/>
        <v>4</v>
      </c>
      <c r="AA6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264</v>
      </c>
      <c r="AB6" s="95">
        <f t="shared" si="16"/>
        <v>264</v>
      </c>
      <c r="AC6" s="91">
        <f t="shared" si="17"/>
        <v>2</v>
      </c>
    </row>
    <row r="7" spans="2:29" x14ac:dyDescent="0.25">
      <c r="B7" s="141" t="s">
        <v>240</v>
      </c>
      <c r="C7" s="120">
        <f>IFERROR(IF(VLOOKUP($B7,'MM G-Dummy Roping'!$B$5:$AI$24,6,FALSE)=" ",0,VLOOKUP($B7,'MM G-Dummy Roping'!$B$5:$AI$24,6,FALSE)),0)+IFERROR(IF(VLOOKUP($B7,'MM G-Barrels'!$B$5:$AI$29,6,FALSE)=" ",0,VLOOKUP($B7,'MM G-Barrels'!$B$5:$AI$29,6,FALSE)),0)+IFERROR(IF(VLOOKUP($B7,'MM G-Figure 8'!$B$5:$AI$27,6,FALSE)=" ",0,VLOOKUP($B7,'MM G-Figure 8'!$B$5:$AI$27,6,FALSE)),0)+IFERROR(IF(VLOOKUP($B7,'MM G-Goats'!$B$5:$AI$26,6,FALSE)=" ",0,VLOOKUP($B7,'MM G-Goats'!$B$5:$AI$26,6,FALSE)),0)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IFERROR(IF(VLOOKUP($B7,'MM G-Dummy Roping'!$B$5:$AI$24,10,FALSE)=" ",0,VLOOKUP($B7,'MM G-Dummy Roping'!$B$5:$AI$24,10,FALSE)),0)+IFERROR(IF(VLOOKUP($B7,'MM G-Barrels'!$B$5:$AI$29,10,FALSE)=" ",0,VLOOKUP($B7,'MM G-Barrels'!$B$5:$AI$29,10,FALSE)),0)+IFERROR(IF(VLOOKUP($B7,'MM G-Figure 8'!$B$5:$AI$27,10,FALSE)=" ",0,VLOOKUP($B7,'MM G-Figure 8'!$B$5:$AI$27,10,FALSE)),0)+IFERROR(IF(VLOOKUP($B7,'MM G-Goats'!$B$5:$AI$26,10,FALSE)=" ",0,VLOOKUP($B7,'MM G-Goats'!$B$5:$AI$26,10,FALSE)),0)</f>
        <v>36</v>
      </c>
      <c r="G7" s="95">
        <f t="shared" si="2"/>
        <v>36</v>
      </c>
      <c r="H7" s="91">
        <f t="shared" si="3"/>
        <v>2</v>
      </c>
      <c r="I7" s="121">
        <f>IFERROR(IF(VLOOKUP($B7,'MM G-Dummy Roping'!$B$5:$AI$24,14,FALSE)=" ",0,VLOOKUP($B7,'MM G-Dummy Roping'!$B$5:$AI$24,14,FALSE)),0)+IFERROR(IF(VLOOKUP($B7,'MM G-Barrels'!$B$5:$AI$29,14,FALSE)=" ",0,VLOOKUP($B7,'MM G-Barrels'!$B$5:$AI$29,14,FALSE)),0)+IFERROR(IF(VLOOKUP($B7,'MM G-Figure 8'!$B$5:$AI$27,14,FALSE)=" ",0,VLOOKUP($B7,'MM G-Figure 8'!$B$5:$AI$27,14,FALSE)),0)+IFERROR(IF(VLOOKUP($B7,'MM G-Goats'!$B$5:$AI$26,14,FALSE)=" ",0,VLOOKUP($B7,'MM G-Goats'!$B$5:$AI$26,14,FALSE)),0)</f>
        <v>18</v>
      </c>
      <c r="J7" s="95">
        <f t="shared" si="4"/>
        <v>18</v>
      </c>
      <c r="K7" s="91">
        <f t="shared" si="5"/>
        <v>6</v>
      </c>
      <c r="L7" s="121">
        <f>IFERROR(IF(VLOOKUP($B7,'MM G-Dummy Roping'!$B$5:$AI$24,18,FALSE)=" ",0,VLOOKUP($B7,'MM G-Dummy Roping'!$B$5:$AI$24,18,FALSE)),0)+IFERROR(IF(VLOOKUP($B7,'MM G-Barrels'!$B$5:$AI$29,18,FALSE)=" ",0,VLOOKUP($B7,'MM G-Barrels'!$B$5:$AI$29,18,FALSE)),0)+IFERROR(IF(VLOOKUP($B7,'MM G-Figure 8'!$B$5:$AI$27,18,FALSE)=" ",0,VLOOKUP($B7,'MM G-Figure 8'!$B$5:$AI$27,18,FALSE)),0)+IFERROR(IF(VLOOKUP($B7,'MM G-Goats'!$B$5:$AI$26,18,FALSE)=" ",0,VLOOKUP($B7,'MM G-Goats'!$B$5:$AI$26,18,FALSE)),0)</f>
        <v>30</v>
      </c>
      <c r="M7" s="95">
        <f t="shared" si="6"/>
        <v>30</v>
      </c>
      <c r="N7" s="91">
        <f t="shared" si="7"/>
        <v>2</v>
      </c>
      <c r="O7" s="121">
        <f>IFERROR(IF(VLOOKUP($B7,'MM G-Dummy Roping'!$B$5:$AI$24,22,FALSE)=" ",0,VLOOKUP($B7,'MM G-Dummy Roping'!$B$5:$AI$24,22,FALSE)),0)+IFERROR(IF(VLOOKUP($B7,'MM G-Barrels'!$B$5:$AI$29,22,FALSE)=" ",0,VLOOKUP($B7,'MM G-Barrels'!$B$5:$AI$29,22,FALSE)),0)+IFERROR(IF(VLOOKUP($B7,'MM G-Figure 8'!$B$5:$AI$27,22,FALSE)=" ",0,VLOOKUP($B7,'MM G-Figure 8'!$B$5:$AI$27,22,FALSE)),0)+IFERROR(IF(VLOOKUP($B7,'MM G-Goats'!$B$5:$AI$26,22,FALSE)=" ",0,VLOOKUP($B7,'MM G-Goats'!$B$5:$AI$26,22,FALSE)),0)</f>
        <v>15</v>
      </c>
      <c r="P7" s="95">
        <f t="shared" si="8"/>
        <v>15</v>
      </c>
      <c r="Q7" s="91">
        <f t="shared" si="9"/>
        <v>7</v>
      </c>
      <c r="R7" s="121">
        <f>IFERROR(IF(VLOOKUP($B7,'MM G-Dummy Roping'!$B$5:$AI$24,26,FALSE)=" ",0,VLOOKUP($B7,'MM G-Dummy Roping'!$B$5:$AI$24,26,FALSE)),0)+IFERROR(IF(VLOOKUP($B7,'MM G-Barrels'!$B$5:$AI$29,26,FALSE)=" ",0,VLOOKUP($B7,'MM G-Barrels'!$B$5:$AI$29,26,FALSE)),0)+IFERROR(IF(VLOOKUP($B7,'MM G-Figure 8'!$B$5:$AI$27,26,FALSE)=" ",0,VLOOKUP($B7,'MM G-Figure 8'!$B$5:$AI$27,26,FALSE)),0)+IFERROR(IF(VLOOKUP($B7,'MM G-Goats'!$B$5:$AI$26,26,FALSE)=" ",0,VLOOKUP($B7,'MM G-Goats'!$B$5:$AI$26,26,FALSE)),0)</f>
        <v>30</v>
      </c>
      <c r="S7" s="95">
        <f t="shared" si="10"/>
        <v>30</v>
      </c>
      <c r="T7" s="91">
        <f t="shared" si="11"/>
        <v>2</v>
      </c>
      <c r="U7" s="121">
        <f>IFERROR(IF(VLOOKUP($B7,'MM G-Dummy Roping'!$B$5:$AI$24,30,FALSE)=" ",0,VLOOKUP($B7,'MM G-Dummy Roping'!$B$5:$AI$24,30,FALSE)),0)+IFERROR(IF(VLOOKUP($B7,'MM G-Barrels'!$B$5:$AI$29,30,FALSE)=" ",0,VLOOKUP($B7,'MM G-Barrels'!$B$5:$AI$29,30,FALSE)),0)+IFERROR(IF(VLOOKUP($B7,'MM G-Figure 8'!$B$5:$AI$27,30,FALSE)=" ",0,VLOOKUP($B7,'MM G-Figure 8'!$B$5:$AI$27,30,FALSE)),0)+IFERROR(IF(VLOOKUP($B7,'MM G-Goats'!$B$5:$AI$26,30,FALSE)=" ",0,VLOOKUP($B7,'MM G-Goats'!$B$5:$AI$26,30,FALSE)),0)</f>
        <v>39</v>
      </c>
      <c r="V7" s="95">
        <f t="shared" si="12"/>
        <v>39</v>
      </c>
      <c r="W7" s="91">
        <f t="shared" si="13"/>
        <v>2</v>
      </c>
      <c r="X7" s="121">
        <f>IFERROR(IF(VLOOKUP($B7,'MM G-Dummy Roping'!$B$5:$AI$24,34,FALSE)=" ",0,VLOOKUP($B7,'MM G-Dummy Roping'!$B$5:$AI$24,34,FALSE)),0)+IFERROR(IF(VLOOKUP($B7,'MM G-Barrels'!$B$5:$AI$29,34,FALSE)=" ",0,VLOOKUP($B7,'MM G-Barrels'!$B$5:$AI$29,34,FALSE)),0)+IFERROR(IF(VLOOKUP($B7,'MM G-Figure 8'!$B$5:$AI$27,34,FALSE)=" ",0,VLOOKUP($B7,'MM G-Figure 8'!$B$5:$AI$27,34,FALSE)),0)+IFERROR(IF(VLOOKUP($B7,'MM G-Goats'!$B$5:$AI$26,34,FALSE)=" ",0,VLOOKUP($B7,'MM G-Goats'!$B$5:$AI$26,34,FALSE)),0)</f>
        <v>33</v>
      </c>
      <c r="Y7" s="95">
        <f t="shared" si="14"/>
        <v>33</v>
      </c>
      <c r="Z7" s="91">
        <f t="shared" si="15"/>
        <v>2</v>
      </c>
      <c r="AA7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201</v>
      </c>
      <c r="AB7" s="95">
        <f t="shared" si="16"/>
        <v>201</v>
      </c>
      <c r="AC7" s="91">
        <f t="shared" si="17"/>
        <v>3</v>
      </c>
    </row>
    <row r="8" spans="2:29" x14ac:dyDescent="0.25">
      <c r="B8" s="141" t="s">
        <v>93</v>
      </c>
      <c r="C8" s="120">
        <f>IFERROR(IF(VLOOKUP($B8,'MM G-Dummy Roping'!$B$5:$AI$24,6,FALSE)=" ",0,VLOOKUP($B8,'MM G-Dummy Roping'!$B$5:$AI$24,6,FALSE)),0)+IFERROR(IF(VLOOKUP($B8,'MM G-Barrels'!$B$5:$AI$29,6,FALSE)=" ",0,VLOOKUP($B8,'MM G-Barrels'!$B$5:$AI$29,6,FALSE)),0)+IFERROR(IF(VLOOKUP($B8,'MM G-Figure 8'!$B$5:$AI$27,6,FALSE)=" ",0,VLOOKUP($B8,'MM G-Figure 8'!$B$5:$AI$27,6,FALSE)),0)+IFERROR(IF(VLOOKUP($B8,'MM G-Goats'!$B$5:$AI$26,6,FALSE)=" ",0,VLOOKUP($B8,'MM G-Goats'!$B$5:$AI$26,6,FALSE)),0)</f>
        <v>18</v>
      </c>
      <c r="D8" s="95">
        <f t="shared" si="0"/>
        <v>18</v>
      </c>
      <c r="E8" s="91">
        <f t="shared" si="1"/>
        <v>5</v>
      </c>
      <c r="F8" s="121">
        <f>IFERROR(IF(VLOOKUP($B8,'MM G-Dummy Roping'!$B$5:$AI$24,10,FALSE)=" ",0,VLOOKUP($B8,'MM G-Dummy Roping'!$B$5:$AI$24,10,FALSE)),0)+IFERROR(IF(VLOOKUP($B8,'MM G-Barrels'!$B$5:$AI$29,10,FALSE)=" ",0,VLOOKUP($B8,'MM G-Barrels'!$B$5:$AI$29,10,FALSE)),0)+IFERROR(IF(VLOOKUP($B8,'MM G-Figure 8'!$B$5:$AI$27,10,FALSE)=" ",0,VLOOKUP($B8,'MM G-Figure 8'!$B$5:$AI$27,10,FALSE)),0)+IFERROR(IF(VLOOKUP($B8,'MM G-Goats'!$B$5:$AI$26,10,FALSE)=" ",0,VLOOKUP($B8,'MM G-Goats'!$B$5:$AI$26,10,FALSE)),0)</f>
        <v>27</v>
      </c>
      <c r="G8" s="95">
        <f t="shared" si="2"/>
        <v>27</v>
      </c>
      <c r="H8" s="91">
        <f t="shared" si="3"/>
        <v>4</v>
      </c>
      <c r="I8" s="121">
        <f>IFERROR(IF(VLOOKUP($B8,'MM G-Dummy Roping'!$B$5:$AI$24,14,FALSE)=" ",0,VLOOKUP($B8,'MM G-Dummy Roping'!$B$5:$AI$24,14,FALSE)),0)+IFERROR(IF(VLOOKUP($B8,'MM G-Barrels'!$B$5:$AI$29,14,FALSE)=" ",0,VLOOKUP($B8,'MM G-Barrels'!$B$5:$AI$29,14,FALSE)),0)+IFERROR(IF(VLOOKUP($B8,'MM G-Figure 8'!$B$5:$AI$27,14,FALSE)=" ",0,VLOOKUP($B8,'MM G-Figure 8'!$B$5:$AI$27,14,FALSE)),0)+IFERROR(IF(VLOOKUP($B8,'MM G-Goats'!$B$5:$AI$26,14,FALSE)=" ",0,VLOOKUP($B8,'MM G-Goats'!$B$5:$AI$26,14,FALSE)),0)</f>
        <v>15</v>
      </c>
      <c r="J8" s="95">
        <f t="shared" si="4"/>
        <v>15</v>
      </c>
      <c r="K8" s="91">
        <f t="shared" si="5"/>
        <v>8</v>
      </c>
      <c r="L8" s="121">
        <f>IFERROR(IF(VLOOKUP($B8,'MM G-Dummy Roping'!$B$5:$AI$24,18,FALSE)=" ",0,VLOOKUP($B8,'MM G-Dummy Roping'!$B$5:$AI$24,18,FALSE)),0)+IFERROR(IF(VLOOKUP($B8,'MM G-Barrels'!$B$5:$AI$29,18,FALSE)=" ",0,VLOOKUP($B8,'MM G-Barrels'!$B$5:$AI$29,18,FALSE)),0)+IFERROR(IF(VLOOKUP($B8,'MM G-Figure 8'!$B$5:$AI$27,18,FALSE)=" ",0,VLOOKUP($B8,'MM G-Figure 8'!$B$5:$AI$27,18,FALSE)),0)+IFERROR(IF(VLOOKUP($B8,'MM G-Goats'!$B$5:$AI$26,18,FALSE)=" ",0,VLOOKUP($B8,'MM G-Goats'!$B$5:$AI$26,18,FALSE)),0)</f>
        <v>30</v>
      </c>
      <c r="M8" s="95">
        <f t="shared" si="6"/>
        <v>30</v>
      </c>
      <c r="N8" s="91">
        <f t="shared" si="7"/>
        <v>2</v>
      </c>
      <c r="O8" s="121">
        <f>IFERROR(IF(VLOOKUP($B8,'MM G-Dummy Roping'!$B$5:$AI$24,22,FALSE)=" ",0,VLOOKUP($B8,'MM G-Dummy Roping'!$B$5:$AI$24,22,FALSE)),0)+IFERROR(IF(VLOOKUP($B8,'MM G-Barrels'!$B$5:$AI$29,22,FALSE)=" ",0,VLOOKUP($B8,'MM G-Barrels'!$B$5:$AI$29,22,FALSE)),0)+IFERROR(IF(VLOOKUP($B8,'MM G-Figure 8'!$B$5:$AI$27,22,FALSE)=" ",0,VLOOKUP($B8,'MM G-Figure 8'!$B$5:$AI$27,22,FALSE)),0)+IFERROR(IF(VLOOKUP($B8,'MM G-Goats'!$B$5:$AI$26,22,FALSE)=" ",0,VLOOKUP($B8,'MM G-Goats'!$B$5:$AI$26,22,FALSE)),0)</f>
        <v>31.5</v>
      </c>
      <c r="P8" s="95">
        <f t="shared" si="8"/>
        <v>31.5</v>
      </c>
      <c r="Q8" s="91">
        <f t="shared" si="9"/>
        <v>4</v>
      </c>
      <c r="R8" s="121">
        <f>IFERROR(IF(VLOOKUP($B8,'MM G-Dummy Roping'!$B$5:$AI$24,26,FALSE)=" ",0,VLOOKUP($B8,'MM G-Dummy Roping'!$B$5:$AI$24,26,FALSE)),0)+IFERROR(IF(VLOOKUP($B8,'MM G-Barrels'!$B$5:$AI$29,26,FALSE)=" ",0,VLOOKUP($B8,'MM G-Barrels'!$B$5:$AI$29,26,FALSE)),0)+IFERROR(IF(VLOOKUP($B8,'MM G-Figure 8'!$B$5:$AI$27,26,FALSE)=" ",0,VLOOKUP($B8,'MM G-Figure 8'!$B$5:$AI$27,26,FALSE)),0)+IFERROR(IF(VLOOKUP($B8,'MM G-Goats'!$B$5:$AI$26,26,FALSE)=" ",0,VLOOKUP($B8,'MM G-Goats'!$B$5:$AI$26,26,FALSE)),0)</f>
        <v>24</v>
      </c>
      <c r="S8" s="95">
        <f t="shared" si="10"/>
        <v>24</v>
      </c>
      <c r="T8" s="91">
        <f t="shared" si="11"/>
        <v>5</v>
      </c>
      <c r="U8" s="121">
        <f>IFERROR(IF(VLOOKUP($B8,'MM G-Dummy Roping'!$B$5:$AI$24,30,FALSE)=" ",0,VLOOKUP($B8,'MM G-Dummy Roping'!$B$5:$AI$24,30,FALSE)),0)+IFERROR(IF(VLOOKUP($B8,'MM G-Barrels'!$B$5:$AI$29,30,FALSE)=" ",0,VLOOKUP($B8,'MM G-Barrels'!$B$5:$AI$29,30,FALSE)),0)+IFERROR(IF(VLOOKUP($B8,'MM G-Figure 8'!$B$5:$AI$27,30,FALSE)=" ",0,VLOOKUP($B8,'MM G-Figure 8'!$B$5:$AI$27,30,FALSE)),0)+IFERROR(IF(VLOOKUP($B8,'MM G-Goats'!$B$5:$AI$26,30,FALSE)=" ",0,VLOOKUP($B8,'MM G-Goats'!$B$5:$AI$26,30,FALSE)),0)</f>
        <v>24</v>
      </c>
      <c r="V8" s="95">
        <f t="shared" si="12"/>
        <v>24</v>
      </c>
      <c r="W8" s="91">
        <f t="shared" si="13"/>
        <v>5</v>
      </c>
      <c r="X8" s="121">
        <f>IFERROR(IF(VLOOKUP($B8,'MM G-Dummy Roping'!$B$5:$AI$24,34,FALSE)=" ",0,VLOOKUP($B8,'MM G-Dummy Roping'!$B$5:$AI$24,34,FALSE)),0)+IFERROR(IF(VLOOKUP($B8,'MM G-Barrels'!$B$5:$AI$29,34,FALSE)=" ",0,VLOOKUP($B8,'MM G-Barrels'!$B$5:$AI$29,34,FALSE)),0)+IFERROR(IF(VLOOKUP($B8,'MM G-Figure 8'!$B$5:$AI$27,34,FALSE)=" ",0,VLOOKUP($B8,'MM G-Figure 8'!$B$5:$AI$27,34,FALSE)),0)+IFERROR(IF(VLOOKUP($B8,'MM G-Goats'!$B$5:$AI$26,34,FALSE)=" ",0,VLOOKUP($B8,'MM G-Goats'!$B$5:$AI$26,34,FALSE)),0)</f>
        <v>24</v>
      </c>
      <c r="Y8" s="95">
        <f t="shared" si="14"/>
        <v>24</v>
      </c>
      <c r="Z8" s="91">
        <f t="shared" si="15"/>
        <v>5</v>
      </c>
      <c r="AA8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193.5</v>
      </c>
      <c r="AB8" s="95">
        <f t="shared" si="16"/>
        <v>193.5</v>
      </c>
      <c r="AC8" s="91">
        <f t="shared" si="17"/>
        <v>4</v>
      </c>
    </row>
    <row r="9" spans="2:29" x14ac:dyDescent="0.25">
      <c r="B9" s="141" t="s">
        <v>87</v>
      </c>
      <c r="C9" s="120">
        <f>IFERROR(IF(VLOOKUP($B9,'MM G-Dummy Roping'!$B$5:$AI$24,6,FALSE)=" ",0,VLOOKUP($B9,'MM G-Dummy Roping'!$B$5:$AI$24,6,FALSE)),0)+IFERROR(IF(VLOOKUP($B9,'MM G-Barrels'!$B$5:$AI$29,6,FALSE)=" ",0,VLOOKUP($B9,'MM G-Barrels'!$B$5:$AI$29,6,FALSE)),0)+IFERROR(IF(VLOOKUP($B9,'MM G-Figure 8'!$B$5:$AI$27,6,FALSE)=" ",0,VLOOKUP($B9,'MM G-Figure 8'!$B$5:$AI$27,6,FALSE)),0)+IFERROR(IF(VLOOKUP($B9,'MM G-Goats'!$B$5:$AI$26,6,FALSE)=" ",0,VLOOKUP($B9,'MM G-Goats'!$B$5:$AI$26,6,FALSE)),0)</f>
        <v>12</v>
      </c>
      <c r="D9" s="95">
        <f t="shared" si="0"/>
        <v>12</v>
      </c>
      <c r="E9" s="91">
        <f t="shared" si="1"/>
        <v>7</v>
      </c>
      <c r="F9" s="121">
        <f>IFERROR(IF(VLOOKUP($B9,'MM G-Dummy Roping'!$B$5:$AI$24,10,FALSE)=" ",0,VLOOKUP($B9,'MM G-Dummy Roping'!$B$5:$AI$24,10,FALSE)),0)+IFERROR(IF(VLOOKUP($B9,'MM G-Barrels'!$B$5:$AI$29,10,FALSE)=" ",0,VLOOKUP($B9,'MM G-Barrels'!$B$5:$AI$29,10,FALSE)),0)+IFERROR(IF(VLOOKUP($B9,'MM G-Figure 8'!$B$5:$AI$27,10,FALSE)=" ",0,VLOOKUP($B9,'MM G-Figure 8'!$B$5:$AI$27,10,FALSE)),0)+IFERROR(IF(VLOOKUP($B9,'MM G-Goats'!$B$5:$AI$26,10,FALSE)=" ",0,VLOOKUP($B9,'MM G-Goats'!$B$5:$AI$26,10,FALSE)),0)</f>
        <v>25.5</v>
      </c>
      <c r="G9" s="95">
        <f t="shared" si="2"/>
        <v>25.5</v>
      </c>
      <c r="H9" s="91">
        <f t="shared" si="3"/>
        <v>5</v>
      </c>
      <c r="I9" s="121">
        <f>IFERROR(IF(VLOOKUP($B9,'MM G-Dummy Roping'!$B$5:$AI$24,14,FALSE)=" ",0,VLOOKUP($B9,'MM G-Dummy Roping'!$B$5:$AI$24,14,FALSE)),0)+IFERROR(IF(VLOOKUP($B9,'MM G-Barrels'!$B$5:$AI$29,14,FALSE)=" ",0,VLOOKUP($B9,'MM G-Barrels'!$B$5:$AI$29,14,FALSE)),0)+IFERROR(IF(VLOOKUP($B9,'MM G-Figure 8'!$B$5:$AI$27,14,FALSE)=" ",0,VLOOKUP($B9,'MM G-Figure 8'!$B$5:$AI$27,14,FALSE)),0)+IFERROR(IF(VLOOKUP($B9,'MM G-Goats'!$B$5:$AI$26,14,FALSE)=" ",0,VLOOKUP($B9,'MM G-Goats'!$B$5:$AI$26,14,FALSE)),0)</f>
        <v>27</v>
      </c>
      <c r="J9" s="95">
        <f t="shared" si="4"/>
        <v>27</v>
      </c>
      <c r="K9" s="91">
        <f t="shared" si="5"/>
        <v>3</v>
      </c>
      <c r="L9" s="121">
        <f>IFERROR(IF(VLOOKUP($B9,'MM G-Dummy Roping'!$B$5:$AI$24,18,FALSE)=" ",0,VLOOKUP($B9,'MM G-Dummy Roping'!$B$5:$AI$24,18,FALSE)),0)+IFERROR(IF(VLOOKUP($B9,'MM G-Barrels'!$B$5:$AI$29,18,FALSE)=" ",0,VLOOKUP($B9,'MM G-Barrels'!$B$5:$AI$29,18,FALSE)),0)+IFERROR(IF(VLOOKUP($B9,'MM G-Figure 8'!$B$5:$AI$27,18,FALSE)=" ",0,VLOOKUP($B9,'MM G-Figure 8'!$B$5:$AI$27,18,FALSE)),0)+IFERROR(IF(VLOOKUP($B9,'MM G-Goats'!$B$5:$AI$26,18,FALSE)=" ",0,VLOOKUP($B9,'MM G-Goats'!$B$5:$AI$26,18,FALSE)),0)</f>
        <v>19</v>
      </c>
      <c r="M9" s="95">
        <f t="shared" si="6"/>
        <v>19</v>
      </c>
      <c r="N9" s="91">
        <f t="shared" si="7"/>
        <v>4</v>
      </c>
      <c r="O9" s="121">
        <f>IFERROR(IF(VLOOKUP($B9,'MM G-Dummy Roping'!$B$5:$AI$24,22,FALSE)=" ",0,VLOOKUP($B9,'MM G-Dummy Roping'!$B$5:$AI$24,22,FALSE)),0)+IFERROR(IF(VLOOKUP($B9,'MM G-Barrels'!$B$5:$AI$29,22,FALSE)=" ",0,VLOOKUP($B9,'MM G-Barrels'!$B$5:$AI$29,22,FALSE)),0)+IFERROR(IF(VLOOKUP($B9,'MM G-Figure 8'!$B$5:$AI$27,22,FALSE)=" ",0,VLOOKUP($B9,'MM G-Figure 8'!$B$5:$AI$27,22,FALSE)),0)+IFERROR(IF(VLOOKUP($B9,'MM G-Goats'!$B$5:$AI$26,22,FALSE)=" ",0,VLOOKUP($B9,'MM G-Goats'!$B$5:$AI$26,22,FALSE)),0)</f>
        <v>15</v>
      </c>
      <c r="P9" s="95">
        <f t="shared" si="8"/>
        <v>15</v>
      </c>
      <c r="Q9" s="91">
        <f t="shared" si="9"/>
        <v>7</v>
      </c>
      <c r="R9" s="121">
        <f>IFERROR(IF(VLOOKUP($B9,'MM G-Dummy Roping'!$B$5:$AI$24,26,FALSE)=" ",0,VLOOKUP($B9,'MM G-Dummy Roping'!$B$5:$AI$24,26,FALSE)),0)+IFERROR(IF(VLOOKUP($B9,'MM G-Barrels'!$B$5:$AI$29,26,FALSE)=" ",0,VLOOKUP($B9,'MM G-Barrels'!$B$5:$AI$29,26,FALSE)),0)+IFERROR(IF(VLOOKUP($B9,'MM G-Figure 8'!$B$5:$AI$27,26,FALSE)=" ",0,VLOOKUP($B9,'MM G-Figure 8'!$B$5:$AI$27,26,FALSE)),0)+IFERROR(IF(VLOOKUP($B9,'MM G-Goats'!$B$5:$AI$26,26,FALSE)=" ",0,VLOOKUP($B9,'MM G-Goats'!$B$5:$AI$26,26,FALSE)),0)</f>
        <v>24</v>
      </c>
      <c r="S9" s="95">
        <f t="shared" si="10"/>
        <v>24</v>
      </c>
      <c r="T9" s="91">
        <f t="shared" si="11"/>
        <v>5</v>
      </c>
      <c r="U9" s="121">
        <f>IFERROR(IF(VLOOKUP($B9,'MM G-Dummy Roping'!$B$5:$AI$24,30,FALSE)=" ",0,VLOOKUP($B9,'MM G-Dummy Roping'!$B$5:$AI$24,30,FALSE)),0)+IFERROR(IF(VLOOKUP($B9,'MM G-Barrels'!$B$5:$AI$29,30,FALSE)=" ",0,VLOOKUP($B9,'MM G-Barrels'!$B$5:$AI$29,30,FALSE)),0)+IFERROR(IF(VLOOKUP($B9,'MM G-Figure 8'!$B$5:$AI$27,30,FALSE)=" ",0,VLOOKUP($B9,'MM G-Figure 8'!$B$5:$AI$27,30,FALSE)),0)+IFERROR(IF(VLOOKUP($B9,'MM G-Goats'!$B$5:$AI$26,30,FALSE)=" ",0,VLOOKUP($B9,'MM G-Goats'!$B$5:$AI$26,30,FALSE)),0)</f>
        <v>16.8</v>
      </c>
      <c r="V9" s="95">
        <f t="shared" si="12"/>
        <v>16.8</v>
      </c>
      <c r="W9" s="91">
        <f t="shared" si="13"/>
        <v>6</v>
      </c>
      <c r="X9" s="121">
        <f>IFERROR(IF(VLOOKUP($B9,'MM G-Dummy Roping'!$B$5:$AI$24,34,FALSE)=" ",0,VLOOKUP($B9,'MM G-Dummy Roping'!$B$5:$AI$24,34,FALSE)),0)+IFERROR(IF(VLOOKUP($B9,'MM G-Barrels'!$B$5:$AI$29,34,FALSE)=" ",0,VLOOKUP($B9,'MM G-Barrels'!$B$5:$AI$29,34,FALSE)),0)+IFERROR(IF(VLOOKUP($B9,'MM G-Figure 8'!$B$5:$AI$27,34,FALSE)=" ",0,VLOOKUP($B9,'MM G-Figure 8'!$B$5:$AI$27,34,FALSE)),0)+IFERROR(IF(VLOOKUP($B9,'MM G-Goats'!$B$5:$AI$26,34,FALSE)=" ",0,VLOOKUP($B9,'MM G-Goats'!$B$5:$AI$26,34,FALSE)),0)</f>
        <v>21</v>
      </c>
      <c r="Y9" s="95">
        <f t="shared" si="14"/>
        <v>21</v>
      </c>
      <c r="Z9" s="91">
        <f t="shared" si="15"/>
        <v>6</v>
      </c>
      <c r="AA9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160.30000000000001</v>
      </c>
      <c r="AB9" s="95">
        <f t="shared" si="16"/>
        <v>160.30000000000001</v>
      </c>
      <c r="AC9" s="91">
        <f t="shared" si="17"/>
        <v>5</v>
      </c>
    </row>
    <row r="10" spans="2:29" x14ac:dyDescent="0.25">
      <c r="B10" s="141" t="s">
        <v>223</v>
      </c>
      <c r="C10" s="120">
        <f>IFERROR(IF(VLOOKUP($B10,'MM G-Dummy Roping'!$B$5:$AI$24,6,FALSE)=" ",0,VLOOKUP($B10,'MM G-Dummy Roping'!$B$5:$AI$24,6,FALSE)),0)+IFERROR(IF(VLOOKUP($B10,'MM G-Barrels'!$B$5:$AI$29,6,FALSE)=" ",0,VLOOKUP($B10,'MM G-Barrels'!$B$5:$AI$29,6,FALSE)),0)+IFERROR(IF(VLOOKUP($B10,'MM G-Figure 8'!$B$5:$AI$27,6,FALSE)=" ",0,VLOOKUP($B10,'MM G-Figure 8'!$B$5:$AI$27,6,FALSE)),0)+IFERROR(IF(VLOOKUP($B10,'MM G-Goats'!$B$5:$AI$26,6,FALSE)=" ",0,VLOOKUP($B10,'MM G-Goats'!$B$5:$AI$26,6,FALSE)),0)</f>
        <v>27</v>
      </c>
      <c r="D10" s="95">
        <f t="shared" si="0"/>
        <v>27</v>
      </c>
      <c r="E10" s="91">
        <f t="shared" si="1"/>
        <v>4</v>
      </c>
      <c r="F10" s="121">
        <f>IFERROR(IF(VLOOKUP($B10,'MM G-Dummy Roping'!$B$5:$AI$24,10,FALSE)=" ",0,VLOOKUP($B10,'MM G-Dummy Roping'!$B$5:$AI$24,10,FALSE)),0)+IFERROR(IF(VLOOKUP($B10,'MM G-Barrels'!$B$5:$AI$29,10,FALSE)=" ",0,VLOOKUP($B10,'MM G-Barrels'!$B$5:$AI$29,10,FALSE)),0)+IFERROR(IF(VLOOKUP($B10,'MM G-Figure 8'!$B$5:$AI$27,10,FALSE)=" ",0,VLOOKUP($B10,'MM G-Figure 8'!$B$5:$AI$27,10,FALSE)),0)+IFERROR(IF(VLOOKUP($B10,'MM G-Goats'!$B$5:$AI$26,10,FALSE)=" ",0,VLOOKUP($B10,'MM G-Goats'!$B$5:$AI$26,10,FALSE)),0)</f>
        <v>3</v>
      </c>
      <c r="G10" s="95">
        <f t="shared" si="2"/>
        <v>3</v>
      </c>
      <c r="H10" s="91">
        <f t="shared" si="3"/>
        <v>11</v>
      </c>
      <c r="I10" s="121">
        <f>IFERROR(IF(VLOOKUP($B10,'MM G-Dummy Roping'!$B$5:$AI$24,14,FALSE)=" ",0,VLOOKUP($B10,'MM G-Dummy Roping'!$B$5:$AI$24,14,FALSE)),0)+IFERROR(IF(VLOOKUP($B10,'MM G-Barrels'!$B$5:$AI$29,14,FALSE)=" ",0,VLOOKUP($B10,'MM G-Barrels'!$B$5:$AI$29,14,FALSE)),0)+IFERROR(IF(VLOOKUP($B10,'MM G-Figure 8'!$B$5:$AI$27,14,FALSE)=" ",0,VLOOKUP($B10,'MM G-Figure 8'!$B$5:$AI$27,14,FALSE)),0)+IFERROR(IF(VLOOKUP($B10,'MM G-Goats'!$B$5:$AI$26,14,FALSE)=" ",0,VLOOKUP($B10,'MM G-Goats'!$B$5:$AI$26,14,FALSE)),0)</f>
        <v>21</v>
      </c>
      <c r="J10" s="95">
        <f t="shared" si="4"/>
        <v>21</v>
      </c>
      <c r="K10" s="91">
        <f t="shared" si="5"/>
        <v>4</v>
      </c>
      <c r="L10" s="121">
        <f>IFERROR(IF(VLOOKUP($B10,'MM G-Dummy Roping'!$B$5:$AI$24,18,FALSE)=" ",0,VLOOKUP($B10,'MM G-Dummy Roping'!$B$5:$AI$24,18,FALSE)),0)+IFERROR(IF(VLOOKUP($B10,'MM G-Barrels'!$B$5:$AI$29,18,FALSE)=" ",0,VLOOKUP($B10,'MM G-Barrels'!$B$5:$AI$29,18,FALSE)),0)+IFERROR(IF(VLOOKUP($B10,'MM G-Figure 8'!$B$5:$AI$27,18,FALSE)=" ",0,VLOOKUP($B10,'MM G-Figure 8'!$B$5:$AI$27,18,FALSE)),0)+IFERROR(IF(VLOOKUP($B10,'MM G-Goats'!$B$5:$AI$26,18,FALSE)=" ",0,VLOOKUP($B10,'MM G-Goats'!$B$5:$AI$26,18,FALSE)),0)</f>
        <v>15</v>
      </c>
      <c r="M10" s="95">
        <f t="shared" si="6"/>
        <v>15</v>
      </c>
      <c r="N10" s="91">
        <f t="shared" si="7"/>
        <v>6</v>
      </c>
      <c r="O10" s="121">
        <f>IFERROR(IF(VLOOKUP($B10,'MM G-Dummy Roping'!$B$5:$AI$24,22,FALSE)=" ",0,VLOOKUP($B10,'MM G-Dummy Roping'!$B$5:$AI$24,22,FALSE)),0)+IFERROR(IF(VLOOKUP($B10,'MM G-Barrels'!$B$5:$AI$29,22,FALSE)=" ",0,VLOOKUP($B10,'MM G-Barrels'!$B$5:$AI$29,22,FALSE)),0)+IFERROR(IF(VLOOKUP($B10,'MM G-Figure 8'!$B$5:$AI$27,22,FALSE)=" ",0,VLOOKUP($B10,'MM G-Figure 8'!$B$5:$AI$27,22,FALSE)),0)+IFERROR(IF(VLOOKUP($B10,'MM G-Goats'!$B$5:$AI$26,22,FALSE)=" ",0,VLOOKUP($B10,'MM G-Goats'!$B$5:$AI$26,22,FALSE)),0)</f>
        <v>39</v>
      </c>
      <c r="P10" s="95">
        <f t="shared" si="8"/>
        <v>39</v>
      </c>
      <c r="Q10" s="91">
        <f t="shared" si="9"/>
        <v>3</v>
      </c>
      <c r="R10" s="121">
        <f>IFERROR(IF(VLOOKUP($B10,'MM G-Dummy Roping'!$B$5:$AI$24,26,FALSE)=" ",0,VLOOKUP($B10,'MM G-Dummy Roping'!$B$5:$AI$24,26,FALSE)),0)+IFERROR(IF(VLOOKUP($B10,'MM G-Barrels'!$B$5:$AI$29,26,FALSE)=" ",0,VLOOKUP($B10,'MM G-Barrels'!$B$5:$AI$29,26,FALSE)),0)+IFERROR(IF(VLOOKUP($B10,'MM G-Figure 8'!$B$5:$AI$27,26,FALSE)=" ",0,VLOOKUP($B10,'MM G-Figure 8'!$B$5:$AI$27,26,FALSE)),0)+IFERROR(IF(VLOOKUP($B10,'MM G-Goats'!$B$5:$AI$26,26,FALSE)=" ",0,VLOOKUP($B10,'MM G-Goats'!$B$5:$AI$26,26,FALSE)),0)</f>
        <v>0</v>
      </c>
      <c r="S10" s="95" t="str">
        <f t="shared" si="10"/>
        <v xml:space="preserve"> </v>
      </c>
      <c r="T10" s="91" t="str">
        <f t="shared" si="11"/>
        <v xml:space="preserve"> </v>
      </c>
      <c r="U10" s="121">
        <f>IFERROR(IF(VLOOKUP($B10,'MM G-Dummy Roping'!$B$5:$AI$24,30,FALSE)=" ",0,VLOOKUP($B10,'MM G-Dummy Roping'!$B$5:$AI$24,30,FALSE)),0)+IFERROR(IF(VLOOKUP($B10,'MM G-Barrels'!$B$5:$AI$29,30,FALSE)=" ",0,VLOOKUP($B10,'MM G-Barrels'!$B$5:$AI$29,30,FALSE)),0)+IFERROR(IF(VLOOKUP($B10,'MM G-Figure 8'!$B$5:$AI$27,30,FALSE)=" ",0,VLOOKUP($B10,'MM G-Figure 8'!$B$5:$AI$27,30,FALSE)),0)+IFERROR(IF(VLOOKUP($B10,'MM G-Goats'!$B$5:$AI$26,30,FALSE)=" ",0,VLOOKUP($B10,'MM G-Goats'!$B$5:$AI$26,30,FALSE)),0)</f>
        <v>30</v>
      </c>
      <c r="V10" s="95">
        <f t="shared" si="12"/>
        <v>30</v>
      </c>
      <c r="W10" s="91">
        <f t="shared" si="13"/>
        <v>4</v>
      </c>
      <c r="X10" s="121">
        <f>IFERROR(IF(VLOOKUP($B10,'MM G-Dummy Roping'!$B$5:$AI$24,34,FALSE)=" ",0,VLOOKUP($B10,'MM G-Dummy Roping'!$B$5:$AI$24,34,FALSE)),0)+IFERROR(IF(VLOOKUP($B10,'MM G-Barrels'!$B$5:$AI$29,34,FALSE)=" ",0,VLOOKUP($B10,'MM G-Barrels'!$B$5:$AI$29,34,FALSE)),0)+IFERROR(IF(VLOOKUP($B10,'MM G-Figure 8'!$B$5:$AI$27,34,FALSE)=" ",0,VLOOKUP($B10,'MM G-Figure 8'!$B$5:$AI$27,34,FALSE)),0)+IFERROR(IF(VLOOKUP($B10,'MM G-Goats'!$B$5:$AI$26,34,FALSE)=" ",0,VLOOKUP($B10,'MM G-Goats'!$B$5:$AI$26,34,FALSE)),0)</f>
        <v>6</v>
      </c>
      <c r="Y10" s="95">
        <f t="shared" si="14"/>
        <v>6</v>
      </c>
      <c r="Z10" s="91">
        <f t="shared" si="15"/>
        <v>10</v>
      </c>
      <c r="AA10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141</v>
      </c>
      <c r="AB10" s="95">
        <f t="shared" si="16"/>
        <v>141</v>
      </c>
      <c r="AC10" s="91">
        <f t="shared" si="17"/>
        <v>6</v>
      </c>
    </row>
    <row r="11" spans="2:29" x14ac:dyDescent="0.25">
      <c r="B11" s="141" t="s">
        <v>92</v>
      </c>
      <c r="C11" s="120">
        <f>IFERROR(IF(VLOOKUP($B11,'MM G-Dummy Roping'!$B$5:$AI$24,6,FALSE)=" ",0,VLOOKUP($B11,'MM G-Dummy Roping'!$B$5:$AI$24,6,FALSE)),0)+IFERROR(IF(VLOOKUP($B11,'MM G-Barrels'!$B$5:$AI$29,6,FALSE)=" ",0,VLOOKUP($B11,'MM G-Barrels'!$B$5:$AI$29,6,FALSE)),0)+IFERROR(IF(VLOOKUP($B11,'MM G-Figure 8'!$B$5:$AI$27,6,FALSE)=" ",0,VLOOKUP($B11,'MM G-Figure 8'!$B$5:$AI$27,6,FALSE)),0)+IFERROR(IF(VLOOKUP($B11,'MM G-Goats'!$B$5:$AI$26,6,FALSE)=" ",0,VLOOKUP($B11,'MM G-Goats'!$B$5:$AI$26,6,FALSE)),0)</f>
        <v>10.5</v>
      </c>
      <c r="D11" s="95">
        <f t="shared" si="0"/>
        <v>10.5</v>
      </c>
      <c r="E11" s="91">
        <f t="shared" si="1"/>
        <v>9</v>
      </c>
      <c r="F11" s="121">
        <f>IFERROR(IF(VLOOKUP($B11,'MM G-Dummy Roping'!$B$5:$AI$24,10,FALSE)=" ",0,VLOOKUP($B11,'MM G-Dummy Roping'!$B$5:$AI$24,10,FALSE)),0)+IFERROR(IF(VLOOKUP($B11,'MM G-Barrels'!$B$5:$AI$29,10,FALSE)=" ",0,VLOOKUP($B11,'MM G-Barrels'!$B$5:$AI$29,10,FALSE)),0)+IFERROR(IF(VLOOKUP($B11,'MM G-Figure 8'!$B$5:$AI$27,10,FALSE)=" ",0,VLOOKUP($B11,'MM G-Figure 8'!$B$5:$AI$27,10,FALSE)),0)+IFERROR(IF(VLOOKUP($B11,'MM G-Goats'!$B$5:$AI$26,10,FALSE)=" ",0,VLOOKUP($B11,'MM G-Goats'!$B$5:$AI$26,10,FALSE)),0)</f>
        <v>16.5</v>
      </c>
      <c r="G11" s="95">
        <f t="shared" si="2"/>
        <v>16.5</v>
      </c>
      <c r="H11" s="91">
        <f t="shared" si="3"/>
        <v>7</v>
      </c>
      <c r="I11" s="121">
        <f>IFERROR(IF(VLOOKUP($B11,'MM G-Dummy Roping'!$B$5:$AI$24,14,FALSE)=" ",0,VLOOKUP($B11,'MM G-Dummy Roping'!$B$5:$AI$24,14,FALSE)),0)+IFERROR(IF(VLOOKUP($B11,'MM G-Barrels'!$B$5:$AI$29,14,FALSE)=" ",0,VLOOKUP($B11,'MM G-Barrels'!$B$5:$AI$29,14,FALSE)),0)+IFERROR(IF(VLOOKUP($B11,'MM G-Figure 8'!$B$5:$AI$27,14,FALSE)=" ",0,VLOOKUP($B11,'MM G-Figure 8'!$B$5:$AI$27,14,FALSE)),0)+IFERROR(IF(VLOOKUP($B11,'MM G-Goats'!$B$5:$AI$26,14,FALSE)=" ",0,VLOOKUP($B11,'MM G-Goats'!$B$5:$AI$26,14,FALSE)),0)</f>
        <v>7.5</v>
      </c>
      <c r="J11" s="95">
        <f t="shared" si="4"/>
        <v>7.5</v>
      </c>
      <c r="K11" s="91">
        <f t="shared" si="5"/>
        <v>11</v>
      </c>
      <c r="L11" s="121">
        <f>IFERROR(IF(VLOOKUP($B11,'MM G-Dummy Roping'!$B$5:$AI$24,18,FALSE)=" ",0,VLOOKUP($B11,'MM G-Dummy Roping'!$B$5:$AI$24,18,FALSE)),0)+IFERROR(IF(VLOOKUP($B11,'MM G-Barrels'!$B$5:$AI$29,18,FALSE)=" ",0,VLOOKUP($B11,'MM G-Barrels'!$B$5:$AI$29,18,FALSE)),0)+IFERROR(IF(VLOOKUP($B11,'MM G-Figure 8'!$B$5:$AI$27,18,FALSE)=" ",0,VLOOKUP($B11,'MM G-Figure 8'!$B$5:$AI$27,18,FALSE)),0)+IFERROR(IF(VLOOKUP($B11,'MM G-Goats'!$B$5:$AI$26,18,FALSE)=" ",0,VLOOKUP($B11,'MM G-Goats'!$B$5:$AI$26,18,FALSE)),0)</f>
        <v>15</v>
      </c>
      <c r="M11" s="95">
        <f t="shared" si="6"/>
        <v>15</v>
      </c>
      <c r="N11" s="91">
        <f t="shared" si="7"/>
        <v>6</v>
      </c>
      <c r="O11" s="121">
        <f>IFERROR(IF(VLOOKUP($B11,'MM G-Dummy Roping'!$B$5:$AI$24,22,FALSE)=" ",0,VLOOKUP($B11,'MM G-Dummy Roping'!$B$5:$AI$24,22,FALSE)),0)+IFERROR(IF(VLOOKUP($B11,'MM G-Barrels'!$B$5:$AI$29,22,FALSE)=" ",0,VLOOKUP($B11,'MM G-Barrels'!$B$5:$AI$29,22,FALSE)),0)+IFERROR(IF(VLOOKUP($B11,'MM G-Figure 8'!$B$5:$AI$27,22,FALSE)=" ",0,VLOOKUP($B11,'MM G-Figure 8'!$B$5:$AI$27,22,FALSE)),0)+IFERROR(IF(VLOOKUP($B11,'MM G-Goats'!$B$5:$AI$26,22,FALSE)=" ",0,VLOOKUP($B11,'MM G-Goats'!$B$5:$AI$26,22,FALSE)),0)</f>
        <v>7.5</v>
      </c>
      <c r="P11" s="95">
        <f t="shared" si="8"/>
        <v>7.5</v>
      </c>
      <c r="Q11" s="91">
        <f t="shared" si="9"/>
        <v>9</v>
      </c>
      <c r="R11" s="121">
        <f>IFERROR(IF(VLOOKUP($B11,'MM G-Dummy Roping'!$B$5:$AI$24,26,FALSE)=" ",0,VLOOKUP($B11,'MM G-Dummy Roping'!$B$5:$AI$24,26,FALSE)),0)+IFERROR(IF(VLOOKUP($B11,'MM G-Barrels'!$B$5:$AI$29,26,FALSE)=" ",0,VLOOKUP($B11,'MM G-Barrels'!$B$5:$AI$29,26,FALSE)),0)+IFERROR(IF(VLOOKUP($B11,'MM G-Figure 8'!$B$5:$AI$27,26,FALSE)=" ",0,VLOOKUP($B11,'MM G-Figure 8'!$B$5:$AI$27,26,FALSE)),0)+IFERROR(IF(VLOOKUP($B11,'MM G-Goats'!$B$5:$AI$26,26,FALSE)=" ",0,VLOOKUP($B11,'MM G-Goats'!$B$5:$AI$26,26,FALSE)),0)</f>
        <v>28.5</v>
      </c>
      <c r="S11" s="95">
        <f t="shared" si="10"/>
        <v>28.5</v>
      </c>
      <c r="T11" s="91">
        <f t="shared" si="11"/>
        <v>3</v>
      </c>
      <c r="U11" s="121">
        <f>IFERROR(IF(VLOOKUP($B11,'MM G-Dummy Roping'!$B$5:$AI$24,30,FALSE)=" ",0,VLOOKUP($B11,'MM G-Dummy Roping'!$B$5:$AI$24,30,FALSE)),0)+IFERROR(IF(VLOOKUP($B11,'MM G-Barrels'!$B$5:$AI$29,30,FALSE)=" ",0,VLOOKUP($B11,'MM G-Barrels'!$B$5:$AI$29,30,FALSE)),0)+IFERROR(IF(VLOOKUP($B11,'MM G-Figure 8'!$B$5:$AI$27,30,FALSE)=" ",0,VLOOKUP($B11,'MM G-Figure 8'!$B$5:$AI$27,30,FALSE)),0)+IFERROR(IF(VLOOKUP($B11,'MM G-Goats'!$B$5:$AI$26,30,FALSE)=" ",0,VLOOKUP($B11,'MM G-Goats'!$B$5:$AI$26,30,FALSE)),0)</f>
        <v>10.8</v>
      </c>
      <c r="V11" s="95">
        <f t="shared" si="12"/>
        <v>10.8</v>
      </c>
      <c r="W11" s="91">
        <f t="shared" si="13"/>
        <v>9</v>
      </c>
      <c r="X11" s="121">
        <f>IFERROR(IF(VLOOKUP($B11,'MM G-Dummy Roping'!$B$5:$AI$24,34,FALSE)=" ",0,VLOOKUP($B11,'MM G-Dummy Roping'!$B$5:$AI$24,34,FALSE)),0)+IFERROR(IF(VLOOKUP($B11,'MM G-Barrels'!$B$5:$AI$29,34,FALSE)=" ",0,VLOOKUP($B11,'MM G-Barrels'!$B$5:$AI$29,34,FALSE)),0)+IFERROR(IF(VLOOKUP($B11,'MM G-Figure 8'!$B$5:$AI$27,34,FALSE)=" ",0,VLOOKUP($B11,'MM G-Figure 8'!$B$5:$AI$27,34,FALSE)),0)+IFERROR(IF(VLOOKUP($B11,'MM G-Goats'!$B$5:$AI$26,34,FALSE)=" ",0,VLOOKUP($B11,'MM G-Goats'!$B$5:$AI$26,34,FALSE)),0)</f>
        <v>27</v>
      </c>
      <c r="Y11" s="95">
        <f t="shared" si="14"/>
        <v>27</v>
      </c>
      <c r="Z11" s="91">
        <f t="shared" si="15"/>
        <v>3</v>
      </c>
      <c r="AA11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123.3</v>
      </c>
      <c r="AB11" s="95">
        <f t="shared" si="16"/>
        <v>123.3</v>
      </c>
      <c r="AC11" s="91">
        <f t="shared" si="17"/>
        <v>7</v>
      </c>
    </row>
    <row r="12" spans="2:29" x14ac:dyDescent="0.25">
      <c r="B12" s="141" t="s">
        <v>225</v>
      </c>
      <c r="C12" s="120">
        <f>IFERROR(IF(VLOOKUP($B12,'MM G-Dummy Roping'!$B$5:$AI$24,6,FALSE)=" ",0,VLOOKUP($B12,'MM G-Dummy Roping'!$B$5:$AI$24,6,FALSE)),0)+IFERROR(IF(VLOOKUP($B12,'MM G-Barrels'!$B$5:$AI$29,6,FALSE)=" ",0,VLOOKUP($B12,'MM G-Barrels'!$B$5:$AI$29,6,FALSE)),0)+IFERROR(IF(VLOOKUP($B12,'MM G-Figure 8'!$B$5:$AI$27,6,FALSE)=" ",0,VLOOKUP($B12,'MM G-Figure 8'!$B$5:$AI$27,6,FALSE)),0)+IFERROR(IF(VLOOKUP($B12,'MM G-Goats'!$B$5:$AI$26,6,FALSE)=" ",0,VLOOKUP($B12,'MM G-Goats'!$B$5:$AI$26,6,FALSE)),0)</f>
        <v>16.5</v>
      </c>
      <c r="D12" s="95">
        <f t="shared" si="0"/>
        <v>16.5</v>
      </c>
      <c r="E12" s="91">
        <f t="shared" si="1"/>
        <v>6</v>
      </c>
      <c r="F12" s="121">
        <f>IFERROR(IF(VLOOKUP($B12,'MM G-Dummy Roping'!$B$5:$AI$24,10,FALSE)=" ",0,VLOOKUP($B12,'MM G-Dummy Roping'!$B$5:$AI$24,10,FALSE)),0)+IFERROR(IF(VLOOKUP($B12,'MM G-Barrels'!$B$5:$AI$29,10,FALSE)=" ",0,VLOOKUP($B12,'MM G-Barrels'!$B$5:$AI$29,10,FALSE)),0)+IFERROR(IF(VLOOKUP($B12,'MM G-Figure 8'!$B$5:$AI$27,10,FALSE)=" ",0,VLOOKUP($B12,'MM G-Figure 8'!$B$5:$AI$27,10,FALSE)),0)+IFERROR(IF(VLOOKUP($B12,'MM G-Goats'!$B$5:$AI$26,10,FALSE)=" ",0,VLOOKUP($B12,'MM G-Goats'!$B$5:$AI$26,10,FALSE)),0)</f>
        <v>0</v>
      </c>
      <c r="G12" s="95" t="str">
        <f t="shared" si="2"/>
        <v xml:space="preserve"> </v>
      </c>
      <c r="H12" s="91" t="str">
        <f t="shared" si="3"/>
        <v xml:space="preserve"> </v>
      </c>
      <c r="I12" s="121">
        <f>IFERROR(IF(VLOOKUP($B12,'MM G-Dummy Roping'!$B$5:$AI$24,14,FALSE)=" ",0,VLOOKUP($B12,'MM G-Dummy Roping'!$B$5:$AI$24,14,FALSE)),0)+IFERROR(IF(VLOOKUP($B12,'MM G-Barrels'!$B$5:$AI$29,14,FALSE)=" ",0,VLOOKUP($B12,'MM G-Barrels'!$B$5:$AI$29,14,FALSE)),0)+IFERROR(IF(VLOOKUP($B12,'MM G-Figure 8'!$B$5:$AI$27,14,FALSE)=" ",0,VLOOKUP($B12,'MM G-Figure 8'!$B$5:$AI$27,14,FALSE)),0)+IFERROR(IF(VLOOKUP($B12,'MM G-Goats'!$B$5:$AI$26,14,FALSE)=" ",0,VLOOKUP($B12,'MM G-Goats'!$B$5:$AI$26,14,FALSE)),0)</f>
        <v>40.5</v>
      </c>
      <c r="J12" s="95">
        <f t="shared" si="4"/>
        <v>40.5</v>
      </c>
      <c r="K12" s="91">
        <f t="shared" si="5"/>
        <v>1</v>
      </c>
      <c r="L12" s="121">
        <f>IFERROR(IF(VLOOKUP($B12,'MM G-Dummy Roping'!$B$5:$AI$24,18,FALSE)=" ",0,VLOOKUP($B12,'MM G-Dummy Roping'!$B$5:$AI$24,18,FALSE)),0)+IFERROR(IF(VLOOKUP($B12,'MM G-Barrels'!$B$5:$AI$29,18,FALSE)=" ",0,VLOOKUP($B12,'MM G-Barrels'!$B$5:$AI$29,18,FALSE)),0)+IFERROR(IF(VLOOKUP($B12,'MM G-Figure 8'!$B$5:$AI$27,18,FALSE)=" ",0,VLOOKUP($B12,'MM G-Figure 8'!$B$5:$AI$27,18,FALSE)),0)+IFERROR(IF(VLOOKUP($B12,'MM G-Goats'!$B$5:$AI$26,18,FALSE)=" ",0,VLOOKUP($B12,'MM G-Goats'!$B$5:$AI$26,18,FALSE)),0)</f>
        <v>10</v>
      </c>
      <c r="M12" s="95">
        <f t="shared" si="6"/>
        <v>10</v>
      </c>
      <c r="N12" s="91">
        <f t="shared" si="7"/>
        <v>10</v>
      </c>
      <c r="O12" s="121">
        <f>IFERROR(IF(VLOOKUP($B12,'MM G-Dummy Roping'!$B$5:$AI$24,22,FALSE)=" ",0,VLOOKUP($B12,'MM G-Dummy Roping'!$B$5:$AI$24,22,FALSE)),0)+IFERROR(IF(VLOOKUP($B12,'MM G-Barrels'!$B$5:$AI$29,22,FALSE)=" ",0,VLOOKUP($B12,'MM G-Barrels'!$B$5:$AI$29,22,FALSE)),0)+IFERROR(IF(VLOOKUP($B12,'MM G-Figure 8'!$B$5:$AI$27,22,FALSE)=" ",0,VLOOKUP($B12,'MM G-Figure 8'!$B$5:$AI$27,22,FALSE)),0)+IFERROR(IF(VLOOKUP($B12,'MM G-Goats'!$B$5:$AI$26,22,FALSE)=" ",0,VLOOKUP($B12,'MM G-Goats'!$B$5:$AI$26,22,FALSE)),0)</f>
        <v>3</v>
      </c>
      <c r="P12" s="95">
        <f t="shared" si="8"/>
        <v>3</v>
      </c>
      <c r="Q12" s="91">
        <f t="shared" si="9"/>
        <v>12</v>
      </c>
      <c r="R12" s="121">
        <f>IFERROR(IF(VLOOKUP($B12,'MM G-Dummy Roping'!$B$5:$AI$24,26,FALSE)=" ",0,VLOOKUP($B12,'MM G-Dummy Roping'!$B$5:$AI$24,26,FALSE)),0)+IFERROR(IF(VLOOKUP($B12,'MM G-Barrels'!$B$5:$AI$29,26,FALSE)=" ",0,VLOOKUP($B12,'MM G-Barrels'!$B$5:$AI$29,26,FALSE)),0)+IFERROR(IF(VLOOKUP($B12,'MM G-Figure 8'!$B$5:$AI$27,26,FALSE)=" ",0,VLOOKUP($B12,'MM G-Figure 8'!$B$5:$AI$27,26,FALSE)),0)+IFERROR(IF(VLOOKUP($B12,'MM G-Goats'!$B$5:$AI$26,26,FALSE)=" ",0,VLOOKUP($B12,'MM G-Goats'!$B$5:$AI$26,26,FALSE)),0)</f>
        <v>21</v>
      </c>
      <c r="S12" s="95">
        <f t="shared" si="10"/>
        <v>21</v>
      </c>
      <c r="T12" s="91">
        <f t="shared" si="11"/>
        <v>7</v>
      </c>
      <c r="U12" s="121">
        <f>IFERROR(IF(VLOOKUP($B12,'MM G-Dummy Roping'!$B$5:$AI$24,30,FALSE)=" ",0,VLOOKUP($B12,'MM G-Dummy Roping'!$B$5:$AI$24,30,FALSE)),0)+IFERROR(IF(VLOOKUP($B12,'MM G-Barrels'!$B$5:$AI$29,30,FALSE)=" ",0,VLOOKUP($B12,'MM G-Barrels'!$B$5:$AI$29,30,FALSE)),0)+IFERROR(IF(VLOOKUP($B12,'MM G-Figure 8'!$B$5:$AI$27,30,FALSE)=" ",0,VLOOKUP($B12,'MM G-Figure 8'!$B$5:$AI$27,30,FALSE)),0)+IFERROR(IF(VLOOKUP($B12,'MM G-Goats'!$B$5:$AI$26,30,FALSE)=" ",0,VLOOKUP($B12,'MM G-Goats'!$B$5:$AI$26,30,FALSE)),0)</f>
        <v>12</v>
      </c>
      <c r="V12" s="95">
        <f t="shared" si="12"/>
        <v>12</v>
      </c>
      <c r="W12" s="91">
        <f t="shared" si="13"/>
        <v>8</v>
      </c>
      <c r="X12" s="121">
        <f>IFERROR(IF(VLOOKUP($B12,'MM G-Dummy Roping'!$B$5:$AI$24,34,FALSE)=" ",0,VLOOKUP($B12,'MM G-Dummy Roping'!$B$5:$AI$24,34,FALSE)),0)+IFERROR(IF(VLOOKUP($B12,'MM G-Barrels'!$B$5:$AI$29,34,FALSE)=" ",0,VLOOKUP($B12,'MM G-Barrels'!$B$5:$AI$29,34,FALSE)),0)+IFERROR(IF(VLOOKUP($B12,'MM G-Figure 8'!$B$5:$AI$27,34,FALSE)=" ",0,VLOOKUP($B12,'MM G-Figure 8'!$B$5:$AI$27,34,FALSE)),0)+IFERROR(IF(VLOOKUP($B12,'MM G-Goats'!$B$5:$AI$26,34,FALSE)=" ",0,VLOOKUP($B12,'MM G-Goats'!$B$5:$AI$26,34,FALSE)),0)</f>
        <v>18</v>
      </c>
      <c r="Y12" s="95">
        <f t="shared" si="14"/>
        <v>18</v>
      </c>
      <c r="Z12" s="91">
        <f t="shared" si="15"/>
        <v>7</v>
      </c>
      <c r="AA12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121</v>
      </c>
      <c r="AB12" s="95">
        <f t="shared" si="16"/>
        <v>121</v>
      </c>
      <c r="AC12" s="91">
        <f t="shared" si="17"/>
        <v>8</v>
      </c>
    </row>
    <row r="13" spans="2:29" x14ac:dyDescent="0.25">
      <c r="B13" s="141" t="s">
        <v>96</v>
      </c>
      <c r="C13" s="120">
        <f>IFERROR(IF(VLOOKUP($B13,'MM G-Dummy Roping'!$B$5:$AI$24,6,FALSE)=" ",0,VLOOKUP($B13,'MM G-Dummy Roping'!$B$5:$AI$24,6,FALSE)),0)+IFERROR(IF(VLOOKUP($B13,'MM G-Barrels'!$B$5:$AI$29,6,FALSE)=" ",0,VLOOKUP($B13,'MM G-Barrels'!$B$5:$AI$29,6,FALSE)),0)+IFERROR(IF(VLOOKUP($B13,'MM G-Figure 8'!$B$5:$AI$27,6,FALSE)=" ",0,VLOOKUP($B13,'MM G-Figure 8'!$B$5:$AI$27,6,FALSE)),0)+IFERROR(IF(VLOOKUP($B13,'MM G-Goats'!$B$5:$AI$26,6,FALSE)=" ",0,VLOOKUP($B13,'MM G-Goats'!$B$5:$AI$26,6,FALSE)),0)</f>
        <v>30</v>
      </c>
      <c r="D13" s="95">
        <f t="shared" si="0"/>
        <v>30</v>
      </c>
      <c r="E13" s="91">
        <f t="shared" si="1"/>
        <v>3</v>
      </c>
      <c r="F13" s="121">
        <f>IFERROR(IF(VLOOKUP($B13,'MM G-Dummy Roping'!$B$5:$AI$24,10,FALSE)=" ",0,VLOOKUP($B13,'MM G-Dummy Roping'!$B$5:$AI$24,10,FALSE)),0)+IFERROR(IF(VLOOKUP($B13,'MM G-Barrels'!$B$5:$AI$29,10,FALSE)=" ",0,VLOOKUP($B13,'MM G-Barrels'!$B$5:$AI$29,10,FALSE)),0)+IFERROR(IF(VLOOKUP($B13,'MM G-Figure 8'!$B$5:$AI$27,10,FALSE)=" ",0,VLOOKUP($B13,'MM G-Figure 8'!$B$5:$AI$27,10,FALSE)),0)+IFERROR(IF(VLOOKUP($B13,'MM G-Goats'!$B$5:$AI$26,10,FALSE)=" ",0,VLOOKUP($B13,'MM G-Goats'!$B$5:$AI$26,10,FALSE)),0)</f>
        <v>15</v>
      </c>
      <c r="G13" s="95">
        <f t="shared" si="2"/>
        <v>15</v>
      </c>
      <c r="H13" s="91">
        <f t="shared" si="3"/>
        <v>8</v>
      </c>
      <c r="I13" s="121">
        <f>IFERROR(IF(VLOOKUP($B13,'MM G-Dummy Roping'!$B$5:$AI$24,14,FALSE)=" ",0,VLOOKUP($B13,'MM G-Dummy Roping'!$B$5:$AI$24,14,FALSE)),0)+IFERROR(IF(VLOOKUP($B13,'MM G-Barrels'!$B$5:$AI$29,14,FALSE)=" ",0,VLOOKUP($B13,'MM G-Barrels'!$B$5:$AI$29,14,FALSE)),0)+IFERROR(IF(VLOOKUP($B13,'MM G-Figure 8'!$B$5:$AI$27,14,FALSE)=" ",0,VLOOKUP($B13,'MM G-Figure 8'!$B$5:$AI$27,14,FALSE)),0)+IFERROR(IF(VLOOKUP($B13,'MM G-Goats'!$B$5:$AI$26,14,FALSE)=" ",0,VLOOKUP($B13,'MM G-Goats'!$B$5:$AI$26,14,FALSE)),0)</f>
        <v>12</v>
      </c>
      <c r="J13" s="95">
        <f t="shared" si="4"/>
        <v>12</v>
      </c>
      <c r="K13" s="91">
        <f t="shared" si="5"/>
        <v>10</v>
      </c>
      <c r="L13" s="121">
        <f>IFERROR(IF(VLOOKUP($B13,'MM G-Dummy Roping'!$B$5:$AI$24,18,FALSE)=" ",0,VLOOKUP($B13,'MM G-Dummy Roping'!$B$5:$AI$24,18,FALSE)),0)+IFERROR(IF(VLOOKUP($B13,'MM G-Barrels'!$B$5:$AI$29,18,FALSE)=" ",0,VLOOKUP($B13,'MM G-Barrels'!$B$5:$AI$29,18,FALSE)),0)+IFERROR(IF(VLOOKUP($B13,'MM G-Figure 8'!$B$5:$AI$27,18,FALSE)=" ",0,VLOOKUP($B13,'MM G-Figure 8'!$B$5:$AI$27,18,FALSE)),0)+IFERROR(IF(VLOOKUP($B13,'MM G-Goats'!$B$5:$AI$26,18,FALSE)=" ",0,VLOOKUP($B13,'MM G-Goats'!$B$5:$AI$26,18,FALSE)),0)</f>
        <v>6</v>
      </c>
      <c r="M13" s="95">
        <f t="shared" si="6"/>
        <v>6</v>
      </c>
      <c r="N13" s="91">
        <f t="shared" si="7"/>
        <v>12</v>
      </c>
      <c r="O13" s="121">
        <f>IFERROR(IF(VLOOKUP($B13,'MM G-Dummy Roping'!$B$5:$AI$24,22,FALSE)=" ",0,VLOOKUP($B13,'MM G-Dummy Roping'!$B$5:$AI$24,22,FALSE)),0)+IFERROR(IF(VLOOKUP($B13,'MM G-Barrels'!$B$5:$AI$29,22,FALSE)=" ",0,VLOOKUP($B13,'MM G-Barrels'!$B$5:$AI$29,22,FALSE)),0)+IFERROR(IF(VLOOKUP($B13,'MM G-Figure 8'!$B$5:$AI$27,22,FALSE)=" ",0,VLOOKUP($B13,'MM G-Figure 8'!$B$5:$AI$27,22,FALSE)),0)+IFERROR(IF(VLOOKUP($B13,'MM G-Goats'!$B$5:$AI$26,22,FALSE)=" ",0,VLOOKUP($B13,'MM G-Goats'!$B$5:$AI$26,22,FALSE)),0)</f>
        <v>6</v>
      </c>
      <c r="P13" s="95">
        <f t="shared" si="8"/>
        <v>6</v>
      </c>
      <c r="Q13" s="91">
        <f t="shared" si="9"/>
        <v>11</v>
      </c>
      <c r="R13" s="121">
        <f>IFERROR(IF(VLOOKUP($B13,'MM G-Dummy Roping'!$B$5:$AI$24,26,FALSE)=" ",0,VLOOKUP($B13,'MM G-Dummy Roping'!$B$5:$AI$24,26,FALSE)),0)+IFERROR(IF(VLOOKUP($B13,'MM G-Barrels'!$B$5:$AI$29,26,FALSE)=" ",0,VLOOKUP($B13,'MM G-Barrels'!$B$5:$AI$29,26,FALSE)),0)+IFERROR(IF(VLOOKUP($B13,'MM G-Figure 8'!$B$5:$AI$27,26,FALSE)=" ",0,VLOOKUP($B13,'MM G-Figure 8'!$B$5:$AI$27,26,FALSE)),0)+IFERROR(IF(VLOOKUP($B13,'MM G-Goats'!$B$5:$AI$26,26,FALSE)=" ",0,VLOOKUP($B13,'MM G-Goats'!$B$5:$AI$26,26,FALSE)),0)</f>
        <v>1.5</v>
      </c>
      <c r="S13" s="95">
        <f t="shared" si="10"/>
        <v>1.5</v>
      </c>
      <c r="T13" s="91">
        <f t="shared" si="11"/>
        <v>11</v>
      </c>
      <c r="U13" s="121">
        <f>IFERROR(IF(VLOOKUP($B13,'MM G-Dummy Roping'!$B$5:$AI$24,30,FALSE)=" ",0,VLOOKUP($B13,'MM G-Dummy Roping'!$B$5:$AI$24,30,FALSE)),0)+IFERROR(IF(VLOOKUP($B13,'MM G-Barrels'!$B$5:$AI$29,30,FALSE)=" ",0,VLOOKUP($B13,'MM G-Barrels'!$B$5:$AI$29,30,FALSE)),0)+IFERROR(IF(VLOOKUP($B13,'MM G-Figure 8'!$B$5:$AI$27,30,FALSE)=" ",0,VLOOKUP($B13,'MM G-Figure 8'!$B$5:$AI$27,30,FALSE)),0)+IFERROR(IF(VLOOKUP($B13,'MM G-Goats'!$B$5:$AI$26,30,FALSE)=" ",0,VLOOKUP($B13,'MM G-Goats'!$B$5:$AI$26,30,FALSE)),0)</f>
        <v>3</v>
      </c>
      <c r="V13" s="95">
        <f t="shared" si="12"/>
        <v>3</v>
      </c>
      <c r="W13" s="91">
        <f t="shared" si="13"/>
        <v>10</v>
      </c>
      <c r="X13" s="121">
        <f>IFERROR(IF(VLOOKUP($B13,'MM G-Dummy Roping'!$B$5:$AI$24,34,FALSE)=" ",0,VLOOKUP($B13,'MM G-Dummy Roping'!$B$5:$AI$24,34,FALSE)),0)+IFERROR(IF(VLOOKUP($B13,'MM G-Barrels'!$B$5:$AI$29,34,FALSE)=" ",0,VLOOKUP($B13,'MM G-Barrels'!$B$5:$AI$29,34,FALSE)),0)+IFERROR(IF(VLOOKUP($B13,'MM G-Figure 8'!$B$5:$AI$27,34,FALSE)=" ",0,VLOOKUP($B13,'MM G-Figure 8'!$B$5:$AI$27,34,FALSE)),0)+IFERROR(IF(VLOOKUP($B13,'MM G-Goats'!$B$5:$AI$26,34,FALSE)=" ",0,VLOOKUP($B13,'MM G-Goats'!$B$5:$AI$26,34,FALSE)),0)</f>
        <v>3</v>
      </c>
      <c r="Y13" s="95">
        <f t="shared" si="14"/>
        <v>3</v>
      </c>
      <c r="Z13" s="91">
        <f t="shared" si="15"/>
        <v>12</v>
      </c>
      <c r="AA13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76.5</v>
      </c>
      <c r="AB13" s="95">
        <f t="shared" si="16"/>
        <v>76.5</v>
      </c>
      <c r="AC13" s="91">
        <f t="shared" si="17"/>
        <v>9</v>
      </c>
    </row>
    <row r="14" spans="2:29" x14ac:dyDescent="0.25">
      <c r="B14" s="154" t="s">
        <v>84</v>
      </c>
      <c r="C14" s="120">
        <f>IFERROR(IF(VLOOKUP($B14,'MM G-Dummy Roping'!$B$5:$AI$24,6,FALSE)=" ",0,VLOOKUP($B14,'MM G-Dummy Roping'!$B$5:$AI$24,6,FALSE)),0)+IFERROR(IF(VLOOKUP($B14,'MM G-Barrels'!$B$5:$AI$29,6,FALSE)=" ",0,VLOOKUP($B14,'MM G-Barrels'!$B$5:$AI$29,6,FALSE)),0)+IFERROR(IF(VLOOKUP($B14,'MM G-Figure 8'!$B$5:$AI$27,6,FALSE)=" ",0,VLOOKUP($B14,'MM G-Figure 8'!$B$5:$AI$27,6,FALSE)),0)+IFERROR(IF(VLOOKUP($B14,'MM G-Goats'!$B$5:$AI$26,6,FALSE)=" ",0,VLOOKUP($B14,'MM G-Goats'!$B$5:$AI$26,6,FALSE)),0)</f>
        <v>3</v>
      </c>
      <c r="D14" s="95">
        <f t="shared" si="0"/>
        <v>3</v>
      </c>
      <c r="E14" s="122">
        <f t="shared" si="1"/>
        <v>11</v>
      </c>
      <c r="F14" s="121">
        <f>IFERROR(IF(VLOOKUP($B14,'MM G-Dummy Roping'!$B$5:$AI$24,10,FALSE)=" ",0,VLOOKUP($B14,'MM G-Dummy Roping'!$B$5:$AI$24,10,FALSE)),0)+IFERROR(IF(VLOOKUP($B14,'MM G-Barrels'!$B$5:$AI$29,10,FALSE)=" ",0,VLOOKUP($B14,'MM G-Barrels'!$B$5:$AI$29,10,FALSE)),0)+IFERROR(IF(VLOOKUP($B14,'MM G-Figure 8'!$B$5:$AI$27,10,FALSE)=" ",0,VLOOKUP($B14,'MM G-Figure 8'!$B$5:$AI$27,10,FALSE)),0)+IFERROR(IF(VLOOKUP($B14,'MM G-Goats'!$B$5:$AI$26,10,FALSE)=" ",0,VLOOKUP($B14,'MM G-Goats'!$B$5:$AI$26,10,FALSE)),0)</f>
        <v>7.5</v>
      </c>
      <c r="G14" s="95">
        <f t="shared" si="2"/>
        <v>7.5</v>
      </c>
      <c r="H14" s="122">
        <f t="shared" si="3"/>
        <v>10</v>
      </c>
      <c r="I14" s="121">
        <f>IFERROR(IF(VLOOKUP($B14,'MM G-Dummy Roping'!$B$5:$AI$24,14,FALSE)=" ",0,VLOOKUP($B14,'MM G-Dummy Roping'!$B$5:$AI$24,14,FALSE)),0)+IFERROR(IF(VLOOKUP($B14,'MM G-Barrels'!$B$5:$AI$29,14,FALSE)=" ",0,VLOOKUP($B14,'MM G-Barrels'!$B$5:$AI$29,14,FALSE)),0)+IFERROR(IF(VLOOKUP($B14,'MM G-Figure 8'!$B$5:$AI$27,14,FALSE)=" ",0,VLOOKUP($B14,'MM G-Figure 8'!$B$5:$AI$27,14,FALSE)),0)+IFERROR(IF(VLOOKUP($B14,'MM G-Goats'!$B$5:$AI$26,14,FALSE)=" ",0,VLOOKUP($B14,'MM G-Goats'!$B$5:$AI$26,14,FALSE)),0)</f>
        <v>15</v>
      </c>
      <c r="J14" s="95">
        <f t="shared" si="4"/>
        <v>15</v>
      </c>
      <c r="K14" s="122">
        <f t="shared" si="5"/>
        <v>8</v>
      </c>
      <c r="L14" s="121">
        <f>IFERROR(IF(VLOOKUP($B14,'MM G-Dummy Roping'!$B$5:$AI$24,18,FALSE)=" ",0,VLOOKUP($B14,'MM G-Dummy Roping'!$B$5:$AI$24,18,FALSE)),0)+IFERROR(IF(VLOOKUP($B14,'MM G-Barrels'!$B$5:$AI$29,18,FALSE)=" ",0,VLOOKUP($B14,'MM G-Barrels'!$B$5:$AI$29,18,FALSE)),0)+IFERROR(IF(VLOOKUP($B14,'MM G-Figure 8'!$B$5:$AI$27,18,FALSE)=" ",0,VLOOKUP($B14,'MM G-Figure 8'!$B$5:$AI$27,18,FALSE)),0)+IFERROR(IF(VLOOKUP($B14,'MM G-Goats'!$B$5:$AI$26,18,FALSE)=" ",0,VLOOKUP($B14,'MM G-Goats'!$B$5:$AI$26,18,FALSE)),0)</f>
        <v>15</v>
      </c>
      <c r="M14" s="95">
        <f t="shared" si="6"/>
        <v>15</v>
      </c>
      <c r="N14" s="122">
        <f t="shared" si="7"/>
        <v>6</v>
      </c>
      <c r="O14" s="121">
        <f>IFERROR(IF(VLOOKUP($B14,'MM G-Dummy Roping'!$B$5:$AI$24,22,FALSE)=" ",0,VLOOKUP($B14,'MM G-Dummy Roping'!$B$5:$AI$24,22,FALSE)),0)+IFERROR(IF(VLOOKUP($B14,'MM G-Barrels'!$B$5:$AI$29,22,FALSE)=" ",0,VLOOKUP($B14,'MM G-Barrels'!$B$5:$AI$29,22,FALSE)),0)+IFERROR(IF(VLOOKUP($B14,'MM G-Figure 8'!$B$5:$AI$27,22,FALSE)=" ",0,VLOOKUP($B14,'MM G-Figure 8'!$B$5:$AI$27,22,FALSE)),0)+IFERROR(IF(VLOOKUP($B14,'MM G-Goats'!$B$5:$AI$26,22,FALSE)=" ",0,VLOOKUP($B14,'MM G-Goats'!$B$5:$AI$26,22,FALSE)),0)</f>
        <v>0</v>
      </c>
      <c r="P14" s="95" t="str">
        <f t="shared" si="8"/>
        <v xml:space="preserve"> </v>
      </c>
      <c r="Q14" s="122" t="str">
        <f t="shared" si="9"/>
        <v xml:space="preserve"> </v>
      </c>
      <c r="R14" s="121">
        <f>IFERROR(IF(VLOOKUP($B14,'MM G-Dummy Roping'!$B$5:$AI$24,26,FALSE)=" ",0,VLOOKUP($B14,'MM G-Dummy Roping'!$B$5:$AI$24,26,FALSE)),0)+IFERROR(IF(VLOOKUP($B14,'MM G-Barrels'!$B$5:$AI$29,26,FALSE)=" ",0,VLOOKUP($B14,'MM G-Barrels'!$B$5:$AI$29,26,FALSE)),0)+IFERROR(IF(VLOOKUP($B14,'MM G-Figure 8'!$B$5:$AI$27,26,FALSE)=" ",0,VLOOKUP($B14,'MM G-Figure 8'!$B$5:$AI$27,26,FALSE)),0)+IFERROR(IF(VLOOKUP($B14,'MM G-Goats'!$B$5:$AI$26,26,FALSE)=" ",0,VLOOKUP($B14,'MM G-Goats'!$B$5:$AI$26,26,FALSE)),0)</f>
        <v>15</v>
      </c>
      <c r="S14" s="95">
        <f t="shared" si="10"/>
        <v>15</v>
      </c>
      <c r="T14" s="122">
        <f t="shared" si="11"/>
        <v>8</v>
      </c>
      <c r="U14" s="121">
        <f>IFERROR(IF(VLOOKUP($B14,'MM G-Dummy Roping'!$B$5:$AI$24,30,FALSE)=" ",0,VLOOKUP($B14,'MM G-Dummy Roping'!$B$5:$AI$24,30,FALSE)),0)+IFERROR(IF(VLOOKUP($B14,'MM G-Barrels'!$B$5:$AI$29,30,FALSE)=" ",0,VLOOKUP($B14,'MM G-Barrels'!$B$5:$AI$29,30,FALSE)),0)+IFERROR(IF(VLOOKUP($B14,'MM G-Figure 8'!$B$5:$AI$27,30,FALSE)=" ",0,VLOOKUP($B14,'MM G-Figure 8'!$B$5:$AI$27,30,FALSE)),0)+IFERROR(IF(VLOOKUP($B14,'MM G-Goats'!$B$5:$AI$26,30,FALSE)=" ",0,VLOOKUP($B14,'MM G-Goats'!$B$5:$AI$26,30,FALSE)),0)</f>
        <v>1.8</v>
      </c>
      <c r="V14" s="95">
        <f t="shared" si="12"/>
        <v>1.8</v>
      </c>
      <c r="W14" s="122">
        <f t="shared" si="13"/>
        <v>12</v>
      </c>
      <c r="X14" s="121">
        <f>IFERROR(IF(VLOOKUP($B14,'MM G-Dummy Roping'!$B$5:$AI$24,34,FALSE)=" ",0,VLOOKUP($B14,'MM G-Dummy Roping'!$B$5:$AI$24,34,FALSE)),0)+IFERROR(IF(VLOOKUP($B14,'MM G-Barrels'!$B$5:$AI$29,34,FALSE)=" ",0,VLOOKUP($B14,'MM G-Barrels'!$B$5:$AI$29,34,FALSE)),0)+IFERROR(IF(VLOOKUP($B14,'MM G-Figure 8'!$B$5:$AI$27,34,FALSE)=" ",0,VLOOKUP($B14,'MM G-Figure 8'!$B$5:$AI$27,34,FALSE)),0)+IFERROR(IF(VLOOKUP($B14,'MM G-Goats'!$B$5:$AI$26,34,FALSE)=" ",0,VLOOKUP($B14,'MM G-Goats'!$B$5:$AI$26,34,FALSE)),0)</f>
        <v>9</v>
      </c>
      <c r="Y14" s="95">
        <f t="shared" si="14"/>
        <v>9</v>
      </c>
      <c r="Z14" s="122">
        <f t="shared" si="15"/>
        <v>9</v>
      </c>
      <c r="AA14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66.3</v>
      </c>
      <c r="AB14" s="95">
        <f t="shared" si="16"/>
        <v>66.3</v>
      </c>
      <c r="AC14" s="122">
        <f t="shared" si="17"/>
        <v>10</v>
      </c>
    </row>
    <row r="15" spans="2:29" x14ac:dyDescent="0.25">
      <c r="B15" s="154" t="s">
        <v>239</v>
      </c>
      <c r="C15" s="120">
        <f>IFERROR(IF(VLOOKUP($B15,'MM G-Dummy Roping'!$B$5:$AI$24,6,FALSE)=" ",0,VLOOKUP($B15,'MM G-Dummy Roping'!$B$5:$AI$24,6,FALSE)),0)+IFERROR(IF(VLOOKUP($B15,'MM G-Barrels'!$B$5:$AI$29,6,FALSE)=" ",0,VLOOKUP($B15,'MM G-Barrels'!$B$5:$AI$29,6,FALSE)),0)+IFERROR(IF(VLOOKUP($B15,'MM G-Figure 8'!$B$5:$AI$27,6,FALSE)=" ",0,VLOOKUP($B15,'MM G-Figure 8'!$B$5:$AI$27,6,FALSE)),0)+IFERROR(IF(VLOOKUP($B15,'MM G-Goats'!$B$5:$AI$26,6,FALSE)=" ",0,VLOOKUP($B15,'MM G-Goats'!$B$5:$AI$26,6,FALSE)),0)</f>
        <v>0</v>
      </c>
      <c r="D15" s="95" t="str">
        <f t="shared" si="0"/>
        <v xml:space="preserve"> </v>
      </c>
      <c r="E15" s="122" t="str">
        <f t="shared" si="1"/>
        <v xml:space="preserve"> </v>
      </c>
      <c r="F15" s="121">
        <f>IFERROR(IF(VLOOKUP($B15,'MM G-Dummy Roping'!$B$5:$AI$24,10,FALSE)=" ",0,VLOOKUP($B15,'MM G-Dummy Roping'!$B$5:$AI$24,10,FALSE)),0)+IFERROR(IF(VLOOKUP($B15,'MM G-Barrels'!$B$5:$AI$29,10,FALSE)=" ",0,VLOOKUP($B15,'MM G-Barrels'!$B$5:$AI$29,10,FALSE)),0)+IFERROR(IF(VLOOKUP($B15,'MM G-Figure 8'!$B$5:$AI$27,10,FALSE)=" ",0,VLOOKUP($B15,'MM G-Figure 8'!$B$5:$AI$27,10,FALSE)),0)+IFERROR(IF(VLOOKUP($B15,'MM G-Goats'!$B$5:$AI$26,10,FALSE)=" ",0,VLOOKUP($B15,'MM G-Goats'!$B$5:$AI$26,10,FALSE)),0)</f>
        <v>24</v>
      </c>
      <c r="G15" s="95">
        <f t="shared" si="2"/>
        <v>24</v>
      </c>
      <c r="H15" s="122">
        <f t="shared" si="3"/>
        <v>6</v>
      </c>
      <c r="I15" s="121">
        <f>IFERROR(IF(VLOOKUP($B15,'MM G-Dummy Roping'!$B$5:$AI$24,14,FALSE)=" ",0,VLOOKUP($B15,'MM G-Dummy Roping'!$B$5:$AI$24,14,FALSE)),0)+IFERROR(IF(VLOOKUP($B15,'MM G-Barrels'!$B$5:$AI$29,14,FALSE)=" ",0,VLOOKUP($B15,'MM G-Barrels'!$B$5:$AI$29,14,FALSE)),0)+IFERROR(IF(VLOOKUP($B15,'MM G-Figure 8'!$B$5:$AI$27,14,FALSE)=" ",0,VLOOKUP($B15,'MM G-Figure 8'!$B$5:$AI$27,14,FALSE)),0)+IFERROR(IF(VLOOKUP($B15,'MM G-Goats'!$B$5:$AI$26,14,FALSE)=" ",0,VLOOKUP($B15,'MM G-Goats'!$B$5:$AI$26,14,FALSE)),0)</f>
        <v>3</v>
      </c>
      <c r="J15" s="95">
        <f t="shared" si="4"/>
        <v>3</v>
      </c>
      <c r="K15" s="122">
        <f t="shared" si="5"/>
        <v>13</v>
      </c>
      <c r="L15" s="121">
        <f>IFERROR(IF(VLOOKUP($B15,'MM G-Dummy Roping'!$B$5:$AI$24,18,FALSE)=" ",0,VLOOKUP($B15,'MM G-Dummy Roping'!$B$5:$AI$24,18,FALSE)),0)+IFERROR(IF(VLOOKUP($B15,'MM G-Barrels'!$B$5:$AI$29,18,FALSE)=" ",0,VLOOKUP($B15,'MM G-Barrels'!$B$5:$AI$29,18,FALSE)),0)+IFERROR(IF(VLOOKUP($B15,'MM G-Figure 8'!$B$5:$AI$27,18,FALSE)=" ",0,VLOOKUP($B15,'MM G-Figure 8'!$B$5:$AI$27,18,FALSE)),0)+IFERROR(IF(VLOOKUP($B15,'MM G-Goats'!$B$5:$AI$26,18,FALSE)=" ",0,VLOOKUP($B15,'MM G-Goats'!$B$5:$AI$26,18,FALSE)),0)</f>
        <v>6</v>
      </c>
      <c r="M15" s="95">
        <f t="shared" si="6"/>
        <v>6</v>
      </c>
      <c r="N15" s="122">
        <f t="shared" si="7"/>
        <v>12</v>
      </c>
      <c r="O15" s="121">
        <f>IFERROR(IF(VLOOKUP($B15,'MM G-Dummy Roping'!$B$5:$AI$24,22,FALSE)=" ",0,VLOOKUP($B15,'MM G-Dummy Roping'!$B$5:$AI$24,22,FALSE)),0)+IFERROR(IF(VLOOKUP($B15,'MM G-Barrels'!$B$5:$AI$29,22,FALSE)=" ",0,VLOOKUP($B15,'MM G-Barrels'!$B$5:$AI$29,22,FALSE)),0)+IFERROR(IF(VLOOKUP($B15,'MM G-Figure 8'!$B$5:$AI$27,22,FALSE)=" ",0,VLOOKUP($B15,'MM G-Figure 8'!$B$5:$AI$27,22,FALSE)),0)+IFERROR(IF(VLOOKUP($B15,'MM G-Goats'!$B$5:$AI$26,22,FALSE)=" ",0,VLOOKUP($B15,'MM G-Goats'!$B$5:$AI$26,22,FALSE)),0)</f>
        <v>24</v>
      </c>
      <c r="P15" s="95">
        <f t="shared" si="8"/>
        <v>24</v>
      </c>
      <c r="Q15" s="122">
        <f t="shared" si="9"/>
        <v>5</v>
      </c>
      <c r="R15" s="121">
        <f>IFERROR(IF(VLOOKUP($B15,'MM G-Dummy Roping'!$B$5:$AI$24,26,FALSE)=" ",0,VLOOKUP($B15,'MM G-Dummy Roping'!$B$5:$AI$24,26,FALSE)),0)+IFERROR(IF(VLOOKUP($B15,'MM G-Barrels'!$B$5:$AI$29,26,FALSE)=" ",0,VLOOKUP($B15,'MM G-Barrels'!$B$5:$AI$29,26,FALSE)),0)+IFERROR(IF(VLOOKUP($B15,'MM G-Figure 8'!$B$5:$AI$27,26,FALSE)=" ",0,VLOOKUP($B15,'MM G-Figure 8'!$B$5:$AI$27,26,FALSE)),0)+IFERROR(IF(VLOOKUP($B15,'MM G-Goats'!$B$5:$AI$26,26,FALSE)=" ",0,VLOOKUP($B15,'MM G-Goats'!$B$5:$AI$26,26,FALSE)),0)</f>
        <v>0</v>
      </c>
      <c r="S15" s="95" t="str">
        <f t="shared" si="10"/>
        <v xml:space="preserve"> </v>
      </c>
      <c r="T15" s="122" t="str">
        <f t="shared" si="11"/>
        <v xml:space="preserve"> </v>
      </c>
      <c r="U15" s="121">
        <f>IFERROR(IF(VLOOKUP($B15,'MM G-Dummy Roping'!$B$5:$AI$24,30,FALSE)=" ",0,VLOOKUP($B15,'MM G-Dummy Roping'!$B$5:$AI$24,30,FALSE)),0)+IFERROR(IF(VLOOKUP($B15,'MM G-Barrels'!$B$5:$AI$29,30,FALSE)=" ",0,VLOOKUP($B15,'MM G-Barrels'!$B$5:$AI$29,30,FALSE)),0)+IFERROR(IF(VLOOKUP($B15,'MM G-Figure 8'!$B$5:$AI$27,30,FALSE)=" ",0,VLOOKUP($B15,'MM G-Figure 8'!$B$5:$AI$27,30,FALSE)),0)+IFERROR(IF(VLOOKUP($B15,'MM G-Goats'!$B$5:$AI$26,30,FALSE)=" ",0,VLOOKUP($B15,'MM G-Goats'!$B$5:$AI$26,30,FALSE)),0)</f>
        <v>0</v>
      </c>
      <c r="V15" s="95" t="str">
        <f t="shared" si="12"/>
        <v xml:space="preserve"> </v>
      </c>
      <c r="W15" s="122" t="str">
        <f t="shared" si="13"/>
        <v xml:space="preserve"> </v>
      </c>
      <c r="X15" s="121">
        <f>IFERROR(IF(VLOOKUP($B15,'MM G-Dummy Roping'!$B$5:$AI$24,34,FALSE)=" ",0,VLOOKUP($B15,'MM G-Dummy Roping'!$B$5:$AI$24,34,FALSE)),0)+IFERROR(IF(VLOOKUP($B15,'MM G-Barrels'!$B$5:$AI$29,34,FALSE)=" ",0,VLOOKUP($B15,'MM G-Barrels'!$B$5:$AI$29,34,FALSE)),0)+IFERROR(IF(VLOOKUP($B15,'MM G-Figure 8'!$B$5:$AI$27,34,FALSE)=" ",0,VLOOKUP($B15,'MM G-Figure 8'!$B$5:$AI$27,34,FALSE)),0)+IFERROR(IF(VLOOKUP($B15,'MM G-Goats'!$B$5:$AI$26,34,FALSE)=" ",0,VLOOKUP($B15,'MM G-Goats'!$B$5:$AI$26,34,FALSE)),0)</f>
        <v>0</v>
      </c>
      <c r="Y15" s="95" t="str">
        <f t="shared" si="14"/>
        <v xml:space="preserve"> </v>
      </c>
      <c r="Z15" s="122" t="str">
        <f t="shared" si="15"/>
        <v xml:space="preserve"> </v>
      </c>
      <c r="AA15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57</v>
      </c>
      <c r="AB15" s="95">
        <f t="shared" si="16"/>
        <v>57</v>
      </c>
      <c r="AC15" s="122">
        <f t="shared" si="17"/>
        <v>11</v>
      </c>
    </row>
    <row r="16" spans="2:29" x14ac:dyDescent="0.25">
      <c r="B16" s="142" t="s">
        <v>90</v>
      </c>
      <c r="C16" s="120">
        <f>IFERROR(IF(VLOOKUP($B16,'MM G-Dummy Roping'!$B$5:$AI$24,6,FALSE)=" ",0,VLOOKUP($B16,'MM G-Dummy Roping'!$B$5:$AI$24,6,FALSE)),0)+IFERROR(IF(VLOOKUP($B16,'MM G-Barrels'!$B$5:$AI$29,6,FALSE)=" ",0,VLOOKUP($B16,'MM G-Barrels'!$B$5:$AI$29,6,FALSE)),0)+IFERROR(IF(VLOOKUP($B16,'MM G-Figure 8'!$B$5:$AI$27,6,FALSE)=" ",0,VLOOKUP($B16,'MM G-Figure 8'!$B$5:$AI$27,6,FALSE)),0)+IFERROR(IF(VLOOKUP($B16,'MM G-Goats'!$B$5:$AI$26,6,FALSE)=" ",0,VLOOKUP($B16,'MM G-Goats'!$B$5:$AI$26,6,FALSE)),0)</f>
        <v>0</v>
      </c>
      <c r="D16" s="95" t="str">
        <f t="shared" si="0"/>
        <v xml:space="preserve"> </v>
      </c>
      <c r="E16" s="122" t="str">
        <f t="shared" si="1"/>
        <v xml:space="preserve"> </v>
      </c>
      <c r="F16" s="121">
        <f>IFERROR(IF(VLOOKUP($B16,'MM G-Dummy Roping'!$B$5:$AI$24,10,FALSE)=" ",0,VLOOKUP($B16,'MM G-Dummy Roping'!$B$5:$AI$24,10,FALSE)),0)+IFERROR(IF(VLOOKUP($B16,'MM G-Barrels'!$B$5:$AI$29,10,FALSE)=" ",0,VLOOKUP($B16,'MM G-Barrels'!$B$5:$AI$29,10,FALSE)),0)+IFERROR(IF(VLOOKUP($B16,'MM G-Figure 8'!$B$5:$AI$27,10,FALSE)=" ",0,VLOOKUP($B16,'MM G-Figure 8'!$B$5:$AI$27,10,FALSE)),0)+IFERROR(IF(VLOOKUP($B16,'MM G-Goats'!$B$5:$AI$26,10,FALSE)=" ",0,VLOOKUP($B16,'MM G-Goats'!$B$5:$AI$26,10,FALSE)),0)</f>
        <v>0</v>
      </c>
      <c r="G16" s="95" t="str">
        <f t="shared" si="2"/>
        <v xml:space="preserve"> </v>
      </c>
      <c r="H16" s="122" t="str">
        <f t="shared" si="3"/>
        <v xml:space="preserve"> </v>
      </c>
      <c r="I16" s="121">
        <f>IFERROR(IF(VLOOKUP($B16,'MM G-Dummy Roping'!$B$5:$AI$24,14,FALSE)=" ",0,VLOOKUP($B16,'MM G-Dummy Roping'!$B$5:$AI$24,14,FALSE)),0)+IFERROR(IF(VLOOKUP($B16,'MM G-Barrels'!$B$5:$AI$29,14,FALSE)=" ",0,VLOOKUP($B16,'MM G-Barrels'!$B$5:$AI$29,14,FALSE)),0)+IFERROR(IF(VLOOKUP($B16,'MM G-Figure 8'!$B$5:$AI$27,14,FALSE)=" ",0,VLOOKUP($B16,'MM G-Figure 8'!$B$5:$AI$27,14,FALSE)),0)+IFERROR(IF(VLOOKUP($B16,'MM G-Goats'!$B$5:$AI$26,14,FALSE)=" ",0,VLOOKUP($B16,'MM G-Goats'!$B$5:$AI$26,14,FALSE)),0)</f>
        <v>16.5</v>
      </c>
      <c r="J16" s="95">
        <f t="shared" si="4"/>
        <v>16.5</v>
      </c>
      <c r="K16" s="122">
        <f t="shared" si="5"/>
        <v>7</v>
      </c>
      <c r="L16" s="121">
        <f>IFERROR(IF(VLOOKUP($B16,'MM G-Dummy Roping'!$B$5:$AI$24,18,FALSE)=" ",0,VLOOKUP($B16,'MM G-Dummy Roping'!$B$5:$AI$24,18,FALSE)),0)+IFERROR(IF(VLOOKUP($B16,'MM G-Barrels'!$B$5:$AI$29,18,FALSE)=" ",0,VLOOKUP($B16,'MM G-Barrels'!$B$5:$AI$29,18,FALSE)),0)+IFERROR(IF(VLOOKUP($B16,'MM G-Figure 8'!$B$5:$AI$27,18,FALSE)=" ",0,VLOOKUP($B16,'MM G-Figure 8'!$B$5:$AI$27,18,FALSE)),0)+IFERROR(IF(VLOOKUP($B16,'MM G-Goats'!$B$5:$AI$26,18,FALSE)=" ",0,VLOOKUP($B16,'MM G-Goats'!$B$5:$AI$26,18,FALSE)),0)</f>
        <v>15</v>
      </c>
      <c r="M16" s="95">
        <f t="shared" si="6"/>
        <v>15</v>
      </c>
      <c r="N16" s="122">
        <f t="shared" si="7"/>
        <v>6</v>
      </c>
      <c r="O16" s="121">
        <f>IFERROR(IF(VLOOKUP($B16,'MM G-Dummy Roping'!$B$5:$AI$24,22,FALSE)=" ",0,VLOOKUP($B16,'MM G-Dummy Roping'!$B$5:$AI$24,22,FALSE)),0)+IFERROR(IF(VLOOKUP($B16,'MM G-Barrels'!$B$5:$AI$29,22,FALSE)=" ",0,VLOOKUP($B16,'MM G-Barrels'!$B$5:$AI$29,22,FALSE)),0)+IFERROR(IF(VLOOKUP($B16,'MM G-Figure 8'!$B$5:$AI$27,22,FALSE)=" ",0,VLOOKUP($B16,'MM G-Figure 8'!$B$5:$AI$27,22,FALSE)),0)+IFERROR(IF(VLOOKUP($B16,'MM G-Goats'!$B$5:$AI$26,22,FALSE)=" ",0,VLOOKUP($B16,'MM G-Goats'!$B$5:$AI$26,22,FALSE)),0)</f>
        <v>16.5</v>
      </c>
      <c r="P16" s="95">
        <f t="shared" si="8"/>
        <v>16.5</v>
      </c>
      <c r="Q16" s="122">
        <f t="shared" si="9"/>
        <v>6</v>
      </c>
      <c r="R16" s="121">
        <f>IFERROR(IF(VLOOKUP($B16,'MM G-Dummy Roping'!$B$5:$AI$24,26,FALSE)=" ",0,VLOOKUP($B16,'MM G-Dummy Roping'!$B$5:$AI$24,26,FALSE)),0)+IFERROR(IF(VLOOKUP($B16,'MM G-Barrels'!$B$5:$AI$29,26,FALSE)=" ",0,VLOOKUP($B16,'MM G-Barrels'!$B$5:$AI$29,26,FALSE)),0)+IFERROR(IF(VLOOKUP($B16,'MM G-Figure 8'!$B$5:$AI$27,26,FALSE)=" ",0,VLOOKUP($B16,'MM G-Figure 8'!$B$5:$AI$27,26,FALSE)),0)+IFERROR(IF(VLOOKUP($B16,'MM G-Goats'!$B$5:$AI$26,26,FALSE)=" ",0,VLOOKUP($B16,'MM G-Goats'!$B$5:$AI$26,26,FALSE)),0)</f>
        <v>0</v>
      </c>
      <c r="S16" s="95" t="str">
        <f t="shared" si="10"/>
        <v xml:space="preserve"> </v>
      </c>
      <c r="T16" s="122" t="str">
        <f t="shared" si="11"/>
        <v xml:space="preserve"> </v>
      </c>
      <c r="U16" s="121">
        <f>IFERROR(IF(VLOOKUP($B16,'MM G-Dummy Roping'!$B$5:$AI$24,30,FALSE)=" ",0,VLOOKUP($B16,'MM G-Dummy Roping'!$B$5:$AI$24,30,FALSE)),0)+IFERROR(IF(VLOOKUP($B16,'MM G-Barrels'!$B$5:$AI$29,30,FALSE)=" ",0,VLOOKUP($B16,'MM G-Barrels'!$B$5:$AI$29,30,FALSE)),0)+IFERROR(IF(VLOOKUP($B16,'MM G-Figure 8'!$B$5:$AI$27,30,FALSE)=" ",0,VLOOKUP($B16,'MM G-Figure 8'!$B$5:$AI$27,30,FALSE)),0)+IFERROR(IF(VLOOKUP($B16,'MM G-Goats'!$B$5:$AI$26,30,FALSE)=" ",0,VLOOKUP($B16,'MM G-Goats'!$B$5:$AI$26,30,FALSE)),0)</f>
        <v>1.8</v>
      </c>
      <c r="V16" s="95">
        <f t="shared" si="12"/>
        <v>1.8</v>
      </c>
      <c r="W16" s="122">
        <f t="shared" si="13"/>
        <v>12</v>
      </c>
      <c r="X16" s="121">
        <f>IFERROR(IF(VLOOKUP($B16,'MM G-Dummy Roping'!$B$5:$AI$24,34,FALSE)=" ",0,VLOOKUP($B16,'MM G-Dummy Roping'!$B$5:$AI$24,34,FALSE)),0)+IFERROR(IF(VLOOKUP($B16,'MM G-Barrels'!$B$5:$AI$29,34,FALSE)=" ",0,VLOOKUP($B16,'MM G-Barrels'!$B$5:$AI$29,34,FALSE)),0)+IFERROR(IF(VLOOKUP($B16,'MM G-Figure 8'!$B$5:$AI$27,34,FALSE)=" ",0,VLOOKUP($B16,'MM G-Figure 8'!$B$5:$AI$27,34,FALSE)),0)+IFERROR(IF(VLOOKUP($B16,'MM G-Goats'!$B$5:$AI$26,34,FALSE)=" ",0,VLOOKUP($B16,'MM G-Goats'!$B$5:$AI$26,34,FALSE)),0)</f>
        <v>0</v>
      </c>
      <c r="Y16" s="95" t="str">
        <f t="shared" si="14"/>
        <v xml:space="preserve"> </v>
      </c>
      <c r="Z16" s="122" t="str">
        <f t="shared" si="15"/>
        <v xml:space="preserve"> </v>
      </c>
      <c r="AA16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49.8</v>
      </c>
      <c r="AB16" s="95">
        <f t="shared" si="16"/>
        <v>49.8</v>
      </c>
      <c r="AC16" s="122">
        <f t="shared" si="17"/>
        <v>12</v>
      </c>
    </row>
    <row r="17" spans="2:29" x14ac:dyDescent="0.25">
      <c r="B17" s="142" t="s">
        <v>94</v>
      </c>
      <c r="C17" s="120">
        <f>IFERROR(IF(VLOOKUP($B17,'MM G-Dummy Roping'!$B$5:$AI$24,6,FALSE)=" ",0,VLOOKUP($B17,'MM G-Dummy Roping'!$B$5:$AI$24,6,FALSE)),0)+IFERROR(IF(VLOOKUP($B17,'MM G-Barrels'!$B$5:$AI$29,6,FALSE)=" ",0,VLOOKUP($B17,'MM G-Barrels'!$B$5:$AI$29,6,FALSE)),0)+IFERROR(IF(VLOOKUP($B17,'MM G-Figure 8'!$B$5:$AI$27,6,FALSE)=" ",0,VLOOKUP($B17,'MM G-Figure 8'!$B$5:$AI$27,6,FALSE)),0)+IFERROR(IF(VLOOKUP($B17,'MM G-Goats'!$B$5:$AI$26,6,FALSE)=" ",0,VLOOKUP($B17,'MM G-Goats'!$B$5:$AI$26,6,FALSE)),0)</f>
        <v>12</v>
      </c>
      <c r="D17" s="95">
        <f t="shared" si="0"/>
        <v>12</v>
      </c>
      <c r="E17" s="91">
        <f t="shared" si="1"/>
        <v>7</v>
      </c>
      <c r="F17" s="121">
        <f>IFERROR(IF(VLOOKUP($B17,'MM G-Dummy Roping'!$B$5:$AI$24,10,FALSE)=" ",0,VLOOKUP($B17,'MM G-Dummy Roping'!$B$5:$AI$24,10,FALSE)),0)+IFERROR(IF(VLOOKUP($B17,'MM G-Barrels'!$B$5:$AI$29,10,FALSE)=" ",0,VLOOKUP($B17,'MM G-Barrels'!$B$5:$AI$29,10,FALSE)),0)+IFERROR(IF(VLOOKUP($B17,'MM G-Figure 8'!$B$5:$AI$27,10,FALSE)=" ",0,VLOOKUP($B17,'MM G-Figure 8'!$B$5:$AI$27,10,FALSE)),0)+IFERROR(IF(VLOOKUP($B17,'MM G-Goats'!$B$5:$AI$26,10,FALSE)=" ",0,VLOOKUP($B17,'MM G-Goats'!$B$5:$AI$26,10,FALSE)),0)</f>
        <v>0</v>
      </c>
      <c r="G17" s="95" t="str">
        <f t="shared" si="2"/>
        <v xml:space="preserve"> </v>
      </c>
      <c r="H17" s="91" t="str">
        <f t="shared" si="3"/>
        <v xml:space="preserve"> </v>
      </c>
      <c r="I17" s="121">
        <f>IFERROR(IF(VLOOKUP($B17,'MM G-Dummy Roping'!$B$5:$AI$24,14,FALSE)=" ",0,VLOOKUP($B17,'MM G-Dummy Roping'!$B$5:$AI$24,14,FALSE)),0)+IFERROR(IF(VLOOKUP($B17,'MM G-Barrels'!$B$5:$AI$29,14,FALSE)=" ",0,VLOOKUP($B17,'MM G-Barrels'!$B$5:$AI$29,14,FALSE)),0)+IFERROR(IF(VLOOKUP($B17,'MM G-Figure 8'!$B$5:$AI$27,14,FALSE)=" ",0,VLOOKUP($B17,'MM G-Figure 8'!$B$5:$AI$27,14,FALSE)),0)+IFERROR(IF(VLOOKUP($B17,'MM G-Goats'!$B$5:$AI$26,14,FALSE)=" ",0,VLOOKUP($B17,'MM G-Goats'!$B$5:$AI$26,14,FALSE)),0)</f>
        <v>7.5</v>
      </c>
      <c r="J17" s="95">
        <f t="shared" si="4"/>
        <v>7.5</v>
      </c>
      <c r="K17" s="91">
        <f t="shared" si="5"/>
        <v>11</v>
      </c>
      <c r="L17" s="121">
        <f>IFERROR(IF(VLOOKUP($B17,'MM G-Dummy Roping'!$B$5:$AI$24,18,FALSE)=" ",0,VLOOKUP($B17,'MM G-Dummy Roping'!$B$5:$AI$24,18,FALSE)),0)+IFERROR(IF(VLOOKUP($B17,'MM G-Barrels'!$B$5:$AI$29,18,FALSE)=" ",0,VLOOKUP($B17,'MM G-Barrels'!$B$5:$AI$29,18,FALSE)),0)+IFERROR(IF(VLOOKUP($B17,'MM G-Figure 8'!$B$5:$AI$27,18,FALSE)=" ",0,VLOOKUP($B17,'MM G-Figure 8'!$B$5:$AI$27,18,FALSE)),0)+IFERROR(IF(VLOOKUP($B17,'MM G-Goats'!$B$5:$AI$26,18,FALSE)=" ",0,VLOOKUP($B17,'MM G-Goats'!$B$5:$AI$26,18,FALSE)),0)</f>
        <v>1</v>
      </c>
      <c r="M17" s="95">
        <f t="shared" si="6"/>
        <v>1</v>
      </c>
      <c r="N17" s="91">
        <f t="shared" si="7"/>
        <v>14</v>
      </c>
      <c r="O17" s="121">
        <f>IFERROR(IF(VLOOKUP($B17,'MM G-Dummy Roping'!$B$5:$AI$24,22,FALSE)=" ",0,VLOOKUP($B17,'MM G-Dummy Roping'!$B$5:$AI$24,22,FALSE)),0)+IFERROR(IF(VLOOKUP($B17,'MM G-Barrels'!$B$5:$AI$29,22,FALSE)=" ",0,VLOOKUP($B17,'MM G-Barrels'!$B$5:$AI$29,22,FALSE)),0)+IFERROR(IF(VLOOKUP($B17,'MM G-Figure 8'!$B$5:$AI$27,22,FALSE)=" ",0,VLOOKUP($B17,'MM G-Figure 8'!$B$5:$AI$27,22,FALSE)),0)+IFERROR(IF(VLOOKUP($B17,'MM G-Goats'!$B$5:$AI$26,22,FALSE)=" ",0,VLOOKUP($B17,'MM G-Goats'!$B$5:$AI$26,22,FALSE)),0)</f>
        <v>1.5</v>
      </c>
      <c r="P17" s="95">
        <f t="shared" si="8"/>
        <v>1.5</v>
      </c>
      <c r="Q17" s="91">
        <f t="shared" si="9"/>
        <v>13</v>
      </c>
      <c r="R17" s="121">
        <f>IFERROR(IF(VLOOKUP($B17,'MM G-Dummy Roping'!$B$5:$AI$24,26,FALSE)=" ",0,VLOOKUP($B17,'MM G-Dummy Roping'!$B$5:$AI$24,26,FALSE)),0)+IFERROR(IF(VLOOKUP($B17,'MM G-Barrels'!$B$5:$AI$29,26,FALSE)=" ",0,VLOOKUP($B17,'MM G-Barrels'!$B$5:$AI$29,26,FALSE)),0)+IFERROR(IF(VLOOKUP($B17,'MM G-Figure 8'!$B$5:$AI$27,26,FALSE)=" ",0,VLOOKUP($B17,'MM G-Figure 8'!$B$5:$AI$27,26,FALSE)),0)+IFERROR(IF(VLOOKUP($B17,'MM G-Goats'!$B$5:$AI$26,26,FALSE)=" ",0,VLOOKUP($B17,'MM G-Goats'!$B$5:$AI$26,26,FALSE)),0)</f>
        <v>0</v>
      </c>
      <c r="S17" s="95" t="str">
        <f t="shared" si="10"/>
        <v xml:space="preserve"> </v>
      </c>
      <c r="T17" s="91" t="str">
        <f t="shared" si="11"/>
        <v xml:space="preserve"> </v>
      </c>
      <c r="U17" s="121">
        <f>IFERROR(IF(VLOOKUP($B17,'MM G-Dummy Roping'!$B$5:$AI$24,30,FALSE)=" ",0,VLOOKUP($B17,'MM G-Dummy Roping'!$B$5:$AI$24,30,FALSE)),0)+IFERROR(IF(VLOOKUP($B17,'MM G-Barrels'!$B$5:$AI$29,30,FALSE)=" ",0,VLOOKUP($B17,'MM G-Barrels'!$B$5:$AI$29,30,FALSE)),0)+IFERROR(IF(VLOOKUP($B17,'MM G-Figure 8'!$B$5:$AI$27,30,FALSE)=" ",0,VLOOKUP($B17,'MM G-Figure 8'!$B$5:$AI$27,30,FALSE)),0)+IFERROR(IF(VLOOKUP($B17,'MM G-Goats'!$B$5:$AI$26,30,FALSE)=" ",0,VLOOKUP($B17,'MM G-Goats'!$B$5:$AI$26,30,FALSE)),0)</f>
        <v>13.5</v>
      </c>
      <c r="V17" s="95">
        <f t="shared" si="12"/>
        <v>13.5</v>
      </c>
      <c r="W17" s="91">
        <f t="shared" si="13"/>
        <v>7</v>
      </c>
      <c r="X17" s="121">
        <f>IFERROR(IF(VLOOKUP($B17,'MM G-Dummy Roping'!$B$5:$AI$24,34,FALSE)=" ",0,VLOOKUP($B17,'MM G-Dummy Roping'!$B$5:$AI$24,34,FALSE)),0)+IFERROR(IF(VLOOKUP($B17,'MM G-Barrels'!$B$5:$AI$29,34,FALSE)=" ",0,VLOOKUP($B17,'MM G-Barrels'!$B$5:$AI$29,34,FALSE)),0)+IFERROR(IF(VLOOKUP($B17,'MM G-Figure 8'!$B$5:$AI$27,34,FALSE)=" ",0,VLOOKUP($B17,'MM G-Figure 8'!$B$5:$AI$27,34,FALSE)),0)+IFERROR(IF(VLOOKUP($B17,'MM G-Goats'!$B$5:$AI$26,34,FALSE)=" ",0,VLOOKUP($B17,'MM G-Goats'!$B$5:$AI$26,34,FALSE)),0)</f>
        <v>4.5</v>
      </c>
      <c r="Y17" s="95">
        <f t="shared" si="14"/>
        <v>4.5</v>
      </c>
      <c r="Z17" s="91">
        <f t="shared" si="15"/>
        <v>11</v>
      </c>
      <c r="AA17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40</v>
      </c>
      <c r="AB17" s="95">
        <f t="shared" si="16"/>
        <v>40</v>
      </c>
      <c r="AC17" s="91">
        <f t="shared" si="17"/>
        <v>13</v>
      </c>
    </row>
    <row r="18" spans="2:29" x14ac:dyDescent="0.25">
      <c r="B18" s="154" t="s">
        <v>227</v>
      </c>
      <c r="C18" s="120">
        <f>IFERROR(IF(VLOOKUP($B18,'MM G-Dummy Roping'!$B$5:$AI$24,6,FALSE)=" ",0,VLOOKUP($B18,'MM G-Dummy Roping'!$B$5:$AI$24,6,FALSE)),0)+IFERROR(IF(VLOOKUP($B18,'MM G-Barrels'!$B$5:$AI$29,6,FALSE)=" ",0,VLOOKUP($B18,'MM G-Barrels'!$B$5:$AI$29,6,FALSE)),0)+IFERROR(IF(VLOOKUP($B18,'MM G-Figure 8'!$B$5:$AI$27,6,FALSE)=" ",0,VLOOKUP($B18,'MM G-Figure 8'!$B$5:$AI$27,6,FALSE)),0)+IFERROR(IF(VLOOKUP($B18,'MM G-Goats'!$B$5:$AI$26,6,FALSE)=" ",0,VLOOKUP($B18,'MM G-Goats'!$B$5:$AI$26,6,FALSE)),0)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IFERROR(IF(VLOOKUP($B18,'MM G-Dummy Roping'!$B$5:$AI$24,10,FALSE)=" ",0,VLOOKUP($B18,'MM G-Dummy Roping'!$B$5:$AI$24,10,FALSE)),0)+IFERROR(IF(VLOOKUP($B18,'MM G-Barrels'!$B$5:$AI$29,10,FALSE)=" ",0,VLOOKUP($B18,'MM G-Barrels'!$B$5:$AI$29,10,FALSE)),0)+IFERROR(IF(VLOOKUP($B18,'MM G-Figure 8'!$B$5:$AI$27,10,FALSE)=" ",0,VLOOKUP($B18,'MM G-Figure 8'!$B$5:$AI$27,10,FALSE)),0)+IFERROR(IF(VLOOKUP($B18,'MM G-Goats'!$B$5:$AI$26,10,FALSE)=" ",0,VLOOKUP($B18,'MM G-Goats'!$B$5:$AI$26,10,FALSE)),0)</f>
        <v>0</v>
      </c>
      <c r="G18" s="95" t="str">
        <f t="shared" si="2"/>
        <v xml:space="preserve"> </v>
      </c>
      <c r="H18" s="91" t="str">
        <f t="shared" si="3"/>
        <v xml:space="preserve"> </v>
      </c>
      <c r="I18" s="121">
        <f>IFERROR(IF(VLOOKUP($B18,'MM G-Dummy Roping'!$B$5:$AI$24,14,FALSE)=" ",0,VLOOKUP($B18,'MM G-Dummy Roping'!$B$5:$AI$24,14,FALSE)),0)+IFERROR(IF(VLOOKUP($B18,'MM G-Barrels'!$B$5:$AI$29,14,FALSE)=" ",0,VLOOKUP($B18,'MM G-Barrels'!$B$5:$AI$29,14,FALSE)),0)+IFERROR(IF(VLOOKUP($B18,'MM G-Figure 8'!$B$5:$AI$27,14,FALSE)=" ",0,VLOOKUP($B18,'MM G-Figure 8'!$B$5:$AI$27,14,FALSE)),0)+IFERROR(IF(VLOOKUP($B18,'MM G-Goats'!$B$5:$AI$26,14,FALSE)=" ",0,VLOOKUP($B18,'MM G-Goats'!$B$5:$AI$26,14,FALSE)),0)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IFERROR(IF(VLOOKUP($B18,'MM G-Dummy Roping'!$B$5:$AI$24,18,FALSE)=" ",0,VLOOKUP($B18,'MM G-Dummy Roping'!$B$5:$AI$24,18,FALSE)),0)+IFERROR(IF(VLOOKUP($B18,'MM G-Barrels'!$B$5:$AI$29,18,FALSE)=" ",0,VLOOKUP($B18,'MM G-Barrels'!$B$5:$AI$29,18,FALSE)),0)+IFERROR(IF(VLOOKUP($B18,'MM G-Figure 8'!$B$5:$AI$27,18,FALSE)=" ",0,VLOOKUP($B18,'MM G-Figure 8'!$B$5:$AI$27,18,FALSE)),0)+IFERROR(IF(VLOOKUP($B18,'MM G-Goats'!$B$5:$AI$26,18,FALSE)=" ",0,VLOOKUP($B18,'MM G-Goats'!$B$5:$AI$26,18,FALSE)),0)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IFERROR(IF(VLOOKUP($B18,'MM G-Dummy Roping'!$B$5:$AI$24,22,FALSE)=" ",0,VLOOKUP($B18,'MM G-Dummy Roping'!$B$5:$AI$24,22,FALSE)),0)+IFERROR(IF(VLOOKUP($B18,'MM G-Barrels'!$B$5:$AI$29,22,FALSE)=" ",0,VLOOKUP($B18,'MM G-Barrels'!$B$5:$AI$29,22,FALSE)),0)+IFERROR(IF(VLOOKUP($B18,'MM G-Figure 8'!$B$5:$AI$27,22,FALSE)=" ",0,VLOOKUP($B18,'MM G-Figure 8'!$B$5:$AI$27,22,FALSE)),0)+IFERROR(IF(VLOOKUP($B18,'MM G-Goats'!$B$5:$AI$26,22,FALSE)=" ",0,VLOOKUP($B18,'MM G-Goats'!$B$5:$AI$26,22,FALSE)),0)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IFERROR(IF(VLOOKUP($B18,'MM G-Dummy Roping'!$B$5:$AI$24,26,FALSE)=" ",0,VLOOKUP($B18,'MM G-Dummy Roping'!$B$5:$AI$24,26,FALSE)),0)+IFERROR(IF(VLOOKUP($B18,'MM G-Barrels'!$B$5:$AI$29,26,FALSE)=" ",0,VLOOKUP($B18,'MM G-Barrels'!$B$5:$AI$29,26,FALSE)),0)+IFERROR(IF(VLOOKUP($B18,'MM G-Figure 8'!$B$5:$AI$27,26,FALSE)=" ",0,VLOOKUP($B18,'MM G-Figure 8'!$B$5:$AI$27,26,FALSE)),0)+IFERROR(IF(VLOOKUP($B18,'MM G-Goats'!$B$5:$AI$26,26,FALSE)=" ",0,VLOOKUP($B18,'MM G-Goats'!$B$5:$AI$26,26,FALSE)),0)</f>
        <v>15</v>
      </c>
      <c r="S18" s="95">
        <f t="shared" si="10"/>
        <v>15</v>
      </c>
      <c r="T18" s="91">
        <f t="shared" si="11"/>
        <v>8</v>
      </c>
      <c r="U18" s="121">
        <f>IFERROR(IF(VLOOKUP($B18,'MM G-Dummy Roping'!$B$5:$AI$24,30,FALSE)=" ",0,VLOOKUP($B18,'MM G-Dummy Roping'!$B$5:$AI$24,30,FALSE)),0)+IFERROR(IF(VLOOKUP($B18,'MM G-Barrels'!$B$5:$AI$29,30,FALSE)=" ",0,VLOOKUP($B18,'MM G-Barrels'!$B$5:$AI$29,30,FALSE)),0)+IFERROR(IF(VLOOKUP($B18,'MM G-Figure 8'!$B$5:$AI$27,30,FALSE)=" ",0,VLOOKUP($B18,'MM G-Figure 8'!$B$5:$AI$27,30,FALSE)),0)+IFERROR(IF(VLOOKUP($B18,'MM G-Goats'!$B$5:$AI$26,30,FALSE)=" ",0,VLOOKUP($B18,'MM G-Goats'!$B$5:$AI$26,30,FALSE)),0)</f>
        <v>1.8</v>
      </c>
      <c r="V18" s="95">
        <f t="shared" si="12"/>
        <v>1.8</v>
      </c>
      <c r="W18" s="91">
        <f t="shared" si="13"/>
        <v>12</v>
      </c>
      <c r="X18" s="121">
        <f>IFERROR(IF(VLOOKUP($B18,'MM G-Dummy Roping'!$B$5:$AI$24,34,FALSE)=" ",0,VLOOKUP($B18,'MM G-Dummy Roping'!$B$5:$AI$24,34,FALSE)),0)+IFERROR(IF(VLOOKUP($B18,'MM G-Barrels'!$B$5:$AI$29,34,FALSE)=" ",0,VLOOKUP($B18,'MM G-Barrels'!$B$5:$AI$29,34,FALSE)),0)+IFERROR(IF(VLOOKUP($B18,'MM G-Figure 8'!$B$5:$AI$27,34,FALSE)=" ",0,VLOOKUP($B18,'MM G-Figure 8'!$B$5:$AI$27,34,FALSE)),0)+IFERROR(IF(VLOOKUP($B18,'MM G-Goats'!$B$5:$AI$26,34,FALSE)=" ",0,VLOOKUP($B18,'MM G-Goats'!$B$5:$AI$26,34,FALSE)),0)</f>
        <v>12</v>
      </c>
      <c r="Y18" s="95">
        <f t="shared" si="14"/>
        <v>12</v>
      </c>
      <c r="Z18" s="91">
        <f t="shared" si="15"/>
        <v>8</v>
      </c>
      <c r="AA18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28.8</v>
      </c>
      <c r="AB18" s="95">
        <f t="shared" si="16"/>
        <v>28.8</v>
      </c>
      <c r="AC18" s="91">
        <f t="shared" si="17"/>
        <v>14</v>
      </c>
    </row>
    <row r="19" spans="2:29" x14ac:dyDescent="0.25">
      <c r="B19" s="142" t="s">
        <v>221</v>
      </c>
      <c r="C19" s="120">
        <f>IFERROR(IF(VLOOKUP($B19,'MM G-Dummy Roping'!$B$5:$AI$24,6,FALSE)=" ",0,VLOOKUP($B19,'MM G-Dummy Roping'!$B$5:$AI$24,6,FALSE)),0)+IFERROR(IF(VLOOKUP($B19,'MM G-Barrels'!$B$5:$AI$29,6,FALSE)=" ",0,VLOOKUP($B19,'MM G-Barrels'!$B$5:$AI$29,6,FALSE)),0)+IFERROR(IF(VLOOKUP($B19,'MM G-Figure 8'!$B$5:$AI$27,6,FALSE)=" ",0,VLOOKUP($B19,'MM G-Figure 8'!$B$5:$AI$27,6,FALSE)),0)+IFERROR(IF(VLOOKUP($B19,'MM G-Goats'!$B$5:$AI$26,6,FALSE)=" ",0,VLOOKUP($B19,'MM G-Goats'!$B$5:$AI$26,6,FALSE)),0)</f>
        <v>9</v>
      </c>
      <c r="D19" s="95">
        <f t="shared" si="0"/>
        <v>9</v>
      </c>
      <c r="E19" s="122">
        <f t="shared" si="1"/>
        <v>10</v>
      </c>
      <c r="F19" s="121">
        <f>IFERROR(IF(VLOOKUP($B19,'MM G-Dummy Roping'!$B$5:$AI$24,10,FALSE)=" ",0,VLOOKUP($B19,'MM G-Dummy Roping'!$B$5:$AI$24,10,FALSE)),0)+IFERROR(IF(VLOOKUP($B19,'MM G-Barrels'!$B$5:$AI$29,10,FALSE)=" ",0,VLOOKUP($B19,'MM G-Barrels'!$B$5:$AI$29,10,FALSE)),0)+IFERROR(IF(VLOOKUP($B19,'MM G-Figure 8'!$B$5:$AI$27,10,FALSE)=" ",0,VLOOKUP($B19,'MM G-Figure 8'!$B$5:$AI$27,10,FALSE)),0)+IFERROR(IF(VLOOKUP($B19,'MM G-Goats'!$B$5:$AI$26,10,FALSE)=" ",0,VLOOKUP($B19,'MM G-Goats'!$B$5:$AI$26,10,FALSE)),0)</f>
        <v>0</v>
      </c>
      <c r="G19" s="95" t="str">
        <f t="shared" si="2"/>
        <v xml:space="preserve"> </v>
      </c>
      <c r="H19" s="122" t="str">
        <f t="shared" si="3"/>
        <v xml:space="preserve"> </v>
      </c>
      <c r="I19" s="121">
        <f>IFERROR(IF(VLOOKUP($B19,'MM G-Dummy Roping'!$B$5:$AI$24,14,FALSE)=" ",0,VLOOKUP($B19,'MM G-Dummy Roping'!$B$5:$AI$24,14,FALSE)),0)+IFERROR(IF(VLOOKUP($B19,'MM G-Barrels'!$B$5:$AI$29,14,FALSE)=" ",0,VLOOKUP($B19,'MM G-Barrels'!$B$5:$AI$29,14,FALSE)),0)+IFERROR(IF(VLOOKUP($B19,'MM G-Figure 8'!$B$5:$AI$27,14,FALSE)=" ",0,VLOOKUP($B19,'MM G-Figure 8'!$B$5:$AI$27,14,FALSE)),0)+IFERROR(IF(VLOOKUP($B19,'MM G-Goats'!$B$5:$AI$26,14,FALSE)=" ",0,VLOOKUP($B19,'MM G-Goats'!$B$5:$AI$26,14,FALSE)),0)</f>
        <v>0</v>
      </c>
      <c r="J19" s="95" t="str">
        <f t="shared" si="4"/>
        <v xml:space="preserve"> </v>
      </c>
      <c r="K19" s="122" t="str">
        <f t="shared" si="5"/>
        <v xml:space="preserve"> </v>
      </c>
      <c r="L19" s="121">
        <f>IFERROR(IF(VLOOKUP($B19,'MM G-Dummy Roping'!$B$5:$AI$24,18,FALSE)=" ",0,VLOOKUP($B19,'MM G-Dummy Roping'!$B$5:$AI$24,18,FALSE)),0)+IFERROR(IF(VLOOKUP($B19,'MM G-Barrels'!$B$5:$AI$29,18,FALSE)=" ",0,VLOOKUP($B19,'MM G-Barrels'!$B$5:$AI$29,18,FALSE)),0)+IFERROR(IF(VLOOKUP($B19,'MM G-Figure 8'!$B$5:$AI$27,18,FALSE)=" ",0,VLOOKUP($B19,'MM G-Figure 8'!$B$5:$AI$27,18,FALSE)),0)+IFERROR(IF(VLOOKUP($B19,'MM G-Goats'!$B$5:$AI$26,18,FALSE)=" ",0,VLOOKUP($B19,'MM G-Goats'!$B$5:$AI$26,18,FALSE)),0)</f>
        <v>0</v>
      </c>
      <c r="M19" s="95" t="str">
        <f t="shared" si="6"/>
        <v xml:space="preserve"> </v>
      </c>
      <c r="N19" s="122" t="str">
        <f t="shared" si="7"/>
        <v xml:space="preserve"> </v>
      </c>
      <c r="O19" s="121">
        <f>IFERROR(IF(VLOOKUP($B19,'MM G-Dummy Roping'!$B$5:$AI$24,22,FALSE)=" ",0,VLOOKUP($B19,'MM G-Dummy Roping'!$B$5:$AI$24,22,FALSE)),0)+IFERROR(IF(VLOOKUP($B19,'MM G-Barrels'!$B$5:$AI$29,22,FALSE)=" ",0,VLOOKUP($B19,'MM G-Barrels'!$B$5:$AI$29,22,FALSE)),0)+IFERROR(IF(VLOOKUP($B19,'MM G-Figure 8'!$B$5:$AI$27,22,FALSE)=" ",0,VLOOKUP($B19,'MM G-Figure 8'!$B$5:$AI$27,22,FALSE)),0)+IFERROR(IF(VLOOKUP($B19,'MM G-Goats'!$B$5:$AI$26,22,FALSE)=" ",0,VLOOKUP($B19,'MM G-Goats'!$B$5:$AI$26,22,FALSE)),0)</f>
        <v>7.5</v>
      </c>
      <c r="P19" s="95">
        <f t="shared" si="8"/>
        <v>7.5</v>
      </c>
      <c r="Q19" s="122">
        <f t="shared" si="9"/>
        <v>9</v>
      </c>
      <c r="R19" s="121">
        <f>IFERROR(IF(VLOOKUP($B19,'MM G-Dummy Roping'!$B$5:$AI$24,26,FALSE)=" ",0,VLOOKUP($B19,'MM G-Dummy Roping'!$B$5:$AI$24,26,FALSE)),0)+IFERROR(IF(VLOOKUP($B19,'MM G-Barrels'!$B$5:$AI$29,26,FALSE)=" ",0,VLOOKUP($B19,'MM G-Barrels'!$B$5:$AI$29,26,FALSE)),0)+IFERROR(IF(VLOOKUP($B19,'MM G-Figure 8'!$B$5:$AI$27,26,FALSE)=" ",0,VLOOKUP($B19,'MM G-Figure 8'!$B$5:$AI$27,26,FALSE)),0)+IFERROR(IF(VLOOKUP($B19,'MM G-Goats'!$B$5:$AI$26,26,FALSE)=" ",0,VLOOKUP($B19,'MM G-Goats'!$B$5:$AI$26,26,FALSE)),0)</f>
        <v>0</v>
      </c>
      <c r="S19" s="95" t="str">
        <f t="shared" si="10"/>
        <v xml:space="preserve"> </v>
      </c>
      <c r="T19" s="122" t="str">
        <f t="shared" si="11"/>
        <v xml:space="preserve"> </v>
      </c>
      <c r="U19" s="121">
        <f>IFERROR(IF(VLOOKUP($B19,'MM G-Dummy Roping'!$B$5:$AI$24,30,FALSE)=" ",0,VLOOKUP($B19,'MM G-Dummy Roping'!$B$5:$AI$24,30,FALSE)),0)+IFERROR(IF(VLOOKUP($B19,'MM G-Barrels'!$B$5:$AI$29,30,FALSE)=" ",0,VLOOKUP($B19,'MM G-Barrels'!$B$5:$AI$29,30,FALSE)),0)+IFERROR(IF(VLOOKUP($B19,'MM G-Figure 8'!$B$5:$AI$27,30,FALSE)=" ",0,VLOOKUP($B19,'MM G-Figure 8'!$B$5:$AI$27,30,FALSE)),0)+IFERROR(IF(VLOOKUP($B19,'MM G-Goats'!$B$5:$AI$26,30,FALSE)=" ",0,VLOOKUP($B19,'MM G-Goats'!$B$5:$AI$26,30,FALSE)),0)</f>
        <v>0</v>
      </c>
      <c r="V19" s="95" t="str">
        <f t="shared" si="12"/>
        <v xml:space="preserve"> </v>
      </c>
      <c r="W19" s="122" t="str">
        <f t="shared" si="13"/>
        <v xml:space="preserve"> </v>
      </c>
      <c r="X19" s="121">
        <f>IFERROR(IF(VLOOKUP($B19,'MM G-Dummy Roping'!$B$5:$AI$24,34,FALSE)=" ",0,VLOOKUP($B19,'MM G-Dummy Roping'!$B$5:$AI$24,34,FALSE)),0)+IFERROR(IF(VLOOKUP($B19,'MM G-Barrels'!$B$5:$AI$29,34,FALSE)=" ",0,VLOOKUP($B19,'MM G-Barrels'!$B$5:$AI$29,34,FALSE)),0)+IFERROR(IF(VLOOKUP($B19,'MM G-Figure 8'!$B$5:$AI$27,34,FALSE)=" ",0,VLOOKUP($B19,'MM G-Figure 8'!$B$5:$AI$27,34,FALSE)),0)+IFERROR(IF(VLOOKUP($B19,'MM G-Goats'!$B$5:$AI$26,34,FALSE)=" ",0,VLOOKUP($B19,'MM G-Goats'!$B$5:$AI$26,34,FALSE)),0)</f>
        <v>0</v>
      </c>
      <c r="Y19" s="95" t="str">
        <f t="shared" si="14"/>
        <v xml:space="preserve"> </v>
      </c>
      <c r="Z19" s="122" t="str">
        <f t="shared" si="15"/>
        <v xml:space="preserve"> </v>
      </c>
      <c r="AA19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16.5</v>
      </c>
      <c r="AB19" s="95">
        <f t="shared" si="16"/>
        <v>16.5</v>
      </c>
      <c r="AC19" s="122">
        <f t="shared" si="17"/>
        <v>15</v>
      </c>
    </row>
    <row r="20" spans="2:29" x14ac:dyDescent="0.25">
      <c r="B20" s="142" t="s">
        <v>224</v>
      </c>
      <c r="C20" s="120">
        <f>IFERROR(IF(VLOOKUP($B20,'MM G-Dummy Roping'!$B$5:$AI$24,6,FALSE)=" ",0,VLOOKUP($B20,'MM G-Dummy Roping'!$B$5:$AI$24,6,FALSE)),0)+IFERROR(IF(VLOOKUP($B20,'MM G-Barrels'!$B$5:$AI$29,6,FALSE)=" ",0,VLOOKUP($B20,'MM G-Barrels'!$B$5:$AI$29,6,FALSE)),0)+IFERROR(IF(VLOOKUP($B20,'MM G-Figure 8'!$B$5:$AI$27,6,FALSE)=" ",0,VLOOKUP($B20,'MM G-Figure 8'!$B$5:$AI$27,6,FALSE)),0)+IFERROR(IF(VLOOKUP($B20,'MM G-Goats'!$B$5:$AI$26,6,FALSE)=" ",0,VLOOKUP($B20,'MM G-Goats'!$B$5:$AI$26,6,FALSE)),0)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IFERROR(IF(VLOOKUP($B20,'MM G-Dummy Roping'!$B$5:$AI$24,10,FALSE)=" ",0,VLOOKUP($B20,'MM G-Dummy Roping'!$B$5:$AI$24,10,FALSE)),0)+IFERROR(IF(VLOOKUP($B20,'MM G-Barrels'!$B$5:$AI$29,10,FALSE)=" ",0,VLOOKUP($B20,'MM G-Barrels'!$B$5:$AI$29,10,FALSE)),0)+IFERROR(IF(VLOOKUP($B20,'MM G-Figure 8'!$B$5:$AI$27,10,FALSE)=" ",0,VLOOKUP($B20,'MM G-Figure 8'!$B$5:$AI$27,10,FALSE)),0)+IFERROR(IF(VLOOKUP($B20,'MM G-Goats'!$B$5:$AI$26,10,FALSE)=" ",0,VLOOKUP($B20,'MM G-Goats'!$B$5:$AI$26,10,FALSE)),0)</f>
        <v>10.5</v>
      </c>
      <c r="G20" s="95">
        <f t="shared" si="2"/>
        <v>10.5</v>
      </c>
      <c r="H20" s="91">
        <f t="shared" si="3"/>
        <v>9</v>
      </c>
      <c r="I20" s="121">
        <f>IFERROR(IF(VLOOKUP($B20,'MM G-Dummy Roping'!$B$5:$AI$24,14,FALSE)=" ",0,VLOOKUP($B20,'MM G-Dummy Roping'!$B$5:$AI$24,14,FALSE)),0)+IFERROR(IF(VLOOKUP($B20,'MM G-Barrels'!$B$5:$AI$29,14,FALSE)=" ",0,VLOOKUP($B20,'MM G-Barrels'!$B$5:$AI$29,14,FALSE)),0)+IFERROR(IF(VLOOKUP($B20,'MM G-Figure 8'!$B$5:$AI$27,14,FALSE)=" ",0,VLOOKUP($B20,'MM G-Figure 8'!$B$5:$AI$27,14,FALSE)),0)+IFERROR(IF(VLOOKUP($B20,'MM G-Goats'!$B$5:$AI$26,14,FALSE)=" ",0,VLOOKUP($B20,'MM G-Goats'!$B$5:$AI$26,14,FALSE)),0)</f>
        <v>3</v>
      </c>
      <c r="J20" s="95">
        <f t="shared" si="4"/>
        <v>3</v>
      </c>
      <c r="K20" s="91">
        <f t="shared" si="5"/>
        <v>13</v>
      </c>
      <c r="L20" s="121">
        <f>IFERROR(IF(VLOOKUP($B20,'MM G-Dummy Roping'!$B$5:$AI$24,18,FALSE)=" ",0,VLOOKUP($B20,'MM G-Dummy Roping'!$B$5:$AI$24,18,FALSE)),0)+IFERROR(IF(VLOOKUP($B20,'MM G-Barrels'!$B$5:$AI$29,18,FALSE)=" ",0,VLOOKUP($B20,'MM G-Barrels'!$B$5:$AI$29,18,FALSE)),0)+IFERROR(IF(VLOOKUP($B20,'MM G-Figure 8'!$B$5:$AI$27,18,FALSE)=" ",0,VLOOKUP($B20,'MM G-Figure 8'!$B$5:$AI$27,18,FALSE)),0)+IFERROR(IF(VLOOKUP($B20,'MM G-Goats'!$B$5:$AI$26,18,FALSE)=" ",0,VLOOKUP($B20,'MM G-Goats'!$B$5:$AI$26,18,FALSE)),0)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IFERROR(IF(VLOOKUP($B20,'MM G-Dummy Roping'!$B$5:$AI$24,22,FALSE)=" ",0,VLOOKUP($B20,'MM G-Dummy Roping'!$B$5:$AI$24,22,FALSE)),0)+IFERROR(IF(VLOOKUP($B20,'MM G-Barrels'!$B$5:$AI$29,22,FALSE)=" ",0,VLOOKUP($B20,'MM G-Barrels'!$B$5:$AI$29,22,FALSE)),0)+IFERROR(IF(VLOOKUP($B20,'MM G-Figure 8'!$B$5:$AI$27,22,FALSE)=" ",0,VLOOKUP($B20,'MM G-Figure 8'!$B$5:$AI$27,22,FALSE)),0)+IFERROR(IF(VLOOKUP($B20,'MM G-Goats'!$B$5:$AI$26,22,FALSE)=" ",0,VLOOKUP($B20,'MM G-Goats'!$B$5:$AI$26,22,FALSE)),0)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IFERROR(IF(VLOOKUP($B20,'MM G-Dummy Roping'!$B$5:$AI$24,26,FALSE)=" ",0,VLOOKUP($B20,'MM G-Dummy Roping'!$B$5:$AI$24,26,FALSE)),0)+IFERROR(IF(VLOOKUP($B20,'MM G-Barrels'!$B$5:$AI$29,26,FALSE)=" ",0,VLOOKUP($B20,'MM G-Barrels'!$B$5:$AI$29,26,FALSE)),0)+IFERROR(IF(VLOOKUP($B20,'MM G-Figure 8'!$B$5:$AI$27,26,FALSE)=" ",0,VLOOKUP($B20,'MM G-Figure 8'!$B$5:$AI$27,26,FALSE)),0)+IFERROR(IF(VLOOKUP($B20,'MM G-Goats'!$B$5:$AI$26,26,FALSE)=" ",0,VLOOKUP($B20,'MM G-Goats'!$B$5:$AI$26,26,FALSE)),0)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IFERROR(IF(VLOOKUP($B20,'MM G-Dummy Roping'!$B$5:$AI$24,30,FALSE)=" ",0,VLOOKUP($B20,'MM G-Dummy Roping'!$B$5:$AI$24,30,FALSE)),0)+IFERROR(IF(VLOOKUP($B20,'MM G-Barrels'!$B$5:$AI$29,30,FALSE)=" ",0,VLOOKUP($B20,'MM G-Barrels'!$B$5:$AI$29,30,FALSE)),0)+IFERROR(IF(VLOOKUP($B20,'MM G-Figure 8'!$B$5:$AI$27,30,FALSE)=" ",0,VLOOKUP($B20,'MM G-Figure 8'!$B$5:$AI$27,30,FALSE)),0)+IFERROR(IF(VLOOKUP($B20,'MM G-Goats'!$B$5:$AI$26,30,FALSE)=" ",0,VLOOKUP($B20,'MM G-Goats'!$B$5:$AI$26,30,FALSE)),0)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IFERROR(IF(VLOOKUP($B20,'MM G-Dummy Roping'!$B$5:$AI$24,34,FALSE)=" ",0,VLOOKUP($B20,'MM G-Dummy Roping'!$B$5:$AI$24,34,FALSE)),0)+IFERROR(IF(VLOOKUP($B20,'MM G-Barrels'!$B$5:$AI$29,34,FALSE)=" ",0,VLOOKUP($B20,'MM G-Barrels'!$B$5:$AI$29,34,FALSE)),0)+IFERROR(IF(VLOOKUP($B20,'MM G-Figure 8'!$B$5:$AI$27,34,FALSE)=" ",0,VLOOKUP($B20,'MM G-Figure 8'!$B$5:$AI$27,34,FALSE)),0)+IFERROR(IF(VLOOKUP($B20,'MM G-Goats'!$B$5:$AI$26,34,FALSE)=" ",0,VLOOKUP($B20,'MM G-Goats'!$B$5:$AI$26,34,FALSE)),0)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13.5</v>
      </c>
      <c r="AB20" s="95">
        <f t="shared" si="16"/>
        <v>13.5</v>
      </c>
      <c r="AC20" s="91">
        <f t="shared" si="17"/>
        <v>16</v>
      </c>
    </row>
    <row r="21" spans="2:29" x14ac:dyDescent="0.25">
      <c r="B21" s="142" t="s">
        <v>228</v>
      </c>
      <c r="C21" s="120">
        <f>IFERROR(IF(VLOOKUP($B21,'MM G-Dummy Roping'!$B$5:$AI$24,6,FALSE)=" ",0,VLOOKUP($B21,'MM G-Dummy Roping'!$B$5:$AI$24,6,FALSE)),0)+IFERROR(IF(VLOOKUP($B21,'MM G-Barrels'!$B$5:$AI$29,6,FALSE)=" ",0,VLOOKUP($B21,'MM G-Barrels'!$B$5:$AI$29,6,FALSE)),0)+IFERROR(IF(VLOOKUP($B21,'MM G-Figure 8'!$B$5:$AI$27,6,FALSE)=" ",0,VLOOKUP($B21,'MM G-Figure 8'!$B$5:$AI$27,6,FALSE)),0)+IFERROR(IF(VLOOKUP($B21,'MM G-Goats'!$B$5:$AI$26,6,FALSE)=" ",0,VLOOKUP($B21,'MM G-Goats'!$B$5:$AI$26,6,FALSE)),0)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IFERROR(IF(VLOOKUP($B21,'MM G-Dummy Roping'!$B$5:$AI$24,10,FALSE)=" ",0,VLOOKUP($B21,'MM G-Dummy Roping'!$B$5:$AI$24,10,FALSE)),0)+IFERROR(IF(VLOOKUP($B21,'MM G-Barrels'!$B$5:$AI$29,10,FALSE)=" ",0,VLOOKUP($B21,'MM G-Barrels'!$B$5:$AI$29,10,FALSE)),0)+IFERROR(IF(VLOOKUP($B21,'MM G-Figure 8'!$B$5:$AI$27,10,FALSE)=" ",0,VLOOKUP($B21,'MM G-Figure 8'!$B$5:$AI$27,10,FALSE)),0)+IFERROR(IF(VLOOKUP($B21,'MM G-Goats'!$B$5:$AI$26,10,FALSE)=" ",0,VLOOKUP($B21,'MM G-Goats'!$B$5:$AI$26,10,FALSE)),0)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IFERROR(IF(VLOOKUP($B21,'MM G-Dummy Roping'!$B$5:$AI$24,14,FALSE)=" ",0,VLOOKUP($B21,'MM G-Dummy Roping'!$B$5:$AI$24,14,FALSE)),0)+IFERROR(IF(VLOOKUP($B21,'MM G-Barrels'!$B$5:$AI$29,14,FALSE)=" ",0,VLOOKUP($B21,'MM G-Barrels'!$B$5:$AI$29,14,FALSE)),0)+IFERROR(IF(VLOOKUP($B21,'MM G-Figure 8'!$B$5:$AI$27,14,FALSE)=" ",0,VLOOKUP($B21,'MM G-Figure 8'!$B$5:$AI$27,14,FALSE)),0)+IFERROR(IF(VLOOKUP($B21,'MM G-Goats'!$B$5:$AI$26,14,FALSE)=" ",0,VLOOKUP($B21,'MM G-Goats'!$B$5:$AI$26,14,FALSE)),0)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IFERROR(IF(VLOOKUP($B21,'MM G-Dummy Roping'!$B$5:$AI$24,18,FALSE)=" ",0,VLOOKUP($B21,'MM G-Dummy Roping'!$B$5:$AI$24,18,FALSE)),0)+IFERROR(IF(VLOOKUP($B21,'MM G-Barrels'!$B$5:$AI$29,18,FALSE)=" ",0,VLOOKUP($B21,'MM G-Barrels'!$B$5:$AI$29,18,FALSE)),0)+IFERROR(IF(VLOOKUP($B21,'MM G-Figure 8'!$B$5:$AI$27,18,FALSE)=" ",0,VLOOKUP($B21,'MM G-Figure 8'!$B$5:$AI$27,18,FALSE)),0)+IFERROR(IF(VLOOKUP($B21,'MM G-Goats'!$B$5:$AI$26,18,FALSE)=" ",0,VLOOKUP($B21,'MM G-Goats'!$B$5:$AI$26,18,FALSE)),0)</f>
        <v>7.5</v>
      </c>
      <c r="M21" s="95">
        <f t="shared" si="6"/>
        <v>7.5</v>
      </c>
      <c r="N21" s="91">
        <f t="shared" si="7"/>
        <v>11</v>
      </c>
      <c r="O21" s="121">
        <f>IFERROR(IF(VLOOKUP($B21,'MM G-Dummy Roping'!$B$5:$AI$24,22,FALSE)=" ",0,VLOOKUP($B21,'MM G-Dummy Roping'!$B$5:$AI$24,22,FALSE)),0)+IFERROR(IF(VLOOKUP($B21,'MM G-Barrels'!$B$5:$AI$29,22,FALSE)=" ",0,VLOOKUP($B21,'MM G-Barrels'!$B$5:$AI$29,22,FALSE)),0)+IFERROR(IF(VLOOKUP($B21,'MM G-Figure 8'!$B$5:$AI$27,22,FALSE)=" ",0,VLOOKUP($B21,'MM G-Figure 8'!$B$5:$AI$27,22,FALSE)),0)+IFERROR(IF(VLOOKUP($B21,'MM G-Goats'!$B$5:$AI$26,22,FALSE)=" ",0,VLOOKUP($B21,'MM G-Goats'!$B$5:$AI$26,22,FALSE)),0)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IFERROR(IF(VLOOKUP($B21,'MM G-Dummy Roping'!$B$5:$AI$24,26,FALSE)=" ",0,VLOOKUP($B21,'MM G-Dummy Roping'!$B$5:$AI$24,26,FALSE)),0)+IFERROR(IF(VLOOKUP($B21,'MM G-Barrels'!$B$5:$AI$29,26,FALSE)=" ",0,VLOOKUP($B21,'MM G-Barrels'!$B$5:$AI$29,26,FALSE)),0)+IFERROR(IF(VLOOKUP($B21,'MM G-Figure 8'!$B$5:$AI$27,26,FALSE)=" ",0,VLOOKUP($B21,'MM G-Figure 8'!$B$5:$AI$27,26,FALSE)),0)+IFERROR(IF(VLOOKUP($B21,'MM G-Goats'!$B$5:$AI$26,26,FALSE)=" ",0,VLOOKUP($B21,'MM G-Goats'!$B$5:$AI$26,26,FALSE)),0)</f>
        <v>3</v>
      </c>
      <c r="S21" s="95">
        <f t="shared" si="10"/>
        <v>3</v>
      </c>
      <c r="T21" s="91">
        <f t="shared" si="11"/>
        <v>10</v>
      </c>
      <c r="U21" s="121">
        <f>IFERROR(IF(VLOOKUP($B21,'MM G-Dummy Roping'!$B$5:$AI$24,30,FALSE)=" ",0,VLOOKUP($B21,'MM G-Dummy Roping'!$B$5:$AI$24,30,FALSE)),0)+IFERROR(IF(VLOOKUP($B21,'MM G-Barrels'!$B$5:$AI$29,30,FALSE)=" ",0,VLOOKUP($B21,'MM G-Barrels'!$B$5:$AI$29,30,FALSE)),0)+IFERROR(IF(VLOOKUP($B21,'MM G-Figure 8'!$B$5:$AI$27,30,FALSE)=" ",0,VLOOKUP($B21,'MM G-Figure 8'!$B$5:$AI$27,30,FALSE)),0)+IFERROR(IF(VLOOKUP($B21,'MM G-Goats'!$B$5:$AI$26,30,FALSE)=" ",0,VLOOKUP($B21,'MM G-Goats'!$B$5:$AI$26,30,FALSE)),0)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IFERROR(IF(VLOOKUP($B21,'MM G-Dummy Roping'!$B$5:$AI$24,34,FALSE)=" ",0,VLOOKUP($B21,'MM G-Dummy Roping'!$B$5:$AI$24,34,FALSE)),0)+IFERROR(IF(VLOOKUP($B21,'MM G-Barrels'!$B$5:$AI$29,34,FALSE)=" ",0,VLOOKUP($B21,'MM G-Barrels'!$B$5:$AI$29,34,FALSE)),0)+IFERROR(IF(VLOOKUP($B21,'MM G-Figure 8'!$B$5:$AI$27,34,FALSE)=" ",0,VLOOKUP($B21,'MM G-Figure 8'!$B$5:$AI$27,34,FALSE)),0)+IFERROR(IF(VLOOKUP($B21,'MM G-Goats'!$B$5:$AI$26,34,FALSE)=" ",0,VLOOKUP($B21,'MM G-Goats'!$B$5:$AI$26,34,FALSE)),0)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10.5</v>
      </c>
      <c r="AB21" s="95">
        <f t="shared" si="16"/>
        <v>10.5</v>
      </c>
      <c r="AC21" s="91">
        <f t="shared" si="17"/>
        <v>17</v>
      </c>
    </row>
    <row r="22" spans="2:29" x14ac:dyDescent="0.25">
      <c r="B22" s="142" t="s">
        <v>242</v>
      </c>
      <c r="C22" s="120">
        <f>IFERROR(IF(VLOOKUP($B22,'MM G-Dummy Roping'!$B$5:$AI$24,6,FALSE)=" ",0,VLOOKUP($B22,'MM G-Dummy Roping'!$B$5:$AI$24,6,FALSE)),0)+IFERROR(IF(VLOOKUP($B22,'MM G-Barrels'!$B$5:$AI$29,6,FALSE)=" ",0,VLOOKUP($B22,'MM G-Barrels'!$B$5:$AI$29,6,FALSE)),0)+IFERROR(IF(VLOOKUP($B22,'MM G-Figure 8'!$B$5:$AI$27,6,FALSE)=" ",0,VLOOKUP($B22,'MM G-Figure 8'!$B$5:$AI$27,6,FALSE)),0)+IFERROR(IF(VLOOKUP($B22,'MM G-Goats'!$B$5:$AI$26,6,FALSE)=" ",0,VLOOKUP($B22,'MM G-Goats'!$B$5:$AI$26,6,FALSE)),0)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IFERROR(IF(VLOOKUP($B22,'MM G-Dummy Roping'!$B$5:$AI$24,10,FALSE)=" ",0,VLOOKUP($B22,'MM G-Dummy Roping'!$B$5:$AI$24,10,FALSE)),0)+IFERROR(IF(VLOOKUP($B22,'MM G-Barrels'!$B$5:$AI$29,10,FALSE)=" ",0,VLOOKUP($B22,'MM G-Barrels'!$B$5:$AI$29,10,FALSE)),0)+IFERROR(IF(VLOOKUP($B22,'MM G-Figure 8'!$B$5:$AI$27,10,FALSE)=" ",0,VLOOKUP($B22,'MM G-Figure 8'!$B$5:$AI$27,10,FALSE)),0)+IFERROR(IF(VLOOKUP($B22,'MM G-Goats'!$B$5:$AI$26,10,FALSE)=" ",0,VLOOKUP($B22,'MM G-Goats'!$B$5:$AI$26,10,FALSE)),0)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IFERROR(IF(VLOOKUP($B22,'MM G-Dummy Roping'!$B$5:$AI$24,14,FALSE)=" ",0,VLOOKUP($B22,'MM G-Dummy Roping'!$B$5:$AI$24,14,FALSE)),0)+IFERROR(IF(VLOOKUP($B22,'MM G-Barrels'!$B$5:$AI$29,14,FALSE)=" ",0,VLOOKUP($B22,'MM G-Barrels'!$B$5:$AI$29,14,FALSE)),0)+IFERROR(IF(VLOOKUP($B22,'MM G-Figure 8'!$B$5:$AI$27,14,FALSE)=" ",0,VLOOKUP($B22,'MM G-Figure 8'!$B$5:$AI$27,14,FALSE)),0)+IFERROR(IF(VLOOKUP($B22,'MM G-Goats'!$B$5:$AI$26,14,FALSE)=" ",0,VLOOKUP($B22,'MM G-Goats'!$B$5:$AI$26,14,FALSE)),0)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IFERROR(IF(VLOOKUP($B22,'MM G-Dummy Roping'!$B$5:$AI$24,18,FALSE)=" ",0,VLOOKUP($B22,'MM G-Dummy Roping'!$B$5:$AI$24,18,FALSE)),0)+IFERROR(IF(VLOOKUP($B22,'MM G-Barrels'!$B$5:$AI$29,18,FALSE)=" ",0,VLOOKUP($B22,'MM G-Barrels'!$B$5:$AI$29,18,FALSE)),0)+IFERROR(IF(VLOOKUP($B22,'MM G-Figure 8'!$B$5:$AI$27,18,FALSE)=" ",0,VLOOKUP($B22,'MM G-Figure 8'!$B$5:$AI$27,18,FALSE)),0)+IFERROR(IF(VLOOKUP($B22,'MM G-Goats'!$B$5:$AI$26,18,FALSE)=" ",0,VLOOKUP($B22,'MM G-Goats'!$B$5:$AI$26,18,FALSE)),0)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IFERROR(IF(VLOOKUP($B22,'MM G-Dummy Roping'!$B$5:$AI$24,22,FALSE)=" ",0,VLOOKUP($B22,'MM G-Dummy Roping'!$B$5:$AI$24,22,FALSE)),0)+IFERROR(IF(VLOOKUP($B22,'MM G-Barrels'!$B$5:$AI$29,22,FALSE)=" ",0,VLOOKUP($B22,'MM G-Barrels'!$B$5:$AI$29,22,FALSE)),0)+IFERROR(IF(VLOOKUP($B22,'MM G-Figure 8'!$B$5:$AI$27,22,FALSE)=" ",0,VLOOKUP($B22,'MM G-Figure 8'!$B$5:$AI$27,22,FALSE)),0)+IFERROR(IF(VLOOKUP($B22,'MM G-Goats'!$B$5:$AI$26,22,FALSE)=" ",0,VLOOKUP($B22,'MM G-Goats'!$B$5:$AI$26,22,FALSE)),0)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IFERROR(IF(VLOOKUP($B22,'MM G-Dummy Roping'!$B$5:$AI$24,26,FALSE)=" ",0,VLOOKUP($B22,'MM G-Dummy Roping'!$B$5:$AI$24,26,FALSE)),0)+IFERROR(IF(VLOOKUP($B22,'MM G-Barrels'!$B$5:$AI$29,26,FALSE)=" ",0,VLOOKUP($B22,'MM G-Barrels'!$B$5:$AI$29,26,FALSE)),0)+IFERROR(IF(VLOOKUP($B22,'MM G-Figure 8'!$B$5:$AI$27,26,FALSE)=" ",0,VLOOKUP($B22,'MM G-Figure 8'!$B$5:$AI$27,26,FALSE)),0)+IFERROR(IF(VLOOKUP($B22,'MM G-Goats'!$B$5:$AI$26,26,FALSE)=" ",0,VLOOKUP($B22,'MM G-Goats'!$B$5:$AI$26,26,FALSE)),0)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IFERROR(IF(VLOOKUP($B22,'MM G-Dummy Roping'!$B$5:$AI$24,30,FALSE)=" ",0,VLOOKUP($B22,'MM G-Dummy Roping'!$B$5:$AI$24,30,FALSE)),0)+IFERROR(IF(VLOOKUP($B22,'MM G-Barrels'!$B$5:$AI$29,30,FALSE)=" ",0,VLOOKUP($B22,'MM G-Barrels'!$B$5:$AI$29,30,FALSE)),0)+IFERROR(IF(VLOOKUP($B22,'MM G-Figure 8'!$B$5:$AI$27,30,FALSE)=" ",0,VLOOKUP($B22,'MM G-Figure 8'!$B$5:$AI$27,30,FALSE)),0)+IFERROR(IF(VLOOKUP($B22,'MM G-Goats'!$B$5:$AI$26,30,FALSE)=" ",0,VLOOKUP($B22,'MM G-Goats'!$B$5:$AI$26,30,FALSE)),0)</f>
        <v>3</v>
      </c>
      <c r="V22" s="95">
        <f t="shared" si="12"/>
        <v>3</v>
      </c>
      <c r="W22" s="91">
        <f t="shared" si="13"/>
        <v>10</v>
      </c>
      <c r="X22" s="121">
        <f>IFERROR(IF(VLOOKUP($B22,'MM G-Dummy Roping'!$B$5:$AI$24,34,FALSE)=" ",0,VLOOKUP($B22,'MM G-Dummy Roping'!$B$5:$AI$24,34,FALSE)),0)+IFERROR(IF(VLOOKUP($B22,'MM G-Barrels'!$B$5:$AI$29,34,FALSE)=" ",0,VLOOKUP($B22,'MM G-Barrels'!$B$5:$AI$29,34,FALSE)),0)+IFERROR(IF(VLOOKUP($B22,'MM G-Figure 8'!$B$5:$AI$27,34,FALSE)=" ",0,VLOOKUP($B22,'MM G-Figure 8'!$B$5:$AI$27,34,FALSE)),0)+IFERROR(IF(VLOOKUP($B22,'MM G-Goats'!$B$5:$AI$26,34,FALSE)=" ",0,VLOOKUP($B22,'MM G-Goats'!$B$5:$AI$26,34,FALSE)),0)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3</v>
      </c>
      <c r="AB22" s="95">
        <f t="shared" si="16"/>
        <v>3</v>
      </c>
      <c r="AC22" s="91">
        <f t="shared" si="17"/>
        <v>18</v>
      </c>
    </row>
    <row r="23" spans="2:29" x14ac:dyDescent="0.25">
      <c r="B23" s="142" t="s">
        <v>226</v>
      </c>
      <c r="C23" s="120">
        <f>IFERROR(IF(VLOOKUP($B23,'MM G-Dummy Roping'!$B$5:$AI$24,6,FALSE)=" ",0,VLOOKUP($B23,'MM G-Dummy Roping'!$B$5:$AI$24,6,FALSE)),0)+IFERROR(IF(VLOOKUP($B23,'MM G-Barrels'!$B$5:$AI$29,6,FALSE)=" ",0,VLOOKUP($B23,'MM G-Barrels'!$B$5:$AI$29,6,FALSE)),0)+IFERROR(IF(VLOOKUP($B23,'MM G-Figure 8'!$B$5:$AI$27,6,FALSE)=" ",0,VLOOKUP($B23,'MM G-Figure 8'!$B$5:$AI$27,6,FALSE)),0)+IFERROR(IF(VLOOKUP($B23,'MM G-Goats'!$B$5:$AI$26,6,FALSE)=" ",0,VLOOKUP($B23,'MM G-Goats'!$B$5:$AI$26,6,FALSE)),0)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IFERROR(IF(VLOOKUP($B23,'MM G-Dummy Roping'!$B$5:$AI$24,10,FALSE)=" ",0,VLOOKUP($B23,'MM G-Dummy Roping'!$B$5:$AI$24,10,FALSE)),0)+IFERROR(IF(VLOOKUP($B23,'MM G-Barrels'!$B$5:$AI$29,10,FALSE)=" ",0,VLOOKUP($B23,'MM G-Barrels'!$B$5:$AI$29,10,FALSE)),0)+IFERROR(IF(VLOOKUP($B23,'MM G-Figure 8'!$B$5:$AI$27,10,FALSE)=" ",0,VLOOKUP($B23,'MM G-Figure 8'!$B$5:$AI$27,10,FALSE)),0)+IFERROR(IF(VLOOKUP($B23,'MM G-Goats'!$B$5:$AI$26,10,FALSE)=" ",0,VLOOKUP($B23,'MM G-Goats'!$B$5:$AI$26,10,FALSE)),0)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IFERROR(IF(VLOOKUP($B23,'MM G-Dummy Roping'!$B$5:$AI$24,14,FALSE)=" ",0,VLOOKUP($B23,'MM G-Dummy Roping'!$B$5:$AI$24,14,FALSE)),0)+IFERROR(IF(VLOOKUP($B23,'MM G-Barrels'!$B$5:$AI$29,14,FALSE)=" ",0,VLOOKUP($B23,'MM G-Barrels'!$B$5:$AI$29,14,FALSE)),0)+IFERROR(IF(VLOOKUP($B23,'MM G-Figure 8'!$B$5:$AI$27,14,FALSE)=" ",0,VLOOKUP($B23,'MM G-Figure 8'!$B$5:$AI$27,14,FALSE)),0)+IFERROR(IF(VLOOKUP($B23,'MM G-Goats'!$B$5:$AI$26,14,FALSE)=" ",0,VLOOKUP($B23,'MM G-Goats'!$B$5:$AI$26,14,FALSE)),0)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IFERROR(IF(VLOOKUP($B23,'MM G-Dummy Roping'!$B$5:$AI$24,18,FALSE)=" ",0,VLOOKUP($B23,'MM G-Dummy Roping'!$B$5:$AI$24,18,FALSE)),0)+IFERROR(IF(VLOOKUP($B23,'MM G-Barrels'!$B$5:$AI$29,18,FALSE)=" ",0,VLOOKUP($B23,'MM G-Barrels'!$B$5:$AI$29,18,FALSE)),0)+IFERROR(IF(VLOOKUP($B23,'MM G-Figure 8'!$B$5:$AI$27,18,FALSE)=" ",0,VLOOKUP($B23,'MM G-Figure 8'!$B$5:$AI$27,18,FALSE)),0)+IFERROR(IF(VLOOKUP($B23,'MM G-Goats'!$B$5:$AI$26,18,FALSE)=" ",0,VLOOKUP($B23,'MM G-Goats'!$B$5:$AI$26,18,FALSE)),0)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IFERROR(IF(VLOOKUP($B23,'MM G-Dummy Roping'!$B$5:$AI$24,22,FALSE)=" ",0,VLOOKUP($B23,'MM G-Dummy Roping'!$B$5:$AI$24,22,FALSE)),0)+IFERROR(IF(VLOOKUP($B23,'MM G-Barrels'!$B$5:$AI$29,22,FALSE)=" ",0,VLOOKUP($B23,'MM G-Barrels'!$B$5:$AI$29,22,FALSE)),0)+IFERROR(IF(VLOOKUP($B23,'MM G-Figure 8'!$B$5:$AI$27,22,FALSE)=" ",0,VLOOKUP($B23,'MM G-Figure 8'!$B$5:$AI$27,22,FALSE)),0)+IFERROR(IF(VLOOKUP($B23,'MM G-Goats'!$B$5:$AI$26,22,FALSE)=" ",0,VLOOKUP($B23,'MM G-Goats'!$B$5:$AI$26,22,FALSE)),0)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IFERROR(IF(VLOOKUP($B23,'MM G-Dummy Roping'!$B$5:$AI$24,26,FALSE)=" ",0,VLOOKUP($B23,'MM G-Dummy Roping'!$B$5:$AI$24,26,FALSE)),0)+IFERROR(IF(VLOOKUP($B23,'MM G-Barrels'!$B$5:$AI$29,26,FALSE)=" ",0,VLOOKUP($B23,'MM G-Barrels'!$B$5:$AI$29,26,FALSE)),0)+IFERROR(IF(VLOOKUP($B23,'MM G-Figure 8'!$B$5:$AI$27,26,FALSE)=" ",0,VLOOKUP($B23,'MM G-Figure 8'!$B$5:$AI$27,26,FALSE)),0)+IFERROR(IF(VLOOKUP($B23,'MM G-Goats'!$B$5:$AI$26,26,FALSE)=" ",0,VLOOKUP($B23,'MM G-Goats'!$B$5:$AI$26,26,FALSE)),0)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IFERROR(IF(VLOOKUP($B23,'MM G-Dummy Roping'!$B$5:$AI$24,30,FALSE)=" ",0,VLOOKUP($B23,'MM G-Dummy Roping'!$B$5:$AI$24,30,FALSE)),0)+IFERROR(IF(VLOOKUP($B23,'MM G-Barrels'!$B$5:$AI$29,30,FALSE)=" ",0,VLOOKUP($B23,'MM G-Barrels'!$B$5:$AI$29,30,FALSE)),0)+IFERROR(IF(VLOOKUP($B23,'MM G-Figure 8'!$B$5:$AI$27,30,FALSE)=" ",0,VLOOKUP($B23,'MM G-Figure 8'!$B$5:$AI$27,30,FALSE)),0)+IFERROR(IF(VLOOKUP($B23,'MM G-Goats'!$B$5:$AI$26,30,FALSE)=" ",0,VLOOKUP($B23,'MM G-Goats'!$B$5:$AI$26,30,FALSE)),0)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IFERROR(IF(VLOOKUP($B23,'MM G-Dummy Roping'!$B$5:$AI$24,34,FALSE)=" ",0,VLOOKUP($B23,'MM G-Dummy Roping'!$B$5:$AI$24,34,FALSE)),0)+IFERROR(IF(VLOOKUP($B23,'MM G-Barrels'!$B$5:$AI$29,34,FALSE)=" ",0,VLOOKUP($B23,'MM G-Barrels'!$B$5:$AI$29,34,FALSE)),0)+IFERROR(IF(VLOOKUP($B23,'MM G-Figure 8'!$B$5:$AI$27,34,FALSE)=" ",0,VLOOKUP($B23,'MM G-Figure 8'!$B$5:$AI$27,34,FALSE)),0)+IFERROR(IF(VLOOKUP($B23,'MM G-Goats'!$B$5:$AI$26,34,FALSE)=" ",0,VLOOKUP($B23,'MM G-Goats'!$B$5:$AI$26,34,FALSE)),0)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x14ac:dyDescent="0.25">
      <c r="B24" s="142" t="s">
        <v>222</v>
      </c>
      <c r="C24" s="120">
        <f>IFERROR(IF(VLOOKUP($B24,'MM G-Dummy Roping'!$B$5:$AI$24,6,FALSE)=" ",0,VLOOKUP($B24,'MM G-Dummy Roping'!$B$5:$AI$24,6,FALSE)),0)+IFERROR(IF(VLOOKUP($B24,'MM G-Barrels'!$B$5:$AI$29,6,FALSE)=" ",0,VLOOKUP($B24,'MM G-Barrels'!$B$5:$AI$29,6,FALSE)),0)+IFERROR(IF(VLOOKUP($B24,'MM G-Figure 8'!$B$5:$AI$27,6,FALSE)=" ",0,VLOOKUP($B24,'MM G-Figure 8'!$B$5:$AI$27,6,FALSE)),0)+IFERROR(IF(VLOOKUP($B24,'MM G-Goats'!$B$5:$AI$26,6,FALSE)=" ",0,VLOOKUP($B24,'MM G-Goats'!$B$5:$AI$26,6,FALSE)),0)</f>
        <v>0</v>
      </c>
      <c r="D24" s="95" t="str">
        <f t="shared" si="0"/>
        <v xml:space="preserve"> </v>
      </c>
      <c r="E24" s="91" t="str">
        <f t="shared" si="1"/>
        <v xml:space="preserve"> </v>
      </c>
      <c r="F24" s="121">
        <f>IFERROR(IF(VLOOKUP($B24,'MM G-Dummy Roping'!$B$5:$AI$24,10,FALSE)=" ",0,VLOOKUP($B24,'MM G-Dummy Roping'!$B$5:$AI$24,10,FALSE)),0)+IFERROR(IF(VLOOKUP($B24,'MM G-Barrels'!$B$5:$AI$29,10,FALSE)=" ",0,VLOOKUP($B24,'MM G-Barrels'!$B$5:$AI$29,10,FALSE)),0)+IFERROR(IF(VLOOKUP($B24,'MM G-Figure 8'!$B$5:$AI$27,10,FALSE)=" ",0,VLOOKUP($B24,'MM G-Figure 8'!$B$5:$AI$27,10,FALSE)),0)+IFERROR(IF(VLOOKUP($B24,'MM G-Goats'!$B$5:$AI$26,10,FALSE)=" ",0,VLOOKUP($B24,'MM G-Goats'!$B$5:$AI$26,10,FALSE)),0)</f>
        <v>0</v>
      </c>
      <c r="G24" s="95" t="str">
        <f t="shared" si="2"/>
        <v xml:space="preserve"> </v>
      </c>
      <c r="H24" s="91" t="str">
        <f t="shared" si="3"/>
        <v xml:space="preserve"> </v>
      </c>
      <c r="I24" s="121">
        <f>IFERROR(IF(VLOOKUP($B24,'MM G-Dummy Roping'!$B$5:$AI$24,14,FALSE)=" ",0,VLOOKUP($B24,'MM G-Dummy Roping'!$B$5:$AI$24,14,FALSE)),0)+IFERROR(IF(VLOOKUP($B24,'MM G-Barrels'!$B$5:$AI$29,14,FALSE)=" ",0,VLOOKUP($B24,'MM G-Barrels'!$B$5:$AI$29,14,FALSE)),0)+IFERROR(IF(VLOOKUP($B24,'MM G-Figure 8'!$B$5:$AI$27,14,FALSE)=" ",0,VLOOKUP($B24,'MM G-Figure 8'!$B$5:$AI$27,14,FALSE)),0)+IFERROR(IF(VLOOKUP($B24,'MM G-Goats'!$B$5:$AI$26,14,FALSE)=" ",0,VLOOKUP($B24,'MM G-Goats'!$B$5:$AI$26,14,FALSE)),0)</f>
        <v>0</v>
      </c>
      <c r="J24" s="95" t="str">
        <f t="shared" si="4"/>
        <v xml:space="preserve"> </v>
      </c>
      <c r="K24" s="91" t="str">
        <f t="shared" si="5"/>
        <v xml:space="preserve"> </v>
      </c>
      <c r="L24" s="121">
        <f>IFERROR(IF(VLOOKUP($B24,'MM G-Dummy Roping'!$B$5:$AI$24,18,FALSE)=" ",0,VLOOKUP($B24,'MM G-Dummy Roping'!$B$5:$AI$24,18,FALSE)),0)+IFERROR(IF(VLOOKUP($B24,'MM G-Barrels'!$B$5:$AI$29,18,FALSE)=" ",0,VLOOKUP($B24,'MM G-Barrels'!$B$5:$AI$29,18,FALSE)),0)+IFERROR(IF(VLOOKUP($B24,'MM G-Figure 8'!$B$5:$AI$27,18,FALSE)=" ",0,VLOOKUP($B24,'MM G-Figure 8'!$B$5:$AI$27,18,FALSE)),0)+IFERROR(IF(VLOOKUP($B24,'MM G-Goats'!$B$5:$AI$26,18,FALSE)=" ",0,VLOOKUP($B24,'MM G-Goats'!$B$5:$AI$26,18,FALSE)),0)</f>
        <v>0</v>
      </c>
      <c r="M24" s="95" t="str">
        <f t="shared" si="6"/>
        <v xml:space="preserve"> </v>
      </c>
      <c r="N24" s="91" t="str">
        <f t="shared" si="7"/>
        <v xml:space="preserve"> </v>
      </c>
      <c r="O24" s="121">
        <f>IFERROR(IF(VLOOKUP($B24,'MM G-Dummy Roping'!$B$5:$AI$24,22,FALSE)=" ",0,VLOOKUP($B24,'MM G-Dummy Roping'!$B$5:$AI$24,22,FALSE)),0)+IFERROR(IF(VLOOKUP($B24,'MM G-Barrels'!$B$5:$AI$29,22,FALSE)=" ",0,VLOOKUP($B24,'MM G-Barrels'!$B$5:$AI$29,22,FALSE)),0)+IFERROR(IF(VLOOKUP($B24,'MM G-Figure 8'!$B$5:$AI$27,22,FALSE)=" ",0,VLOOKUP($B24,'MM G-Figure 8'!$B$5:$AI$27,22,FALSE)),0)+IFERROR(IF(VLOOKUP($B24,'MM G-Goats'!$B$5:$AI$26,22,FALSE)=" ",0,VLOOKUP($B24,'MM G-Goats'!$B$5:$AI$26,22,FALSE)),0)</f>
        <v>0</v>
      </c>
      <c r="P24" s="95" t="str">
        <f t="shared" si="8"/>
        <v xml:space="preserve"> </v>
      </c>
      <c r="Q24" s="91" t="str">
        <f t="shared" si="9"/>
        <v xml:space="preserve"> </v>
      </c>
      <c r="R24" s="121">
        <f>IFERROR(IF(VLOOKUP($B24,'MM G-Dummy Roping'!$B$5:$AI$24,26,FALSE)=" ",0,VLOOKUP($B24,'MM G-Dummy Roping'!$B$5:$AI$24,26,FALSE)),0)+IFERROR(IF(VLOOKUP($B24,'MM G-Barrels'!$B$5:$AI$29,26,FALSE)=" ",0,VLOOKUP($B24,'MM G-Barrels'!$B$5:$AI$29,26,FALSE)),0)+IFERROR(IF(VLOOKUP($B24,'MM G-Figure 8'!$B$5:$AI$27,26,FALSE)=" ",0,VLOOKUP($B24,'MM G-Figure 8'!$B$5:$AI$27,26,FALSE)),0)+IFERROR(IF(VLOOKUP($B24,'MM G-Goats'!$B$5:$AI$26,26,FALSE)=" ",0,VLOOKUP($B24,'MM G-Goats'!$B$5:$AI$26,26,FALSE)),0)</f>
        <v>0</v>
      </c>
      <c r="S24" s="95" t="str">
        <f t="shared" si="10"/>
        <v xml:space="preserve"> </v>
      </c>
      <c r="T24" s="91" t="str">
        <f t="shared" si="11"/>
        <v xml:space="preserve"> </v>
      </c>
      <c r="U24" s="121">
        <f>IFERROR(IF(VLOOKUP($B24,'MM G-Dummy Roping'!$B$5:$AI$24,30,FALSE)=" ",0,VLOOKUP($B24,'MM G-Dummy Roping'!$B$5:$AI$24,30,FALSE)),0)+IFERROR(IF(VLOOKUP($B24,'MM G-Barrels'!$B$5:$AI$29,30,FALSE)=" ",0,VLOOKUP($B24,'MM G-Barrels'!$B$5:$AI$29,30,FALSE)),0)+IFERROR(IF(VLOOKUP($B24,'MM G-Figure 8'!$B$5:$AI$27,30,FALSE)=" ",0,VLOOKUP($B24,'MM G-Figure 8'!$B$5:$AI$27,30,FALSE)),0)+IFERROR(IF(VLOOKUP($B24,'MM G-Goats'!$B$5:$AI$26,30,FALSE)=" ",0,VLOOKUP($B24,'MM G-Goats'!$B$5:$AI$26,30,FALSE)),0)</f>
        <v>0</v>
      </c>
      <c r="V24" s="95" t="str">
        <f t="shared" si="12"/>
        <v xml:space="preserve"> </v>
      </c>
      <c r="W24" s="91" t="str">
        <f t="shared" si="13"/>
        <v xml:space="preserve"> </v>
      </c>
      <c r="X24" s="121">
        <f>IFERROR(IF(VLOOKUP($B24,'MM G-Dummy Roping'!$B$5:$AI$24,34,FALSE)=" ",0,VLOOKUP($B24,'MM G-Dummy Roping'!$B$5:$AI$24,34,FALSE)),0)+IFERROR(IF(VLOOKUP($B24,'MM G-Barrels'!$B$5:$AI$29,34,FALSE)=" ",0,VLOOKUP($B24,'MM G-Barrels'!$B$5:$AI$29,34,FALSE)),0)+IFERROR(IF(VLOOKUP($B24,'MM G-Figure 8'!$B$5:$AI$27,34,FALSE)=" ",0,VLOOKUP($B24,'MM G-Figure 8'!$B$5:$AI$27,34,FALSE)),0)+IFERROR(IF(VLOOKUP($B24,'MM G-Goats'!$B$5:$AI$26,34,FALSE)=" ",0,VLOOKUP($B24,'MM G-Goats'!$B$5:$AI$26,34,FALSE)),0)</f>
        <v>0</v>
      </c>
      <c r="Y24" s="95" t="str">
        <f t="shared" si="14"/>
        <v xml:space="preserve"> </v>
      </c>
      <c r="Z24" s="91" t="str">
        <f t="shared" si="15"/>
        <v xml:space="preserve"> </v>
      </c>
      <c r="AA24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4" s="95" t="str">
        <f t="shared" si="16"/>
        <v xml:space="preserve"> </v>
      </c>
      <c r="AC24" s="91" t="str">
        <f t="shared" si="17"/>
        <v xml:space="preserve"> </v>
      </c>
    </row>
    <row r="25" spans="2:29" x14ac:dyDescent="0.25">
      <c r="B25" s="142" t="s">
        <v>238</v>
      </c>
      <c r="C25" s="120">
        <f>IFERROR(IF(VLOOKUP($B25,'MM G-Dummy Roping'!$B$5:$AI$24,6,FALSE)=" ",0,VLOOKUP($B25,'MM G-Dummy Roping'!$B$5:$AI$24,6,FALSE)),0)+IFERROR(IF(VLOOKUP($B25,'MM G-Barrels'!$B$5:$AI$29,6,FALSE)=" ",0,VLOOKUP($B25,'MM G-Barrels'!$B$5:$AI$29,6,FALSE)),0)+IFERROR(IF(VLOOKUP($B25,'MM G-Figure 8'!$B$5:$AI$27,6,FALSE)=" ",0,VLOOKUP($B25,'MM G-Figure 8'!$B$5:$AI$27,6,FALSE)),0)+IFERROR(IF(VLOOKUP($B25,'MM G-Goats'!$B$5:$AI$26,6,FALSE)=" ",0,VLOOKUP($B25,'MM G-Goats'!$B$5:$AI$26,6,FALSE)),0)</f>
        <v>0</v>
      </c>
      <c r="D25" s="95" t="str">
        <f t="shared" si="0"/>
        <v xml:space="preserve"> </v>
      </c>
      <c r="E25" s="122" t="str">
        <f t="shared" si="1"/>
        <v xml:space="preserve"> </v>
      </c>
      <c r="F25" s="121">
        <f>IFERROR(IF(VLOOKUP($B25,'MM G-Dummy Roping'!$B$5:$AI$24,10,FALSE)=" ",0,VLOOKUP($B25,'MM G-Dummy Roping'!$B$5:$AI$24,10,FALSE)),0)+IFERROR(IF(VLOOKUP($B25,'MM G-Barrels'!$B$5:$AI$29,10,FALSE)=" ",0,VLOOKUP($B25,'MM G-Barrels'!$B$5:$AI$29,10,FALSE)),0)+IFERROR(IF(VLOOKUP($B25,'MM G-Figure 8'!$B$5:$AI$27,10,FALSE)=" ",0,VLOOKUP($B25,'MM G-Figure 8'!$B$5:$AI$27,10,FALSE)),0)+IFERROR(IF(VLOOKUP($B25,'MM G-Goats'!$B$5:$AI$26,10,FALSE)=" ",0,VLOOKUP($B25,'MM G-Goats'!$B$5:$AI$26,10,FALSE)),0)</f>
        <v>0</v>
      </c>
      <c r="G25" s="95" t="str">
        <f t="shared" si="2"/>
        <v xml:space="preserve"> </v>
      </c>
      <c r="H25" s="122" t="str">
        <f t="shared" si="3"/>
        <v xml:space="preserve"> </v>
      </c>
      <c r="I25" s="121">
        <f>IFERROR(IF(VLOOKUP($B25,'MM G-Dummy Roping'!$B$5:$AI$24,14,FALSE)=" ",0,VLOOKUP($B25,'MM G-Dummy Roping'!$B$5:$AI$24,14,FALSE)),0)+IFERROR(IF(VLOOKUP($B25,'MM G-Barrels'!$B$5:$AI$29,14,FALSE)=" ",0,VLOOKUP($B25,'MM G-Barrels'!$B$5:$AI$29,14,FALSE)),0)+IFERROR(IF(VLOOKUP($B25,'MM G-Figure 8'!$B$5:$AI$27,14,FALSE)=" ",0,VLOOKUP($B25,'MM G-Figure 8'!$B$5:$AI$27,14,FALSE)),0)+IFERROR(IF(VLOOKUP($B25,'MM G-Goats'!$B$5:$AI$26,14,FALSE)=" ",0,VLOOKUP($B25,'MM G-Goats'!$B$5:$AI$26,14,FALSE)),0)</f>
        <v>0</v>
      </c>
      <c r="J25" s="95" t="str">
        <f t="shared" si="4"/>
        <v xml:space="preserve"> </v>
      </c>
      <c r="K25" s="122" t="str">
        <f t="shared" si="5"/>
        <v xml:space="preserve"> </v>
      </c>
      <c r="L25" s="121">
        <f>IFERROR(IF(VLOOKUP($B25,'MM G-Dummy Roping'!$B$5:$AI$24,18,FALSE)=" ",0,VLOOKUP($B25,'MM G-Dummy Roping'!$B$5:$AI$24,18,FALSE)),0)+IFERROR(IF(VLOOKUP($B25,'MM G-Barrels'!$B$5:$AI$29,18,FALSE)=" ",0,VLOOKUP($B25,'MM G-Barrels'!$B$5:$AI$29,18,FALSE)),0)+IFERROR(IF(VLOOKUP($B25,'MM G-Figure 8'!$B$5:$AI$27,18,FALSE)=" ",0,VLOOKUP($B25,'MM G-Figure 8'!$B$5:$AI$27,18,FALSE)),0)+IFERROR(IF(VLOOKUP($B25,'MM G-Goats'!$B$5:$AI$26,18,FALSE)=" ",0,VLOOKUP($B25,'MM G-Goats'!$B$5:$AI$26,18,FALSE)),0)</f>
        <v>0</v>
      </c>
      <c r="M25" s="95" t="str">
        <f t="shared" si="6"/>
        <v xml:space="preserve"> </v>
      </c>
      <c r="N25" s="122" t="str">
        <f t="shared" si="7"/>
        <v xml:space="preserve"> </v>
      </c>
      <c r="O25" s="121">
        <f>IFERROR(IF(VLOOKUP($B25,'MM G-Dummy Roping'!$B$5:$AI$24,22,FALSE)=" ",0,VLOOKUP($B25,'MM G-Dummy Roping'!$B$5:$AI$24,22,FALSE)),0)+IFERROR(IF(VLOOKUP($B25,'MM G-Barrels'!$B$5:$AI$29,22,FALSE)=" ",0,VLOOKUP($B25,'MM G-Barrels'!$B$5:$AI$29,22,FALSE)),0)+IFERROR(IF(VLOOKUP($B25,'MM G-Figure 8'!$B$5:$AI$27,22,FALSE)=" ",0,VLOOKUP($B25,'MM G-Figure 8'!$B$5:$AI$27,22,FALSE)),0)+IFERROR(IF(VLOOKUP($B25,'MM G-Goats'!$B$5:$AI$26,22,FALSE)=" ",0,VLOOKUP($B25,'MM G-Goats'!$B$5:$AI$26,22,FALSE)),0)</f>
        <v>0</v>
      </c>
      <c r="P25" s="95" t="str">
        <f t="shared" si="8"/>
        <v xml:space="preserve"> </v>
      </c>
      <c r="Q25" s="122" t="str">
        <f t="shared" si="9"/>
        <v xml:space="preserve"> </v>
      </c>
      <c r="R25" s="121">
        <f>IFERROR(IF(VLOOKUP($B25,'MM G-Dummy Roping'!$B$5:$AI$24,26,FALSE)=" ",0,VLOOKUP($B25,'MM G-Dummy Roping'!$B$5:$AI$24,26,FALSE)),0)+IFERROR(IF(VLOOKUP($B25,'MM G-Barrels'!$B$5:$AI$29,26,FALSE)=" ",0,VLOOKUP($B25,'MM G-Barrels'!$B$5:$AI$29,26,FALSE)),0)+IFERROR(IF(VLOOKUP($B25,'MM G-Figure 8'!$B$5:$AI$27,26,FALSE)=" ",0,VLOOKUP($B25,'MM G-Figure 8'!$B$5:$AI$27,26,FALSE)),0)+IFERROR(IF(VLOOKUP($B25,'MM G-Goats'!$B$5:$AI$26,26,FALSE)=" ",0,VLOOKUP($B25,'MM G-Goats'!$B$5:$AI$26,26,FALSE)),0)</f>
        <v>0</v>
      </c>
      <c r="S25" s="95" t="str">
        <f t="shared" si="10"/>
        <v xml:space="preserve"> </v>
      </c>
      <c r="T25" s="122" t="str">
        <f t="shared" si="11"/>
        <v xml:space="preserve"> </v>
      </c>
      <c r="U25" s="121">
        <f>IFERROR(IF(VLOOKUP($B25,'MM G-Dummy Roping'!$B$5:$AI$24,30,FALSE)=" ",0,VLOOKUP($B25,'MM G-Dummy Roping'!$B$5:$AI$24,30,FALSE)),0)+IFERROR(IF(VLOOKUP($B25,'MM G-Barrels'!$B$5:$AI$29,30,FALSE)=" ",0,VLOOKUP($B25,'MM G-Barrels'!$B$5:$AI$29,30,FALSE)),0)+IFERROR(IF(VLOOKUP($B25,'MM G-Figure 8'!$B$5:$AI$27,30,FALSE)=" ",0,VLOOKUP($B25,'MM G-Figure 8'!$B$5:$AI$27,30,FALSE)),0)+IFERROR(IF(VLOOKUP($B25,'MM G-Goats'!$B$5:$AI$26,30,FALSE)=" ",0,VLOOKUP($B25,'MM G-Goats'!$B$5:$AI$26,30,FALSE)),0)</f>
        <v>0</v>
      </c>
      <c r="V25" s="95" t="str">
        <f t="shared" si="12"/>
        <v xml:space="preserve"> </v>
      </c>
      <c r="W25" s="122" t="str">
        <f t="shared" si="13"/>
        <v xml:space="preserve"> </v>
      </c>
      <c r="X25" s="121">
        <f>IFERROR(IF(VLOOKUP($B25,'MM G-Dummy Roping'!$B$5:$AI$24,34,FALSE)=" ",0,VLOOKUP($B25,'MM G-Dummy Roping'!$B$5:$AI$24,34,FALSE)),0)+IFERROR(IF(VLOOKUP($B25,'MM G-Barrels'!$B$5:$AI$29,34,FALSE)=" ",0,VLOOKUP($B25,'MM G-Barrels'!$B$5:$AI$29,34,FALSE)),0)+IFERROR(IF(VLOOKUP($B25,'MM G-Figure 8'!$B$5:$AI$27,34,FALSE)=" ",0,VLOOKUP($B25,'MM G-Figure 8'!$B$5:$AI$27,34,FALSE)),0)+IFERROR(IF(VLOOKUP($B25,'MM G-Goats'!$B$5:$AI$26,34,FALSE)=" ",0,VLOOKUP($B25,'MM G-Goats'!$B$5:$AI$26,34,FALSE)),0)</f>
        <v>0</v>
      </c>
      <c r="Y25" s="95" t="str">
        <f t="shared" si="14"/>
        <v xml:space="preserve"> </v>
      </c>
      <c r="Z25" s="122" t="str">
        <f t="shared" si="15"/>
        <v xml:space="preserve"> </v>
      </c>
      <c r="AA25" s="121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5" s="95" t="str">
        <f t="shared" si="16"/>
        <v xml:space="preserve"> </v>
      </c>
      <c r="AC25" s="122" t="str">
        <f t="shared" si="17"/>
        <v xml:space="preserve"> </v>
      </c>
    </row>
    <row r="26" spans="2:29" ht="14.4" thickBot="1" x14ac:dyDescent="0.3">
      <c r="B26" s="151" t="s">
        <v>229</v>
      </c>
      <c r="C26" s="123">
        <f>IFERROR(IF(VLOOKUP($B26,'MM G-Dummy Roping'!$B$5:$AI$24,6,FALSE)=" ",0,VLOOKUP($B26,'MM G-Dummy Roping'!$B$5:$AI$24,6,FALSE)),0)+IFERROR(IF(VLOOKUP($B26,'MM G-Barrels'!$B$5:$AI$29,6,FALSE)=" ",0,VLOOKUP($B26,'MM G-Barrels'!$B$5:$AI$29,6,FALSE)),0)+IFERROR(IF(VLOOKUP($B26,'MM G-Figure 8'!$B$5:$AI$27,6,FALSE)=" ",0,VLOOKUP($B26,'MM G-Figure 8'!$B$5:$AI$27,6,FALSE)),0)+IFERROR(IF(VLOOKUP($B26,'MM G-Goats'!$B$5:$AI$26,6,FALSE)=" ",0,VLOOKUP($B26,'MM G-Goats'!$B$5:$AI$26,6,FALSE)),0)</f>
        <v>0</v>
      </c>
      <c r="D26" s="105" t="str">
        <f t="shared" si="0"/>
        <v xml:space="preserve"> </v>
      </c>
      <c r="E26" s="101" t="str">
        <f t="shared" si="1"/>
        <v xml:space="preserve"> </v>
      </c>
      <c r="F26" s="124">
        <f>IFERROR(IF(VLOOKUP($B26,'MM G-Dummy Roping'!$B$5:$AI$24,10,FALSE)=" ",0,VLOOKUP($B26,'MM G-Dummy Roping'!$B$5:$AI$24,10,FALSE)),0)+IFERROR(IF(VLOOKUP($B26,'MM G-Barrels'!$B$5:$AI$29,10,FALSE)=" ",0,VLOOKUP($B26,'MM G-Barrels'!$B$5:$AI$29,10,FALSE)),0)+IFERROR(IF(VLOOKUP($B26,'MM G-Figure 8'!$B$5:$AI$27,10,FALSE)=" ",0,VLOOKUP($B26,'MM G-Figure 8'!$B$5:$AI$27,10,FALSE)),0)+IFERROR(IF(VLOOKUP($B26,'MM G-Goats'!$B$5:$AI$26,10,FALSE)=" ",0,VLOOKUP($B26,'MM G-Goats'!$B$5:$AI$26,10,FALSE)),0)</f>
        <v>0</v>
      </c>
      <c r="G26" s="105" t="str">
        <f t="shared" si="2"/>
        <v xml:space="preserve"> </v>
      </c>
      <c r="H26" s="101" t="str">
        <f t="shared" si="3"/>
        <v xml:space="preserve"> </v>
      </c>
      <c r="I26" s="124">
        <f>IFERROR(IF(VLOOKUP($B26,'MM G-Dummy Roping'!$B$5:$AI$24,14,FALSE)=" ",0,VLOOKUP($B26,'MM G-Dummy Roping'!$B$5:$AI$24,14,FALSE)),0)+IFERROR(IF(VLOOKUP($B26,'MM G-Barrels'!$B$5:$AI$29,14,FALSE)=" ",0,VLOOKUP($B26,'MM G-Barrels'!$B$5:$AI$29,14,FALSE)),0)+IFERROR(IF(VLOOKUP($B26,'MM G-Figure 8'!$B$5:$AI$27,14,FALSE)=" ",0,VLOOKUP($B26,'MM G-Figure 8'!$B$5:$AI$27,14,FALSE)),0)+IFERROR(IF(VLOOKUP($B26,'MM G-Goats'!$B$5:$AI$26,14,FALSE)=" ",0,VLOOKUP($B26,'MM G-Goats'!$B$5:$AI$26,14,FALSE)),0)</f>
        <v>0</v>
      </c>
      <c r="J26" s="105" t="str">
        <f t="shared" si="4"/>
        <v xml:space="preserve"> </v>
      </c>
      <c r="K26" s="101" t="str">
        <f t="shared" si="5"/>
        <v xml:space="preserve"> </v>
      </c>
      <c r="L26" s="124">
        <f>IFERROR(IF(VLOOKUP($B26,'MM G-Dummy Roping'!$B$5:$AI$24,18,FALSE)=" ",0,VLOOKUP($B26,'MM G-Dummy Roping'!$B$5:$AI$24,18,FALSE)),0)+IFERROR(IF(VLOOKUP($B26,'MM G-Barrels'!$B$5:$AI$29,18,FALSE)=" ",0,VLOOKUP($B26,'MM G-Barrels'!$B$5:$AI$29,18,FALSE)),0)+IFERROR(IF(VLOOKUP($B26,'MM G-Figure 8'!$B$5:$AI$27,18,FALSE)=" ",0,VLOOKUP($B26,'MM G-Figure 8'!$B$5:$AI$27,18,FALSE)),0)+IFERROR(IF(VLOOKUP($B26,'MM G-Goats'!$B$5:$AI$26,18,FALSE)=" ",0,VLOOKUP($B26,'MM G-Goats'!$B$5:$AI$26,18,FALSE)),0)</f>
        <v>0</v>
      </c>
      <c r="M26" s="105" t="str">
        <f t="shared" si="6"/>
        <v xml:space="preserve"> </v>
      </c>
      <c r="N26" s="101" t="str">
        <f t="shared" si="7"/>
        <v xml:space="preserve"> </v>
      </c>
      <c r="O26" s="124">
        <f>IFERROR(IF(VLOOKUP($B26,'MM G-Dummy Roping'!$B$5:$AI$24,22,FALSE)=" ",0,VLOOKUP($B26,'MM G-Dummy Roping'!$B$5:$AI$24,22,FALSE)),0)+IFERROR(IF(VLOOKUP($B26,'MM G-Barrels'!$B$5:$AI$29,22,FALSE)=" ",0,VLOOKUP($B26,'MM G-Barrels'!$B$5:$AI$29,22,FALSE)),0)+IFERROR(IF(VLOOKUP($B26,'MM G-Figure 8'!$B$5:$AI$27,22,FALSE)=" ",0,VLOOKUP($B26,'MM G-Figure 8'!$B$5:$AI$27,22,FALSE)),0)+IFERROR(IF(VLOOKUP($B26,'MM G-Goats'!$B$5:$AI$26,22,FALSE)=" ",0,VLOOKUP($B26,'MM G-Goats'!$B$5:$AI$26,22,FALSE)),0)</f>
        <v>0</v>
      </c>
      <c r="P26" s="105" t="str">
        <f t="shared" si="8"/>
        <v xml:space="preserve"> </v>
      </c>
      <c r="Q26" s="101" t="str">
        <f t="shared" si="9"/>
        <v xml:space="preserve"> </v>
      </c>
      <c r="R26" s="124">
        <f>IFERROR(IF(VLOOKUP($B26,'MM G-Dummy Roping'!$B$5:$AI$24,26,FALSE)=" ",0,VLOOKUP($B26,'MM G-Dummy Roping'!$B$5:$AI$24,26,FALSE)),0)+IFERROR(IF(VLOOKUP($B26,'MM G-Barrels'!$B$5:$AI$29,26,FALSE)=" ",0,VLOOKUP($B26,'MM G-Barrels'!$B$5:$AI$29,26,FALSE)),0)+IFERROR(IF(VLOOKUP($B26,'MM G-Figure 8'!$B$5:$AI$27,26,FALSE)=" ",0,VLOOKUP($B26,'MM G-Figure 8'!$B$5:$AI$27,26,FALSE)),0)+IFERROR(IF(VLOOKUP($B26,'MM G-Goats'!$B$5:$AI$26,26,FALSE)=" ",0,VLOOKUP($B26,'MM G-Goats'!$B$5:$AI$26,26,FALSE)),0)</f>
        <v>0</v>
      </c>
      <c r="S26" s="105" t="str">
        <f t="shared" si="10"/>
        <v xml:space="preserve"> </v>
      </c>
      <c r="T26" s="101" t="str">
        <f t="shared" si="11"/>
        <v xml:space="preserve"> </v>
      </c>
      <c r="U26" s="124">
        <f>IFERROR(IF(VLOOKUP($B26,'MM G-Dummy Roping'!$B$5:$AI$24,30,FALSE)=" ",0,VLOOKUP($B26,'MM G-Dummy Roping'!$B$5:$AI$24,30,FALSE)),0)+IFERROR(IF(VLOOKUP($B26,'MM G-Barrels'!$B$5:$AI$29,30,FALSE)=" ",0,VLOOKUP($B26,'MM G-Barrels'!$B$5:$AI$29,30,FALSE)),0)+IFERROR(IF(VLOOKUP($B26,'MM G-Figure 8'!$B$5:$AI$27,30,FALSE)=" ",0,VLOOKUP($B26,'MM G-Figure 8'!$B$5:$AI$27,30,FALSE)),0)+IFERROR(IF(VLOOKUP($B26,'MM G-Goats'!$B$5:$AI$26,30,FALSE)=" ",0,VLOOKUP($B26,'MM G-Goats'!$B$5:$AI$26,30,FALSE)),0)</f>
        <v>0</v>
      </c>
      <c r="V26" s="105" t="str">
        <f t="shared" si="12"/>
        <v xml:space="preserve"> </v>
      </c>
      <c r="W26" s="101" t="str">
        <f t="shared" si="13"/>
        <v xml:space="preserve"> </v>
      </c>
      <c r="X26" s="124">
        <f>IFERROR(IF(VLOOKUP($B26,'MM G-Dummy Roping'!$B$5:$AI$24,34,FALSE)=" ",0,VLOOKUP($B26,'MM G-Dummy Roping'!$B$5:$AI$24,34,FALSE)),0)+IFERROR(IF(VLOOKUP($B26,'MM G-Barrels'!$B$5:$AI$29,34,FALSE)=" ",0,VLOOKUP($B26,'MM G-Barrels'!$B$5:$AI$29,34,FALSE)),0)+IFERROR(IF(VLOOKUP($B26,'MM G-Figure 8'!$B$5:$AI$27,34,FALSE)=" ",0,VLOOKUP($B26,'MM G-Figure 8'!$B$5:$AI$27,34,FALSE)),0)+IFERROR(IF(VLOOKUP($B26,'MM G-Goats'!$B$5:$AI$26,34,FALSE)=" ",0,VLOOKUP($B26,'MM G-Goats'!$B$5:$AI$26,34,FALSE)),0)</f>
        <v>0</v>
      </c>
      <c r="Y26" s="105" t="str">
        <f t="shared" si="14"/>
        <v xml:space="preserve"> </v>
      </c>
      <c r="Z26" s="101" t="str">
        <f t="shared" si="15"/>
        <v xml:space="preserve"> </v>
      </c>
      <c r="AA26" s="124">
        <f>Table6345689101123344440[[#This Row],[Points]]+Table6345689101123344440[[#This Row],[Points4]]+Table6345689101123344440[[#This Row],[Points43]]+Table6345689101123344440[[#This Row],[Points44]]+Table6345689101123344440[[#This Row],[Points45]]+Table6345689101123344440[[#This Row],[Points46]]+Table6345689101123344440[[#This Row],[Points47]]+Table6345689101123344440[[#This Row],[Points48]]</f>
        <v>0</v>
      </c>
      <c r="AB26" s="105" t="str">
        <f t="shared" si="16"/>
        <v xml:space="preserve"> </v>
      </c>
      <c r="AC26" s="101" t="str">
        <f t="shared" si="17"/>
        <v xml:space="preserve"> </v>
      </c>
    </row>
    <row r="27" spans="2:29" ht="14.4" thickBot="1" x14ac:dyDescent="0.3">
      <c r="B27" s="125" t="s">
        <v>236</v>
      </c>
    </row>
    <row r="29" spans="2:29" x14ac:dyDescent="0.25">
      <c r="C29" s="126"/>
      <c r="D29" s="126"/>
      <c r="F29" s="126"/>
      <c r="G29" s="126"/>
      <c r="I29" s="126"/>
      <c r="J29" s="126"/>
      <c r="L29" s="126"/>
      <c r="M29" s="126"/>
      <c r="O29" s="126"/>
      <c r="P29" s="126"/>
      <c r="R29" s="126"/>
      <c r="S29" s="126"/>
      <c r="U29" s="126"/>
      <c r="V29" s="126"/>
      <c r="X29" s="126"/>
      <c r="Y29" s="126"/>
      <c r="AA29" s="126"/>
      <c r="AB29" s="126"/>
    </row>
    <row r="30" spans="2:29" x14ac:dyDescent="0.25">
      <c r="C30" s="126"/>
      <c r="D30" s="126"/>
      <c r="F30" s="126"/>
      <c r="G30" s="126"/>
      <c r="I30" s="126"/>
      <c r="J30" s="126"/>
      <c r="L30" s="126"/>
      <c r="M30" s="126"/>
      <c r="O30" s="126"/>
      <c r="P30" s="126"/>
      <c r="R30" s="126"/>
      <c r="S30" s="126"/>
      <c r="U30" s="126"/>
      <c r="V30" s="126"/>
      <c r="X30" s="126"/>
      <c r="Y30" s="126"/>
      <c r="AA30" s="126"/>
      <c r="AB30" s="126"/>
    </row>
  </sheetData>
  <sheetProtection algorithmName="SHA-512" hashValue="/+2t+9h1mWMuup1ZI93WTzBKYpZcQLMJY/EPYSjreKWnpA8CuYMvfrIk2jiEWXOi+8B8J4wUfSVFL92cZ8TS3g==" saltValue="CALAgA1Tps1fb2WAuaXOYw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DD92-BA40-4322-891A-72C2B903D246}">
  <sheetPr codeName="Sheet48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7" customWidth="1"/>
    <col min="5" max="5" width="11.6640625" style="57" hidden="1" customWidth="1"/>
    <col min="6" max="6" width="11.6640625" style="57" customWidth="1"/>
    <col min="7" max="7" width="11.6640625" style="60" customWidth="1"/>
    <col min="8" max="8" width="11.6640625" style="57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7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7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7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7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7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7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64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8" t="s">
        <v>0</v>
      </c>
      <c r="E3" s="68"/>
      <c r="F3" s="68" t="s">
        <v>1</v>
      </c>
      <c r="G3" s="71" t="s">
        <v>2</v>
      </c>
      <c r="H3" s="144" t="s">
        <v>0</v>
      </c>
      <c r="I3" s="68"/>
      <c r="J3" s="68" t="s">
        <v>1</v>
      </c>
      <c r="K3" s="71" t="s">
        <v>2</v>
      </c>
      <c r="L3" s="144" t="s">
        <v>0</v>
      </c>
      <c r="M3" s="68"/>
      <c r="N3" s="68" t="s">
        <v>1</v>
      </c>
      <c r="O3" s="71" t="s">
        <v>2</v>
      </c>
      <c r="P3" s="144" t="s">
        <v>0</v>
      </c>
      <c r="Q3" s="68"/>
      <c r="R3" s="68" t="s">
        <v>1</v>
      </c>
      <c r="S3" s="71" t="s">
        <v>2</v>
      </c>
      <c r="T3" s="144" t="s">
        <v>0</v>
      </c>
      <c r="U3" s="68"/>
      <c r="V3" s="68" t="s">
        <v>1</v>
      </c>
      <c r="W3" s="71" t="s">
        <v>2</v>
      </c>
      <c r="X3" s="144" t="s">
        <v>0</v>
      </c>
      <c r="Y3" s="68"/>
      <c r="Z3" s="68" t="s">
        <v>1</v>
      </c>
      <c r="AA3" s="71" t="s">
        <v>2</v>
      </c>
      <c r="AB3" s="144" t="s">
        <v>0</v>
      </c>
      <c r="AC3" s="68"/>
      <c r="AD3" s="68" t="s">
        <v>1</v>
      </c>
      <c r="AE3" s="71" t="s">
        <v>2</v>
      </c>
      <c r="AF3" s="144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145" t="s">
        <v>0</v>
      </c>
      <c r="E4" s="78" t="s">
        <v>7</v>
      </c>
      <c r="F4" s="78" t="s">
        <v>1</v>
      </c>
      <c r="G4" s="81" t="s">
        <v>2</v>
      </c>
      <c r="H4" s="145" t="s">
        <v>17</v>
      </c>
      <c r="I4" s="78" t="s">
        <v>18</v>
      </c>
      <c r="J4" s="78" t="s">
        <v>8</v>
      </c>
      <c r="K4" s="81" t="s">
        <v>9</v>
      </c>
      <c r="L4" s="145" t="s">
        <v>10</v>
      </c>
      <c r="M4" s="78" t="s">
        <v>19</v>
      </c>
      <c r="N4" s="78" t="s">
        <v>20</v>
      </c>
      <c r="O4" s="81" t="s">
        <v>21</v>
      </c>
      <c r="P4" s="145" t="s">
        <v>22</v>
      </c>
      <c r="Q4" s="78" t="s">
        <v>11</v>
      </c>
      <c r="R4" s="78" t="s">
        <v>23</v>
      </c>
      <c r="S4" s="81" t="s">
        <v>24</v>
      </c>
      <c r="T4" s="145" t="s">
        <v>25</v>
      </c>
      <c r="U4" s="78" t="s">
        <v>26</v>
      </c>
      <c r="V4" s="78" t="s">
        <v>27</v>
      </c>
      <c r="W4" s="81" t="s">
        <v>28</v>
      </c>
      <c r="X4" s="145" t="s">
        <v>29</v>
      </c>
      <c r="Y4" s="78" t="s">
        <v>30</v>
      </c>
      <c r="Z4" s="78" t="s">
        <v>12</v>
      </c>
      <c r="AA4" s="81" t="s">
        <v>13</v>
      </c>
      <c r="AB4" s="145" t="s">
        <v>14</v>
      </c>
      <c r="AC4" s="78" t="s">
        <v>31</v>
      </c>
      <c r="AD4" s="78" t="s">
        <v>32</v>
      </c>
      <c r="AE4" s="81" t="s">
        <v>33</v>
      </c>
      <c r="AF4" s="145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67</v>
      </c>
      <c r="C5" s="84"/>
      <c r="D5" s="146">
        <v>9</v>
      </c>
      <c r="E5" s="86">
        <f t="shared" ref="E5:E24" si="0">IF(D5=0," ",_xlfn.RANK.AVG(D5,D$5:D$24,0))</f>
        <v>1</v>
      </c>
      <c r="F5" s="86">
        <f t="shared" ref="F5:F24" si="1">IF(D5=0," ",IF((RANK(D5,D$5:D$24,0)&gt;6)," ",RANK(D5,D$5:D$24,0)))</f>
        <v>1</v>
      </c>
      <c r="G5" s="87">
        <f>IF(Table62202732[[#This Row],[Non-Member]]="X"," ",IF(F5=" "," ",IFERROR(VLOOKUP(E5,Points!$A$2:$B$14,2,FALSE)," ")))</f>
        <v>18</v>
      </c>
      <c r="H5" s="146">
        <v>9</v>
      </c>
      <c r="I5" s="86">
        <f t="shared" ref="I5:I24" si="2">IF(H5=0," ",_xlfn.RANK.AVG(H5,H$5:H$24,0))</f>
        <v>1</v>
      </c>
      <c r="J5" s="86">
        <f t="shared" ref="J5:J24" si="3">IF(H5=0," ",IF((RANK(H5,H$5:H$24,0)&gt;6)," ",RANK(H5,H$5:H$24,0)))</f>
        <v>1</v>
      </c>
      <c r="K5" s="87">
        <f>IF(Table62202732[[#This Row],[Non-Member]]="X"," ",IF(J5=" "," ",IFERROR(VLOOKUP(I5,Points!$A$2:$B$14,2,FALSE)," ")))</f>
        <v>18</v>
      </c>
      <c r="L5" s="146">
        <v>9</v>
      </c>
      <c r="M5" s="86">
        <f t="shared" ref="M5:M24" si="4">IF(L5=0," ",_xlfn.RANK.AVG(L5,L$5:L$24,0))</f>
        <v>1</v>
      </c>
      <c r="N5" s="86">
        <f t="shared" ref="N5:N24" si="5">IF(L5=0," ",IF((RANK(L5,L$5:L$24,0)&gt;6)," ",RANK(L5,L$5:L$24,0)))</f>
        <v>1</v>
      </c>
      <c r="O5" s="87">
        <f>IF(Table62202732[[#This Row],[Non-Member]]="X"," ",IF(N5=" "," ",IFERROR(VLOOKUP(M5,Points!$A$2:$B$14,2,FALSE)," ")))</f>
        <v>18</v>
      </c>
      <c r="P5" s="146">
        <v>9</v>
      </c>
      <c r="Q5" s="86">
        <f t="shared" ref="Q5:Q24" si="6">IF(P5=0," ",_xlfn.RANK.AVG(P5,P$5:P$24,0))</f>
        <v>1</v>
      </c>
      <c r="R5" s="86">
        <f t="shared" ref="R5:R24" si="7">IF(P5=0," ",IF((RANK(P5,P$5:P$24,0)&gt;6)," ",RANK(P5,P$5:P$24,0)))</f>
        <v>1</v>
      </c>
      <c r="S5" s="87">
        <f>IF(Table62202732[[#This Row],[Non-Member]]="X"," ",IF(R5=" "," ",IFERROR(VLOOKUP(Q5,Points!$A$2:$B$14,2,FALSE)," ")))</f>
        <v>18</v>
      </c>
      <c r="T5" s="146">
        <v>9</v>
      </c>
      <c r="U5" s="86">
        <f t="shared" ref="U5:U24" si="8">IF(T5=0," ",_xlfn.RANK.AVG(T5,T$5:T$24,0))</f>
        <v>1.5</v>
      </c>
      <c r="V5" s="86">
        <f t="shared" ref="V5:V24" si="9">IF(T5=0," ",IF((RANK(T5,T$5:T$24,0)&gt;6)," ",RANK(T5,T$5:T$24,0)))</f>
        <v>1</v>
      </c>
      <c r="W5" s="87">
        <f>IF(Table62202732[[#This Row],[Non-Member]]="X"," ",IF(V5=" "," ",IFERROR(VLOOKUP(U5,Points!$A$2:$B$14,2,FALSE)," ")))</f>
        <v>16.5</v>
      </c>
      <c r="X5" s="146">
        <v>9</v>
      </c>
      <c r="Y5" s="86">
        <f t="shared" ref="Y5:Y24" si="10">IF(X5=0," ",_xlfn.RANK.AVG(X5,X$5:X$24,0))</f>
        <v>2</v>
      </c>
      <c r="Z5" s="86">
        <f t="shared" ref="Z5:Z24" si="11">IF(X5=0," ",IF((RANK(X5,X$5:X$24,0)&gt;6)," ",RANK(X5,X$5:X$24,0)))</f>
        <v>1</v>
      </c>
      <c r="AA5" s="87">
        <f>IF(Table62202732[[#This Row],[Non-Member]]="X"," ",IF(Z5=" "," ",IFERROR(VLOOKUP(Y5,Points!$A$2:$B$14,2,FALSE)," ")))</f>
        <v>15</v>
      </c>
      <c r="AB5" s="146">
        <v>9</v>
      </c>
      <c r="AC5" s="86">
        <f t="shared" ref="AC5:AC24" si="12">IF(AB5=0," ",_xlfn.RANK.AVG(AB5,AB$5:AB$24,0))</f>
        <v>1</v>
      </c>
      <c r="AD5" s="86">
        <f t="shared" ref="AD5:AD24" si="13">IF(AB5=0," ",IF((RANK(AB5,AB$5:AB$24,0)&gt;6)," ",RANK(AB5,AB$5:AB$24,0)))</f>
        <v>1</v>
      </c>
      <c r="AE5" s="87">
        <f>IF(Table62202732[[#This Row],[Non-Member]]="X"," ",IF(AD5=" "," ",IFERROR(VLOOKUP(AC5,Points!$A$2:$B$14,2,FALSE)," ")))</f>
        <v>18</v>
      </c>
      <c r="AF5" s="146">
        <f t="shared" ref="AF5:AF24" si="14">IF(X5+AB5=0," ",X5+AB5)</f>
        <v>18</v>
      </c>
      <c r="AG5" s="89">
        <f t="shared" ref="AG5:AG24" si="15">IF(AF5=0," ",_xlfn.RANK.AVG(AF5,IF(AF$5:AF$24&gt;0,AF$5:AF$24,0),0))</f>
        <v>1</v>
      </c>
      <c r="AH5" s="86">
        <f t="shared" ref="AH5:AH24" si="16">IFERROR(IF(RANK(AF5,AF$5:AF$24,0)&gt;6," ",(IF(AF5,RANK(AF5,AF$5:AF$24,0)," ")))," ")</f>
        <v>1</v>
      </c>
      <c r="AI5" s="87">
        <f>IF(Table62202732[[#This Row],[Non-Member]]="X"," ",IF(AH5=" "," ",IFERROR(VLOOKUP(AG5,Points!$A$2:$B$14,2,FALSE)," ")))</f>
        <v>18</v>
      </c>
      <c r="AJ5" s="86">
        <f>IF(Table62202732[[#This Row],[Non-Member]]="X"," ",((IF(G5=" ",0,G5))+(IF(K5=" ",0,K5))+(IF(O5=" ",0,O5))+(IF(S5=" ",0,S5))+(IF(W5=" ",0,W5))+(IF(AA5=" ",0,AA5))+(IF(AE5=" ",0,AE5))+(IF(AI5=" ",0,AI5))))</f>
        <v>139.5</v>
      </c>
      <c r="AK5" s="88">
        <f t="shared" ref="AK5:AK24" si="17">IF(AJ5=0," ",AJ5)</f>
        <v>139.5</v>
      </c>
      <c r="AL5" s="89">
        <f t="shared" ref="AL5:AL24" si="18">IF(AK5=" "," ",RANK(AK5,$AK$5:$AK$24))</f>
        <v>1</v>
      </c>
    </row>
    <row r="6" spans="2:38" x14ac:dyDescent="0.25">
      <c r="B6" s="90" t="s">
        <v>70</v>
      </c>
      <c r="C6" s="91"/>
      <c r="D6" s="147">
        <v>3</v>
      </c>
      <c r="E6" s="93">
        <f t="shared" si="0"/>
        <v>4.5</v>
      </c>
      <c r="F6" s="93">
        <f t="shared" si="1"/>
        <v>4</v>
      </c>
      <c r="G6" s="94">
        <f>IF(Table62202732[[#This Row],[Non-Member]]="X"," ",IF(F6=" "," ",IFERROR(VLOOKUP(E6,Points!$A$2:$B$14,2,FALSE)," ")))</f>
        <v>7.5</v>
      </c>
      <c r="H6" s="147">
        <v>6</v>
      </c>
      <c r="I6" s="93">
        <f t="shared" si="2"/>
        <v>2</v>
      </c>
      <c r="J6" s="93">
        <f t="shared" si="3"/>
        <v>2</v>
      </c>
      <c r="K6" s="94">
        <f>IF(Table62202732[[#This Row],[Non-Member]]="X"," ",IF(J6=" "," ",IFERROR(VLOOKUP(I6,Points!$A$2:$B$14,2,FALSE)," ")))</f>
        <v>15</v>
      </c>
      <c r="L6" s="147">
        <v>6</v>
      </c>
      <c r="M6" s="93">
        <f t="shared" si="4"/>
        <v>3</v>
      </c>
      <c r="N6" s="93">
        <f t="shared" si="5"/>
        <v>3</v>
      </c>
      <c r="O6" s="94">
        <f>IF(Table62202732[[#This Row],[Non-Member]]="X"," ",IF(N6=" "," ",IFERROR(VLOOKUP(M6,Points!$A$2:$B$14,2,FALSE)," ")))</f>
        <v>12</v>
      </c>
      <c r="P6" s="147">
        <v>3</v>
      </c>
      <c r="Q6" s="93">
        <f t="shared" si="6"/>
        <v>7.5</v>
      </c>
      <c r="R6" s="93" t="str">
        <f t="shared" si="7"/>
        <v xml:space="preserve"> </v>
      </c>
      <c r="S6" s="94" t="str">
        <f>IF(Table62202732[[#This Row],[Non-Member]]="X"," ",IF(R6=" "," ",IFERROR(VLOOKUP(Q6,Points!$A$2:$B$14,2,FALSE)," ")))</f>
        <v xml:space="preserve"> </v>
      </c>
      <c r="T6" s="147">
        <v>9</v>
      </c>
      <c r="U6" s="93">
        <f t="shared" si="8"/>
        <v>1.5</v>
      </c>
      <c r="V6" s="93">
        <f t="shared" si="9"/>
        <v>1</v>
      </c>
      <c r="W6" s="94">
        <f>IF(Table62202732[[#This Row],[Non-Member]]="X"," ",IF(V6=" "," ",IFERROR(VLOOKUP(U6,Points!$A$2:$B$14,2,FALSE)," ")))</f>
        <v>16.5</v>
      </c>
      <c r="X6" s="147">
        <v>9</v>
      </c>
      <c r="Y6" s="93">
        <f t="shared" si="10"/>
        <v>2</v>
      </c>
      <c r="Z6" s="93">
        <f t="shared" si="11"/>
        <v>1</v>
      </c>
      <c r="AA6" s="94">
        <f>IF(Table62202732[[#This Row],[Non-Member]]="X"," ",IF(Z6=" "," ",IFERROR(VLOOKUP(Y6,Points!$A$2:$B$14,2,FALSE)," ")))</f>
        <v>15</v>
      </c>
      <c r="AB6" s="147">
        <v>7</v>
      </c>
      <c r="AC6" s="93">
        <f t="shared" si="12"/>
        <v>3</v>
      </c>
      <c r="AD6" s="93">
        <f t="shared" si="13"/>
        <v>3</v>
      </c>
      <c r="AE6" s="94">
        <f>IF(Table62202732[[#This Row],[Non-Member]]="X"," ",IF(AD6=" "," ",IFERROR(VLOOKUP(AC6,Points!$A$2:$B$14,2,FALSE)," ")))</f>
        <v>12</v>
      </c>
      <c r="AF6" s="147">
        <f t="shared" si="14"/>
        <v>16</v>
      </c>
      <c r="AG6" s="96">
        <f t="shared" si="15"/>
        <v>2</v>
      </c>
      <c r="AH6" s="93">
        <f t="shared" si="16"/>
        <v>2</v>
      </c>
      <c r="AI6" s="94">
        <f>IF(Table62202732[[#This Row],[Non-Member]]="X"," ",IF(AH6=" "," ",IFERROR(VLOOKUP(AG6,Points!$A$2:$B$14,2,FALSE)," ")))</f>
        <v>15</v>
      </c>
      <c r="AJ6" s="93">
        <f>IF(Table62202732[[#This Row],[Non-Member]]="X"," ",((IF(G6=" ",0,G6))+(IF(K6=" ",0,K6))+(IF(O6=" ",0,O6))+(IF(S6=" ",0,S6))+(IF(W6=" ",0,W6))+(IF(AA6=" ",0,AA6))+(IF(AE6=" ",0,AE6))+(IF(AI6=" ",0,AI6))))</f>
        <v>93</v>
      </c>
      <c r="AK6" s="95">
        <f t="shared" si="17"/>
        <v>93</v>
      </c>
      <c r="AL6" s="96">
        <f t="shared" si="18"/>
        <v>2</v>
      </c>
    </row>
    <row r="7" spans="2:38" x14ac:dyDescent="0.25">
      <c r="B7" s="90" t="s">
        <v>73</v>
      </c>
      <c r="C7" s="91"/>
      <c r="D7" s="147">
        <v>6</v>
      </c>
      <c r="E7" s="93">
        <f t="shared" si="0"/>
        <v>2.5</v>
      </c>
      <c r="F7" s="93">
        <f t="shared" si="1"/>
        <v>2</v>
      </c>
      <c r="G7" s="94">
        <f>IF(Table62202732[[#This Row],[Non-Member]]="X"," ",IF(F7=" "," ",IFERROR(VLOOKUP(E7,Points!$A$2:$B$14,2,FALSE)," ")))</f>
        <v>13.5</v>
      </c>
      <c r="H7" s="147">
        <v>3</v>
      </c>
      <c r="I7" s="93">
        <f t="shared" si="2"/>
        <v>5</v>
      </c>
      <c r="J7" s="93">
        <f t="shared" si="3"/>
        <v>4</v>
      </c>
      <c r="K7" s="94">
        <f>IF(Table62202732[[#This Row],[Non-Member]]="X"," ",IF(J7=" "," ",IFERROR(VLOOKUP(I7,Points!$A$2:$B$14,2,FALSE)," ")))</f>
        <v>6</v>
      </c>
      <c r="L7" s="147">
        <v>3</v>
      </c>
      <c r="M7" s="93">
        <f t="shared" si="4"/>
        <v>6.5</v>
      </c>
      <c r="N7" s="93">
        <f t="shared" si="5"/>
        <v>6</v>
      </c>
      <c r="O7" s="94">
        <f>IF(Table62202732[[#This Row],[Non-Member]]="X"," ",IF(N7=" "," ",IFERROR(VLOOKUP(M7,Points!$A$2:$B$14,2,FALSE)," ")))</f>
        <v>1.5</v>
      </c>
      <c r="P7" s="147">
        <v>6</v>
      </c>
      <c r="Q7" s="93">
        <f t="shared" si="6"/>
        <v>2</v>
      </c>
      <c r="R7" s="93">
        <f t="shared" si="7"/>
        <v>2</v>
      </c>
      <c r="S7" s="94">
        <f>IF(Table62202732[[#This Row],[Non-Member]]="X"," ",IF(R7=" "," ",IFERROR(VLOOKUP(Q7,Points!$A$2:$B$14,2,FALSE)," ")))</f>
        <v>15</v>
      </c>
      <c r="T7" s="147">
        <v>6</v>
      </c>
      <c r="U7" s="93">
        <f t="shared" si="8"/>
        <v>3.5</v>
      </c>
      <c r="V7" s="93">
        <f t="shared" si="9"/>
        <v>3</v>
      </c>
      <c r="W7" s="94">
        <f>IF(Table62202732[[#This Row],[Non-Member]]="X"," ",IF(V7=" "," ",IFERROR(VLOOKUP(U7,Points!$A$2:$B$14,2,FALSE)," ")))</f>
        <v>10.5</v>
      </c>
      <c r="X7" s="147">
        <v>9</v>
      </c>
      <c r="Y7" s="93">
        <f t="shared" si="10"/>
        <v>2</v>
      </c>
      <c r="Z7" s="93">
        <f t="shared" si="11"/>
        <v>1</v>
      </c>
      <c r="AA7" s="94">
        <f>IF(Table62202732[[#This Row],[Non-Member]]="X"," ",IF(Z7=" "," ",IFERROR(VLOOKUP(Y7,Points!$A$2:$B$14,2,FALSE)," ")))</f>
        <v>15</v>
      </c>
      <c r="AB7" s="147">
        <v>6</v>
      </c>
      <c r="AC7" s="93">
        <f t="shared" si="12"/>
        <v>5</v>
      </c>
      <c r="AD7" s="93">
        <f t="shared" si="13"/>
        <v>4</v>
      </c>
      <c r="AE7" s="94">
        <f>IF(Table62202732[[#This Row],[Non-Member]]="X"," ",IF(AD7=" "," ",IFERROR(VLOOKUP(AC7,Points!$A$2:$B$14,2,FALSE)," ")))</f>
        <v>6</v>
      </c>
      <c r="AF7" s="147">
        <f t="shared" si="14"/>
        <v>15</v>
      </c>
      <c r="AG7" s="96">
        <f t="shared" si="15"/>
        <v>3</v>
      </c>
      <c r="AH7" s="93">
        <f t="shared" si="16"/>
        <v>3</v>
      </c>
      <c r="AI7" s="94">
        <f>IF(Table62202732[[#This Row],[Non-Member]]="X"," ",IF(AH7=" "," ",IFERROR(VLOOKUP(AG7,Points!$A$2:$B$14,2,FALSE)," ")))</f>
        <v>12</v>
      </c>
      <c r="AJ7" s="93">
        <f>IF(Table62202732[[#This Row],[Non-Member]]="X"," ",((IF(G7=" ",0,G7))+(IF(K7=" ",0,K7))+(IF(O7=" ",0,O7))+(IF(S7=" ",0,S7))+(IF(W7=" ",0,W7))+(IF(AA7=" ",0,AA7))+(IF(AE7=" ",0,AE7))+(IF(AI7=" ",0,AI7))))</f>
        <v>79.5</v>
      </c>
      <c r="AK7" s="95">
        <f t="shared" si="17"/>
        <v>79.5</v>
      </c>
      <c r="AL7" s="96">
        <f t="shared" si="18"/>
        <v>3</v>
      </c>
    </row>
    <row r="8" spans="2:38" x14ac:dyDescent="0.25">
      <c r="B8" s="90" t="s">
        <v>74</v>
      </c>
      <c r="C8" s="91"/>
      <c r="D8" s="147">
        <v>3</v>
      </c>
      <c r="E8" s="93">
        <f t="shared" si="0"/>
        <v>4.5</v>
      </c>
      <c r="F8" s="93">
        <f t="shared" si="1"/>
        <v>4</v>
      </c>
      <c r="G8" s="94">
        <f>IF(Table62202732[[#This Row],[Non-Member]]="X"," ",IF(F8=" "," ",IFERROR(VLOOKUP(E8,Points!$A$2:$B$14,2,FALSE)," ")))</f>
        <v>7.5</v>
      </c>
      <c r="H8" s="147">
        <v>4</v>
      </c>
      <c r="I8" s="93">
        <f t="shared" si="2"/>
        <v>3</v>
      </c>
      <c r="J8" s="93">
        <f t="shared" si="3"/>
        <v>3</v>
      </c>
      <c r="K8" s="94">
        <f>IF(Table62202732[[#This Row],[Non-Member]]="X"," ",IF(J8=" "," ",IFERROR(VLOOKUP(I8,Points!$A$2:$B$14,2,FALSE)," ")))</f>
        <v>12</v>
      </c>
      <c r="L8" s="147">
        <v>5</v>
      </c>
      <c r="M8" s="93">
        <f t="shared" si="4"/>
        <v>4</v>
      </c>
      <c r="N8" s="93">
        <f t="shared" si="5"/>
        <v>4</v>
      </c>
      <c r="O8" s="94">
        <f>IF(Table62202732[[#This Row],[Non-Member]]="X"," ",IF(N8=" "," ",IFERROR(VLOOKUP(M8,Points!$A$2:$B$14,2,FALSE)," ")))</f>
        <v>9</v>
      </c>
      <c r="P8" s="147">
        <v>4</v>
      </c>
      <c r="Q8" s="93">
        <f t="shared" si="6"/>
        <v>5.5</v>
      </c>
      <c r="R8" s="93">
        <f t="shared" si="7"/>
        <v>5</v>
      </c>
      <c r="S8" s="94">
        <f>IF(Table62202732[[#This Row],[Non-Member]]="X"," ",IF(R8=" "," ",IFERROR(VLOOKUP(Q8,Points!$A$2:$B$14,2,FALSE)," ")))</f>
        <v>4.5</v>
      </c>
      <c r="T8" s="147">
        <v>3</v>
      </c>
      <c r="U8" s="93">
        <f t="shared" si="8"/>
        <v>6.5</v>
      </c>
      <c r="V8" s="93">
        <f t="shared" si="9"/>
        <v>6</v>
      </c>
      <c r="W8" s="94">
        <f>IF(Table62202732[[#This Row],[Non-Member]]="X"," ",IF(V8=" "," ",IFERROR(VLOOKUP(U8,Points!$A$2:$B$14,2,FALSE)," ")))</f>
        <v>1.5</v>
      </c>
      <c r="X8" s="147">
        <v>5</v>
      </c>
      <c r="Y8" s="93">
        <f t="shared" si="10"/>
        <v>5</v>
      </c>
      <c r="Z8" s="93">
        <f t="shared" si="11"/>
        <v>5</v>
      </c>
      <c r="AA8" s="94">
        <f>IF(Table62202732[[#This Row],[Non-Member]]="X"," ",IF(Z8=" "," ",IFERROR(VLOOKUP(Y8,Points!$A$2:$B$14,2,FALSE)," ")))</f>
        <v>6</v>
      </c>
      <c r="AB8" s="147">
        <v>6</v>
      </c>
      <c r="AC8" s="93">
        <f t="shared" si="12"/>
        <v>5</v>
      </c>
      <c r="AD8" s="93">
        <f t="shared" si="13"/>
        <v>4</v>
      </c>
      <c r="AE8" s="94">
        <f>IF(Table62202732[[#This Row],[Non-Member]]="X"," ",IF(AD8=" "," ",IFERROR(VLOOKUP(AC8,Points!$A$2:$B$14,2,FALSE)," ")))</f>
        <v>6</v>
      </c>
      <c r="AF8" s="147">
        <f t="shared" si="14"/>
        <v>11</v>
      </c>
      <c r="AG8" s="96">
        <f t="shared" si="15"/>
        <v>5</v>
      </c>
      <c r="AH8" s="93">
        <f t="shared" si="16"/>
        <v>4</v>
      </c>
      <c r="AI8" s="94">
        <f>IF(Table62202732[[#This Row],[Non-Member]]="X"," ",IF(AH8=" "," ",IFERROR(VLOOKUP(AG8,Points!$A$2:$B$14,2,FALSE)," ")))</f>
        <v>6</v>
      </c>
      <c r="AJ8" s="93">
        <f>IF(Table62202732[[#This Row],[Non-Member]]="X"," ",((IF(G8=" ",0,G8))+(IF(K8=" ",0,K8))+(IF(O8=" ",0,O8))+(IF(S8=" ",0,S8))+(IF(W8=" ",0,W8))+(IF(AA8=" ",0,AA8))+(IF(AE8=" ",0,AE8))+(IF(AI8=" ",0,AI8))))</f>
        <v>52.5</v>
      </c>
      <c r="AK8" s="95">
        <f t="shared" si="17"/>
        <v>52.5</v>
      </c>
      <c r="AL8" s="96">
        <f t="shared" si="18"/>
        <v>4</v>
      </c>
    </row>
    <row r="9" spans="2:38" x14ac:dyDescent="0.25">
      <c r="B9" s="90" t="s">
        <v>231</v>
      </c>
      <c r="C9" s="91"/>
      <c r="D9" s="147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IF(Table62202732[[#This Row],[Non-Member]]="X"," ",IF(F9=" "," ",IFERROR(VLOOKUP(E9,Points!$A$2:$B$14,2,FALSE)," ")))</f>
        <v xml:space="preserve"> </v>
      </c>
      <c r="H9" s="147">
        <v>3</v>
      </c>
      <c r="I9" s="93">
        <f t="shared" si="2"/>
        <v>5</v>
      </c>
      <c r="J9" s="93">
        <f t="shared" si="3"/>
        <v>4</v>
      </c>
      <c r="K9" s="94">
        <f>IF(Table62202732[[#This Row],[Non-Member]]="X"," ",IF(J9=" "," ",IFERROR(VLOOKUP(I9,Points!$A$2:$B$14,2,FALSE)," ")))</f>
        <v>6</v>
      </c>
      <c r="L9" s="147">
        <v>1</v>
      </c>
      <c r="M9" s="93">
        <f t="shared" si="4"/>
        <v>8.5</v>
      </c>
      <c r="N9" s="93" t="str">
        <f t="shared" si="5"/>
        <v xml:space="preserve"> </v>
      </c>
      <c r="O9" s="94" t="str">
        <f>IF(Table62202732[[#This Row],[Non-Member]]="X"," ",IF(N9=" "," ",IFERROR(VLOOKUP(M9,Points!$A$2:$B$14,2,FALSE)," ")))</f>
        <v xml:space="preserve"> </v>
      </c>
      <c r="P9" s="147">
        <v>4</v>
      </c>
      <c r="Q9" s="93">
        <f t="shared" si="6"/>
        <v>5.5</v>
      </c>
      <c r="R9" s="93">
        <f t="shared" si="7"/>
        <v>5</v>
      </c>
      <c r="S9" s="94">
        <f>IF(Table62202732[[#This Row],[Non-Member]]="X"," ",IF(R9=" "," ",IFERROR(VLOOKUP(Q9,Points!$A$2:$B$14,2,FALSE)," ")))</f>
        <v>4.5</v>
      </c>
      <c r="T9" s="147">
        <v>6</v>
      </c>
      <c r="U9" s="93">
        <f t="shared" si="8"/>
        <v>3.5</v>
      </c>
      <c r="V9" s="93">
        <f t="shared" si="9"/>
        <v>3</v>
      </c>
      <c r="W9" s="94">
        <f>IF(Table62202732[[#This Row],[Non-Member]]="X"," ",IF(V9=" "," ",IFERROR(VLOOKUP(U9,Points!$A$2:$B$14,2,FALSE)," ")))</f>
        <v>10.5</v>
      </c>
      <c r="X9" s="147">
        <v>3</v>
      </c>
      <c r="Y9" s="93">
        <f t="shared" si="10"/>
        <v>6</v>
      </c>
      <c r="Z9" s="93">
        <f t="shared" si="11"/>
        <v>6</v>
      </c>
      <c r="AA9" s="94">
        <f>IF(Table62202732[[#This Row],[Non-Member]]="X"," ",IF(Z9=" "," ",IFERROR(VLOOKUP(Y9,Points!$A$2:$B$14,2,FALSE)," ")))</f>
        <v>3</v>
      </c>
      <c r="AB9" s="147">
        <v>8</v>
      </c>
      <c r="AC9" s="93">
        <f t="shared" si="12"/>
        <v>2</v>
      </c>
      <c r="AD9" s="93">
        <f t="shared" si="13"/>
        <v>2</v>
      </c>
      <c r="AE9" s="94">
        <f>IF(Table62202732[[#This Row],[Non-Member]]="X"," ",IF(AD9=" "," ",IFERROR(VLOOKUP(AC9,Points!$A$2:$B$14,2,FALSE)," ")))</f>
        <v>15</v>
      </c>
      <c r="AF9" s="147">
        <f t="shared" si="14"/>
        <v>11</v>
      </c>
      <c r="AG9" s="96">
        <f t="shared" si="15"/>
        <v>5</v>
      </c>
      <c r="AH9" s="93">
        <f t="shared" si="16"/>
        <v>4</v>
      </c>
      <c r="AI9" s="94">
        <f>IF(Table62202732[[#This Row],[Non-Member]]="X"," ",IF(AH9=" "," ",IFERROR(VLOOKUP(AG9,Points!$A$2:$B$14,2,FALSE)," ")))</f>
        <v>6</v>
      </c>
      <c r="AJ9" s="93">
        <f>IF(Table62202732[[#This Row],[Non-Member]]="X"," ",((IF(G9=" ",0,G9))+(IF(K9=" ",0,K9))+(IF(O9=" ",0,O9))+(IF(S9=" ",0,S9))+(IF(W9=" ",0,W9))+(IF(AA9=" ",0,AA9))+(IF(AE9=" ",0,AE9))+(IF(AI9=" ",0,AI9))))</f>
        <v>45</v>
      </c>
      <c r="AK9" s="95">
        <f t="shared" si="17"/>
        <v>45</v>
      </c>
      <c r="AL9" s="96">
        <f t="shared" si="18"/>
        <v>5</v>
      </c>
    </row>
    <row r="10" spans="2:38" x14ac:dyDescent="0.25">
      <c r="B10" s="90" t="s">
        <v>232</v>
      </c>
      <c r="C10" s="91"/>
      <c r="D10" s="147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IF(Table62202732[[#This Row],[Non-Member]]="X"," ",IF(F10=" "," ",IFERROR(VLOOKUP(E10,Points!$A$2:$B$14,2,FALSE)," ")))</f>
        <v xml:space="preserve"> </v>
      </c>
      <c r="H10" s="147">
        <v>3</v>
      </c>
      <c r="I10" s="93">
        <f t="shared" si="2"/>
        <v>5</v>
      </c>
      <c r="J10" s="93">
        <f t="shared" si="3"/>
        <v>4</v>
      </c>
      <c r="K10" s="94">
        <f>IF(Table62202732[[#This Row],[Non-Member]]="X"," ",IF(J10=" "," ",IFERROR(VLOOKUP(I10,Points!$A$2:$B$14,2,FALSE)," ")))</f>
        <v>6</v>
      </c>
      <c r="L10" s="147">
        <v>3</v>
      </c>
      <c r="M10" s="93">
        <f t="shared" si="4"/>
        <v>6.5</v>
      </c>
      <c r="N10" s="93">
        <f t="shared" si="5"/>
        <v>6</v>
      </c>
      <c r="O10" s="94">
        <f>IF(Table62202732[[#This Row],[Non-Member]]="X"," ",IF(N10=" "," ",IFERROR(VLOOKUP(M10,Points!$A$2:$B$14,2,FALSE)," ")))</f>
        <v>1.5</v>
      </c>
      <c r="P10" s="147">
        <v>5</v>
      </c>
      <c r="Q10" s="93">
        <f t="shared" si="6"/>
        <v>3.5</v>
      </c>
      <c r="R10" s="93">
        <f t="shared" si="7"/>
        <v>3</v>
      </c>
      <c r="S10" s="94">
        <f>IF(Table62202732[[#This Row],[Non-Member]]="X"," ",IF(R10=" "," ",IFERROR(VLOOKUP(Q10,Points!$A$2:$B$14,2,FALSE)," ")))</f>
        <v>10.5</v>
      </c>
      <c r="T10" s="147">
        <v>2</v>
      </c>
      <c r="U10" s="93">
        <f t="shared" si="8"/>
        <v>8</v>
      </c>
      <c r="V10" s="93" t="str">
        <f t="shared" si="9"/>
        <v xml:space="preserve"> </v>
      </c>
      <c r="W10" s="94" t="str">
        <f>IF(Table62202732[[#This Row],[Non-Member]]="X"," ",IF(V10=" "," ",IFERROR(VLOOKUP(U10,Points!$A$2:$B$14,2,FALSE)," ")))</f>
        <v xml:space="preserve"> </v>
      </c>
      <c r="X10" s="147">
        <v>6</v>
      </c>
      <c r="Y10" s="93">
        <f t="shared" si="10"/>
        <v>4</v>
      </c>
      <c r="Z10" s="93">
        <f t="shared" si="11"/>
        <v>4</v>
      </c>
      <c r="AA10" s="94">
        <f>IF(Table62202732[[#This Row],[Non-Member]]="X"," ",IF(Z10=" "," ",IFERROR(VLOOKUP(Y10,Points!$A$2:$B$14,2,FALSE)," ")))</f>
        <v>9</v>
      </c>
      <c r="AB10" s="147">
        <v>5</v>
      </c>
      <c r="AC10" s="93">
        <f t="shared" si="12"/>
        <v>7.5</v>
      </c>
      <c r="AD10" s="93" t="str">
        <f t="shared" si="13"/>
        <v xml:space="preserve"> </v>
      </c>
      <c r="AE10" s="94" t="str">
        <f>IF(Table62202732[[#This Row],[Non-Member]]="X"," ",IF(AD10=" "," ",IFERROR(VLOOKUP(AC10,Points!$A$2:$B$14,2,FALSE)," ")))</f>
        <v xml:space="preserve"> </v>
      </c>
      <c r="AF10" s="147">
        <f t="shared" si="14"/>
        <v>11</v>
      </c>
      <c r="AG10" s="96">
        <f t="shared" si="15"/>
        <v>5</v>
      </c>
      <c r="AH10" s="93">
        <f t="shared" si="16"/>
        <v>4</v>
      </c>
      <c r="AI10" s="94">
        <f>IF(Table62202732[[#This Row],[Non-Member]]="X"," ",IF(AH10=" "," ",IFERROR(VLOOKUP(AG10,Points!$A$2:$B$14,2,FALSE)," ")))</f>
        <v>6</v>
      </c>
      <c r="AJ10" s="93">
        <f>IF(Table62202732[[#This Row],[Non-Member]]="X"," ",((IF(G10=" ",0,G10))+(IF(K10=" ",0,K10))+(IF(O10=" ",0,O10))+(IF(S10=" ",0,S10))+(IF(W10=" ",0,W10))+(IF(AA10=" ",0,AA10))+(IF(AE10=" ",0,AE10))+(IF(AI10=" ",0,AI10))))</f>
        <v>33</v>
      </c>
      <c r="AK10" s="95">
        <f t="shared" si="17"/>
        <v>33</v>
      </c>
      <c r="AL10" s="96">
        <f t="shared" si="18"/>
        <v>6</v>
      </c>
    </row>
    <row r="11" spans="2:38" x14ac:dyDescent="0.25">
      <c r="B11" s="90" t="s">
        <v>230</v>
      </c>
      <c r="C11" s="91"/>
      <c r="D11" s="147">
        <v>0</v>
      </c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IF(Table62202732[[#This Row],[Non-Member]]="X"," ",IF(F11=" "," ",IFERROR(VLOOKUP(E11,Points!$A$2:$B$14,2,FALSE)," ")))</f>
        <v xml:space="preserve"> </v>
      </c>
      <c r="H11" s="147">
        <v>2</v>
      </c>
      <c r="I11" s="93">
        <f t="shared" si="2"/>
        <v>7</v>
      </c>
      <c r="J11" s="93" t="str">
        <f t="shared" si="3"/>
        <v xml:space="preserve"> </v>
      </c>
      <c r="K11" s="94" t="str">
        <f>IF(Table62202732[[#This Row],[Non-Member]]="X"," ",IF(J11=" "," ",IFERROR(VLOOKUP(I11,Points!$A$2:$B$14,2,FALSE)," ")))</f>
        <v xml:space="preserve"> </v>
      </c>
      <c r="L11" s="147">
        <v>4</v>
      </c>
      <c r="M11" s="93">
        <f t="shared" si="4"/>
        <v>5</v>
      </c>
      <c r="N11" s="93">
        <f t="shared" si="5"/>
        <v>5</v>
      </c>
      <c r="O11" s="94">
        <f>IF(Table62202732[[#This Row],[Non-Member]]="X"," ",IF(N11=" "," ",IFERROR(VLOOKUP(M11,Points!$A$2:$B$14,2,FALSE)," ")))</f>
        <v>6</v>
      </c>
      <c r="P11" s="147">
        <v>5</v>
      </c>
      <c r="Q11" s="93">
        <f t="shared" si="6"/>
        <v>3.5</v>
      </c>
      <c r="R11" s="93">
        <f t="shared" si="7"/>
        <v>3</v>
      </c>
      <c r="S11" s="94">
        <f>IF(Table62202732[[#This Row],[Non-Member]]="X"," ",IF(R11=" "," ",IFERROR(VLOOKUP(Q11,Points!$A$2:$B$14,2,FALSE)," ")))</f>
        <v>10.5</v>
      </c>
      <c r="T11" s="147">
        <v>4</v>
      </c>
      <c r="U11" s="93">
        <f t="shared" si="8"/>
        <v>5</v>
      </c>
      <c r="V11" s="93">
        <f t="shared" si="9"/>
        <v>5</v>
      </c>
      <c r="W11" s="94">
        <f>IF(Table62202732[[#This Row],[Non-Member]]="X"," ",IF(V11=" "," ",IFERROR(VLOOKUP(U11,Points!$A$2:$B$14,2,FALSE)," ")))</f>
        <v>6</v>
      </c>
      <c r="X11" s="147">
        <v>0</v>
      </c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IF(Table62202732[[#This Row],[Non-Member]]="X"," ",IF(Z11=" "," ",IFERROR(VLOOKUP(Y11,Points!$A$2:$B$14,2,FALSE)," ")))</f>
        <v xml:space="preserve"> </v>
      </c>
      <c r="AB11" s="147">
        <v>6</v>
      </c>
      <c r="AC11" s="93">
        <f t="shared" si="12"/>
        <v>5</v>
      </c>
      <c r="AD11" s="93">
        <f t="shared" si="13"/>
        <v>4</v>
      </c>
      <c r="AE11" s="94">
        <f>IF(Table62202732[[#This Row],[Non-Member]]="X"," ",IF(AD11=" "," ",IFERROR(VLOOKUP(AC11,Points!$A$2:$B$14,2,FALSE)," ")))</f>
        <v>6</v>
      </c>
      <c r="AF11" s="147">
        <f t="shared" si="14"/>
        <v>6</v>
      </c>
      <c r="AG11" s="96">
        <f t="shared" si="15"/>
        <v>7.5</v>
      </c>
      <c r="AH11" s="93" t="str">
        <f t="shared" si="16"/>
        <v xml:space="preserve"> </v>
      </c>
      <c r="AI11" s="94" t="str">
        <f>IF(Table62202732[[#This Row],[Non-Member]]="X"," ",IF(AH11=" "," ",IFERROR(VLOOKUP(AG11,Points!$A$2:$B$14,2,FALSE)," ")))</f>
        <v xml:space="preserve"> </v>
      </c>
      <c r="AJ11" s="93">
        <f>IF(Table62202732[[#This Row],[Non-Member]]="X"," ",((IF(G11=" ",0,G11))+(IF(K11=" ",0,K11))+(IF(O11=" ",0,O11))+(IF(S11=" ",0,S11))+(IF(W11=" ",0,W11))+(IF(AA11=" ",0,AA11))+(IF(AE11=" ",0,AE11))+(IF(AI11=" ",0,AI11))))</f>
        <v>28.5</v>
      </c>
      <c r="AK11" s="95">
        <f t="shared" si="17"/>
        <v>28.5</v>
      </c>
      <c r="AL11" s="96">
        <f t="shared" si="18"/>
        <v>7</v>
      </c>
    </row>
    <row r="12" spans="2:38" x14ac:dyDescent="0.25">
      <c r="B12" s="90" t="s">
        <v>72</v>
      </c>
      <c r="C12" s="91"/>
      <c r="D12" s="147">
        <v>6</v>
      </c>
      <c r="E12" s="93">
        <f t="shared" si="0"/>
        <v>2.5</v>
      </c>
      <c r="F12" s="93">
        <f t="shared" si="1"/>
        <v>2</v>
      </c>
      <c r="G12" s="94">
        <f>IF(Table62202732[[#This Row],[Non-Member]]="X"," ",IF(F12=" "," ",IFERROR(VLOOKUP(E12,Points!$A$2:$B$14,2,FALSE)," ")))</f>
        <v>13.5</v>
      </c>
      <c r="H12" s="147">
        <v>0</v>
      </c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IF(Table62202732[[#This Row],[Non-Member]]="X"," ",IF(J12=" "," ",IFERROR(VLOOKUP(I12,Points!$A$2:$B$14,2,FALSE)," ")))</f>
        <v xml:space="preserve"> </v>
      </c>
      <c r="L12" s="147">
        <v>1</v>
      </c>
      <c r="M12" s="93">
        <f t="shared" si="4"/>
        <v>8.5</v>
      </c>
      <c r="N12" s="93" t="str">
        <f t="shared" si="5"/>
        <v xml:space="preserve"> </v>
      </c>
      <c r="O12" s="94" t="str">
        <f>IF(Table62202732[[#This Row],[Non-Member]]="X"," ",IF(N12=" "," ",IFERROR(VLOOKUP(M12,Points!$A$2:$B$14,2,FALSE)," ")))</f>
        <v xml:space="preserve"> </v>
      </c>
      <c r="P12" s="147">
        <v>3</v>
      </c>
      <c r="Q12" s="93">
        <f t="shared" si="6"/>
        <v>7.5</v>
      </c>
      <c r="R12" s="93" t="str">
        <f t="shared" si="7"/>
        <v xml:space="preserve"> </v>
      </c>
      <c r="S12" s="94" t="str">
        <f>IF(Table62202732[[#This Row],[Non-Member]]="X"," ",IF(R12=" "," ",IFERROR(VLOOKUP(Q12,Points!$A$2:$B$14,2,FALSE)," ")))</f>
        <v xml:space="preserve"> </v>
      </c>
      <c r="T12" s="147">
        <v>3</v>
      </c>
      <c r="U12" s="93">
        <f t="shared" si="8"/>
        <v>6.5</v>
      </c>
      <c r="V12" s="93">
        <f t="shared" si="9"/>
        <v>6</v>
      </c>
      <c r="W12" s="94">
        <f>IF(Table62202732[[#This Row],[Non-Member]]="X"," ",IF(V12=" "," ",IFERROR(VLOOKUP(U12,Points!$A$2:$B$14,2,FALSE)," ")))</f>
        <v>1.5</v>
      </c>
      <c r="X12" s="147">
        <v>1</v>
      </c>
      <c r="Y12" s="93">
        <f t="shared" si="10"/>
        <v>7</v>
      </c>
      <c r="Z12" s="93" t="str">
        <f t="shared" si="11"/>
        <v xml:space="preserve"> </v>
      </c>
      <c r="AA12" s="94" t="str">
        <f>IF(Table62202732[[#This Row],[Non-Member]]="X"," ",IF(Z12=" "," ",IFERROR(VLOOKUP(Y12,Points!$A$2:$B$14,2,FALSE)," ")))</f>
        <v xml:space="preserve"> </v>
      </c>
      <c r="AB12" s="147">
        <v>5</v>
      </c>
      <c r="AC12" s="93">
        <f t="shared" si="12"/>
        <v>7.5</v>
      </c>
      <c r="AD12" s="93" t="str">
        <f t="shared" si="13"/>
        <v xml:space="preserve"> </v>
      </c>
      <c r="AE12" s="94" t="str">
        <f>IF(Table62202732[[#This Row],[Non-Member]]="X"," ",IF(AD12=" "," ",IFERROR(VLOOKUP(AC12,Points!$A$2:$B$14,2,FALSE)," ")))</f>
        <v xml:space="preserve"> </v>
      </c>
      <c r="AF12" s="147">
        <f t="shared" si="14"/>
        <v>6</v>
      </c>
      <c r="AG12" s="96">
        <f t="shared" si="15"/>
        <v>7.5</v>
      </c>
      <c r="AH12" s="93" t="str">
        <f t="shared" si="16"/>
        <v xml:space="preserve"> </v>
      </c>
      <c r="AI12" s="94" t="str">
        <f>IF(Table62202732[[#This Row],[Non-Member]]="X"," ",IF(AH12=" "," ",IFERROR(VLOOKUP(AG12,Points!$A$2:$B$14,2,FALSE)," ")))</f>
        <v xml:space="preserve"> </v>
      </c>
      <c r="AJ12" s="93">
        <f>IF(Table62202732[[#This Row],[Non-Member]]="X"," ",((IF(G12=" ",0,G12))+(IF(K12=" ",0,K12))+(IF(O12=" ",0,O12))+(IF(S12=" ",0,S12))+(IF(W12=" ",0,W12))+(IF(AA12=" ",0,AA12))+(IF(AE12=" ",0,AE12))+(IF(AI12=" ",0,AI12))))</f>
        <v>15</v>
      </c>
      <c r="AK12" s="95">
        <f t="shared" si="17"/>
        <v>15</v>
      </c>
      <c r="AL12" s="96">
        <f t="shared" si="18"/>
        <v>8</v>
      </c>
    </row>
    <row r="13" spans="2:38" x14ac:dyDescent="0.25">
      <c r="B13" s="90" t="s">
        <v>283</v>
      </c>
      <c r="C13" s="91" t="s">
        <v>95</v>
      </c>
      <c r="D13" s="147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IF(Table62202732[[#This Row],[Non-Member]]="X"," ",IF(F13=" "," ",IFERROR(VLOOKUP(E13,Points!$A$2:$B$14,2,FALSE)," ")))</f>
        <v xml:space="preserve"> </v>
      </c>
      <c r="H13" s="147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IF(Table62202732[[#This Row],[Non-Member]]="X"," ",IF(J13=" "," ",IFERROR(VLOOKUP(I13,Points!$A$2:$B$14,2,FALSE)," ")))</f>
        <v xml:space="preserve"> </v>
      </c>
      <c r="L13" s="147">
        <v>7</v>
      </c>
      <c r="M13" s="93">
        <f t="shared" si="4"/>
        <v>2</v>
      </c>
      <c r="N13" s="93">
        <f t="shared" si="5"/>
        <v>2</v>
      </c>
      <c r="O13" s="94" t="str">
        <f>IF(Table62202732[[#This Row],[Non-Member]]="X"," ",IF(N13=" "," ",IFERROR(VLOOKUP(M13,Points!$A$2:$B$14,2,FALSE)," ")))</f>
        <v xml:space="preserve"> </v>
      </c>
      <c r="P13" s="147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IF(Table62202732[[#This Row],[Non-Member]]="X"," ",IF(R13=" "," ",IFERROR(VLOOKUP(Q13,Points!$A$2:$B$14,2,FALSE)," ")))</f>
        <v xml:space="preserve"> </v>
      </c>
      <c r="T13" s="147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IF(Table62202732[[#This Row],[Non-Member]]="X"," ",IF(V13=" "," ",IFERROR(VLOOKUP(U13,Points!$A$2:$B$14,2,FALSE)," ")))</f>
        <v xml:space="preserve"> </v>
      </c>
      <c r="X13" s="147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IF(Table62202732[[#This Row],[Non-Member]]="X"," ",IF(Z13=" "," ",IFERROR(VLOOKUP(Y13,Points!$A$2:$B$14,2,FALSE)," ")))</f>
        <v xml:space="preserve"> </v>
      </c>
      <c r="AB13" s="147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IF(Table62202732[[#This Row],[Non-Member]]="X"," ",IF(AD13=" "," ",IFERROR(VLOOKUP(AC13,Points!$A$2:$B$14,2,FALSE)," ")))</f>
        <v xml:space="preserve"> </v>
      </c>
      <c r="AF13" s="147" t="str">
        <f t="shared" si="14"/>
        <v xml:space="preserve"> </v>
      </c>
      <c r="AG13" s="96" t="e">
        <f t="shared" si="15"/>
        <v>#VALUE!</v>
      </c>
      <c r="AH13" s="93" t="str">
        <f t="shared" si="16"/>
        <v xml:space="preserve"> </v>
      </c>
      <c r="AI13" s="94" t="str">
        <f>IF(Table62202732[[#This Row],[Non-Member]]="X"," ",IF(AH13=" "," ",IFERROR(VLOOKUP(AG13,Points!$A$2:$B$14,2,FALSE)," ")))</f>
        <v xml:space="preserve"> </v>
      </c>
      <c r="AJ13" s="93" t="str">
        <f>IF(Table62202732[[#This Row],[Non-Member]]="X"," ",((IF(G13=" ",0,G13))+(IF(K13=" ",0,K13))+(IF(O13=" ",0,O13))+(IF(S13=" ",0,S13))+(IF(W13=" ",0,W13))+(IF(AA13=" ",0,AA13))+(IF(AE13=" ",0,AE13))+(IF(AI13=" ",0,AI13))))</f>
        <v xml:space="preserve"> 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25">
      <c r="B14" s="90"/>
      <c r="C14" s="91"/>
      <c r="D14" s="147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IF(Table62202732[[#This Row],[Non-Member]]="X"," ",IF(F14=" "," ",IFERROR(VLOOKUP(E14,Points!$A$2:$B$14,2,FALSE)," ")))</f>
        <v xml:space="preserve"> </v>
      </c>
      <c r="H14" s="147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IF(Table62202732[[#This Row],[Non-Member]]="X"," ",IF(J14=" "," ",IFERROR(VLOOKUP(I14,Points!$A$2:$B$14,2,FALSE)," ")))</f>
        <v xml:space="preserve"> </v>
      </c>
      <c r="L14" s="147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IF(Table62202732[[#This Row],[Non-Member]]="X"," ",IF(N14=" "," ",IFERROR(VLOOKUP(M14,Points!$A$2:$B$14,2,FALSE)," ")))</f>
        <v xml:space="preserve"> </v>
      </c>
      <c r="P14" s="147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IF(Table62202732[[#This Row],[Non-Member]]="X"," ",IF(R14=" "," ",IFERROR(VLOOKUP(Q14,Points!$A$2:$B$14,2,FALSE)," ")))</f>
        <v xml:space="preserve"> </v>
      </c>
      <c r="T14" s="147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IF(Table62202732[[#This Row],[Non-Member]]="X"," ",IF(V14=" "," ",IFERROR(VLOOKUP(U14,Points!$A$2:$B$14,2,FALSE)," ")))</f>
        <v xml:space="preserve"> </v>
      </c>
      <c r="X14" s="147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IF(Table62202732[[#This Row],[Non-Member]]="X"," ",IF(Z14=" "," ",IFERROR(VLOOKUP(Y14,Points!$A$2:$B$14,2,FALSE)," ")))</f>
        <v xml:space="preserve"> </v>
      </c>
      <c r="AB14" s="147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IF(Table62202732[[#This Row],[Non-Member]]="X"," ",IF(AD14=" "," ",IFERROR(VLOOKUP(AC14,Points!$A$2:$B$14,2,FALSE)," ")))</f>
        <v xml:space="preserve"> </v>
      </c>
      <c r="AF14" s="147" t="str">
        <f t="shared" si="14"/>
        <v xml:space="preserve"> </v>
      </c>
      <c r="AG14" s="96" t="e">
        <f t="shared" si="15"/>
        <v>#VALUE!</v>
      </c>
      <c r="AH14" s="93" t="str">
        <f t="shared" si="16"/>
        <v xml:space="preserve"> </v>
      </c>
      <c r="AI14" s="94" t="str">
        <f>IF(Table62202732[[#This Row],[Non-Member]]="X"," ",IF(AH14=" "," ",IFERROR(VLOOKUP(AG14,Points!$A$2:$B$14,2,FALSE)," ")))</f>
        <v xml:space="preserve"> </v>
      </c>
      <c r="AJ14" s="93">
        <f>IF(Table62202732[[#This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25">
      <c r="B15" s="90"/>
      <c r="C15" s="91"/>
      <c r="D15" s="147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IF(Table62202732[[#This Row],[Non-Member]]="X"," ",IF(F15=" "," ",IFERROR(VLOOKUP(E15,Points!$A$2:$B$14,2,FALSE)," ")))</f>
        <v xml:space="preserve"> </v>
      </c>
      <c r="H15" s="147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IF(Table62202732[[#This Row],[Non-Member]]="X"," ",IF(J15=" "," ",IFERROR(VLOOKUP(I15,Points!$A$2:$B$14,2,FALSE)," ")))</f>
        <v xml:space="preserve"> </v>
      </c>
      <c r="L15" s="147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IF(Table62202732[[#This Row],[Non-Member]]="X"," ",IF(N15=" "," ",IFERROR(VLOOKUP(M15,Points!$A$2:$B$14,2,FALSE)," ")))</f>
        <v xml:space="preserve"> </v>
      </c>
      <c r="P15" s="147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IF(Table62202732[[#This Row],[Non-Member]]="X"," ",IF(R15=" "," ",IFERROR(VLOOKUP(Q15,Points!$A$2:$B$14,2,FALSE)," ")))</f>
        <v xml:space="preserve"> </v>
      </c>
      <c r="T15" s="147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IF(Table62202732[[#This Row],[Non-Member]]="X"," ",IF(V15=" "," ",IFERROR(VLOOKUP(U15,Points!$A$2:$B$14,2,FALSE)," ")))</f>
        <v xml:space="preserve"> </v>
      </c>
      <c r="X15" s="147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IF(Table62202732[[#This Row],[Non-Member]]="X"," ",IF(Z15=" "," ",IFERROR(VLOOKUP(Y15,Points!$A$2:$B$14,2,FALSE)," ")))</f>
        <v xml:space="preserve"> </v>
      </c>
      <c r="AB15" s="147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IF(Table62202732[[#This Row],[Non-Member]]="X"," ",IF(AD15=" "," ",IFERROR(VLOOKUP(AC15,Points!$A$2:$B$14,2,FALSE)," ")))</f>
        <v xml:space="preserve"> </v>
      </c>
      <c r="AF15" s="147" t="str">
        <f t="shared" si="14"/>
        <v xml:space="preserve"> </v>
      </c>
      <c r="AG15" s="96" t="e">
        <f t="shared" si="15"/>
        <v>#VALUE!</v>
      </c>
      <c r="AH15" s="93" t="str">
        <f t="shared" si="16"/>
        <v xml:space="preserve"> </v>
      </c>
      <c r="AI15" s="94" t="str">
        <f>IF(Table62202732[[#This Row],[Non-Member]]="X"," ",IF(AH15=" "," ",IFERROR(VLOOKUP(AG15,Points!$A$2:$B$14,2,FALSE)," ")))</f>
        <v xml:space="preserve"> </v>
      </c>
      <c r="AJ15" s="93">
        <f>IF(Table62202732[[#This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/>
      <c r="C16" s="91"/>
      <c r="D16" s="147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IF(Table62202732[[#This Row],[Non-Member]]="X"," ",IF(F16=" "," ",IFERROR(VLOOKUP(E16,Points!$A$2:$B$14,2,FALSE)," ")))</f>
        <v xml:space="preserve"> </v>
      </c>
      <c r="H16" s="147"/>
      <c r="I16" s="97" t="str">
        <f t="shared" si="2"/>
        <v xml:space="preserve"> </v>
      </c>
      <c r="J16" s="93" t="str">
        <f t="shared" si="3"/>
        <v xml:space="preserve"> </v>
      </c>
      <c r="K16" s="94" t="str">
        <f>IF(Table62202732[[#This Row],[Non-Member]]="X"," ",IF(J16=" "," ",IFERROR(VLOOKUP(I16,Points!$A$2:$B$14,2,FALSE)," ")))</f>
        <v xml:space="preserve"> </v>
      </c>
      <c r="L16" s="147"/>
      <c r="M16" s="97" t="str">
        <f t="shared" si="4"/>
        <v xml:space="preserve"> </v>
      </c>
      <c r="N16" s="93" t="str">
        <f t="shared" si="5"/>
        <v xml:space="preserve"> </v>
      </c>
      <c r="O16" s="94" t="str">
        <f>IF(Table62202732[[#This Row],[Non-Member]]="X"," ",IF(N16=" "," ",IFERROR(VLOOKUP(M16,Points!$A$2:$B$14,2,FALSE)," ")))</f>
        <v xml:space="preserve"> </v>
      </c>
      <c r="P16" s="147"/>
      <c r="Q16" s="97" t="str">
        <f t="shared" si="6"/>
        <v xml:space="preserve"> </v>
      </c>
      <c r="R16" s="93" t="str">
        <f t="shared" si="7"/>
        <v xml:space="preserve"> </v>
      </c>
      <c r="S16" s="94" t="str">
        <f>IF(Table62202732[[#This Row],[Non-Member]]="X"," ",IF(R16=" "," ",IFERROR(VLOOKUP(Q16,Points!$A$2:$B$14,2,FALSE)," ")))</f>
        <v xml:space="preserve"> </v>
      </c>
      <c r="T16" s="147"/>
      <c r="U16" s="97" t="str">
        <f t="shared" si="8"/>
        <v xml:space="preserve"> </v>
      </c>
      <c r="V16" s="93" t="str">
        <f t="shared" si="9"/>
        <v xml:space="preserve"> </v>
      </c>
      <c r="W16" s="94" t="str">
        <f>IF(Table62202732[[#This Row],[Non-Member]]="X"," ",IF(V16=" "," ",IFERROR(VLOOKUP(U16,Points!$A$2:$B$14,2,FALSE)," ")))</f>
        <v xml:space="preserve"> </v>
      </c>
      <c r="X16" s="147"/>
      <c r="Y16" s="97" t="str">
        <f t="shared" si="10"/>
        <v xml:space="preserve"> </v>
      </c>
      <c r="Z16" s="93" t="str">
        <f t="shared" si="11"/>
        <v xml:space="preserve"> </v>
      </c>
      <c r="AA16" s="94" t="str">
        <f>IF(Table62202732[[#This Row],[Non-Member]]="X"," ",IF(Z16=" "," ",IFERROR(VLOOKUP(Y16,Points!$A$2:$B$14,2,FALSE)," ")))</f>
        <v xml:space="preserve"> </v>
      </c>
      <c r="AB16" s="147"/>
      <c r="AC16" s="97" t="str">
        <f t="shared" si="12"/>
        <v xml:space="preserve"> </v>
      </c>
      <c r="AD16" s="93" t="str">
        <f t="shared" si="13"/>
        <v xml:space="preserve"> </v>
      </c>
      <c r="AE16" s="94" t="str">
        <f>IF(Table62202732[[#This Row],[Non-Member]]="X"," ",IF(AD16=" "," ",IFERROR(VLOOKUP(AC16,Points!$A$2:$B$14,2,FALSE)," ")))</f>
        <v xml:space="preserve"> </v>
      </c>
      <c r="AF16" s="147" t="str">
        <f t="shared" si="14"/>
        <v xml:space="preserve"> </v>
      </c>
      <c r="AG16" s="98" t="e">
        <f t="shared" si="15"/>
        <v>#VALUE!</v>
      </c>
      <c r="AH16" s="93" t="str">
        <f t="shared" si="16"/>
        <v xml:space="preserve"> </v>
      </c>
      <c r="AI16" s="94" t="str">
        <f>IF(Table62202732[[#This Row],[Non-Member]]="X"," ",IF(AH16=" "," ",IFERROR(VLOOKUP(AG16,Points!$A$2:$B$14,2,FALSE)," ")))</f>
        <v xml:space="preserve"> </v>
      </c>
      <c r="AJ16" s="97">
        <f>IF(Table62202732[[#This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25">
      <c r="B17" s="90"/>
      <c r="C17" s="91"/>
      <c r="D17" s="147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IF(Table62202732[[#This Row],[Non-Member]]="X"," ",IF(F17=" "," ",IFERROR(VLOOKUP(E17,Points!$A$2:$B$14,2,FALSE)," ")))</f>
        <v xml:space="preserve"> </v>
      </c>
      <c r="H17" s="147"/>
      <c r="I17" s="97" t="str">
        <f t="shared" si="2"/>
        <v xml:space="preserve"> </v>
      </c>
      <c r="J17" s="93" t="str">
        <f t="shared" si="3"/>
        <v xml:space="preserve"> </v>
      </c>
      <c r="K17" s="94" t="str">
        <f>IF(Table62202732[[#This Row],[Non-Member]]="X"," ",IF(J17=" "," ",IFERROR(VLOOKUP(I17,Points!$A$2:$B$14,2,FALSE)," ")))</f>
        <v xml:space="preserve"> </v>
      </c>
      <c r="L17" s="147"/>
      <c r="M17" s="97" t="str">
        <f t="shared" si="4"/>
        <v xml:space="preserve"> </v>
      </c>
      <c r="N17" s="93" t="str">
        <f t="shared" si="5"/>
        <v xml:space="preserve"> </v>
      </c>
      <c r="O17" s="94" t="str">
        <f>IF(Table62202732[[#This Row],[Non-Member]]="X"," ",IF(N17=" "," ",IFERROR(VLOOKUP(M17,Points!$A$2:$B$14,2,FALSE)," ")))</f>
        <v xml:space="preserve"> </v>
      </c>
      <c r="P17" s="147"/>
      <c r="Q17" s="97" t="str">
        <f t="shared" si="6"/>
        <v xml:space="preserve"> </v>
      </c>
      <c r="R17" s="93" t="str">
        <f t="shared" si="7"/>
        <v xml:space="preserve"> </v>
      </c>
      <c r="S17" s="94" t="str">
        <f>IF(Table62202732[[#This Row],[Non-Member]]="X"," ",IF(R17=" "," ",IFERROR(VLOOKUP(Q17,Points!$A$2:$B$14,2,FALSE)," ")))</f>
        <v xml:space="preserve"> </v>
      </c>
      <c r="T17" s="147"/>
      <c r="U17" s="97" t="str">
        <f t="shared" si="8"/>
        <v xml:space="preserve"> </v>
      </c>
      <c r="V17" s="93" t="str">
        <f t="shared" si="9"/>
        <v xml:space="preserve"> </v>
      </c>
      <c r="W17" s="94" t="str">
        <f>IF(Table62202732[[#This Row],[Non-Member]]="X"," ",IF(V17=" "," ",IFERROR(VLOOKUP(U17,Points!$A$2:$B$14,2,FALSE)," ")))</f>
        <v xml:space="preserve"> </v>
      </c>
      <c r="X17" s="147"/>
      <c r="Y17" s="97" t="str">
        <f t="shared" si="10"/>
        <v xml:space="preserve"> </v>
      </c>
      <c r="Z17" s="93" t="str">
        <f t="shared" si="11"/>
        <v xml:space="preserve"> </v>
      </c>
      <c r="AA17" s="94" t="str">
        <f>IF(Table62202732[[#This Row],[Non-Member]]="X"," ",IF(Z17=" "," ",IFERROR(VLOOKUP(Y17,Points!$A$2:$B$14,2,FALSE)," ")))</f>
        <v xml:space="preserve"> </v>
      </c>
      <c r="AB17" s="147"/>
      <c r="AC17" s="97" t="str">
        <f t="shared" si="12"/>
        <v xml:space="preserve"> </v>
      </c>
      <c r="AD17" s="93" t="str">
        <f t="shared" si="13"/>
        <v xml:space="preserve"> </v>
      </c>
      <c r="AE17" s="94" t="str">
        <f>IF(Table62202732[[#This Row],[Non-Member]]="X"," ",IF(AD17=" "," ",IFERROR(VLOOKUP(AC17,Points!$A$2:$B$14,2,FALSE)," ")))</f>
        <v xml:space="preserve"> </v>
      </c>
      <c r="AF17" s="147" t="str">
        <f t="shared" si="14"/>
        <v xml:space="preserve"> </v>
      </c>
      <c r="AG17" s="98" t="e">
        <f t="shared" si="15"/>
        <v>#VALUE!</v>
      </c>
      <c r="AH17" s="93" t="str">
        <f t="shared" si="16"/>
        <v xml:space="preserve"> </v>
      </c>
      <c r="AI17" s="94" t="str">
        <f>IF(Table62202732[[#This Row],[Non-Member]]="X"," ",IF(AH17=" "," ",IFERROR(VLOOKUP(AG17,Points!$A$2:$B$14,2,FALSE)," ")))</f>
        <v xml:space="preserve"> </v>
      </c>
      <c r="AJ17" s="97">
        <f>IF(Table62202732[[#This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25">
      <c r="B18" s="90"/>
      <c r="C18" s="91"/>
      <c r="D18" s="147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IF(Table62202732[[#This Row],[Non-Member]]="X"," ",IF(F18=" "," ",IFERROR(VLOOKUP(E18,Points!$A$2:$B$14,2,FALSE)," ")))</f>
        <v xml:space="preserve"> </v>
      </c>
      <c r="H18" s="147"/>
      <c r="I18" s="97" t="str">
        <f t="shared" si="2"/>
        <v xml:space="preserve"> </v>
      </c>
      <c r="J18" s="93" t="str">
        <f t="shared" si="3"/>
        <v xml:space="preserve"> </v>
      </c>
      <c r="K18" s="94" t="str">
        <f>IF(Table62202732[[#This Row],[Non-Member]]="X"," ",IF(J18=" "," ",IFERROR(VLOOKUP(I18,Points!$A$2:$B$14,2,FALSE)," ")))</f>
        <v xml:space="preserve"> </v>
      </c>
      <c r="L18" s="147"/>
      <c r="M18" s="97" t="str">
        <f t="shared" si="4"/>
        <v xml:space="preserve"> </v>
      </c>
      <c r="N18" s="93" t="str">
        <f t="shared" si="5"/>
        <v xml:space="preserve"> </v>
      </c>
      <c r="O18" s="94" t="str">
        <f>IF(Table62202732[[#This Row],[Non-Member]]="X"," ",IF(N18=" "," ",IFERROR(VLOOKUP(M18,Points!$A$2:$B$14,2,FALSE)," ")))</f>
        <v xml:space="preserve"> </v>
      </c>
      <c r="P18" s="147"/>
      <c r="Q18" s="97" t="str">
        <f t="shared" si="6"/>
        <v xml:space="preserve"> </v>
      </c>
      <c r="R18" s="93" t="str">
        <f t="shared" si="7"/>
        <v xml:space="preserve"> </v>
      </c>
      <c r="S18" s="94" t="str">
        <f>IF(Table62202732[[#This Row],[Non-Member]]="X"," ",IF(R18=" "," ",IFERROR(VLOOKUP(Q18,Points!$A$2:$B$14,2,FALSE)," ")))</f>
        <v xml:space="preserve"> </v>
      </c>
      <c r="T18" s="147"/>
      <c r="U18" s="97" t="str">
        <f t="shared" si="8"/>
        <v xml:space="preserve"> </v>
      </c>
      <c r="V18" s="93" t="str">
        <f t="shared" si="9"/>
        <v xml:space="preserve"> </v>
      </c>
      <c r="W18" s="94" t="str">
        <f>IF(Table62202732[[#This Row],[Non-Member]]="X"," ",IF(V18=" "," ",IFERROR(VLOOKUP(U18,Points!$A$2:$B$14,2,FALSE)," ")))</f>
        <v xml:space="preserve"> </v>
      </c>
      <c r="X18" s="147"/>
      <c r="Y18" s="97" t="str">
        <f t="shared" si="10"/>
        <v xml:space="preserve"> </v>
      </c>
      <c r="Z18" s="93" t="str">
        <f t="shared" si="11"/>
        <v xml:space="preserve"> </v>
      </c>
      <c r="AA18" s="94" t="str">
        <f>IF(Table62202732[[#This Row],[Non-Member]]="X"," ",IF(Z18=" "," ",IFERROR(VLOOKUP(Y18,Points!$A$2:$B$14,2,FALSE)," ")))</f>
        <v xml:space="preserve"> </v>
      </c>
      <c r="AB18" s="147"/>
      <c r="AC18" s="97" t="str">
        <f t="shared" si="12"/>
        <v xml:space="preserve"> </v>
      </c>
      <c r="AD18" s="93" t="str">
        <f t="shared" si="13"/>
        <v xml:space="preserve"> </v>
      </c>
      <c r="AE18" s="94" t="str">
        <f>IF(Table62202732[[#This Row],[Non-Member]]="X"," ",IF(AD18=" "," ",IFERROR(VLOOKUP(AC18,Points!$A$2:$B$14,2,FALSE)," ")))</f>
        <v xml:space="preserve"> </v>
      </c>
      <c r="AF18" s="147" t="str">
        <f t="shared" si="14"/>
        <v xml:space="preserve"> </v>
      </c>
      <c r="AG18" s="98" t="e">
        <f t="shared" si="15"/>
        <v>#VALUE!</v>
      </c>
      <c r="AH18" s="93" t="str">
        <f t="shared" si="16"/>
        <v xml:space="preserve"> </v>
      </c>
      <c r="AI18" s="94" t="str">
        <f>IF(Table62202732[[#This Row],[Non-Member]]="X"," ",IF(AH18=" "," ",IFERROR(VLOOKUP(AG18,Points!$A$2:$B$14,2,FALSE)," ")))</f>
        <v xml:space="preserve"> </v>
      </c>
      <c r="AJ18" s="97">
        <f>IF(Table62202732[[#This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/>
      <c r="C19" s="91"/>
      <c r="D19" s="147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IF(Table62202732[[#This Row],[Non-Member]]="X"," ",IF(F19=" "," ",IFERROR(VLOOKUP(E19,Points!$A$2:$B$14,2,FALSE)," ")))</f>
        <v xml:space="preserve"> </v>
      </c>
      <c r="H19" s="147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IF(Table62202732[[#This Row],[Non-Member]]="X"," ",IF(J19=" "," ",IFERROR(VLOOKUP(I19,Points!$A$2:$B$14,2,FALSE)," ")))</f>
        <v xml:space="preserve"> </v>
      </c>
      <c r="L19" s="147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IF(Table62202732[[#This Row],[Non-Member]]="X"," ",IF(N19=" "," ",IFERROR(VLOOKUP(M19,Points!$A$2:$B$14,2,FALSE)," ")))</f>
        <v xml:space="preserve"> </v>
      </c>
      <c r="P19" s="147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IF(Table62202732[[#This Row],[Non-Member]]="X"," ",IF(R19=" "," ",IFERROR(VLOOKUP(Q19,Points!$A$2:$B$14,2,FALSE)," ")))</f>
        <v xml:space="preserve"> </v>
      </c>
      <c r="T19" s="147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IF(Table62202732[[#This Row],[Non-Member]]="X"," ",IF(V19=" "," ",IFERROR(VLOOKUP(U19,Points!$A$2:$B$14,2,FALSE)," ")))</f>
        <v xml:space="preserve"> </v>
      </c>
      <c r="X19" s="147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IF(Table62202732[[#This Row],[Non-Member]]="X"," ",IF(Z19=" "," ",IFERROR(VLOOKUP(Y19,Points!$A$2:$B$14,2,FALSE)," ")))</f>
        <v xml:space="preserve"> </v>
      </c>
      <c r="AB19" s="147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IF(Table62202732[[#This Row],[Non-Member]]="X"," ",IF(AD19=" "," ",IFERROR(VLOOKUP(AC19,Points!$A$2:$B$14,2,FALSE)," ")))</f>
        <v xml:space="preserve"> </v>
      </c>
      <c r="AF19" s="147" t="str">
        <f t="shared" si="14"/>
        <v xml:space="preserve"> </v>
      </c>
      <c r="AG19" s="96" t="e">
        <f t="shared" si="15"/>
        <v>#VALUE!</v>
      </c>
      <c r="AH19" s="93" t="str">
        <f t="shared" si="16"/>
        <v xml:space="preserve"> </v>
      </c>
      <c r="AI19" s="94" t="str">
        <f>IF(Table62202732[[#This Row],[Non-Member]]="X"," ",IF(AH19=" "," ",IFERROR(VLOOKUP(AG19,Points!$A$2:$B$14,2,FALSE)," ")))</f>
        <v xml:space="preserve"> </v>
      </c>
      <c r="AJ19" s="93">
        <f>IF(Table62202732[[#This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/>
      <c r="C20" s="91"/>
      <c r="D20" s="147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IF(Table62202732[[#This Row],[Non-Member]]="X"," ",IF(F20=" "," ",IFERROR(VLOOKUP(E20,Points!$A$2:$B$14,2,FALSE)," ")))</f>
        <v xml:space="preserve"> </v>
      </c>
      <c r="H20" s="147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IF(Table62202732[[#This Row],[Non-Member]]="X"," ",IF(J20=" "," ",IFERROR(VLOOKUP(I20,Points!$A$2:$B$14,2,FALSE)," ")))</f>
        <v xml:space="preserve"> </v>
      </c>
      <c r="L20" s="147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IF(Table62202732[[#This Row],[Non-Member]]="X"," ",IF(N20=" "," ",IFERROR(VLOOKUP(M20,Points!$A$2:$B$14,2,FALSE)," ")))</f>
        <v xml:space="preserve"> </v>
      </c>
      <c r="P20" s="147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IF(Table62202732[[#This Row],[Non-Member]]="X"," ",IF(R20=" "," ",IFERROR(VLOOKUP(Q20,Points!$A$2:$B$14,2,FALSE)," ")))</f>
        <v xml:space="preserve"> </v>
      </c>
      <c r="T20" s="147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IF(Table62202732[[#This Row],[Non-Member]]="X"," ",IF(V20=" "," ",IFERROR(VLOOKUP(U20,Points!$A$2:$B$14,2,FALSE)," ")))</f>
        <v xml:space="preserve"> </v>
      </c>
      <c r="X20" s="147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IF(Table62202732[[#This Row],[Non-Member]]="X"," ",IF(Z20=" "," ",IFERROR(VLOOKUP(Y20,Points!$A$2:$B$14,2,FALSE)," ")))</f>
        <v xml:space="preserve"> </v>
      </c>
      <c r="AB20" s="147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IF(Table62202732[[#This Row],[Non-Member]]="X"," ",IF(AD20=" "," ",IFERROR(VLOOKUP(AC20,Points!$A$2:$B$14,2,FALSE)," ")))</f>
        <v xml:space="preserve"> </v>
      </c>
      <c r="AF20" s="147" t="str">
        <f t="shared" si="14"/>
        <v xml:space="preserve"> </v>
      </c>
      <c r="AG20" s="96" t="e">
        <f t="shared" si="15"/>
        <v>#VALUE!</v>
      </c>
      <c r="AH20" s="93" t="str">
        <f t="shared" si="16"/>
        <v xml:space="preserve"> </v>
      </c>
      <c r="AI20" s="94" t="str">
        <f>IF(Table62202732[[#This Row],[Non-Member]]="X"," ",IF(AH20=" "," ",IFERROR(VLOOKUP(AG20,Points!$A$2:$B$14,2,FALSE)," ")))</f>
        <v xml:space="preserve"> </v>
      </c>
      <c r="AJ20" s="93">
        <f>IF(Table62202732[[#This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147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IF(Table62202732[[#This Row],[Non-Member]]="X"," ",IF(F21=" "," ",IFERROR(VLOOKUP(E21,Points!$A$2:$B$14,2,FALSE)," ")))</f>
        <v xml:space="preserve"> </v>
      </c>
      <c r="H21" s="147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IF(Table62202732[[#This Row],[Non-Member]]="X"," ",IF(J21=" "," ",IFERROR(VLOOKUP(I21,Points!$A$2:$B$14,2,FALSE)," ")))</f>
        <v xml:space="preserve"> </v>
      </c>
      <c r="L21" s="147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IF(Table62202732[[#This Row],[Non-Member]]="X"," ",IF(N21=" "," ",IFERROR(VLOOKUP(M21,Points!$A$2:$B$14,2,FALSE)," ")))</f>
        <v xml:space="preserve"> </v>
      </c>
      <c r="P21" s="147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IF(Table62202732[[#This Row],[Non-Member]]="X"," ",IF(R21=" "," ",IFERROR(VLOOKUP(Q21,Points!$A$2:$B$14,2,FALSE)," ")))</f>
        <v xml:space="preserve"> </v>
      </c>
      <c r="T21" s="147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IF(Table62202732[[#This Row],[Non-Member]]="X"," ",IF(V21=" "," ",IFERROR(VLOOKUP(U21,Points!$A$2:$B$14,2,FALSE)," ")))</f>
        <v xml:space="preserve"> </v>
      </c>
      <c r="X21" s="147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IF(Table62202732[[#This Row],[Non-Member]]="X"," ",IF(Z21=" "," ",IFERROR(VLOOKUP(Y21,Points!$A$2:$B$14,2,FALSE)," ")))</f>
        <v xml:space="preserve"> </v>
      </c>
      <c r="AB21" s="147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IF(Table62202732[[#This Row],[Non-Member]]="X"," ",IF(AD21=" "," ",IFERROR(VLOOKUP(AC21,Points!$A$2:$B$14,2,FALSE)," ")))</f>
        <v xml:space="preserve"> </v>
      </c>
      <c r="AF21" s="147" t="str">
        <f t="shared" si="14"/>
        <v xml:space="preserve"> </v>
      </c>
      <c r="AG21" s="96" t="e">
        <f t="shared" si="15"/>
        <v>#VALUE!</v>
      </c>
      <c r="AH21" s="93" t="str">
        <f t="shared" si="16"/>
        <v xml:space="preserve"> </v>
      </c>
      <c r="AI21" s="94" t="str">
        <f>IF(Table62202732[[#This Row],[Non-Member]]="X"," ",IF(AH21=" "," ",IFERROR(VLOOKUP(AG21,Points!$A$2:$B$14,2,FALSE)," ")))</f>
        <v xml:space="preserve"> </v>
      </c>
      <c r="AJ21" s="93">
        <f>IF(Table62202732[[#This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147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IF(Table62202732[[#This Row],[Non-Member]]="X"," ",IF(F22=" "," ",IFERROR(VLOOKUP(E22,Points!$A$2:$B$14,2,FALSE)," ")))</f>
        <v xml:space="preserve"> </v>
      </c>
      <c r="H22" s="147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IF(Table62202732[[#This Row],[Non-Member]]="X"," ",IF(J22=" "," ",IFERROR(VLOOKUP(I22,Points!$A$2:$B$14,2,FALSE)," ")))</f>
        <v xml:space="preserve"> </v>
      </c>
      <c r="L22" s="147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IF(Table62202732[[#This Row],[Non-Member]]="X"," ",IF(N22=" "," ",IFERROR(VLOOKUP(M22,Points!$A$2:$B$14,2,FALSE)," ")))</f>
        <v xml:space="preserve"> </v>
      </c>
      <c r="P22" s="147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IF(Table62202732[[#This Row],[Non-Member]]="X"," ",IF(R22=" "," ",IFERROR(VLOOKUP(Q22,Points!$A$2:$B$14,2,FALSE)," ")))</f>
        <v xml:space="preserve"> </v>
      </c>
      <c r="T22" s="147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IF(Table62202732[[#This Row],[Non-Member]]="X"," ",IF(V22=" "," ",IFERROR(VLOOKUP(U22,Points!$A$2:$B$14,2,FALSE)," ")))</f>
        <v xml:space="preserve"> </v>
      </c>
      <c r="X22" s="147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IF(Table62202732[[#This Row],[Non-Member]]="X"," ",IF(Z22=" "," ",IFERROR(VLOOKUP(Y22,Points!$A$2:$B$14,2,FALSE)," ")))</f>
        <v xml:space="preserve"> </v>
      </c>
      <c r="AB22" s="147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IF(Table62202732[[#This Row],[Non-Member]]="X"," ",IF(AD22=" "," ",IFERROR(VLOOKUP(AC22,Points!$A$2:$B$14,2,FALSE)," ")))</f>
        <v xml:space="preserve"> </v>
      </c>
      <c r="AF22" s="147" t="str">
        <f t="shared" si="14"/>
        <v xml:space="preserve"> </v>
      </c>
      <c r="AG22" s="96" t="e">
        <f t="shared" si="15"/>
        <v>#VALUE!</v>
      </c>
      <c r="AH22" s="93" t="str">
        <f t="shared" si="16"/>
        <v xml:space="preserve"> </v>
      </c>
      <c r="AI22" s="94" t="str">
        <f>IF(Table62202732[[#This Row],[Non-Member]]="X"," ",IF(AH22=" "," ",IFERROR(VLOOKUP(AG22,Points!$A$2:$B$14,2,FALSE)," ")))</f>
        <v xml:space="preserve"> </v>
      </c>
      <c r="AJ22" s="93">
        <f>IF(Table62202732[[#This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147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IF(Table62202732[[#This Row],[Non-Member]]="X"," ",IF(F23=" "," ",IFERROR(VLOOKUP(E23,Points!$A$2:$B$14,2,FALSE)," ")))</f>
        <v xml:space="preserve"> </v>
      </c>
      <c r="H23" s="147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IF(Table62202732[[#This Row],[Non-Member]]="X"," ",IF(J23=" "," ",IFERROR(VLOOKUP(I23,Points!$A$2:$B$14,2,FALSE)," ")))</f>
        <v xml:space="preserve"> </v>
      </c>
      <c r="L23" s="147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IF(Table62202732[[#This Row],[Non-Member]]="X"," ",IF(N23=" "," ",IFERROR(VLOOKUP(M23,Points!$A$2:$B$14,2,FALSE)," ")))</f>
        <v xml:space="preserve"> </v>
      </c>
      <c r="P23" s="147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IF(Table62202732[[#This Row],[Non-Member]]="X"," ",IF(R23=" "," ",IFERROR(VLOOKUP(Q23,Points!$A$2:$B$14,2,FALSE)," ")))</f>
        <v xml:space="preserve"> </v>
      </c>
      <c r="T23" s="147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IF(Table62202732[[#This Row],[Non-Member]]="X"," ",IF(V23=" "," ",IFERROR(VLOOKUP(U23,Points!$A$2:$B$14,2,FALSE)," ")))</f>
        <v xml:space="preserve"> </v>
      </c>
      <c r="X23" s="147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IF(Table62202732[[#This Row],[Non-Member]]="X"," ",IF(Z23=" "," ",IFERROR(VLOOKUP(Y23,Points!$A$2:$B$14,2,FALSE)," ")))</f>
        <v xml:space="preserve"> </v>
      </c>
      <c r="AB23" s="147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IF(Table62202732[[#This Row],[Non-Member]]="X"," ",IF(AD23=" "," ",IFERROR(VLOOKUP(AC23,Points!$A$2:$B$14,2,FALSE)," ")))</f>
        <v xml:space="preserve"> </v>
      </c>
      <c r="AF23" s="147" t="str">
        <f t="shared" si="14"/>
        <v xml:space="preserve"> </v>
      </c>
      <c r="AG23" s="96" t="e">
        <f t="shared" si="15"/>
        <v>#VALUE!</v>
      </c>
      <c r="AH23" s="93" t="str">
        <f t="shared" si="16"/>
        <v xml:space="preserve"> </v>
      </c>
      <c r="AI23" s="94" t="str">
        <f>IF(Table62202732[[#This Row],[Non-Member]]="X"," ",IF(AH23=" "," ",IFERROR(VLOOKUP(AG23,Points!$A$2:$B$14,2,FALSE)," ")))</f>
        <v xml:space="preserve"> </v>
      </c>
      <c r="AJ23" s="93">
        <f>IF(Table62202732[[#This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48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IF(Table62202732[[#This Row],[Non-Member]]="X"," ",IF(F24=" "," ",IFERROR(VLOOKUP(E24,Points!$A$2:$B$14,2,FALSE)," ")))</f>
        <v xml:space="preserve"> </v>
      </c>
      <c r="H24" s="147"/>
      <c r="I24" s="93" t="str">
        <f t="shared" si="2"/>
        <v xml:space="preserve"> </v>
      </c>
      <c r="J24" s="93" t="str">
        <f t="shared" si="3"/>
        <v xml:space="preserve"> </v>
      </c>
      <c r="K24" s="104" t="str">
        <f>IF(Table62202732[[#This Row],[Non-Member]]="X"," ",IF(J24=" "," ",IFERROR(VLOOKUP(I24,Points!$A$2:$B$14,2,FALSE)," ")))</f>
        <v xml:space="preserve"> </v>
      </c>
      <c r="L24" s="147"/>
      <c r="M24" s="93" t="str">
        <f t="shared" si="4"/>
        <v xml:space="preserve"> </v>
      </c>
      <c r="N24" s="93" t="str">
        <f t="shared" si="5"/>
        <v xml:space="preserve"> </v>
      </c>
      <c r="O24" s="104" t="str">
        <f>IF(Table62202732[[#This Row],[Non-Member]]="X"," ",IF(N24=" "," ",IFERROR(VLOOKUP(M24,Points!$A$2:$B$14,2,FALSE)," ")))</f>
        <v xml:space="preserve"> </v>
      </c>
      <c r="P24" s="147"/>
      <c r="Q24" s="93" t="str">
        <f t="shared" si="6"/>
        <v xml:space="preserve"> </v>
      </c>
      <c r="R24" s="93" t="str">
        <f t="shared" si="7"/>
        <v xml:space="preserve"> </v>
      </c>
      <c r="S24" s="104" t="str">
        <f>IF(Table62202732[[#This Row],[Non-Member]]="X"," ",IF(R24=" "," ",IFERROR(VLOOKUP(Q24,Points!$A$2:$B$14,2,FALSE)," ")))</f>
        <v xml:space="preserve"> </v>
      </c>
      <c r="T24" s="147"/>
      <c r="U24" s="93" t="str">
        <f t="shared" si="8"/>
        <v xml:space="preserve"> </v>
      </c>
      <c r="V24" s="93" t="str">
        <f t="shared" si="9"/>
        <v xml:space="preserve"> </v>
      </c>
      <c r="W24" s="104" t="str">
        <f>IF(Table62202732[[#This Row],[Non-Member]]="X"," ",IF(V24=" "," ",IFERROR(VLOOKUP(U24,Points!$A$2:$B$14,2,FALSE)," ")))</f>
        <v xml:space="preserve"> </v>
      </c>
      <c r="X24" s="147"/>
      <c r="Y24" s="93" t="str">
        <f t="shared" si="10"/>
        <v xml:space="preserve"> </v>
      </c>
      <c r="Z24" s="93" t="str">
        <f t="shared" si="11"/>
        <v xml:space="preserve"> </v>
      </c>
      <c r="AA24" s="104" t="str">
        <f>IF(Table62202732[[#This Row],[Non-Member]]="X"," ",IF(Z24=" "," ",IFERROR(VLOOKUP(Y24,Points!$A$2:$B$14,2,FALSE)," ")))</f>
        <v xml:space="preserve"> </v>
      </c>
      <c r="AB24" s="147"/>
      <c r="AC24" s="93" t="str">
        <f t="shared" si="12"/>
        <v xml:space="preserve"> </v>
      </c>
      <c r="AD24" s="93" t="str">
        <f t="shared" si="13"/>
        <v xml:space="preserve"> </v>
      </c>
      <c r="AE24" s="104" t="str">
        <f>IF(Table62202732[[#This Row],[Non-Member]]="X"," ",IF(AD24=" "," ",IFERROR(VLOOKUP(AC24,Points!$A$2:$B$14,2,FALSE)," ")))</f>
        <v xml:space="preserve"> </v>
      </c>
      <c r="AF24" s="147" t="str">
        <f t="shared" si="14"/>
        <v xml:space="preserve"> </v>
      </c>
      <c r="AG24" s="96" t="e">
        <f t="shared" si="15"/>
        <v>#VALUE!</v>
      </c>
      <c r="AH24" s="93" t="str">
        <f t="shared" si="16"/>
        <v xml:space="preserve"> </v>
      </c>
      <c r="AI24" s="104" t="str">
        <f>IF(Table62202732[[#This Row],[Non-Member]]="X"," ",IF(AH24=" "," ",IFERROR(VLOOKUP(AG24,Points!$A$2:$B$14,2,FALSE)," ")))</f>
        <v xml:space="preserve"> </v>
      </c>
      <c r="AJ24" s="93">
        <f>IF(Table62202732[[#This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7"/>
    </row>
  </sheetData>
  <sheetProtection algorithmName="SHA-512" hashValue="LMysU01LZLS2h1ov2FaWVFnrxILiWXkuk27ib8il/lEWkDfj19eFj1gkyetDZkd1g/i/tb96XMRJGIVsgvFhLA==" saltValue="x/8IDSJ3nq3U64iTi6pzI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42F1-791C-400C-BE31-6ACF3262A6ED}">
  <sheetPr codeName="Sheet49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63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67</v>
      </c>
      <c r="C5" s="84"/>
      <c r="D5" s="85">
        <v>13.7</v>
      </c>
      <c r="E5" s="86">
        <f t="shared" ref="E5:E24" si="0">IF(D5=0," ",_xlfn.RANK.AVG(D5,D$5:D$24,1)-COUNTIF(D$5:D$24,0))</f>
        <v>2</v>
      </c>
      <c r="F5" s="86">
        <f t="shared" ref="F5:F24" si="1">IF(D5=0," ",IF((RANK(D5,D$5:D$24,1)-COUNTIF(D$5:D$24,0)&gt;6)," ",RANK(D5,D$5:D$24,1)-COUNTIF(D$5:D$24,0)))</f>
        <v>2</v>
      </c>
      <c r="G5" s="87">
        <f>IF(Table6220273233[[#This Row],[Non-Member]]="X"," ",IF(F5=" "," ",IFERROR(VLOOKUP(E5,Points!$A$2:$B$14,2,FALSE)," ")))</f>
        <v>15</v>
      </c>
      <c r="H5" s="85">
        <v>18.41</v>
      </c>
      <c r="I5" s="86">
        <f t="shared" ref="I5:I24" si="2">IF(H5=0," ",_xlfn.RANK.AVG(H5,H$5:H$24,1)-COUNTIF(H$5:H$24,0))</f>
        <v>3</v>
      </c>
      <c r="J5" s="86">
        <f t="shared" ref="J5:J24" si="3">IF(H5=0," ",IF((RANK(H5,H$5:H$24,1)-COUNTIF(H$5:H$24,0)&gt;6)," ",RANK(H5,H$5:H$24,1)-COUNTIF(H$5:H$24,0)))</f>
        <v>3</v>
      </c>
      <c r="K5" s="87">
        <f>IF(Table6220273233[[#This Row],[Non-Member]]="X"," ",IF(J5=" "," ",IFERROR(VLOOKUP(I5,Points!$A$2:$B$14,2,FALSE)," ")))</f>
        <v>12</v>
      </c>
      <c r="L5" s="85">
        <v>12.05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IF(Table6220273233[[#This Row],[Non-Member]]="X"," ",IF(N5=" "," ",IFERROR(VLOOKUP(M5,Points!$A$2:$B$14,2,FALSE)," ")))</f>
        <v>15</v>
      </c>
      <c r="P5" s="85">
        <v>16.73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IF(Table6220273233[[#This Row],[Non-Member]]="X"," ",IF(R5=" "," ",IFERROR(VLOOKUP(Q5,Points!$A$2:$B$14,2,FALSE)," ")))</f>
        <v>18</v>
      </c>
      <c r="T5" s="85">
        <v>11.82</v>
      </c>
      <c r="U5" s="86">
        <f t="shared" ref="U5:U24" si="8">IF(T5=0," ",_xlfn.RANK.AVG(T5,T$5:T$24,1)-COUNTIF(T$5:T$24,0))</f>
        <v>3</v>
      </c>
      <c r="V5" s="86">
        <f t="shared" ref="V5:V24" si="9">IF(T5=0," ",IF((RANK(T5,T$5:T$24,1)-COUNTIF(T$5:T$24,0)&gt;6)," ",RANK(T5,T$5:T$24,1)-COUNTIF(T$5:T$24,0)))</f>
        <v>3</v>
      </c>
      <c r="W5" s="87">
        <f>IF(Table6220273233[[#This Row],[Non-Member]]="X"," ",IF(V5=" "," ",IFERROR(VLOOKUP(U5,Points!$A$2:$B$14,2,FALSE)," ")))</f>
        <v>12</v>
      </c>
      <c r="X5" s="85">
        <v>10.38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IF(Table6220273233[[#This Row],[Non-Member]]="X"," ",IF(Z5=" "," ",IFERROR(VLOOKUP(Y5,Points!$A$2:$B$14,2,FALSE)," ")))</f>
        <v>18</v>
      </c>
      <c r="AB5" s="85">
        <v>13.91</v>
      </c>
      <c r="AC5" s="86">
        <f t="shared" ref="AC5:AC24" si="12">IF(AB5=0," ",_xlfn.RANK.AVG(AB5,AB$5:AB$24,1)-COUNTIF(AB$5:AB$24,0))</f>
        <v>2</v>
      </c>
      <c r="AD5" s="86">
        <f t="shared" ref="AD5:AD24" si="13">IF(AB5=0," ",IF((RANK(AB5,AB$5:AB$24,1)-COUNTIF(AB$5:AB$24,0)&gt;6)," ",RANK(AB5,AB$5:AB$24,1)-COUNTIF(AB$5:AB$24,0)))</f>
        <v>2</v>
      </c>
      <c r="AE5" s="87">
        <f>IF(Table6220273233[[#This Row],[Non-Member]]="X"," ",IF(AD5=" "," ",IFERROR(VLOOKUP(AC5,Points!$A$2:$B$14,2,FALSE)," ")))</f>
        <v>15</v>
      </c>
      <c r="AF5" s="85">
        <f t="shared" ref="AF5:AF24" si="14">IF(OR(X5=0,AB5=0)," ",X5+AB5)</f>
        <v>24.29</v>
      </c>
      <c r="AG5" s="86">
        <f t="shared" ref="AG5:AG24" si="15">IF(OR(AF5=0,AF5=" ")," ",_xlfn.RANK.AVG(AF5,AF$5:AF$24,1)-COUNTIF(AF$5:AF$24,0))</f>
        <v>1</v>
      </c>
      <c r="AH5" s="86">
        <f t="shared" ref="AH5:AH24" si="16">IF(OR(AF5=0,AF5=" ")," ",IF((RANK(AF5,AF$5:AF$24,1)-COUNTIF(AF$5:AF$24,0)&gt;6)," ",RANK(AF5,AF$5:AF$24,1)-COUNTIF(AF$5:AF$24,0)))</f>
        <v>1</v>
      </c>
      <c r="AI5" s="87">
        <f>IF(Table6220273233[[#This Row],[Non-Member]]="X"," ",IF(AH5=" "," ",IFERROR(VLOOKUP(AG5,Points!$A$2:$B$14,2,FALSE)," ")))</f>
        <v>18</v>
      </c>
      <c r="AJ5" s="86">
        <f>IF(Table6220273233[[#This Row],[Non-Member]]="X"," ",((IF(G5=" ",0,G5))+(IF(K5=" ",0,K5))+(IF(O5=" ",0,O5))+(IF(S5=" ",0,S5))+(IF(W5=" ",0,W5))+(IF(AA5=" ",0,AA5))+(IF(AE5=" ",0,AE5))+(IF(AI5=" ",0,AI5))))</f>
        <v>123</v>
      </c>
      <c r="AK5" s="88">
        <f t="shared" ref="AK5:AK24" si="17">IF(AJ5=0," ",AJ5)</f>
        <v>123</v>
      </c>
      <c r="AL5" s="89">
        <f t="shared" ref="AL5:AL24" si="18">IF(AK5=" "," ",RANK(AK5,$AK$5:$AK$24))</f>
        <v>1</v>
      </c>
    </row>
    <row r="6" spans="2:38" x14ac:dyDescent="0.25">
      <c r="B6" s="90" t="s">
        <v>73</v>
      </c>
      <c r="C6" s="91"/>
      <c r="D6" s="92">
        <v>12.2</v>
      </c>
      <c r="E6" s="93">
        <f t="shared" si="0"/>
        <v>1</v>
      </c>
      <c r="F6" s="93">
        <f t="shared" si="1"/>
        <v>1</v>
      </c>
      <c r="G6" s="94">
        <f>IF(Table6220273233[[#This Row],[Non-Member]]="X"," ",IF(F6=" "," ",IFERROR(VLOOKUP(E6,Points!$A$2:$B$14,2,FALSE)," ")))</f>
        <v>18</v>
      </c>
      <c r="H6" s="92">
        <v>13.7</v>
      </c>
      <c r="I6" s="93">
        <f t="shared" si="2"/>
        <v>1</v>
      </c>
      <c r="J6" s="93">
        <f t="shared" si="3"/>
        <v>1</v>
      </c>
      <c r="K6" s="94">
        <f>IF(Table6220273233[[#This Row],[Non-Member]]="X"," ",IF(J6=" "," ",IFERROR(VLOOKUP(I6,Points!$A$2:$B$14,2,FALSE)," ")))</f>
        <v>18</v>
      </c>
      <c r="L6" s="92">
        <v>11.93</v>
      </c>
      <c r="M6" s="93">
        <f t="shared" si="4"/>
        <v>1</v>
      </c>
      <c r="N6" s="93">
        <f t="shared" si="5"/>
        <v>1</v>
      </c>
      <c r="O6" s="94">
        <f>IF(Table6220273233[[#This Row],[Non-Member]]="X"," ",IF(N6=" "," ",IFERROR(VLOOKUP(M6,Points!$A$2:$B$14,2,FALSE)," ")))</f>
        <v>18</v>
      </c>
      <c r="P6" s="92">
        <v>0</v>
      </c>
      <c r="Q6" s="93" t="str">
        <f t="shared" si="6"/>
        <v xml:space="preserve"> </v>
      </c>
      <c r="R6" s="93" t="str">
        <f t="shared" si="7"/>
        <v xml:space="preserve"> </v>
      </c>
      <c r="S6" s="94" t="str">
        <f>IF(Table6220273233[[#This Row],[Non-Member]]="X"," ",IF(R6=" "," ",IFERROR(VLOOKUP(Q6,Points!$A$2:$B$14,2,FALSE)," ")))</f>
        <v xml:space="preserve"> </v>
      </c>
      <c r="T6" s="92">
        <v>9.8800000000000008</v>
      </c>
      <c r="U6" s="93">
        <f t="shared" si="8"/>
        <v>1</v>
      </c>
      <c r="V6" s="93">
        <f t="shared" si="9"/>
        <v>1</v>
      </c>
      <c r="W6" s="94">
        <f>IF(Table6220273233[[#This Row],[Non-Member]]="X"," ",IF(V6=" "," ",IFERROR(VLOOKUP(U6,Points!$A$2:$B$14,2,FALSE)," ")))</f>
        <v>18</v>
      </c>
      <c r="X6" s="92">
        <v>13.91</v>
      </c>
      <c r="Y6" s="93">
        <f t="shared" si="10"/>
        <v>4</v>
      </c>
      <c r="Z6" s="93">
        <f t="shared" si="11"/>
        <v>4</v>
      </c>
      <c r="AA6" s="94">
        <f>IF(Table6220273233[[#This Row],[Non-Member]]="X"," ",IF(Z6=" "," ",IFERROR(VLOOKUP(Y6,Points!$A$2:$B$14,2,FALSE)," ")))</f>
        <v>9</v>
      </c>
      <c r="AB6" s="92">
        <v>11.9</v>
      </c>
      <c r="AC6" s="93">
        <f t="shared" si="12"/>
        <v>1</v>
      </c>
      <c r="AD6" s="93">
        <f t="shared" si="13"/>
        <v>1</v>
      </c>
      <c r="AE6" s="94">
        <f>IF(Table6220273233[[#This Row],[Non-Member]]="X"," ",IF(AD6=" "," ",IFERROR(VLOOKUP(AC6,Points!$A$2:$B$14,2,FALSE)," ")))</f>
        <v>18</v>
      </c>
      <c r="AF6" s="92">
        <f t="shared" si="14"/>
        <v>25.810000000000002</v>
      </c>
      <c r="AG6" s="93">
        <f t="shared" si="15"/>
        <v>2</v>
      </c>
      <c r="AH6" s="93">
        <f t="shared" si="16"/>
        <v>2</v>
      </c>
      <c r="AI6" s="94">
        <f>IF(Table6220273233[[#This Row],[Non-Member]]="X"," ",IF(AH6=" "," ",IFERROR(VLOOKUP(AG6,Points!$A$2:$B$14,2,FALSE)," ")))</f>
        <v>15</v>
      </c>
      <c r="AJ6" s="93">
        <f>IF(Table6220273233[[#This Row],[Non-Member]]="X"," ",((IF(G6=" ",0,G6))+(IF(K6=" ",0,K6))+(IF(O6=" ",0,O6))+(IF(S6=" ",0,S6))+(IF(W6=" ",0,W6))+(IF(AA6=" ",0,AA6))+(IF(AE6=" ",0,AE6))+(IF(AI6=" ",0,AI6))))</f>
        <v>114</v>
      </c>
      <c r="AK6" s="95">
        <f t="shared" si="17"/>
        <v>114</v>
      </c>
      <c r="AL6" s="96">
        <f t="shared" si="18"/>
        <v>2</v>
      </c>
    </row>
    <row r="7" spans="2:38" x14ac:dyDescent="0.25">
      <c r="B7" s="90" t="s">
        <v>70</v>
      </c>
      <c r="C7" s="91"/>
      <c r="D7" s="92">
        <v>27.07</v>
      </c>
      <c r="E7" s="93">
        <f t="shared" si="0"/>
        <v>4</v>
      </c>
      <c r="F7" s="93">
        <f t="shared" si="1"/>
        <v>4</v>
      </c>
      <c r="G7" s="94">
        <f>IF(Table6220273233[[#This Row],[Non-Member]]="X"," ",IF(F7=" "," ",IFERROR(VLOOKUP(E7,Points!$A$2:$B$14,2,FALSE)," ")))</f>
        <v>9</v>
      </c>
      <c r="H7" s="92">
        <v>16.71</v>
      </c>
      <c r="I7" s="93">
        <f t="shared" si="2"/>
        <v>2</v>
      </c>
      <c r="J7" s="93">
        <f t="shared" si="3"/>
        <v>2</v>
      </c>
      <c r="K7" s="94">
        <f>IF(Table6220273233[[#This Row],[Non-Member]]="X"," ",IF(J7=" "," ",IFERROR(VLOOKUP(I7,Points!$A$2:$B$14,2,FALSE)," ")))</f>
        <v>15</v>
      </c>
      <c r="L7" s="92">
        <v>16.77</v>
      </c>
      <c r="M7" s="93">
        <f t="shared" si="4"/>
        <v>3</v>
      </c>
      <c r="N7" s="93">
        <f t="shared" si="5"/>
        <v>3</v>
      </c>
      <c r="O7" s="94">
        <f>IF(Table6220273233[[#This Row],[Non-Member]]="X"," ",IF(N7=" "," ",IFERROR(VLOOKUP(M7,Points!$A$2:$B$14,2,FALSE)," ")))</f>
        <v>12</v>
      </c>
      <c r="P7" s="92">
        <v>17.82</v>
      </c>
      <c r="Q7" s="93">
        <f t="shared" si="6"/>
        <v>2</v>
      </c>
      <c r="R7" s="93">
        <f t="shared" si="7"/>
        <v>2</v>
      </c>
      <c r="S7" s="94">
        <f>IF(Table6220273233[[#This Row],[Non-Member]]="X"," ",IF(R7=" "," ",IFERROR(VLOOKUP(Q7,Points!$A$2:$B$14,2,FALSE)," ")))</f>
        <v>15</v>
      </c>
      <c r="T7" s="92">
        <v>10.82</v>
      </c>
      <c r="U7" s="93">
        <f t="shared" si="8"/>
        <v>2</v>
      </c>
      <c r="V7" s="93">
        <f t="shared" si="9"/>
        <v>2</v>
      </c>
      <c r="W7" s="94">
        <f>IF(Table6220273233[[#This Row],[Non-Member]]="X"," ",IF(V7=" "," ",IFERROR(VLOOKUP(U7,Points!$A$2:$B$14,2,FALSE)," ")))</f>
        <v>15</v>
      </c>
      <c r="X7" s="92">
        <v>12.82</v>
      </c>
      <c r="Y7" s="93">
        <f t="shared" si="10"/>
        <v>2</v>
      </c>
      <c r="Z7" s="93">
        <f t="shared" si="11"/>
        <v>2</v>
      </c>
      <c r="AA7" s="94">
        <f>IF(Table6220273233[[#This Row],[Non-Member]]="X"," ",IF(Z7=" "," ",IFERROR(VLOOKUP(Y7,Points!$A$2:$B$14,2,FALSE)," ")))</f>
        <v>15</v>
      </c>
      <c r="AB7" s="92">
        <v>16.91</v>
      </c>
      <c r="AC7" s="93">
        <f t="shared" si="12"/>
        <v>3</v>
      </c>
      <c r="AD7" s="93">
        <f t="shared" si="13"/>
        <v>3</v>
      </c>
      <c r="AE7" s="94">
        <f>IF(Table6220273233[[#This Row],[Non-Member]]="X"," ",IF(AD7=" "," ",IFERROR(VLOOKUP(AC7,Points!$A$2:$B$14,2,FALSE)," ")))</f>
        <v>12</v>
      </c>
      <c r="AF7" s="92">
        <f t="shared" si="14"/>
        <v>29.73</v>
      </c>
      <c r="AG7" s="93">
        <f t="shared" si="15"/>
        <v>3</v>
      </c>
      <c r="AH7" s="93">
        <f t="shared" si="16"/>
        <v>3</v>
      </c>
      <c r="AI7" s="94">
        <f>IF(Table6220273233[[#This Row],[Non-Member]]="X"," ",IF(AH7=" "," ",IFERROR(VLOOKUP(AG7,Points!$A$2:$B$14,2,FALSE)," ")))</f>
        <v>12</v>
      </c>
      <c r="AJ7" s="93">
        <f>IF(Table6220273233[[#This Row],[Non-Member]]="X"," ",((IF(G7=" ",0,G7))+(IF(K7=" ",0,K7))+(IF(O7=" ",0,O7))+(IF(S7=" ",0,S7))+(IF(W7=" ",0,W7))+(IF(AA7=" ",0,AA7))+(IF(AE7=" ",0,AE7))+(IF(AI7=" ",0,AI7))))</f>
        <v>105</v>
      </c>
      <c r="AK7" s="95">
        <f t="shared" si="17"/>
        <v>105</v>
      </c>
      <c r="AL7" s="96">
        <f t="shared" si="18"/>
        <v>3</v>
      </c>
    </row>
    <row r="8" spans="2:38" x14ac:dyDescent="0.25">
      <c r="B8" s="90" t="s">
        <v>74</v>
      </c>
      <c r="C8" s="91"/>
      <c r="D8" s="92">
        <v>33.26</v>
      </c>
      <c r="E8" s="93">
        <f t="shared" si="0"/>
        <v>5</v>
      </c>
      <c r="F8" s="93">
        <f t="shared" si="1"/>
        <v>5</v>
      </c>
      <c r="G8" s="94">
        <f>IF(Table6220273233[[#This Row],[Non-Member]]="X"," ",IF(F8=" "," ",IFERROR(VLOOKUP(E8,Points!$A$2:$B$14,2,FALSE)," ")))</f>
        <v>6</v>
      </c>
      <c r="H8" s="92">
        <v>19.53</v>
      </c>
      <c r="I8" s="93">
        <f t="shared" si="2"/>
        <v>4</v>
      </c>
      <c r="J8" s="93">
        <f t="shared" si="3"/>
        <v>4</v>
      </c>
      <c r="K8" s="94">
        <f>IF(Table6220273233[[#This Row],[Non-Member]]="X"," ",IF(J8=" "," ",IFERROR(VLOOKUP(I8,Points!$A$2:$B$14,2,FALSE)," ")))</f>
        <v>9</v>
      </c>
      <c r="L8" s="92">
        <v>19.559999999999999</v>
      </c>
      <c r="M8" s="93">
        <f t="shared" si="4"/>
        <v>5</v>
      </c>
      <c r="N8" s="93">
        <f t="shared" si="5"/>
        <v>5</v>
      </c>
      <c r="O8" s="94">
        <f>IF(Table6220273233[[#This Row],[Non-Member]]="X"," ",IF(N8=" "," ",IFERROR(VLOOKUP(M8,Points!$A$2:$B$14,2,FALSE)," ")))</f>
        <v>6</v>
      </c>
      <c r="P8" s="92">
        <v>18.71</v>
      </c>
      <c r="Q8" s="93">
        <f t="shared" si="6"/>
        <v>4</v>
      </c>
      <c r="R8" s="93">
        <f t="shared" si="7"/>
        <v>4</v>
      </c>
      <c r="S8" s="94">
        <f>IF(Table6220273233[[#This Row],[Non-Member]]="X"," ",IF(R8=" "," ",IFERROR(VLOOKUP(Q8,Points!$A$2:$B$14,2,FALSE)," ")))</f>
        <v>9</v>
      </c>
      <c r="T8" s="92">
        <v>15.97</v>
      </c>
      <c r="U8" s="93">
        <f t="shared" si="8"/>
        <v>5</v>
      </c>
      <c r="V8" s="93">
        <f t="shared" si="9"/>
        <v>5</v>
      </c>
      <c r="W8" s="94">
        <f>IF(Table6220273233[[#This Row],[Non-Member]]="X"," ",IF(V8=" "," ",IFERROR(VLOOKUP(U8,Points!$A$2:$B$14,2,FALSE)," ")))</f>
        <v>6</v>
      </c>
      <c r="X8" s="92">
        <v>17.5</v>
      </c>
      <c r="Y8" s="93">
        <f t="shared" si="10"/>
        <v>5</v>
      </c>
      <c r="Z8" s="93">
        <f t="shared" si="11"/>
        <v>5</v>
      </c>
      <c r="AA8" s="94">
        <f>IF(Table6220273233[[#This Row],[Non-Member]]="X"," ",IF(Z8=" "," ",IFERROR(VLOOKUP(Y8,Points!$A$2:$B$14,2,FALSE)," ")))</f>
        <v>6</v>
      </c>
      <c r="AB8" s="92">
        <v>21.03</v>
      </c>
      <c r="AC8" s="93">
        <f t="shared" si="12"/>
        <v>5</v>
      </c>
      <c r="AD8" s="93">
        <f t="shared" si="13"/>
        <v>5</v>
      </c>
      <c r="AE8" s="94">
        <f>IF(Table6220273233[[#This Row],[Non-Member]]="X"," ",IF(AD8=" "," ",IFERROR(VLOOKUP(AC8,Points!$A$2:$B$14,2,FALSE)," ")))</f>
        <v>6</v>
      </c>
      <c r="AF8" s="92">
        <f t="shared" si="14"/>
        <v>38.53</v>
      </c>
      <c r="AG8" s="93">
        <f t="shared" si="15"/>
        <v>6</v>
      </c>
      <c r="AH8" s="93">
        <f t="shared" si="16"/>
        <v>6</v>
      </c>
      <c r="AI8" s="94">
        <f>IF(Table6220273233[[#This Row],[Non-Member]]="X"," ",IF(AH8=" "," ",IFERROR(VLOOKUP(AG8,Points!$A$2:$B$14,2,FALSE)," ")))</f>
        <v>3</v>
      </c>
      <c r="AJ8" s="93">
        <f>IF(Table6220273233[[#This Row],[Non-Member]]="X"," ",((IF(G8=" ",0,G8))+(IF(K8=" ",0,K8))+(IF(O8=" ",0,O8))+(IF(S8=" ",0,S8))+(IF(W8=" ",0,W8))+(IF(AA8=" ",0,AA8))+(IF(AE8=" ",0,AE8))+(IF(AI8=" ",0,AI8))))</f>
        <v>51</v>
      </c>
      <c r="AK8" s="95">
        <f t="shared" si="17"/>
        <v>51</v>
      </c>
      <c r="AL8" s="96">
        <f t="shared" si="18"/>
        <v>4</v>
      </c>
    </row>
    <row r="9" spans="2:38" x14ac:dyDescent="0.25">
      <c r="B9" s="90" t="s">
        <v>231</v>
      </c>
      <c r="C9" s="91"/>
      <c r="D9" s="92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IF(Table6220273233[[#This Row],[Non-Member]]="X"," ",IF(F9=" "," ",IFERROR(VLOOKUP(E9,Points!$A$2:$B$14,2,FALSE)," ")))</f>
        <v xml:space="preserve"> </v>
      </c>
      <c r="H9" s="92">
        <v>23.06</v>
      </c>
      <c r="I9" s="93">
        <f t="shared" si="2"/>
        <v>6</v>
      </c>
      <c r="J9" s="93">
        <f t="shared" si="3"/>
        <v>6</v>
      </c>
      <c r="K9" s="94">
        <f>IF(Table6220273233[[#This Row],[Non-Member]]="X"," ",IF(J9=" "," ",IFERROR(VLOOKUP(I9,Points!$A$2:$B$14,2,FALSE)," ")))</f>
        <v>3</v>
      </c>
      <c r="L9" s="92">
        <v>18.309999999999999</v>
      </c>
      <c r="M9" s="93">
        <f t="shared" si="4"/>
        <v>4</v>
      </c>
      <c r="N9" s="93">
        <f t="shared" si="5"/>
        <v>4</v>
      </c>
      <c r="O9" s="94">
        <f>IF(Table6220273233[[#This Row],[Non-Member]]="X"," ",IF(N9=" "," ",IFERROR(VLOOKUP(M9,Points!$A$2:$B$14,2,FALSE)," ")))</f>
        <v>9</v>
      </c>
      <c r="P9" s="92">
        <v>25.54</v>
      </c>
      <c r="Q9" s="93">
        <f t="shared" si="6"/>
        <v>7</v>
      </c>
      <c r="R9" s="93" t="str">
        <f t="shared" si="7"/>
        <v xml:space="preserve"> </v>
      </c>
      <c r="S9" s="94" t="str">
        <f>IF(Table6220273233[[#This Row],[Non-Member]]="X"," ",IF(R9=" "," ",IFERROR(VLOOKUP(Q9,Points!$A$2:$B$14,2,FALSE)," ")))</f>
        <v xml:space="preserve"> </v>
      </c>
      <c r="T9" s="92">
        <v>15.56</v>
      </c>
      <c r="U9" s="93">
        <f t="shared" si="8"/>
        <v>4</v>
      </c>
      <c r="V9" s="93">
        <f t="shared" si="9"/>
        <v>4</v>
      </c>
      <c r="W9" s="94">
        <f>IF(Table6220273233[[#This Row],[Non-Member]]="X"," ",IF(V9=" "," ",IFERROR(VLOOKUP(U9,Points!$A$2:$B$14,2,FALSE)," ")))</f>
        <v>9</v>
      </c>
      <c r="X9" s="92">
        <v>17.97</v>
      </c>
      <c r="Y9" s="93">
        <f t="shared" si="10"/>
        <v>6</v>
      </c>
      <c r="Z9" s="93">
        <f t="shared" si="11"/>
        <v>6</v>
      </c>
      <c r="AA9" s="94">
        <f>IF(Table6220273233[[#This Row],[Non-Member]]="X"," ",IF(Z9=" "," ",IFERROR(VLOOKUP(Y9,Points!$A$2:$B$14,2,FALSE)," ")))</f>
        <v>3</v>
      </c>
      <c r="AB9" s="92">
        <v>17.87</v>
      </c>
      <c r="AC9" s="93">
        <f t="shared" si="12"/>
        <v>4</v>
      </c>
      <c r="AD9" s="93">
        <f t="shared" si="13"/>
        <v>4</v>
      </c>
      <c r="AE9" s="94">
        <f>IF(Table6220273233[[#This Row],[Non-Member]]="X"," ",IF(AD9=" "," ",IFERROR(VLOOKUP(AC9,Points!$A$2:$B$14,2,FALSE)," ")))</f>
        <v>9</v>
      </c>
      <c r="AF9" s="92">
        <f t="shared" si="14"/>
        <v>35.840000000000003</v>
      </c>
      <c r="AG9" s="93">
        <f t="shared" si="15"/>
        <v>5</v>
      </c>
      <c r="AH9" s="93">
        <f t="shared" si="16"/>
        <v>5</v>
      </c>
      <c r="AI9" s="94">
        <f>IF(Table6220273233[[#This Row],[Non-Member]]="X"," ",IF(AH9=" "," ",IFERROR(VLOOKUP(AG9,Points!$A$2:$B$14,2,FALSE)," ")))</f>
        <v>6</v>
      </c>
      <c r="AJ9" s="93">
        <f>IF(Table6220273233[[#This Row],[Non-Member]]="X"," ",((IF(G9=" ",0,G9))+(IF(K9=" ",0,K9))+(IF(O9=" ",0,O9))+(IF(S9=" ",0,S9))+(IF(W9=" ",0,W9))+(IF(AA9=" ",0,AA9))+(IF(AE9=" ",0,AE9))+(IF(AI9=" ",0,AI9))))</f>
        <v>39</v>
      </c>
      <c r="AK9" s="95">
        <f t="shared" si="17"/>
        <v>39</v>
      </c>
      <c r="AL9" s="96">
        <f t="shared" si="18"/>
        <v>5</v>
      </c>
    </row>
    <row r="10" spans="2:38" x14ac:dyDescent="0.25">
      <c r="B10" s="90" t="s">
        <v>72</v>
      </c>
      <c r="C10" s="91"/>
      <c r="D10" s="92">
        <v>43.6</v>
      </c>
      <c r="E10" s="93">
        <f t="shared" si="0"/>
        <v>6</v>
      </c>
      <c r="F10" s="93">
        <f t="shared" si="1"/>
        <v>6</v>
      </c>
      <c r="G10" s="94">
        <f>IF(Table6220273233[[#This Row],[Non-Member]]="X"," ",IF(F10=" "," ",IFERROR(VLOOKUP(E10,Points!$A$2:$B$14,2,FALSE)," ")))</f>
        <v>3</v>
      </c>
      <c r="H10" s="92">
        <v>23.19</v>
      </c>
      <c r="I10" s="93">
        <f t="shared" si="2"/>
        <v>7</v>
      </c>
      <c r="J10" s="93" t="str">
        <f t="shared" si="3"/>
        <v xml:space="preserve"> </v>
      </c>
      <c r="K10" s="94" t="str">
        <f>IF(Table6220273233[[#This Row],[Non-Member]]="X"," ",IF(J10=" "," ",IFERROR(VLOOKUP(I10,Points!$A$2:$B$14,2,FALSE)," ")))</f>
        <v xml:space="preserve"> </v>
      </c>
      <c r="L10" s="92">
        <v>31.13</v>
      </c>
      <c r="M10" s="93">
        <f t="shared" si="4"/>
        <v>8</v>
      </c>
      <c r="N10" s="93" t="str">
        <f t="shared" si="5"/>
        <v xml:space="preserve"> </v>
      </c>
      <c r="O10" s="94" t="str">
        <f>IF(Table6220273233[[#This Row],[Non-Member]]="X"," ",IF(N10=" "," ",IFERROR(VLOOKUP(M10,Points!$A$2:$B$14,2,FALSE)," ")))</f>
        <v xml:space="preserve"> </v>
      </c>
      <c r="P10" s="92">
        <v>18.489999999999998</v>
      </c>
      <c r="Q10" s="93">
        <f t="shared" si="6"/>
        <v>3</v>
      </c>
      <c r="R10" s="93">
        <f t="shared" si="7"/>
        <v>3</v>
      </c>
      <c r="S10" s="94">
        <f>IF(Table6220273233[[#This Row],[Non-Member]]="X"," ",IF(R10=" "," ",IFERROR(VLOOKUP(Q10,Points!$A$2:$B$14,2,FALSE)," ")))</f>
        <v>12</v>
      </c>
      <c r="T10" s="92">
        <v>25.72</v>
      </c>
      <c r="U10" s="93">
        <f t="shared" si="8"/>
        <v>7</v>
      </c>
      <c r="V10" s="93" t="str">
        <f t="shared" si="9"/>
        <v xml:space="preserve"> </v>
      </c>
      <c r="W10" s="94" t="str">
        <f>IF(Table6220273233[[#This Row],[Non-Member]]="X"," ",IF(V10=" "," ",IFERROR(VLOOKUP(U10,Points!$A$2:$B$14,2,FALSE)," ")))</f>
        <v xml:space="preserve"> </v>
      </c>
      <c r="X10" s="92">
        <v>13.85</v>
      </c>
      <c r="Y10" s="93">
        <f t="shared" si="10"/>
        <v>3</v>
      </c>
      <c r="Z10" s="93">
        <f t="shared" si="11"/>
        <v>3</v>
      </c>
      <c r="AA10" s="94">
        <f>IF(Table6220273233[[#This Row],[Non-Member]]="X"," ",IF(Z10=" "," ",IFERROR(VLOOKUP(Y10,Points!$A$2:$B$14,2,FALSE)," ")))</f>
        <v>12</v>
      </c>
      <c r="AB10" s="92">
        <v>21.75</v>
      </c>
      <c r="AC10" s="93">
        <f t="shared" si="12"/>
        <v>7</v>
      </c>
      <c r="AD10" s="93" t="str">
        <f t="shared" si="13"/>
        <v xml:space="preserve"> </v>
      </c>
      <c r="AE10" s="94" t="str">
        <f>IF(Table6220273233[[#This Row],[Non-Member]]="X"," ",IF(AD10=" "," ",IFERROR(VLOOKUP(AC10,Points!$A$2:$B$14,2,FALSE)," ")))</f>
        <v xml:space="preserve"> </v>
      </c>
      <c r="AF10" s="92">
        <f t="shared" si="14"/>
        <v>35.6</v>
      </c>
      <c r="AG10" s="93">
        <f t="shared" si="15"/>
        <v>4</v>
      </c>
      <c r="AH10" s="93">
        <f t="shared" si="16"/>
        <v>4</v>
      </c>
      <c r="AI10" s="94">
        <f>IF(Table6220273233[[#This Row],[Non-Member]]="X"," ",IF(AH10=" "," ",IFERROR(VLOOKUP(AG10,Points!$A$2:$B$14,2,FALSE)," ")))</f>
        <v>9</v>
      </c>
      <c r="AJ10" s="93">
        <f>IF(Table6220273233[[#This Row],[Non-Member]]="X"," ",((IF(G10=" ",0,G10))+(IF(K10=" ",0,K10))+(IF(O10=" ",0,O10))+(IF(S10=" ",0,S10))+(IF(W10=" ",0,W10))+(IF(AA10=" ",0,AA10))+(IF(AE10=" ",0,AE10))+(IF(AI10=" ",0,AI10))))</f>
        <v>36</v>
      </c>
      <c r="AK10" s="95">
        <f t="shared" si="17"/>
        <v>36</v>
      </c>
      <c r="AL10" s="96">
        <f t="shared" si="18"/>
        <v>6</v>
      </c>
    </row>
    <row r="11" spans="2:38" x14ac:dyDescent="0.25">
      <c r="B11" s="90" t="s">
        <v>232</v>
      </c>
      <c r="C11" s="91"/>
      <c r="D11" s="92">
        <v>25.44</v>
      </c>
      <c r="E11" s="93">
        <f t="shared" si="0"/>
        <v>3</v>
      </c>
      <c r="F11" s="93">
        <f t="shared" si="1"/>
        <v>3</v>
      </c>
      <c r="G11" s="94">
        <f>IF(Table6220273233[[#This Row],[Non-Member]]="X"," ",IF(F11=" "," ",IFERROR(VLOOKUP(E11,Points!$A$2:$B$14,2,FALSE)," ")))</f>
        <v>12</v>
      </c>
      <c r="H11" s="92">
        <v>22.44</v>
      </c>
      <c r="I11" s="93">
        <f t="shared" si="2"/>
        <v>5</v>
      </c>
      <c r="J11" s="93">
        <f t="shared" si="3"/>
        <v>5</v>
      </c>
      <c r="K11" s="94">
        <f>IF(Table6220273233[[#This Row],[Non-Member]]="X"," ",IF(J11=" "," ",IFERROR(VLOOKUP(I11,Points!$A$2:$B$14,2,FALSE)," ")))</f>
        <v>6</v>
      </c>
      <c r="L11" s="92">
        <v>21.4</v>
      </c>
      <c r="M11" s="93">
        <f t="shared" si="4"/>
        <v>7</v>
      </c>
      <c r="N11" s="93" t="str">
        <f t="shared" si="5"/>
        <v xml:space="preserve"> </v>
      </c>
      <c r="O11" s="94" t="str">
        <f>IF(Table6220273233[[#This Row],[Non-Member]]="X"," ",IF(N11=" "," ",IFERROR(VLOOKUP(M11,Points!$A$2:$B$14,2,FALSE)," ")))</f>
        <v xml:space="preserve"> </v>
      </c>
      <c r="P11" s="92">
        <v>25.13</v>
      </c>
      <c r="Q11" s="93">
        <f t="shared" si="6"/>
        <v>6</v>
      </c>
      <c r="R11" s="93">
        <f t="shared" si="7"/>
        <v>6</v>
      </c>
      <c r="S11" s="94">
        <f>IF(Table6220273233[[#This Row],[Non-Member]]="X"," ",IF(R11=" "," ",IFERROR(VLOOKUP(Q11,Points!$A$2:$B$14,2,FALSE)," ")))</f>
        <v>3</v>
      </c>
      <c r="T11" s="92">
        <v>18.899999999999999</v>
      </c>
      <c r="U11" s="93">
        <f t="shared" si="8"/>
        <v>6</v>
      </c>
      <c r="V11" s="93">
        <f t="shared" si="9"/>
        <v>6</v>
      </c>
      <c r="W11" s="94">
        <f>IF(Table6220273233[[#This Row],[Non-Member]]="X"," ",IF(V11=" "," ",IFERROR(VLOOKUP(U11,Points!$A$2:$B$14,2,FALSE)," ")))</f>
        <v>3</v>
      </c>
      <c r="X11" s="92">
        <v>18.97</v>
      </c>
      <c r="Y11" s="93">
        <f t="shared" si="10"/>
        <v>7</v>
      </c>
      <c r="Z11" s="93" t="str">
        <f t="shared" si="11"/>
        <v xml:space="preserve"> </v>
      </c>
      <c r="AA11" s="94" t="str">
        <f>IF(Table6220273233[[#This Row],[Non-Member]]="X"," ",IF(Z11=" "," ",IFERROR(VLOOKUP(Y11,Points!$A$2:$B$14,2,FALSE)," ")))</f>
        <v xml:space="preserve"> </v>
      </c>
      <c r="AB11" s="92">
        <v>21.13</v>
      </c>
      <c r="AC11" s="93">
        <f t="shared" si="12"/>
        <v>6</v>
      </c>
      <c r="AD11" s="93">
        <f t="shared" si="13"/>
        <v>6</v>
      </c>
      <c r="AE11" s="94">
        <f>IF(Table6220273233[[#This Row],[Non-Member]]="X"," ",IF(AD11=" "," ",IFERROR(VLOOKUP(AC11,Points!$A$2:$B$14,2,FALSE)," ")))</f>
        <v>3</v>
      </c>
      <c r="AF11" s="92">
        <f t="shared" si="14"/>
        <v>40.099999999999994</v>
      </c>
      <c r="AG11" s="93">
        <f t="shared" si="15"/>
        <v>7</v>
      </c>
      <c r="AH11" s="93" t="str">
        <f t="shared" si="16"/>
        <v xml:space="preserve"> </v>
      </c>
      <c r="AI11" s="94" t="str">
        <f>IF(Table6220273233[[#This Row],[Non-Member]]="X"," ",IF(AH11=" "," ",IFERROR(VLOOKUP(AG11,Points!$A$2:$B$14,2,FALSE)," ")))</f>
        <v xml:space="preserve"> </v>
      </c>
      <c r="AJ11" s="93">
        <f>IF(Table6220273233[[#This Row],[Non-Member]]="X"," ",((IF(G11=" ",0,G11))+(IF(K11=" ",0,K11))+(IF(O11=" ",0,O11))+(IF(S11=" ",0,S11))+(IF(W11=" ",0,W11))+(IF(AA11=" ",0,AA11))+(IF(AE11=" ",0,AE11))+(IF(AI11=" ",0,AI11))))</f>
        <v>27</v>
      </c>
      <c r="AK11" s="95">
        <f t="shared" si="17"/>
        <v>27</v>
      </c>
      <c r="AL11" s="96">
        <f t="shared" si="18"/>
        <v>7</v>
      </c>
    </row>
    <row r="12" spans="2:38" x14ac:dyDescent="0.25">
      <c r="B12" s="90" t="s">
        <v>283</v>
      </c>
      <c r="C12" s="91" t="s">
        <v>95</v>
      </c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IF(Table6220273233[[#This Row],[Non-Member]]="X"," ",IF(J12=" "," ",IFERROR(VLOOKUP(I12,Points!$A$2:$B$14,2,FALSE)," ")))</f>
        <v xml:space="preserve"> </v>
      </c>
      <c r="L12" s="92">
        <v>20</v>
      </c>
      <c r="M12" s="93">
        <f t="shared" si="4"/>
        <v>6</v>
      </c>
      <c r="N12" s="93">
        <f t="shared" si="5"/>
        <v>6</v>
      </c>
      <c r="O12" s="94" t="str">
        <f>IF(Table6220273233[[#This Row],[Non-Member]]="X"," ",IF(N12=" "," ",IFERROR(VLOOKUP(M12,Points!$A$2:$B$14,2,FALSE)," ")))</f>
        <v xml:space="preserve"> </v>
      </c>
      <c r="P12" s="92">
        <v>20</v>
      </c>
      <c r="Q12" s="93">
        <f t="shared" si="6"/>
        <v>5</v>
      </c>
      <c r="R12" s="93">
        <f t="shared" si="7"/>
        <v>5</v>
      </c>
      <c r="S12" s="94" t="str">
        <f>IF(Table6220273233[[#This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IF(Table6220273233[[#This Row],[Non-Member]]="X"," ",IF(AH12=" "," ",IFERROR(VLOOKUP(AG12,Points!$A$2:$B$14,2,FALSE)," ")))</f>
        <v xml:space="preserve"> </v>
      </c>
      <c r="AJ12" s="93" t="str">
        <f>IF(Table6220273233[[#This Row],[Non-Member]]="X"," ",((IF(G12=" ",0,G12))+(IF(K12=" ",0,K12))+(IF(O12=" ",0,O12))+(IF(S12=" ",0,S12))+(IF(W12=" ",0,W12))+(IF(AA12=" ",0,AA12))+(IF(AE12=" ",0,AE12))+(IF(AI12=" ",0,AI12))))</f>
        <v xml:space="preserve"> </v>
      </c>
      <c r="AK12" s="95" t="str">
        <f t="shared" si="17"/>
        <v xml:space="preserve"> </v>
      </c>
      <c r="AL12" s="96" t="str">
        <f t="shared" si="18"/>
        <v xml:space="preserve"> </v>
      </c>
    </row>
    <row r="13" spans="2:38" x14ac:dyDescent="0.25">
      <c r="B13" s="90" t="s">
        <v>244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IF(Table6220273233[[#This Row],[Non-Member]]="X"," ",IF(F13=" "," ",IFERROR(VLOOKUP(E13,Points!$A$2:$B$14,2,FALSE)," ")))</f>
        <v xml:space="preserve"> </v>
      </c>
      <c r="H13" s="92">
        <v>47.53</v>
      </c>
      <c r="I13" s="93">
        <f t="shared" si="2"/>
        <v>8</v>
      </c>
      <c r="J13" s="93" t="str">
        <f t="shared" si="3"/>
        <v xml:space="preserve"> </v>
      </c>
      <c r="K13" s="94" t="str">
        <f>IF(Table6220273233[[#This Row],[Non-Member]]="X"," ",IF(J13=" "," ",IFERROR(VLOOKUP(I13,Points!$A$2:$B$14,2,FALSE)," ")))</f>
        <v xml:space="preserve"> </v>
      </c>
      <c r="L13" s="92">
        <v>0</v>
      </c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IF(Table6220273233[[#This Row],[Non-Member]]="X"," ",IF(N13=" "," ",IFERROR(VLOOKUP(M13,Points!$A$2:$B$14,2,FALSE)," ")))</f>
        <v xml:space="preserve"> </v>
      </c>
      <c r="P13" s="138">
        <v>0</v>
      </c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IF(Table6220273233[[#This Row],[Non-Member]]="X"," ",IF(AH13=" "," ",IFERROR(VLOOKUP(AG13,Points!$A$2:$B$14,2,FALSE)," ")))</f>
        <v xml:space="preserve"> </v>
      </c>
      <c r="AJ13" s="93">
        <f>IF(Table6220273233[[#This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25">
      <c r="B14" s="90" t="s">
        <v>230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IF(Table6220273233[[#This Row],[Non-Member]]="X"," ",IF(R14=" "," ",IFERROR(VLOOKUP(Q14,Points!$A$2:$B$14,2,FALSE)," ")))</f>
        <v xml:space="preserve"> </v>
      </c>
      <c r="T14" s="92">
        <v>38.72</v>
      </c>
      <c r="U14" s="93">
        <f t="shared" si="8"/>
        <v>8</v>
      </c>
      <c r="V14" s="93" t="str">
        <f t="shared" si="9"/>
        <v xml:space="preserve"> </v>
      </c>
      <c r="W14" s="94" t="str">
        <f>IF(Table6220273233[[#This Row],[Non-Member]]="X"," ",IF(V14=" "," ",IFERROR(VLOOKUP(U14,Points!$A$2:$B$14,2,FALSE)," ")))</f>
        <v xml:space="preserve"> </v>
      </c>
      <c r="X14" s="92">
        <v>34.53</v>
      </c>
      <c r="Y14" s="93">
        <f t="shared" si="10"/>
        <v>8</v>
      </c>
      <c r="Z14" s="93" t="str">
        <f t="shared" si="11"/>
        <v xml:space="preserve"> </v>
      </c>
      <c r="AA14" s="94" t="str">
        <f>IF(Table6220273233[[#This Row],[Non-Member]]="X"," ",IF(Z14=" "," ",IFERROR(VLOOKUP(Y14,Points!$A$2:$B$14,2,FALSE)," ")))</f>
        <v xml:space="preserve"> </v>
      </c>
      <c r="AB14" s="92">
        <v>30.4</v>
      </c>
      <c r="AC14" s="93">
        <f t="shared" si="12"/>
        <v>8</v>
      </c>
      <c r="AD14" s="93" t="str">
        <f t="shared" si="13"/>
        <v xml:space="preserve"> </v>
      </c>
      <c r="AE14" s="94" t="str">
        <f>IF(Table6220273233[[#This Row],[Non-Member]]="X"," ",IF(AD14=" "," ",IFERROR(VLOOKUP(AC14,Points!$A$2:$B$14,2,FALSE)," ")))</f>
        <v xml:space="preserve"> </v>
      </c>
      <c r="AF14" s="92">
        <f t="shared" si="14"/>
        <v>64.930000000000007</v>
      </c>
      <c r="AG14" s="93">
        <f t="shared" si="15"/>
        <v>8</v>
      </c>
      <c r="AH14" s="93" t="str">
        <f t="shared" si="16"/>
        <v xml:space="preserve"> </v>
      </c>
      <c r="AI14" s="94" t="str">
        <f>IF(Table6220273233[[#This Row],[Non-Member]]="X"," ",IF(AH14=" "," ",IFERROR(VLOOKUP(AG14,Points!$A$2:$B$14,2,FALSE)," ")))</f>
        <v xml:space="preserve"> </v>
      </c>
      <c r="AJ14" s="93">
        <f>IF(Table6220273233[[#This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25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IF(Table6220273233[[#This Row],[Non-Member]]="X"," ",IF(AH15=" "," ",IFERROR(VLOOKUP(AG15,Points!$A$2:$B$14,2,FALSE)," ")))</f>
        <v xml:space="preserve"> </v>
      </c>
      <c r="AJ15" s="93">
        <f>IF(Table6220273233[[#This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/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IF(Table6220273233[[#This Row],[Non-Member]]="X"," ",IF(AH16=" "," ",IFERROR(VLOOKUP(AG16,Points!$A$2:$B$14,2,FALSE)," ")))</f>
        <v xml:space="preserve"> </v>
      </c>
      <c r="AJ16" s="97">
        <f>IF(Table6220273233[[#This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25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IF(Table6220273233[[#This Row],[Non-Member]]="X"," ",IF(AH17=" "," ",IFERROR(VLOOKUP(AG17,Points!$A$2:$B$14,2,FALSE)," ")))</f>
        <v xml:space="preserve"> </v>
      </c>
      <c r="AJ17" s="97">
        <f>IF(Table6220273233[[#This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IF(Table6220273233[[#This Row],[Non-Member]]="X"," ",IF(AH18=" "," ",IFERROR(VLOOKUP(AG18,Points!$A$2:$B$14,2,FALSE)," ")))</f>
        <v xml:space="preserve"> </v>
      </c>
      <c r="AJ18" s="97">
        <f>IF(Table6220273233[[#This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IF(Table6220273233[[#This Row],[Non-Member]]="X"," ",IF(AH19=" "," ",IFERROR(VLOOKUP(AG19,Points!$A$2:$B$14,2,FALSE)," ")))</f>
        <v xml:space="preserve"> </v>
      </c>
      <c r="AJ19" s="93">
        <f>IF(Table6220273233[[#This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IF(Table6220273233[[#This Row],[Non-Member]]="X"," ",IF(AH20=" "," ",IFERROR(VLOOKUP(AG20,Points!$A$2:$B$14,2,FALSE)," ")))</f>
        <v xml:space="preserve"> </v>
      </c>
      <c r="AJ20" s="93">
        <f>IF(Table6220273233[[#This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IF(Table6220273233[[#This Row],[Non-Member]]="X"," ",IF(AH21=" "," ",IFERROR(VLOOKUP(AG21,Points!$A$2:$B$14,2,FALSE)," ")))</f>
        <v xml:space="preserve"> </v>
      </c>
      <c r="AJ21" s="93">
        <f>IF(Table6220273233[[#This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IF(Table6220273233[[#This Row],[Non-Member]]="X"," ",IF(AH22=" "," ",IFERROR(VLOOKUP(AG22,Points!$A$2:$B$14,2,FALSE)," ")))</f>
        <v xml:space="preserve"> </v>
      </c>
      <c r="AJ22" s="93">
        <f>IF(Table6220273233[[#This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IF(Table6220273233[[#This Row],[Non-Member]]="X"," ",IF(AH23=" "," ",IFERROR(VLOOKUP(AG23,Points!$A$2:$B$14,2,FALSE)," ")))</f>
        <v xml:space="preserve"> </v>
      </c>
      <c r="AJ23" s="93">
        <f>IF(Table6220273233[[#This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IF(Table6220273233[[#This Row],[Non-Member]]="X"," ",IF(AH24=" "," ",IFERROR(VLOOKUP(AG24,Points!$A$2:$B$14,2,FALSE)," ")))</f>
        <v xml:space="preserve"> </v>
      </c>
      <c r="AJ24" s="93">
        <f>IF(Table6220273233[[#This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MrAdvT/m0Mawh2scGoeAtTOEF6kFhtvtStB0LjwD+pjDjmKouuhHIJJ24vgzcJ02vf0oH9LufCBNSmRu8IfBbg==" saltValue="kLYSXI9/2J8+5GisJrAytQ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0684-3627-4E78-A309-0AE47BA7A790}">
  <sheetPr codeName="Sheet50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61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73</v>
      </c>
      <c r="C5" s="84"/>
      <c r="D5" s="85">
        <v>23.64</v>
      </c>
      <c r="E5" s="86">
        <f t="shared" ref="E5:E24" si="0">IF(D5=0," ",_xlfn.RANK.AVG(D5,D$5:D$24,1)-COUNTIF(D$5:D$24,0))</f>
        <v>2</v>
      </c>
      <c r="F5" s="86">
        <f t="shared" ref="F5:F24" si="1">IF(D5=0," ",IF((RANK(D5,D$5:D$24,1)-COUNTIF(D$5:D$24,0)&gt;6)," ",RANK(D5,D$5:D$24,1)-COUNTIF(D$5:D$24,0)))</f>
        <v>2</v>
      </c>
      <c r="G5" s="87">
        <f>IF(Table622027323334[[#This Row],[Non-Member]]="X"," ",IF(F5=" "," ",IFERROR(VLOOKUP(E5,Points!$A$2:$B$14,2,FALSE)," ")))</f>
        <v>15</v>
      </c>
      <c r="H5" s="85">
        <v>14.502000000000001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IF(Table622027323334[[#This Row],[Non-Member]]="X"," ",IF(J5=" "," ",IFERROR(VLOOKUP(I5,Points!$A$2:$B$14,2,FALSE)," ")))</f>
        <v>18</v>
      </c>
      <c r="L5" s="85">
        <v>0</v>
      </c>
      <c r="M5" s="86" t="str">
        <f t="shared" ref="M5:M24" si="4">IF(L5=0," ",_xlfn.RANK.AVG(L5,L$5:L$24,1)-COUNTIF(L$5:L$24,0))</f>
        <v xml:space="preserve"> </v>
      </c>
      <c r="N5" s="86" t="str">
        <f t="shared" ref="N5:N24" si="5">IF(L5=0," ",IF((RANK(L5,L$5:L$24,1)-COUNTIF(L$5:L$24,0)&gt;6)," ",RANK(L5,L$5:L$24,1)-COUNTIF(L$5:L$24,0)))</f>
        <v xml:space="preserve"> </v>
      </c>
      <c r="O5" s="87" t="str">
        <f>IF(Table622027323334[[#This Row],[Non-Member]]="X"," ",IF(N5=" "," ",IFERROR(VLOOKUP(M5,Points!$A$2:$B$14,2,FALSE)," ")))</f>
        <v xml:space="preserve"> </v>
      </c>
      <c r="P5" s="85">
        <v>17.146000000000001</v>
      </c>
      <c r="Q5" s="86">
        <f t="shared" ref="Q5:Q24" si="6">IF(P5=0," ",_xlfn.RANK.AVG(P5,P$5:P$24,1)-COUNTIF(P$5:P$24,0))</f>
        <v>1</v>
      </c>
      <c r="R5" s="86">
        <f t="shared" ref="R5:R24" si="7">IF(P5=0," ",IF((RANK(P5,P$5:P$24,1)-COUNTIF(P$5:P$24,0)&gt;6)," ",RANK(P5,P$5:P$24,1)-COUNTIF(P$5:P$24,0)))</f>
        <v>1</v>
      </c>
      <c r="S5" s="87">
        <f>IF(Table622027323334[[#This Row],[Non-Member]]="X"," ",IF(R5=" "," ",IFERROR(VLOOKUP(Q5,Points!$A$2:$B$14,2,FALSE)," ")))</f>
        <v>18</v>
      </c>
      <c r="T5" s="85">
        <v>17.806999999999999</v>
      </c>
      <c r="U5" s="86">
        <f t="shared" ref="U5:U24" si="8">IF(T5=0," ",_xlfn.RANK.AVG(T5,T$5:T$24,1)-COUNTIF(T$5:T$24,0))</f>
        <v>2</v>
      </c>
      <c r="V5" s="86">
        <f t="shared" ref="V5:V24" si="9">IF(T5=0," ",IF((RANK(T5,T$5:T$24,1)-COUNTIF(T$5:T$24,0)&gt;6)," ",RANK(T5,T$5:T$24,1)-COUNTIF(T$5:T$24,0)))</f>
        <v>2</v>
      </c>
      <c r="W5" s="87">
        <f>IF(Table622027323334[[#This Row],[Non-Member]]="X"," ",IF(V5=" "," ",IFERROR(VLOOKUP(U5,Points!$A$2:$B$14,2,FALSE)," ")))</f>
        <v>15</v>
      </c>
      <c r="X5" s="85">
        <v>14.832000000000001</v>
      </c>
      <c r="Y5" s="86">
        <f t="shared" ref="Y5:Y24" si="10">IF(X5=0," ",_xlfn.RANK.AVG(X5,X$5:X$24,1)-COUNTIF(X$5:X$24,0))</f>
        <v>1</v>
      </c>
      <c r="Z5" s="86">
        <f t="shared" ref="Z5:Z24" si="11">IF(X5=0," ",IF((RANK(X5,X$5:X$24,1)-COUNTIF(X$5:X$24,0)&gt;6)," ",RANK(X5,X$5:X$24,1)-COUNTIF(X$5:X$24,0)))</f>
        <v>1</v>
      </c>
      <c r="AA5" s="87">
        <f>IF(Table622027323334[[#This Row],[Non-Member]]="X"," ",IF(Z5=" "," ",IFERROR(VLOOKUP(Y5,Points!$A$2:$B$14,2,FALSE)," ")))</f>
        <v>18</v>
      </c>
      <c r="AB5" s="85">
        <v>15.214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IF(Table622027323334[[#This Row],[Non-Member]]="X"," ",IF(AD5=" "," ",IFERROR(VLOOKUP(AC5,Points!$A$2:$B$14,2,FALSE)," ")))</f>
        <v>18</v>
      </c>
      <c r="AF5" s="85">
        <f>IF(OR(X5=0,AB5=0)," ",X5+AB5)</f>
        <v>30.045999999999999</v>
      </c>
      <c r="AG5" s="86">
        <f>IF(OR(AF5=0,AF5=" ")," ",_xlfn.RANK.AVG(AF5,AF$5:AF$24,1)-COUNTIF(AF$5:AF$24,0))</f>
        <v>1</v>
      </c>
      <c r="AH5" s="86">
        <f>IF(OR(AF5=0,AF5=" ")," ",IF((RANK(AF5,AF$5:AF$24,1)-COUNTIF(AF$5:AF$24,0)&gt;6)," ",RANK(AF5,AF$5:AF$24,1)-COUNTIF(AF$5:AF$24,0)))</f>
        <v>1</v>
      </c>
      <c r="AI5" s="87">
        <f>IF(Table622027323334[[#This Row],[Non-Member]]="X"," ",IF(AH5=" "," ",IFERROR(VLOOKUP(AG5,Points!$A$2:$B$14,2,FALSE)," ")))</f>
        <v>18</v>
      </c>
      <c r="AJ5" s="86">
        <f>IF(Table622027323334[[#This Row],[Non-Member]]="X"," ",((IF(G5=" ",0,G5))+(IF(K5=" ",0,K5))+(IF(O5=" ",0,O5))+(IF(S5=" ",0,S5))+(IF(W5=" ",0,W5))+(IF(AA5=" ",0,AA5))+(IF(AE5=" ",0,AE5))+(IF(AI5=" ",0,AI5))))</f>
        <v>120</v>
      </c>
      <c r="AK5" s="88">
        <f t="shared" ref="AK5:AK24" si="14">IF(AJ5=0," ",AJ5)</f>
        <v>120</v>
      </c>
      <c r="AL5" s="89">
        <f t="shared" ref="AL5:AL24" si="15">IF(AK5=" "," ",RANK(AK5,$AK$5:$AK$24))</f>
        <v>1</v>
      </c>
    </row>
    <row r="6" spans="2:38" x14ac:dyDescent="0.25">
      <c r="B6" s="90" t="s">
        <v>67</v>
      </c>
      <c r="C6" s="91"/>
      <c r="D6" s="92">
        <v>21.841999999999999</v>
      </c>
      <c r="E6" s="93">
        <f t="shared" si="0"/>
        <v>1</v>
      </c>
      <c r="F6" s="93">
        <f t="shared" si="1"/>
        <v>1</v>
      </c>
      <c r="G6" s="94">
        <f>IF(Table622027323334[[#This Row],[Non-Member]]="X"," ",IF(F6=" "," ",IFERROR(VLOOKUP(E6,Points!$A$2:$B$14,2,FALSE)," ")))</f>
        <v>18</v>
      </c>
      <c r="H6" s="92">
        <v>0</v>
      </c>
      <c r="I6" s="93" t="str">
        <f t="shared" si="2"/>
        <v xml:space="preserve"> </v>
      </c>
      <c r="J6" s="93" t="str">
        <f t="shared" si="3"/>
        <v xml:space="preserve"> </v>
      </c>
      <c r="K6" s="94" t="str">
        <f>IF(Table622027323334[[#This Row],[Non-Member]]="X"," ",IF(J6=" "," ",IFERROR(VLOOKUP(I6,Points!$A$2:$B$14,2,FALSE)," ")))</f>
        <v xml:space="preserve"> </v>
      </c>
      <c r="L6" s="92">
        <v>15.029</v>
      </c>
      <c r="M6" s="93">
        <f t="shared" si="4"/>
        <v>1</v>
      </c>
      <c r="N6" s="93">
        <f t="shared" si="5"/>
        <v>1</v>
      </c>
      <c r="O6" s="94">
        <f>IF(Table622027323334[[#This Row],[Non-Member]]="X"," ",IF(N6=" "," ",IFERROR(VLOOKUP(M6,Points!$A$2:$B$14,2,FALSE)," ")))</f>
        <v>18</v>
      </c>
      <c r="P6" s="92">
        <v>47.347999999999999</v>
      </c>
      <c r="Q6" s="93">
        <f t="shared" si="6"/>
        <v>6</v>
      </c>
      <c r="R6" s="93">
        <f t="shared" si="7"/>
        <v>6</v>
      </c>
      <c r="S6" s="94">
        <f>IF(Table622027323334[[#This Row],[Non-Member]]="X"," ",IF(R6=" "," ",IFERROR(VLOOKUP(Q6,Points!$A$2:$B$14,2,FALSE)," ")))</f>
        <v>3</v>
      </c>
      <c r="T6" s="92">
        <v>15.978999999999999</v>
      </c>
      <c r="U6" s="93">
        <f t="shared" si="8"/>
        <v>1</v>
      </c>
      <c r="V6" s="93">
        <f t="shared" si="9"/>
        <v>1</v>
      </c>
      <c r="W6" s="94">
        <f>IF(Table622027323334[[#This Row],[Non-Member]]="X"," ",IF(V6=" "," ",IFERROR(VLOOKUP(U6,Points!$A$2:$B$14,2,FALSE)," ")))</f>
        <v>18</v>
      </c>
      <c r="X6" s="92">
        <v>15.124000000000001</v>
      </c>
      <c r="Y6" s="93">
        <f t="shared" si="10"/>
        <v>2</v>
      </c>
      <c r="Z6" s="93">
        <f t="shared" si="11"/>
        <v>2</v>
      </c>
      <c r="AA6" s="94">
        <f>IF(Table622027323334[[#This Row],[Non-Member]]="X"," ",IF(Z6=" "," ",IFERROR(VLOOKUP(Y6,Points!$A$2:$B$14,2,FALSE)," ")))</f>
        <v>15</v>
      </c>
      <c r="AB6" s="92">
        <v>24.436</v>
      </c>
      <c r="AC6" s="93">
        <f t="shared" si="12"/>
        <v>4</v>
      </c>
      <c r="AD6" s="93">
        <f t="shared" si="13"/>
        <v>4</v>
      </c>
      <c r="AE6" s="94">
        <f>IF(Table622027323334[[#This Row],[Non-Member]]="X"," ",IF(AD6=" "," ",IFERROR(VLOOKUP(AC6,Points!$A$2:$B$14,2,FALSE)," ")))</f>
        <v>9</v>
      </c>
      <c r="AF6" s="92">
        <f>IF(OR(X6=0,AB6=0)," ",X6+AB6)</f>
        <v>39.56</v>
      </c>
      <c r="AG6" s="93">
        <f>IF(OR(AF6=0,AF6=" ")," ",_xlfn.RANK.AVG(AF6,AF$5:AF$24,1)-COUNTIF(AF$5:AF$24,0))</f>
        <v>3</v>
      </c>
      <c r="AH6" s="93">
        <f>IF(OR(AF6=0,AF6=" ")," ",IF((RANK(AF6,AF$5:AF$24,1)-COUNTIF(AF$5:AF$24,0)&gt;6)," ",RANK(AF6,AF$5:AF$24,1)-COUNTIF(AF$5:AF$24,0)))</f>
        <v>3</v>
      </c>
      <c r="AI6" s="94">
        <f>IF(Table622027323334[[#This Row],[Non-Member]]="X"," ",IF(AH6=" "," ",IFERROR(VLOOKUP(AG6,Points!$A$2:$B$14,2,FALSE)," ")))</f>
        <v>12</v>
      </c>
      <c r="AJ6" s="93">
        <f>IF(Table622027323334[[#This Row],[Non-Member]]="X"," ",((IF(G6=" ",0,G6))+(IF(K6=" ",0,K6))+(IF(O6=" ",0,O6))+(IF(S6=" ",0,S6))+(IF(W6=" ",0,W6))+(IF(AA6=" ",0,AA6))+(IF(AE6=" ",0,AE6))+(IF(AI6=" ",0,AI6))))</f>
        <v>93</v>
      </c>
      <c r="AK6" s="95">
        <f t="shared" si="14"/>
        <v>93</v>
      </c>
      <c r="AL6" s="96">
        <f t="shared" si="15"/>
        <v>2</v>
      </c>
    </row>
    <row r="7" spans="2:38" x14ac:dyDescent="0.25">
      <c r="B7" s="90" t="s">
        <v>232</v>
      </c>
      <c r="C7" s="91"/>
      <c r="D7" s="92">
        <v>30.24</v>
      </c>
      <c r="E7" s="93">
        <f t="shared" si="0"/>
        <v>3</v>
      </c>
      <c r="F7" s="93">
        <f t="shared" si="1"/>
        <v>3</v>
      </c>
      <c r="G7" s="94">
        <f>IF(Table622027323334[[#This Row],[Non-Member]]="X"," ",IF(F7=" "," ",IFERROR(VLOOKUP(E7,Points!$A$2:$B$14,2,FALSE)," ")))</f>
        <v>12</v>
      </c>
      <c r="H7" s="92">
        <v>30.402999999999999</v>
      </c>
      <c r="I7" s="93">
        <f t="shared" si="2"/>
        <v>2</v>
      </c>
      <c r="J7" s="93">
        <f t="shared" si="3"/>
        <v>2</v>
      </c>
      <c r="K7" s="94">
        <f>IF(Table622027323334[[#This Row],[Non-Member]]="X"," ",IF(J7=" "," ",IFERROR(VLOOKUP(I7,Points!$A$2:$B$14,2,FALSE)," ")))</f>
        <v>15</v>
      </c>
      <c r="L7" s="92">
        <v>25.338999999999999</v>
      </c>
      <c r="M7" s="93">
        <f t="shared" si="4"/>
        <v>3</v>
      </c>
      <c r="N7" s="93">
        <f t="shared" si="5"/>
        <v>3</v>
      </c>
      <c r="O7" s="94">
        <f>IF(Table622027323334[[#This Row],[Non-Member]]="X"," ",IF(N7=" "," ",IFERROR(VLOOKUP(M7,Points!$A$2:$B$14,2,FALSE)," ")))</f>
        <v>12</v>
      </c>
      <c r="P7" s="92">
        <v>29.891999999999999</v>
      </c>
      <c r="Q7" s="93">
        <f t="shared" si="6"/>
        <v>3</v>
      </c>
      <c r="R7" s="93">
        <f t="shared" si="7"/>
        <v>3</v>
      </c>
      <c r="S7" s="94">
        <f>IF(Table622027323334[[#This Row],[Non-Member]]="X"," ",IF(R7=" "," ",IFERROR(VLOOKUP(Q7,Points!$A$2:$B$14,2,FALSE)," ")))</f>
        <v>12</v>
      </c>
      <c r="T7" s="92">
        <v>45.142000000000003</v>
      </c>
      <c r="U7" s="93">
        <f t="shared" si="8"/>
        <v>5</v>
      </c>
      <c r="V7" s="93">
        <f t="shared" si="9"/>
        <v>5</v>
      </c>
      <c r="W7" s="94">
        <f>IF(Table622027323334[[#This Row],[Non-Member]]="X"," ",IF(V7=" "," ",IFERROR(VLOOKUP(U7,Points!$A$2:$B$14,2,FALSE)," ")))</f>
        <v>6</v>
      </c>
      <c r="X7" s="92">
        <v>32.61</v>
      </c>
      <c r="Y7" s="93">
        <f t="shared" si="10"/>
        <v>5</v>
      </c>
      <c r="Z7" s="93">
        <f t="shared" si="11"/>
        <v>5</v>
      </c>
      <c r="AA7" s="94">
        <f>IF(Table622027323334[[#This Row],[Non-Member]]="X"," ",IF(Z7=" "," ",IFERROR(VLOOKUP(Y7,Points!$A$2:$B$14,2,FALSE)," ")))</f>
        <v>6</v>
      </c>
      <c r="AB7" s="92">
        <v>0</v>
      </c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IF(Table622027323334[[#This Row],[Non-Member]]="X"," ",IF(AD7=" "," ",IFERROR(VLOOKUP(AC7,Points!$A$2:$B$14,2,FALSE)," ")))</f>
        <v xml:space="preserve"> </v>
      </c>
      <c r="AF7" s="92" t="str">
        <f>IF(OR(X7=0,AB7=0)," ",X7+AB7)</f>
        <v xml:space="preserve"> </v>
      </c>
      <c r="AG7" s="93" t="str">
        <f>IF(OR(AF7=0,AF7=" ")," ",_xlfn.RANK.AVG(AF7,AF$5:AF$24,1)-COUNTIF(AF$5:AF$24,0))</f>
        <v xml:space="preserve"> </v>
      </c>
      <c r="AH7" s="93" t="str">
        <f>IF(OR(AF7=0,AF7=" ")," ",IF((RANK(AF7,AF$5:AF$24,1)-COUNTIF(AF$5:AF$24,0)&gt;6)," ",RANK(AF7,AF$5:AF$24,1)-COUNTIF(AF$5:AF$24,0)))</f>
        <v xml:space="preserve"> </v>
      </c>
      <c r="AI7" s="94" t="str">
        <f>IF(Table622027323334[[#This Row],[Non-Member]]="X"," ",IF(AH7=" "," ",IFERROR(VLOOKUP(AG7,Points!$A$2:$B$14,2,FALSE)," ")))</f>
        <v xml:space="preserve"> </v>
      </c>
      <c r="AJ7" s="93">
        <f>IF(Table622027323334[[#This Row],[Non-Member]]="X"," ",((IF(G7=" ",0,G7))+(IF(K7=" ",0,K7))+(IF(O7=" ",0,O7))+(IF(S7=" ",0,S7))+(IF(W7=" ",0,W7))+(IF(AA7=" ",0,AA7))+(IF(AE7=" ",0,AE7))+(IF(AI7=" ",0,AI7))))</f>
        <v>63</v>
      </c>
      <c r="AK7" s="95">
        <f t="shared" si="14"/>
        <v>63</v>
      </c>
      <c r="AL7" s="96">
        <f t="shared" si="15"/>
        <v>3</v>
      </c>
    </row>
    <row r="8" spans="2:38" x14ac:dyDescent="0.25">
      <c r="B8" s="90" t="s">
        <v>72</v>
      </c>
      <c r="C8" s="91"/>
      <c r="D8" s="92">
        <v>0</v>
      </c>
      <c r="E8" s="93" t="str">
        <f t="shared" si="0"/>
        <v xml:space="preserve"> </v>
      </c>
      <c r="F8" s="93" t="str">
        <f t="shared" si="1"/>
        <v xml:space="preserve"> </v>
      </c>
      <c r="G8" s="94" t="str">
        <f>IF(Table622027323334[[#This Row],[Non-Member]]="X"," ",IF(F8=" "," ",IFERROR(VLOOKUP(E8,Points!$A$2:$B$14,2,FALSE)," ")))</f>
        <v xml:space="preserve"> </v>
      </c>
      <c r="H8" s="92">
        <v>38.75</v>
      </c>
      <c r="I8" s="93">
        <f t="shared" si="2"/>
        <v>4</v>
      </c>
      <c r="J8" s="93">
        <f t="shared" si="3"/>
        <v>4</v>
      </c>
      <c r="K8" s="94">
        <f>IF(Table622027323334[[#This Row],[Non-Member]]="X"," ",IF(J8=" "," ",IFERROR(VLOOKUP(I8,Points!$A$2:$B$14,2,FALSE)," ")))</f>
        <v>9</v>
      </c>
      <c r="L8" s="92">
        <v>40.793999999999997</v>
      </c>
      <c r="M8" s="93">
        <f t="shared" si="4"/>
        <v>5</v>
      </c>
      <c r="N8" s="93">
        <f t="shared" si="5"/>
        <v>5</v>
      </c>
      <c r="O8" s="94">
        <f>IF(Table622027323334[[#This Row],[Non-Member]]="X"," ",IF(N8=" "," ",IFERROR(VLOOKUP(M8,Points!$A$2:$B$14,2,FALSE)," ")))</f>
        <v>6</v>
      </c>
      <c r="P8" s="92">
        <v>45.131999999999998</v>
      </c>
      <c r="Q8" s="93">
        <f t="shared" si="6"/>
        <v>5</v>
      </c>
      <c r="R8" s="93">
        <f t="shared" si="7"/>
        <v>5</v>
      </c>
      <c r="S8" s="94">
        <f>IF(Table622027323334[[#This Row],[Non-Member]]="X"," ",IF(R8=" "," ",IFERROR(VLOOKUP(Q8,Points!$A$2:$B$14,2,FALSE)," ")))</f>
        <v>6</v>
      </c>
      <c r="T8" s="92">
        <v>0</v>
      </c>
      <c r="U8" s="93" t="str">
        <f t="shared" si="8"/>
        <v xml:space="preserve"> </v>
      </c>
      <c r="V8" s="93" t="str">
        <f t="shared" si="9"/>
        <v xml:space="preserve"> </v>
      </c>
      <c r="W8" s="94" t="str">
        <f>IF(Table622027323334[[#This Row],[Non-Member]]="X"," ",IF(V8=" "," ",IFERROR(VLOOKUP(U8,Points!$A$2:$B$14,2,FALSE)," ")))</f>
        <v xml:space="preserve"> </v>
      </c>
      <c r="X8" s="92">
        <v>19.774999999999999</v>
      </c>
      <c r="Y8" s="93">
        <f t="shared" si="10"/>
        <v>4</v>
      </c>
      <c r="Z8" s="93">
        <f t="shared" si="11"/>
        <v>4</v>
      </c>
      <c r="AA8" s="94">
        <f>IF(Table622027323334[[#This Row],[Non-Member]]="X"," ",IF(Z8=" "," ",IFERROR(VLOOKUP(Y8,Points!$A$2:$B$14,2,FALSE)," ")))</f>
        <v>9</v>
      </c>
      <c r="AB8" s="92">
        <v>17.396999999999998</v>
      </c>
      <c r="AC8" s="93">
        <f t="shared" si="12"/>
        <v>3</v>
      </c>
      <c r="AD8" s="93">
        <f t="shared" si="13"/>
        <v>3</v>
      </c>
      <c r="AE8" s="94">
        <f>IF(Table622027323334[[#This Row],[Non-Member]]="X"," ",IF(AD8=" "," ",IFERROR(VLOOKUP(AC8,Points!$A$2:$B$14,2,FALSE)," ")))</f>
        <v>12</v>
      </c>
      <c r="AF8" s="92">
        <f>IF(OR(X8=0,AB8=0)," ",X8+AB8)</f>
        <v>37.171999999999997</v>
      </c>
      <c r="AG8" s="93">
        <f>IF(OR(AF8=0,AF8=" ")," ",_xlfn.RANK.AVG(AF8,AF$5:AF$24,1)-COUNTIF(AF$5:AF$24,0))</f>
        <v>2</v>
      </c>
      <c r="AH8" s="93">
        <f>IF(OR(AF8=0,AF8=" ")," ",IF((RANK(AF8,AF$5:AF$24,1)-COUNTIF(AF$5:AF$24,0)&gt;6)," ",RANK(AF8,AF$5:AF$24,1)-COUNTIF(AF$5:AF$24,0)))</f>
        <v>2</v>
      </c>
      <c r="AI8" s="94">
        <f>IF(Table622027323334[[#This Row],[Non-Member]]="X"," ",IF(AH8=" "," ",IFERROR(VLOOKUP(AG8,Points!$A$2:$B$14,2,FALSE)," ")))</f>
        <v>15</v>
      </c>
      <c r="AJ8" s="93">
        <f>IF(Table622027323334[[#This Row],[Non-Member]]="X"," ",((IF(G8=" ",0,G8))+(IF(K8=" ",0,K8))+(IF(O8=" ",0,O8))+(IF(S8=" ",0,S8))+(IF(W8=" ",0,W8))+(IF(AA8=" ",0,AA8))+(IF(AE8=" ",0,AE8))+(IF(AI8=" ",0,AI8))))</f>
        <v>57</v>
      </c>
      <c r="AK8" s="95">
        <f t="shared" si="14"/>
        <v>57</v>
      </c>
      <c r="AL8" s="96">
        <f t="shared" si="15"/>
        <v>4</v>
      </c>
    </row>
    <row r="9" spans="2:38" x14ac:dyDescent="0.25">
      <c r="B9" s="90" t="s">
        <v>231</v>
      </c>
      <c r="C9" s="91"/>
      <c r="D9" s="92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IF(Table622027323334[[#This Row],[Non-Member]]="X"," ",IF(F9=" "," ",IFERROR(VLOOKUP(E9,Points!$A$2:$B$14,2,FALSE)," ")))</f>
        <v xml:space="preserve"> </v>
      </c>
      <c r="H9" s="92">
        <v>40.485999999999997</v>
      </c>
      <c r="I9" s="93">
        <f t="shared" si="2"/>
        <v>5</v>
      </c>
      <c r="J9" s="93">
        <f t="shared" si="3"/>
        <v>5</v>
      </c>
      <c r="K9" s="94">
        <f>IF(Table622027323334[[#This Row],[Non-Member]]="X"," ",IF(J9=" "," ",IFERROR(VLOOKUP(I9,Points!$A$2:$B$14,2,FALSE)," ")))</f>
        <v>6</v>
      </c>
      <c r="L9" s="92">
        <v>18.856000000000002</v>
      </c>
      <c r="M9" s="93">
        <f t="shared" si="4"/>
        <v>2</v>
      </c>
      <c r="N9" s="93">
        <f t="shared" si="5"/>
        <v>2</v>
      </c>
      <c r="O9" s="94">
        <f>IF(Table622027323334[[#This Row],[Non-Member]]="X"," ",IF(N9=" "," ",IFERROR(VLOOKUP(M9,Points!$A$2:$B$14,2,FALSE)," ")))</f>
        <v>15</v>
      </c>
      <c r="P9" s="92">
        <v>0</v>
      </c>
      <c r="Q9" s="93" t="str">
        <f t="shared" si="6"/>
        <v xml:space="preserve"> </v>
      </c>
      <c r="R9" s="93" t="str">
        <f t="shared" si="7"/>
        <v xml:space="preserve"> </v>
      </c>
      <c r="S9" s="94" t="str">
        <f>IF(Table622027323334[[#This Row],[Non-Member]]="X"," ",IF(R9=" "," ",IFERROR(VLOOKUP(Q9,Points!$A$2:$B$14,2,FALSE)," ")))</f>
        <v xml:space="preserve"> </v>
      </c>
      <c r="T9" s="92">
        <v>25.786000000000001</v>
      </c>
      <c r="U9" s="93">
        <f t="shared" si="8"/>
        <v>3</v>
      </c>
      <c r="V9" s="93">
        <f t="shared" si="9"/>
        <v>3</v>
      </c>
      <c r="W9" s="94">
        <f>IF(Table622027323334[[#This Row],[Non-Member]]="X"," ",IF(V9=" "," ",IFERROR(VLOOKUP(U9,Points!$A$2:$B$14,2,FALSE)," ")))</f>
        <v>12</v>
      </c>
      <c r="X9" s="92">
        <v>0</v>
      </c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IF(Table622027323334[[#This Row],[Non-Member]]="X"," ",IF(Z9=" "," ",IFERROR(VLOOKUP(Y9,Points!$A$2:$B$14,2,FALSE)," ")))</f>
        <v xml:space="preserve"> </v>
      </c>
      <c r="AB9" s="92">
        <v>15.307</v>
      </c>
      <c r="AC9" s="93">
        <f t="shared" si="12"/>
        <v>2</v>
      </c>
      <c r="AD9" s="93">
        <f t="shared" si="13"/>
        <v>2</v>
      </c>
      <c r="AE9" s="94">
        <f>IF(Table622027323334[[#This Row],[Non-Member]]="X"," ",IF(AD9=" "," ",IFERROR(VLOOKUP(AC9,Points!$A$2:$B$14,2,FALSE)," ")))</f>
        <v>15</v>
      </c>
      <c r="AF9" s="163" t="s">
        <v>286</v>
      </c>
      <c r="AG9" s="93">
        <v>5</v>
      </c>
      <c r="AH9" s="93">
        <v>5</v>
      </c>
      <c r="AI9" s="94">
        <f>IF(Table622027323334[[#This Row],[Non-Member]]="X"," ",IF(AH9=" "," ",IFERROR(VLOOKUP(AG9,Points!$A$2:$B$14,2,FALSE)," ")))</f>
        <v>6</v>
      </c>
      <c r="AJ9" s="93">
        <f>IF(Table622027323334[[#This Row],[Non-Member]]="X"," ",((IF(G9=" ",0,G9))+(IF(K9=" ",0,K9))+(IF(O9=" ",0,O9))+(IF(S9=" ",0,S9))+(IF(W9=" ",0,W9))+(IF(AA9=" ",0,AA9))+(IF(AE9=" ",0,AE9))+(IF(AI9=" ",0,AI9))))</f>
        <v>54</v>
      </c>
      <c r="AK9" s="95">
        <f t="shared" si="14"/>
        <v>54</v>
      </c>
      <c r="AL9" s="96">
        <f t="shared" si="15"/>
        <v>5</v>
      </c>
    </row>
    <row r="10" spans="2:38" x14ac:dyDescent="0.25">
      <c r="B10" s="90" t="s">
        <v>74</v>
      </c>
      <c r="C10" s="91"/>
      <c r="D10" s="92"/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IF(Table622027323334[[#This Row],[Non-Member]]="X"," ",IF(F10=" "," ",IFERROR(VLOOKUP(E10,Points!$A$2:$B$14,2,FALSE)," ")))</f>
        <v xml:space="preserve"> </v>
      </c>
      <c r="H10" s="92">
        <v>33.960999999999999</v>
      </c>
      <c r="I10" s="93">
        <f t="shared" si="2"/>
        <v>3</v>
      </c>
      <c r="J10" s="93">
        <f t="shared" si="3"/>
        <v>3</v>
      </c>
      <c r="K10" s="94">
        <f>IF(Table622027323334[[#This Row],[Non-Member]]="X"," ",IF(J10=" "," ",IFERROR(VLOOKUP(I10,Points!$A$2:$B$14,2,FALSE)," ")))</f>
        <v>12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IF(Table622027323334[[#This Row],[Non-Member]]="X"," ",IF(N10=" "," ",IFERROR(VLOOKUP(M10,Points!$A$2:$B$14,2,FALSE)," ")))</f>
        <v xml:space="preserve"> </v>
      </c>
      <c r="P10" s="92">
        <v>29.844000000000001</v>
      </c>
      <c r="Q10" s="93">
        <f t="shared" si="6"/>
        <v>2</v>
      </c>
      <c r="R10" s="93">
        <f t="shared" si="7"/>
        <v>2</v>
      </c>
      <c r="S10" s="94">
        <f>IF(Table622027323334[[#This Row],[Non-Member]]="X"," ",IF(R10=" "," ",IFERROR(VLOOKUP(Q10,Points!$A$2:$B$14,2,FALSE)," ")))</f>
        <v>15</v>
      </c>
      <c r="T10" s="92">
        <v>0</v>
      </c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IF(Table622027323334[[#This Row],[Non-Member]]="X"," ",IF(V10=" "," ",IFERROR(VLOOKUP(U10,Points!$A$2:$B$14,2,FALSE)," ")))</f>
        <v xml:space="preserve"> </v>
      </c>
      <c r="X10" s="92">
        <v>37.567</v>
      </c>
      <c r="Y10" s="93">
        <f t="shared" si="10"/>
        <v>6</v>
      </c>
      <c r="Z10" s="93">
        <f t="shared" si="11"/>
        <v>6</v>
      </c>
      <c r="AA10" s="94">
        <f>IF(Table622027323334[[#This Row],[Non-Member]]="X"," ",IF(Z10=" "," ",IFERROR(VLOOKUP(Y10,Points!$A$2:$B$14,2,FALSE)," ")))</f>
        <v>3</v>
      </c>
      <c r="AB10" s="92">
        <v>32.649000000000001</v>
      </c>
      <c r="AC10" s="93">
        <f t="shared" si="12"/>
        <v>5</v>
      </c>
      <c r="AD10" s="93">
        <f t="shared" si="13"/>
        <v>5</v>
      </c>
      <c r="AE10" s="94">
        <f>IF(Table622027323334[[#This Row],[Non-Member]]="X"," ",IF(AD10=" "," ",IFERROR(VLOOKUP(AC10,Points!$A$2:$B$14,2,FALSE)," ")))</f>
        <v>6</v>
      </c>
      <c r="AF10" s="92">
        <f>IF(OR(X10=0,AB10=0)," ",X10+AB10)</f>
        <v>70.216000000000008</v>
      </c>
      <c r="AG10" s="93">
        <f>IF(OR(AF10=0,AF10=" ")," ",_xlfn.RANK.AVG(AF10,AF$5:AF$24,1)-COUNTIF(AF$5:AF$24,0))</f>
        <v>4</v>
      </c>
      <c r="AH10" s="93">
        <f>IF(OR(AF10=0,AF10=" ")," ",IF((RANK(AF10,AF$5:AF$24,1)-COUNTIF(AF$5:AF$24,0)&gt;6)," ",RANK(AF10,AF$5:AF$24,1)-COUNTIF(AF$5:AF$24,0)))</f>
        <v>4</v>
      </c>
      <c r="AI10" s="94">
        <f>IF(Table622027323334[[#This Row],[Non-Member]]="X"," ",IF(AH10=" "," ",IFERROR(VLOOKUP(AG10,Points!$A$2:$B$14,2,FALSE)," ")))</f>
        <v>9</v>
      </c>
      <c r="AJ10" s="93">
        <f>IF(Table622027323334[[#This Row],[Non-Member]]="X"," ",((IF(G10=" ",0,G10))+(IF(K10=" ",0,K10))+(IF(O10=" ",0,O10))+(IF(S10=" ",0,S10))+(IF(W10=" ",0,W10))+(IF(AA10=" ",0,AA10))+(IF(AE10=" ",0,AE10))+(IF(AI10=" ",0,AI10))))</f>
        <v>45</v>
      </c>
      <c r="AK10" s="95">
        <f t="shared" si="14"/>
        <v>45</v>
      </c>
      <c r="AL10" s="96">
        <f t="shared" si="15"/>
        <v>6</v>
      </c>
    </row>
    <row r="11" spans="2:38" x14ac:dyDescent="0.25">
      <c r="B11" s="90" t="s">
        <v>70</v>
      </c>
      <c r="C11" s="91"/>
      <c r="D11" s="92">
        <v>0</v>
      </c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IF(Table622027323334[[#This Row],[Non-Member]]="X"," ",IF(F11=" "," ",IFERROR(VLOOKUP(E11,Points!$A$2:$B$14,2,FALSE)," ")))</f>
        <v xml:space="preserve"> 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IF(Table622027323334[[#This Row],[Non-Member]]="X"," ",IF(N11=" "," ",IFERROR(VLOOKUP(M11,Points!$A$2:$B$14,2,FALSE)," ")))</f>
        <v xml:space="preserve"> 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IF(Table622027323334[[#This Row],[Non-Member]]="X"," ",IF(R11=" "," ",IFERROR(VLOOKUP(Q11,Points!$A$2:$B$14,2,FALSE)," ")))</f>
        <v xml:space="preserve"> </v>
      </c>
      <c r="T11" s="92">
        <v>27.068999999999999</v>
      </c>
      <c r="U11" s="93">
        <f t="shared" si="8"/>
        <v>4</v>
      </c>
      <c r="V11" s="93">
        <f t="shared" si="9"/>
        <v>4</v>
      </c>
      <c r="W11" s="94">
        <f>IF(Table622027323334[[#This Row],[Non-Member]]="X"," ",IF(V11=" "," ",IFERROR(VLOOKUP(U11,Points!$A$2:$B$14,2,FALSE)," ")))</f>
        <v>9</v>
      </c>
      <c r="X11" s="92">
        <v>17.634</v>
      </c>
      <c r="Y11" s="93">
        <f t="shared" si="10"/>
        <v>3</v>
      </c>
      <c r="Z11" s="93">
        <f t="shared" si="11"/>
        <v>3</v>
      </c>
      <c r="AA11" s="94">
        <f>IF(Table622027323334[[#This Row],[Non-Member]]="X"," ",IF(Z11=" "," ",IFERROR(VLOOKUP(Y11,Points!$A$2:$B$14,2,FALSE)," ")))</f>
        <v>12</v>
      </c>
      <c r="AB11" s="92">
        <v>0</v>
      </c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IF(Table622027323334[[#This Row],[Non-Member]]="X"," ",IF(AD11=" "," ",IFERROR(VLOOKUP(AC11,Points!$A$2:$B$14,2,FALSE)," ")))</f>
        <v xml:space="preserve"> </v>
      </c>
      <c r="AF11" s="163" t="s">
        <v>287</v>
      </c>
      <c r="AG11" s="93">
        <v>6</v>
      </c>
      <c r="AH11" s="93">
        <v>6</v>
      </c>
      <c r="AI11" s="94">
        <f>IF(Table622027323334[[#This Row],[Non-Member]]="X"," ",IF(AH11=" "," ",IFERROR(VLOOKUP(AG11,Points!$A$2:$B$14,2,FALSE)," ")))</f>
        <v>3</v>
      </c>
      <c r="AJ11" s="93">
        <f>IF(Table622027323334[[#This Row],[Non-Member]]="X"," ",((IF(G11=" ",0,G11))+(IF(K11=" ",0,K11))+(IF(O11=" ",0,O11))+(IF(S11=" ",0,S11))+(IF(W11=" ",0,W11))+(IF(AA11=" ",0,AA11))+(IF(AE11=" ",0,AE11))+(IF(AI11=" ",0,AI11))))</f>
        <v>24</v>
      </c>
      <c r="AK11" s="95">
        <f t="shared" si="14"/>
        <v>24</v>
      </c>
      <c r="AL11" s="96">
        <f t="shared" si="15"/>
        <v>7</v>
      </c>
    </row>
    <row r="12" spans="2:38" x14ac:dyDescent="0.25">
      <c r="B12" s="90" t="s">
        <v>283</v>
      </c>
      <c r="C12" s="91" t="s">
        <v>95</v>
      </c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IF(Table622027323334[[#This Row],[Non-Member]]="X"," ",IF(J12=" "," ",IFERROR(VLOOKUP(I12,Points!$A$2:$B$14,2,FALSE)," ")))</f>
        <v xml:space="preserve"> </v>
      </c>
      <c r="L12" s="92">
        <v>29.728999999999999</v>
      </c>
      <c r="M12" s="93">
        <f t="shared" si="4"/>
        <v>4</v>
      </c>
      <c r="N12" s="93">
        <f t="shared" si="5"/>
        <v>4</v>
      </c>
      <c r="O12" s="94" t="str">
        <f>IF(Table622027323334[[#This Row],[Non-Member]]="X"," ",IF(N12=" "," ",IFERROR(VLOOKUP(M12,Points!$A$2:$B$14,2,FALSE)," ")))</f>
        <v xml:space="preserve"> </v>
      </c>
      <c r="P12" s="92">
        <v>32.701000000000001</v>
      </c>
      <c r="Q12" s="93">
        <f t="shared" si="6"/>
        <v>4</v>
      </c>
      <c r="R12" s="93">
        <f t="shared" si="7"/>
        <v>4</v>
      </c>
      <c r="S12" s="94" t="str">
        <f>IF(Table622027323334[[#This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IF(Table622027323334[[#This Row],[Non-Member]]="X"," ",IF(AD12=" "," ",IFERROR(VLOOKUP(AC12,Points!$A$2:$B$14,2,FALSE)," ")))</f>
        <v xml:space="preserve"> </v>
      </c>
      <c r="AF12" s="92" t="str">
        <f t="shared" ref="AF12:AF24" si="16">IF(OR(X12=0,AB12=0)," ",X12+AB12)</f>
        <v xml:space="preserve"> </v>
      </c>
      <c r="AG12" s="93" t="str">
        <f t="shared" ref="AG12:AG24" si="17">IF(OR(AF12=0,AF12=" ")," ",_xlfn.RANK.AVG(AF12,AF$5:AF$24,1)-COUNTIF(AF$5:AF$24,0))</f>
        <v xml:space="preserve"> </v>
      </c>
      <c r="AH12" s="93" t="str">
        <f t="shared" ref="AH12:AH24" si="18">IF(OR(AF12=0,AF12=" ")," ",IF((RANK(AF12,AF$5:AF$24,1)-COUNTIF(AF$5:AF$24,0)&gt;6)," ",RANK(AF12,AF$5:AF$24,1)-COUNTIF(AF$5:AF$24,0)))</f>
        <v xml:space="preserve"> </v>
      </c>
      <c r="AI12" s="94" t="str">
        <f>IF(Table622027323334[[#This Row],[Non-Member]]="X"," ",IF(AH12=" "," ",IFERROR(VLOOKUP(AG12,Points!$A$2:$B$14,2,FALSE)," ")))</f>
        <v xml:space="preserve"> </v>
      </c>
      <c r="AJ12" s="93" t="str">
        <f>IF(Table622027323334[[#This Row],[Non-Member]]="X"," ",((IF(G12=" ",0,G12))+(IF(K12=" ",0,K12))+(IF(O12=" ",0,O12))+(IF(S12=" ",0,S12))+(IF(W12=" ",0,W12))+(IF(AA12=" ",0,AA12))+(IF(AE12=" ",0,AE12))+(IF(AI12=" ",0,AI12))))</f>
        <v xml:space="preserve"> </v>
      </c>
      <c r="AK12" s="95" t="str">
        <f t="shared" si="14"/>
        <v xml:space="preserve"> </v>
      </c>
      <c r="AL12" s="96" t="str">
        <f t="shared" si="15"/>
        <v xml:space="preserve"> </v>
      </c>
    </row>
    <row r="13" spans="2:38" x14ac:dyDescent="0.25">
      <c r="B13" s="90"/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IF(Table622027323334[[#This Row],[Non-Member]]="X"," ",IF(R13=" "," ",IFERROR(VLOOKUP(Q13,Points!$A$2:$B$14,2,FALSE)," ")))</f>
        <v xml:space="preserve"> </v>
      </c>
      <c r="T13" s="92"/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3" t="str">
        <f t="shared" si="17"/>
        <v xml:space="preserve"> </v>
      </c>
      <c r="AH13" s="93" t="str">
        <f t="shared" si="18"/>
        <v xml:space="preserve"> </v>
      </c>
      <c r="AI13" s="94" t="str">
        <f>IF(Table622027323334[[#This Row],[Non-Member]]="X"," ",IF(AH13=" "," ",IFERROR(VLOOKUP(AG13,Points!$A$2:$B$14,2,FALSE)," ")))</f>
        <v xml:space="preserve"> </v>
      </c>
      <c r="AJ13" s="93">
        <f>IF(Table622027323334[[#This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4"/>
        <v xml:space="preserve"> </v>
      </c>
      <c r="AL13" s="96" t="str">
        <f t="shared" si="15"/>
        <v xml:space="preserve"> </v>
      </c>
    </row>
    <row r="14" spans="2:38" x14ac:dyDescent="0.25">
      <c r="B14" s="90"/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IF(Table622027323334[[#This Row],[Non-Member]]="X"," ",IF(AH14=" "," ",IFERROR(VLOOKUP(AG14,Points!$A$2:$B$14,2,FALSE)," ")))</f>
        <v xml:space="preserve"> </v>
      </c>
      <c r="AJ14" s="93">
        <f>IF(Table622027323334[[#This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25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3" t="str">
        <f t="shared" si="17"/>
        <v xml:space="preserve"> </v>
      </c>
      <c r="AH15" s="93" t="str">
        <f t="shared" si="18"/>
        <v xml:space="preserve"> </v>
      </c>
      <c r="AI15" s="94" t="str">
        <f>IF(Table622027323334[[#This Row],[Non-Member]]="X"," ",IF(AH15=" "," ",IFERROR(VLOOKUP(AG15,Points!$A$2:$B$14,2,FALSE)," ")))</f>
        <v xml:space="preserve"> </v>
      </c>
      <c r="AJ15" s="93">
        <f>IF(Table622027323334[[#This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6" t="str">
        <f t="shared" si="15"/>
        <v xml:space="preserve"> </v>
      </c>
    </row>
    <row r="16" spans="2:38" x14ac:dyDescent="0.25">
      <c r="B16" s="90"/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7" t="str">
        <f t="shared" si="17"/>
        <v xml:space="preserve"> </v>
      </c>
      <c r="AH16" s="97" t="str">
        <f t="shared" si="18"/>
        <v xml:space="preserve"> </v>
      </c>
      <c r="AI16" s="94" t="str">
        <f>IF(Table622027323334[[#This Row],[Non-Member]]="X"," ",IF(AH16=" "," ",IFERROR(VLOOKUP(AG16,Points!$A$2:$B$14,2,FALSE)," ")))</f>
        <v xml:space="preserve"> </v>
      </c>
      <c r="AJ16" s="97">
        <f>IF(Table622027323334[[#This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8" t="str">
        <f t="shared" si="15"/>
        <v xml:space="preserve"> </v>
      </c>
    </row>
    <row r="17" spans="2:38" x14ac:dyDescent="0.25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7" t="str">
        <f t="shared" si="17"/>
        <v xml:space="preserve"> </v>
      </c>
      <c r="AH17" s="97" t="str">
        <f t="shared" si="18"/>
        <v xml:space="preserve"> </v>
      </c>
      <c r="AI17" s="94" t="str">
        <f>IF(Table622027323334[[#This Row],[Non-Member]]="X"," ",IF(AH17=" "," ",IFERROR(VLOOKUP(AG17,Points!$A$2:$B$14,2,FALSE)," ")))</f>
        <v xml:space="preserve"> </v>
      </c>
      <c r="AJ17" s="97">
        <f>IF(Table622027323334[[#This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8" t="str">
        <f t="shared" si="15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7" t="str">
        <f t="shared" si="17"/>
        <v xml:space="preserve"> </v>
      </c>
      <c r="AH18" s="97" t="str">
        <f t="shared" si="18"/>
        <v xml:space="preserve"> </v>
      </c>
      <c r="AI18" s="94" t="str">
        <f>IF(Table622027323334[[#This Row],[Non-Member]]="X"," ",IF(AH18=" "," ",IFERROR(VLOOKUP(AG18,Points!$A$2:$B$14,2,FALSE)," ")))</f>
        <v xml:space="preserve"> </v>
      </c>
      <c r="AJ18" s="97">
        <f>IF(Table622027323334[[#This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8" t="str">
        <f t="shared" si="15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IF(Table622027323334[[#This Row],[Non-Member]]="X"," ",IF(AH19=" "," ",IFERROR(VLOOKUP(AG19,Points!$A$2:$B$14,2,FALSE)," ")))</f>
        <v xml:space="preserve"> </v>
      </c>
      <c r="AJ19" s="93">
        <f>IF(Table622027323334[[#This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IF(Table622027323334[[#This Row],[Non-Member]]="X"," ",IF(AH20=" "," ",IFERROR(VLOOKUP(AG20,Points!$A$2:$B$14,2,FALSE)," ")))</f>
        <v xml:space="preserve"> </v>
      </c>
      <c r="AJ20" s="93">
        <f>IF(Table622027323334[[#This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IF(Table622027323334[[#This Row],[Non-Member]]="X"," ",IF(AH21=" "," ",IFERROR(VLOOKUP(AG21,Points!$A$2:$B$14,2,FALSE)," ")))</f>
        <v xml:space="preserve"> </v>
      </c>
      <c r="AJ21" s="93">
        <f>IF(Table622027323334[[#This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IF(Table622027323334[[#This Row],[Non-Member]]="X"," ",IF(AH22=" "," ",IFERROR(VLOOKUP(AG22,Points!$A$2:$B$14,2,FALSE)," ")))</f>
        <v xml:space="preserve"> </v>
      </c>
      <c r="AJ22" s="93">
        <f>IF(Table622027323334[[#This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IF(Table622027323334[[#This Row],[Non-Member]]="X"," ",IF(AH23=" "," ",IFERROR(VLOOKUP(AG23,Points!$A$2:$B$14,2,FALSE)," ")))</f>
        <v xml:space="preserve"> </v>
      </c>
      <c r="AJ23" s="93">
        <f>IF(Table622027323334[[#This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IF(Table622027323334[[#This Row],[Non-Member]]="X"," ",IF(AH24=" "," ",IFERROR(VLOOKUP(AG24,Points!$A$2:$B$14,2,FALSE)," ")))</f>
        <v xml:space="preserve"> </v>
      </c>
      <c r="AJ24" s="93">
        <f>IF(Table622027323334[[#This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q8EDs0jlum46LxXMwo0LrI08/sW4p59cg5I3Yviqj4GCjK7/emTk2tEyOumCssKVKNNwsb1OG7w/At/lzR14UQ==" saltValue="PgY5C3uw03j7YHE2U22RMw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ignoredErrors>
    <ignoredError sqref="AH9:AH11 AF9:AF12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8D79-F324-4DC0-B6AE-4501148189CD}">
  <sheetPr codeName="Sheet82">
    <tabColor theme="9" tint="0.79998168889431442"/>
  </sheetPr>
  <dimension ref="B1:AL29"/>
  <sheetViews>
    <sheetView showGridLines="0" zoomScaleNormal="100" workbookViewId="0">
      <pane xSplit="2" topLeftCell="C1" activePane="topRight" state="frozen"/>
      <selection activeCell="H33" sqref="H33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123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167</v>
      </c>
      <c r="C5" s="84"/>
      <c r="D5" s="85">
        <v>0</v>
      </c>
      <c r="E5" s="86" t="str">
        <f t="shared" ref="E5:E24" si="0">IF(D5=0," ",_xlfn.RANK.AVG(D5,D$5:D$24,1)-COUNTIF(D$5:D$24,0))</f>
        <v xml:space="preserve"> </v>
      </c>
      <c r="F5" s="86" t="str">
        <f t="shared" ref="F5:F24" si="1">IF(D5=0," ",IF((RANK(D5,D$5:D$24,1)-COUNTIF(D$5:D$24,0)&gt;6)," ",RANK(D5,D$5:D$24,1)-COUNTIF(D$5:D$24,0)))</f>
        <v xml:space="preserve"> </v>
      </c>
      <c r="G5" s="87" t="str">
        <f>IF(Table622027323337383923244450[[#This Row],[Non-Member]]="X"," ",IF(F5=" "," ",IFERROR(VLOOKUP(E5,Points!$A$2:$B$14,2,FALSE)," ")))</f>
        <v xml:space="preserve"> </v>
      </c>
      <c r="H5" s="85">
        <v>0</v>
      </c>
      <c r="I5" s="86" t="str">
        <f t="shared" ref="I5:I24" si="2">IF(H5=0," ",_xlfn.RANK.AVG(H5,H$5:H$24,1)-COUNTIF(H$5:H$24,0))</f>
        <v xml:space="preserve"> </v>
      </c>
      <c r="J5" s="86" t="str">
        <f t="shared" ref="J5:J24" si="3">IF(H5=0," ",IF((RANK(H5,H$5:H$24,1)-COUNTIF(H$5:H$24,0)&gt;6)," ",RANK(H5,H$5:H$24,1)-COUNTIF(H$5:H$24,0)))</f>
        <v xml:space="preserve"> </v>
      </c>
      <c r="K5" s="87" t="str">
        <f>IF(Table622027323337383923244450[[#This Row],[Non-Member]]="X"," ",IF(J5=" "," ",IFERROR(VLOOKUP(I5,Points!$A$2:$B$14,2,FALSE)," ")))</f>
        <v xml:space="preserve"> </v>
      </c>
      <c r="L5" s="85">
        <v>3.73</v>
      </c>
      <c r="M5" s="86">
        <f t="shared" ref="M5:M24" si="4">IF(L5=0," ",_xlfn.RANK.AVG(L5,L$5:L$24,1)-COUNTIF(L$5:L$24,0))</f>
        <v>2</v>
      </c>
      <c r="N5" s="86">
        <f t="shared" ref="N5:N24" si="5">IF(L5=0," ",IF((RANK(L5,L$5:L$24,1)-COUNTIF(L$5:L$24,0)&gt;6)," ",RANK(L5,L$5:L$24,1)-COUNTIF(L$5:L$24,0)))</f>
        <v>2</v>
      </c>
      <c r="O5" s="87">
        <f>IF(Table622027323337383923244450[[#This Row],[Non-Member]]="X"," ",IF(N5=" "," ",IFERROR(VLOOKUP(M5,Points!$A$2:$B$14,2,FALSE)," ")))</f>
        <v>15</v>
      </c>
      <c r="P5" s="85">
        <v>3.91</v>
      </c>
      <c r="Q5" s="86">
        <f t="shared" ref="Q5:Q24" si="6">IF(P5=0," ",_xlfn.RANK.AVG(P5,P$5:P$24,1)-COUNTIF(P$5:P$24,0))</f>
        <v>3</v>
      </c>
      <c r="R5" s="86">
        <f t="shared" ref="R5:R24" si="7">IF(P5=0," ",IF((RANK(P5,P$5:P$24,1)-COUNTIF(P$5:P$24,0)&gt;6)," ",RANK(P5,P$5:P$24,1)-COUNTIF(P$5:P$24,0)))</f>
        <v>3</v>
      </c>
      <c r="S5" s="87">
        <f>IF(Table622027323337383923244450[[#This Row],[Non-Member]]="X"," ",IF(R5=" "," ",IFERROR(VLOOKUP(Q5,Points!$A$2:$B$14,2,FALSE)," ")))</f>
        <v>12</v>
      </c>
      <c r="T5" s="85">
        <v>0</v>
      </c>
      <c r="U5" s="86" t="str">
        <f t="shared" ref="U5:U24" si="8">IF(T5=0," ",_xlfn.RANK.AVG(T5,T$5:T$24,1)-COUNTIF(T$5:T$24,0))</f>
        <v xml:space="preserve"> </v>
      </c>
      <c r="V5" s="86" t="str">
        <f t="shared" ref="V5:V24" si="9">IF(T5=0," ",IF((RANK(T5,T$5:T$24,1)-COUNTIF(T$5:T$24,0)&gt;6)," ",RANK(T5,T$5:T$24,1)-COUNTIF(T$5:T$24,0)))</f>
        <v xml:space="preserve"> </v>
      </c>
      <c r="W5" s="87" t="str">
        <f>IF(Table622027323337383923244450[[#This Row],[Non-Member]]="X"," ",IF(V5=" "," ",IFERROR(VLOOKUP(U5,Points!$A$2:$B$14,2,FALSE)," ")))</f>
        <v xml:space="preserve"> </v>
      </c>
      <c r="X5" s="85">
        <v>0</v>
      </c>
      <c r="Y5" s="86" t="str">
        <f t="shared" ref="Y5:Y24" si="10">IF(X5=0," ",_xlfn.RANK.AVG(X5,X$5:X$24,1)-COUNTIF(X$5:X$24,0))</f>
        <v xml:space="preserve"> </v>
      </c>
      <c r="Z5" s="86" t="str">
        <f t="shared" ref="Z5:Z24" si="11">IF(X5=0," ",IF((RANK(X5,X$5:X$24,1)-COUNTIF(X$5:X$24,0)&gt;6)," ",RANK(X5,X$5:X$24,1)-COUNTIF(X$5:X$24,0)))</f>
        <v xml:space="preserve"> </v>
      </c>
      <c r="AA5" s="87" t="str">
        <f>IF(Table622027323337383923244450[[#This Row],[Non-Member]]="X"," ",IF(Z5=" "," ",IFERROR(VLOOKUP(Y5,Points!$A$2:$B$14,2,FALSE)," ")))</f>
        <v xml:space="preserve"> </v>
      </c>
      <c r="AB5" s="85">
        <v>4.49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IF(Table622027323337383923244450[[#This Row],[Non-Member]]="X"," ",IF(AD5=" "," ",IFERROR(VLOOKUP(AC5,Points!$A$2:$B$14,2,FALSE)," ")))</f>
        <v>18</v>
      </c>
      <c r="AF5" s="164" t="s">
        <v>294</v>
      </c>
      <c r="AG5" s="86">
        <v>1</v>
      </c>
      <c r="AH5" s="86">
        <v>1</v>
      </c>
      <c r="AI5" s="87">
        <f>IF(Table622027323337383923244450[[#This Row],[Non-Member]]="X"," ",IF(AH5=" "," ",IFERROR(VLOOKUP(AG5,Points!$A$2:$B$14,2,FALSE)," ")))</f>
        <v>18</v>
      </c>
      <c r="AJ5" s="86">
        <f>IF(Table622027323337383923244450[[#This Row],[Non-Member]]="X"," ",((IF(G5=" ",0,G5))+(IF(K5=" ",0,K5))+(IF(O5=" ",0,O5))+(IF(S5=" ",0,S5))+(IF(W5=" ",0,W5))+(IF(AA5=" ",0,AA5))+(IF(AE5=" ",0,AE5))+(IF(AI5=" ",0,AI5))))</f>
        <v>63</v>
      </c>
      <c r="AK5" s="88">
        <f t="shared" ref="AK5:AK24" si="14">IF(AJ5=0," ",AJ5)</f>
        <v>63</v>
      </c>
      <c r="AL5" s="89">
        <f t="shared" ref="AL5:AL24" si="15">IF(AK5=" "," ",RANK(AK5,$AK$5:$AK$24))</f>
        <v>1</v>
      </c>
    </row>
    <row r="6" spans="2:38" x14ac:dyDescent="0.25">
      <c r="B6" s="90" t="s">
        <v>161</v>
      </c>
      <c r="C6" s="91"/>
      <c r="D6" s="92">
        <v>0</v>
      </c>
      <c r="E6" s="93" t="str">
        <f t="shared" si="0"/>
        <v xml:space="preserve"> </v>
      </c>
      <c r="F6" s="93" t="str">
        <f t="shared" si="1"/>
        <v xml:space="preserve"> </v>
      </c>
      <c r="G6" s="94" t="str">
        <f>IF(Table622027323337383923244450[[#This Row],[Non-Member]]="X"," ",IF(F6=" "," ",IFERROR(VLOOKUP(E6,Points!$A$2:$B$14,2,FALSE)," ")))</f>
        <v xml:space="preserve"> </v>
      </c>
      <c r="H6" s="92">
        <v>4.91</v>
      </c>
      <c r="I6" s="93">
        <f t="shared" si="2"/>
        <v>2</v>
      </c>
      <c r="J6" s="93">
        <f t="shared" si="3"/>
        <v>2</v>
      </c>
      <c r="K6" s="94">
        <f>IF(Table622027323337383923244450[[#This Row],[Non-Member]]="X"," ",IF(J6=" "," ",IFERROR(VLOOKUP(I6,Points!$A$2:$B$14,2,FALSE)," ")))</f>
        <v>15</v>
      </c>
      <c r="L6" s="92">
        <v>0</v>
      </c>
      <c r="M6" s="93" t="str">
        <f t="shared" si="4"/>
        <v xml:space="preserve"> </v>
      </c>
      <c r="N6" s="93" t="str">
        <f t="shared" si="5"/>
        <v xml:space="preserve"> </v>
      </c>
      <c r="O6" s="94" t="str">
        <f>IF(Table622027323337383923244450[[#This Row],[Non-Member]]="X"," ",IF(N6=" "," ",IFERROR(VLOOKUP(M6,Points!$A$2:$B$14,2,FALSE)," ")))</f>
        <v xml:space="preserve"> </v>
      </c>
      <c r="P6" s="92">
        <v>3.46</v>
      </c>
      <c r="Q6" s="93">
        <f t="shared" si="6"/>
        <v>2</v>
      </c>
      <c r="R6" s="93">
        <f t="shared" si="7"/>
        <v>2</v>
      </c>
      <c r="S6" s="94">
        <f>IF(Table622027323337383923244450[[#This Row],[Non-Member]]="X"," ",IF(R6=" "," ",IFERROR(VLOOKUP(Q6,Points!$A$2:$B$14,2,FALSE)," ")))</f>
        <v>15</v>
      </c>
      <c r="T6" s="92">
        <v>0</v>
      </c>
      <c r="U6" s="93" t="str">
        <f t="shared" si="8"/>
        <v xml:space="preserve"> </v>
      </c>
      <c r="V6" s="93" t="str">
        <f t="shared" si="9"/>
        <v xml:space="preserve"> </v>
      </c>
      <c r="W6" s="94" t="str">
        <f>IF(Table622027323337383923244450[[#This Row],[Non-Member]]="X"," ",IF(V6=" "," ",IFERROR(VLOOKUP(U6,Points!$A$2:$B$14,2,FALSE)," ")))</f>
        <v xml:space="preserve"> </v>
      </c>
      <c r="X6" s="92">
        <v>0</v>
      </c>
      <c r="Y6" s="93" t="str">
        <f t="shared" si="10"/>
        <v xml:space="preserve"> </v>
      </c>
      <c r="Z6" s="93" t="str">
        <f t="shared" si="11"/>
        <v xml:space="preserve"> </v>
      </c>
      <c r="AA6" s="94" t="str">
        <f>IF(Table622027323337383923244450[[#This Row],[Non-Member]]="X"," ",IF(Z6=" "," ",IFERROR(VLOOKUP(Y6,Points!$A$2:$B$14,2,FALSE)," ")))</f>
        <v xml:space="preserve"> </v>
      </c>
      <c r="AB6" s="92">
        <v>4.8</v>
      </c>
      <c r="AC6" s="93">
        <f t="shared" si="12"/>
        <v>2</v>
      </c>
      <c r="AD6" s="93">
        <f t="shared" si="13"/>
        <v>2</v>
      </c>
      <c r="AE6" s="94">
        <f>IF(Table622027323337383923244450[[#This Row],[Non-Member]]="X"," ",IF(AD6=" "," ",IFERROR(VLOOKUP(AC6,Points!$A$2:$B$14,2,FALSE)," ")))</f>
        <v>15</v>
      </c>
      <c r="AF6" s="163" t="s">
        <v>293</v>
      </c>
      <c r="AG6" s="93">
        <v>2</v>
      </c>
      <c r="AH6" s="93">
        <v>2</v>
      </c>
      <c r="AI6" s="94">
        <f>IF(Table622027323337383923244450[[#This Row],[Non-Member]]="X"," ",IF(AH6=" "," ",IFERROR(VLOOKUP(AG6,Points!$A$2:$B$14,2,FALSE)," ")))</f>
        <v>15</v>
      </c>
      <c r="AJ6" s="93">
        <f>IF(Table622027323337383923244450[[#This Row],[Non-Member]]="X"," ",((IF(G6=" ",0,G6))+(IF(K6=" ",0,K6))+(IF(O6=" ",0,O6))+(IF(S6=" ",0,S6))+(IF(W6=" ",0,W6))+(IF(AA6=" ",0,AA6))+(IF(AE6=" ",0,AE6))+(IF(AI6=" ",0,AI6))))</f>
        <v>60</v>
      </c>
      <c r="AK6" s="95">
        <f t="shared" si="14"/>
        <v>60</v>
      </c>
      <c r="AL6" s="96">
        <f t="shared" si="15"/>
        <v>2</v>
      </c>
    </row>
    <row r="7" spans="2:38" x14ac:dyDescent="0.25">
      <c r="B7" s="90" t="s">
        <v>169</v>
      </c>
      <c r="C7" s="91"/>
      <c r="D7" s="92">
        <v>0</v>
      </c>
      <c r="E7" s="93" t="str">
        <f t="shared" si="0"/>
        <v xml:space="preserve"> </v>
      </c>
      <c r="F7" s="93" t="str">
        <f t="shared" si="1"/>
        <v xml:space="preserve"> </v>
      </c>
      <c r="G7" s="94" t="str">
        <f>IF(Table622027323337383923244450[[#This Row],[Non-Member]]="X"," ",IF(F7=" "," ",IFERROR(VLOOKUP(E7,Points!$A$2:$B$14,2,FALSE)," ")))</f>
        <v xml:space="preserve"> </v>
      </c>
      <c r="H7" s="92">
        <v>3.67</v>
      </c>
      <c r="I7" s="93">
        <f t="shared" si="2"/>
        <v>1</v>
      </c>
      <c r="J7" s="93">
        <f t="shared" si="3"/>
        <v>1</v>
      </c>
      <c r="K7" s="94">
        <f>IF(Table622027323337383923244450[[#This Row],[Non-Member]]="X"," ",IF(J7=" "," ",IFERROR(VLOOKUP(I7,Points!$A$2:$B$14,2,FALSE)," ")))</f>
        <v>18</v>
      </c>
      <c r="L7" s="92">
        <v>0</v>
      </c>
      <c r="M7" s="93" t="str">
        <f t="shared" si="4"/>
        <v xml:space="preserve"> </v>
      </c>
      <c r="N7" s="93" t="str">
        <f t="shared" si="5"/>
        <v xml:space="preserve"> </v>
      </c>
      <c r="O7" s="94" t="str">
        <f>IF(Table622027323337383923244450[[#This Row],[Non-Member]]="X"," ",IF(N7=" "," ",IFERROR(VLOOKUP(M7,Points!$A$2:$B$14,2,FALSE)," ")))</f>
        <v xml:space="preserve"> </v>
      </c>
      <c r="P7" s="92">
        <v>4</v>
      </c>
      <c r="Q7" s="93">
        <f t="shared" si="6"/>
        <v>4</v>
      </c>
      <c r="R7" s="93">
        <f t="shared" si="7"/>
        <v>4</v>
      </c>
      <c r="S7" s="94">
        <f>IF(Table622027323337383923244450[[#This Row],[Non-Member]]="X"," ",IF(R7=" "," ",IFERROR(VLOOKUP(Q7,Points!$A$2:$B$14,2,FALSE)," ")))</f>
        <v>9</v>
      </c>
      <c r="T7" s="92">
        <v>4.25</v>
      </c>
      <c r="U7" s="93">
        <f t="shared" si="8"/>
        <v>1</v>
      </c>
      <c r="V7" s="93">
        <f t="shared" si="9"/>
        <v>1</v>
      </c>
      <c r="W7" s="94">
        <f>IF(Table622027323337383923244450[[#This Row],[Non-Member]]="X"," ",IF(V7=" "," ",IFERROR(VLOOKUP(U7,Points!$A$2:$B$14,2,FALSE)," ")))</f>
        <v>18</v>
      </c>
      <c r="X7" s="92"/>
      <c r="Y7" s="93" t="str">
        <f t="shared" si="10"/>
        <v xml:space="preserve"> </v>
      </c>
      <c r="Z7" s="93" t="str">
        <f t="shared" si="11"/>
        <v xml:space="preserve"> </v>
      </c>
      <c r="AA7" s="94" t="str">
        <f>IF(Table622027323337383923244450[[#This Row],[Non-Member]]="X"," ",IF(Z7=" "," ",IFERROR(VLOOKUP(Y7,Points!$A$2:$B$14,2,FALSE)," ")))</f>
        <v xml:space="preserve"> </v>
      </c>
      <c r="AB7" s="92"/>
      <c r="AC7" s="93" t="str">
        <f t="shared" si="12"/>
        <v xml:space="preserve"> </v>
      </c>
      <c r="AD7" s="93" t="str">
        <f t="shared" si="13"/>
        <v xml:space="preserve"> </v>
      </c>
      <c r="AE7" s="94" t="str">
        <f>IF(Table622027323337383923244450[[#This Row],[Non-Member]]="X"," ",IF(AD7=" "," ",IFERROR(VLOOKUP(AC7,Points!$A$2:$B$14,2,FALSE)," ")))</f>
        <v xml:space="preserve"> </v>
      </c>
      <c r="AF7" s="163" t="str">
        <f>IF(OR(X7=0,AB7=0)," ",X7+AB7)</f>
        <v xml:space="preserve"> </v>
      </c>
      <c r="AG7" s="93" t="str">
        <f>IF(OR(AF7=0,AF7=" ")," ",_xlfn.RANK.AVG(AF7,AF$5:AF$24,1)-COUNTIF(AF$5:AF$24,0))</f>
        <v xml:space="preserve"> </v>
      </c>
      <c r="AH7" s="93" t="str">
        <f>IF(OR(AF7=0,AF7=" ")," ",IF((RANK(AF7,AF$5:AF$24,1)-COUNTIF(AF$5:AF$24,0)&gt;6)," ",RANK(AF7,AF$5:AF$24,1)-COUNTIF(AF$5:AF$24,0)))</f>
        <v xml:space="preserve"> </v>
      </c>
      <c r="AI7" s="94" t="str">
        <f>IF(Table622027323337383923244450[[#This Row],[Non-Member]]="X"," ",IF(AH7=" "," ",IFERROR(VLOOKUP(AG7,Points!$A$2:$B$14,2,FALSE)," ")))</f>
        <v xml:space="preserve"> </v>
      </c>
      <c r="AJ7" s="93">
        <f>IF(Table622027323337383923244450[[#This Row],[Non-Member]]="X"," ",((IF(G7=" ",0,G7))+(IF(K7=" ",0,K7))+(IF(O7=" ",0,O7))+(IF(S7=" ",0,S7))+(IF(W7=" ",0,W7))+(IF(AA7=" ",0,AA7))+(IF(AE7=" ",0,AE7))+(IF(AI7=" ",0,AI7))))</f>
        <v>45</v>
      </c>
      <c r="AK7" s="95">
        <f t="shared" si="14"/>
        <v>45</v>
      </c>
      <c r="AL7" s="96">
        <f t="shared" si="15"/>
        <v>3</v>
      </c>
    </row>
    <row r="8" spans="2:38" x14ac:dyDescent="0.25">
      <c r="B8" s="90" t="s">
        <v>164</v>
      </c>
      <c r="C8" s="91"/>
      <c r="D8" s="92">
        <v>4.84</v>
      </c>
      <c r="E8" s="97">
        <f t="shared" si="0"/>
        <v>2</v>
      </c>
      <c r="F8" s="97">
        <f t="shared" si="1"/>
        <v>2</v>
      </c>
      <c r="G8" s="94">
        <f>IF(Table622027323337383923244450[[#This Row],[Non-Member]]="X"," ",IF(F8=" "," ",IFERROR(VLOOKUP(E8,Points!$A$2:$B$14,2,FALSE)," ")))</f>
        <v>15</v>
      </c>
      <c r="H8" s="92">
        <v>0</v>
      </c>
      <c r="I8" s="97" t="str">
        <f t="shared" si="2"/>
        <v xml:space="preserve"> </v>
      </c>
      <c r="J8" s="97" t="str">
        <f t="shared" si="3"/>
        <v xml:space="preserve"> </v>
      </c>
      <c r="K8" s="94" t="str">
        <f>IF(Table622027323337383923244450[[#This Row],[Non-Member]]="X"," ",IF(J8=" "," ",IFERROR(VLOOKUP(I8,Points!$A$2:$B$14,2,FALSE)," ")))</f>
        <v xml:space="preserve"> </v>
      </c>
      <c r="L8" s="92">
        <v>0</v>
      </c>
      <c r="M8" s="97" t="str">
        <f t="shared" si="4"/>
        <v xml:space="preserve"> </v>
      </c>
      <c r="N8" s="97" t="str">
        <f t="shared" si="5"/>
        <v xml:space="preserve"> </v>
      </c>
      <c r="O8" s="94" t="str">
        <f>IF(Table622027323337383923244450[[#This Row],[Non-Member]]="X"," ",IF(N8=" "," ",IFERROR(VLOOKUP(M8,Points!$A$2:$B$14,2,FALSE)," ")))</f>
        <v xml:space="preserve"> </v>
      </c>
      <c r="P8" s="92">
        <v>2.87</v>
      </c>
      <c r="Q8" s="97">
        <f t="shared" si="6"/>
        <v>1</v>
      </c>
      <c r="R8" s="97">
        <f t="shared" si="7"/>
        <v>1</v>
      </c>
      <c r="S8" s="94">
        <f>IF(Table622027323337383923244450[[#This Row],[Non-Member]]="X"," ",IF(R8=" "," ",IFERROR(VLOOKUP(Q8,Points!$A$2:$B$14,2,FALSE)," ")))</f>
        <v>18</v>
      </c>
      <c r="T8" s="92">
        <v>0</v>
      </c>
      <c r="U8" s="97" t="str">
        <f t="shared" si="8"/>
        <v xml:space="preserve"> </v>
      </c>
      <c r="V8" s="97" t="str">
        <f t="shared" si="9"/>
        <v xml:space="preserve"> </v>
      </c>
      <c r="W8" s="94" t="str">
        <f>IF(Table622027323337383923244450[[#This Row],[Non-Member]]="X"," ",IF(V8=" "," ",IFERROR(VLOOKUP(U8,Points!$A$2:$B$14,2,FALSE)," ")))</f>
        <v xml:space="preserve"> </v>
      </c>
      <c r="X8" s="92">
        <v>0</v>
      </c>
      <c r="Y8" s="97" t="str">
        <f t="shared" si="10"/>
        <v xml:space="preserve"> </v>
      </c>
      <c r="Z8" s="97" t="str">
        <f t="shared" si="11"/>
        <v xml:space="preserve"> </v>
      </c>
      <c r="AA8" s="94" t="str">
        <f>IF(Table622027323337383923244450[[#This Row],[Non-Member]]="X"," ",IF(Z8=" "," ",IFERROR(VLOOKUP(Y8,Points!$A$2:$B$14,2,FALSE)," ")))</f>
        <v xml:space="preserve"> </v>
      </c>
      <c r="AB8" s="92">
        <v>0</v>
      </c>
      <c r="AC8" s="97" t="str">
        <f t="shared" si="12"/>
        <v xml:space="preserve"> </v>
      </c>
      <c r="AD8" s="97" t="str">
        <f t="shared" si="13"/>
        <v xml:space="preserve"> </v>
      </c>
      <c r="AE8" s="94" t="str">
        <f>IF(Table622027323337383923244450[[#This Row],[Non-Member]]="X"," ",IF(AD8=" "," ",IFERROR(VLOOKUP(AC8,Points!$A$2:$B$14,2,FALSE)," ")))</f>
        <v xml:space="preserve"> </v>
      </c>
      <c r="AF8" s="163"/>
      <c r="AG8" s="97" t="str">
        <f>IF(OR(AF8=0,AF8=" ")," ",_xlfn.RANK.AVG(AF8,AF$5:AF$24,1)-COUNTIF(AF$5:AF$24,0))</f>
        <v xml:space="preserve"> </v>
      </c>
      <c r="AH8" s="97"/>
      <c r="AI8" s="94" t="str">
        <f>IF(Table622027323337383923244450[[#This Row],[Non-Member]]="X"," ",IF(AH8=" "," ",IFERROR(VLOOKUP(AG8,Points!$A$2:$B$14,2,FALSE)," ")))</f>
        <v xml:space="preserve"> </v>
      </c>
      <c r="AJ8" s="97">
        <f>IF(Table622027323337383923244450[[#This Row],[Non-Member]]="X"," ",((IF(G8=" ",0,G8))+(IF(K8=" ",0,K8))+(IF(O8=" ",0,O8))+(IF(S8=" ",0,S8))+(IF(W8=" ",0,W8))+(IF(AA8=" ",0,AA8))+(IF(AE8=" ",0,AE8))+(IF(AI8=" ",0,AI8))))</f>
        <v>33</v>
      </c>
      <c r="AK8" s="95">
        <f t="shared" si="14"/>
        <v>33</v>
      </c>
      <c r="AL8" s="98">
        <f t="shared" si="15"/>
        <v>4</v>
      </c>
    </row>
    <row r="9" spans="2:38" x14ac:dyDescent="0.25">
      <c r="B9" s="90" t="s">
        <v>259</v>
      </c>
      <c r="C9" s="91"/>
      <c r="D9" s="92"/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IF(Table622027323337383923244450[[#This Row],[Non-Member]]="X"," ",IF(F9=" "," ",IFERROR(VLOOKUP(E9,Points!$A$2:$B$14,2,FALSE)," ")))</f>
        <v xml:space="preserve"> </v>
      </c>
      <c r="H9" s="92">
        <v>0</v>
      </c>
      <c r="I9" s="93" t="str">
        <f t="shared" si="2"/>
        <v xml:space="preserve"> </v>
      </c>
      <c r="J9" s="93" t="str">
        <f t="shared" si="3"/>
        <v xml:space="preserve"> </v>
      </c>
      <c r="K9" s="94" t="str">
        <f>IF(Table622027323337383923244450[[#This Row],[Non-Member]]="X"," ",IF(J9=" "," ",IFERROR(VLOOKUP(I9,Points!$A$2:$B$14,2,FALSE)," ")))</f>
        <v xml:space="preserve"> 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IF(Table622027323337383923244450[[#This Row],[Non-Member]]="X"," ",IF(N9=" "," ",IFERROR(VLOOKUP(M9,Points!$A$2:$B$14,2,FALSE)," ")))</f>
        <v xml:space="preserve"> </v>
      </c>
      <c r="P9" s="92">
        <v>4.28</v>
      </c>
      <c r="Q9" s="93">
        <f t="shared" si="6"/>
        <v>5</v>
      </c>
      <c r="R9" s="93">
        <f t="shared" si="7"/>
        <v>5</v>
      </c>
      <c r="S9" s="94">
        <f>IF(Table622027323337383923244450[[#This Row],[Non-Member]]="X"," ",IF(R9=" "," ",IFERROR(VLOOKUP(Q9,Points!$A$2:$B$14,2,FALSE)," ")))</f>
        <v>6</v>
      </c>
      <c r="T9" s="92">
        <v>0</v>
      </c>
      <c r="U9" s="93" t="str">
        <f t="shared" si="8"/>
        <v xml:space="preserve"> </v>
      </c>
      <c r="V9" s="93" t="str">
        <f t="shared" si="9"/>
        <v xml:space="preserve"> </v>
      </c>
      <c r="W9" s="94" t="str">
        <f>IF(Table622027323337383923244450[[#This Row],[Non-Member]]="X"," ",IF(V9=" "," ",IFERROR(VLOOKUP(U9,Points!$A$2:$B$14,2,FALSE)," ")))</f>
        <v xml:space="preserve"> </v>
      </c>
      <c r="X9" s="92">
        <v>0</v>
      </c>
      <c r="Y9" s="93" t="str">
        <f t="shared" si="10"/>
        <v xml:space="preserve"> </v>
      </c>
      <c r="Z9" s="93" t="str">
        <f t="shared" si="11"/>
        <v xml:space="preserve"> </v>
      </c>
      <c r="AA9" s="94" t="str">
        <f>IF(Table622027323337383923244450[[#This Row],[Non-Member]]="X"," ",IF(Z9=" "," ",IFERROR(VLOOKUP(Y9,Points!$A$2:$B$14,2,FALSE)," ")))</f>
        <v xml:space="preserve"> </v>
      </c>
      <c r="AB9" s="92">
        <v>7.95</v>
      </c>
      <c r="AC9" s="93">
        <f t="shared" si="12"/>
        <v>4</v>
      </c>
      <c r="AD9" s="93">
        <f t="shared" si="13"/>
        <v>4</v>
      </c>
      <c r="AE9" s="94">
        <f>IF(Table622027323337383923244450[[#This Row],[Non-Member]]="X"," ",IF(AD9=" "," ",IFERROR(VLOOKUP(AC9,Points!$A$2:$B$14,2,FALSE)," ")))</f>
        <v>9</v>
      </c>
      <c r="AF9" s="163" t="s">
        <v>295</v>
      </c>
      <c r="AG9" s="93">
        <v>4</v>
      </c>
      <c r="AH9" s="93">
        <v>4</v>
      </c>
      <c r="AI9" s="94">
        <f>IF(Table622027323337383923244450[[#This Row],[Non-Member]]="X"," ",IF(AH9=" "," ",IFERROR(VLOOKUP(AG9,Points!$A$2:$B$14,2,FALSE)," ")))</f>
        <v>9</v>
      </c>
      <c r="AJ9" s="93">
        <f>IF(Table622027323337383923244450[[#This Row],[Non-Member]]="X"," ",((IF(G9=" ",0,G9))+(IF(K9=" ",0,K9))+(IF(O9=" ",0,O9))+(IF(S9=" ",0,S9))+(IF(W9=" ",0,W9))+(IF(AA9=" ",0,AA9))+(IF(AE9=" ",0,AE9))+(IF(AI9=" ",0,AI9))))</f>
        <v>24</v>
      </c>
      <c r="AK9" s="95">
        <f t="shared" si="14"/>
        <v>24</v>
      </c>
      <c r="AL9" s="96">
        <f t="shared" si="15"/>
        <v>5</v>
      </c>
    </row>
    <row r="10" spans="2:38" x14ac:dyDescent="0.25">
      <c r="B10" s="90" t="s">
        <v>168</v>
      </c>
      <c r="C10" s="91"/>
      <c r="D10" s="92">
        <v>0</v>
      </c>
      <c r="E10" s="93" t="str">
        <f t="shared" si="0"/>
        <v xml:space="preserve"> </v>
      </c>
      <c r="F10" s="93" t="str">
        <f t="shared" si="1"/>
        <v xml:space="preserve"> </v>
      </c>
      <c r="G10" s="94" t="str">
        <f>IF(Table622027323337383923244450[[#This Row],[Non-Member]]="X"," ",IF(F10=" "," ",IFERROR(VLOOKUP(E10,Points!$A$2:$B$14,2,FALSE)," ")))</f>
        <v xml:space="preserve"> 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IF(Table622027323337383923244450[[#This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IF(Table622027323337383923244450[[#This Row],[Non-Member]]="X"," ",IF(N10=" "," ",IFERROR(VLOOKUP(M10,Points!$A$2:$B$14,2,FALSE)," ")))</f>
        <v xml:space="preserve"> </v>
      </c>
      <c r="P10" s="92">
        <v>0</v>
      </c>
      <c r="Q10" s="93" t="str">
        <f t="shared" si="6"/>
        <v xml:space="preserve"> </v>
      </c>
      <c r="R10" s="93" t="str">
        <f t="shared" si="7"/>
        <v xml:space="preserve"> </v>
      </c>
      <c r="S10" s="94" t="str">
        <f>IF(Table622027323337383923244450[[#This Row],[Non-Member]]="X"," ",IF(R10=" "," ",IFERROR(VLOOKUP(Q10,Points!$A$2:$B$14,2,FALSE)," ")))</f>
        <v xml:space="preserve"> </v>
      </c>
      <c r="T10" s="92"/>
      <c r="U10" s="93" t="str">
        <f t="shared" si="8"/>
        <v xml:space="preserve"> </v>
      </c>
      <c r="V10" s="93" t="str">
        <f t="shared" si="9"/>
        <v xml:space="preserve"> </v>
      </c>
      <c r="W10" s="94" t="str">
        <f>IF(Table622027323337383923244450[[#This Row],[Non-Member]]="X"," ",IF(V10=" "," ",IFERROR(VLOOKUP(U10,Points!$A$2:$B$14,2,FALSE)," ")))</f>
        <v xml:space="preserve"> </v>
      </c>
      <c r="X10" s="92">
        <v>0</v>
      </c>
      <c r="Y10" s="93" t="str">
        <f t="shared" si="10"/>
        <v xml:space="preserve"> </v>
      </c>
      <c r="Z10" s="93" t="str">
        <f t="shared" si="11"/>
        <v xml:space="preserve"> </v>
      </c>
      <c r="AA10" s="94" t="str">
        <f>IF(Table622027323337383923244450[[#This Row],[Non-Member]]="X"," ",IF(Z10=" "," ",IFERROR(VLOOKUP(Y10,Points!$A$2:$B$14,2,FALSE)," ")))</f>
        <v xml:space="preserve"> </v>
      </c>
      <c r="AB10" s="92">
        <v>6.26</v>
      </c>
      <c r="AC10" s="93">
        <f t="shared" si="12"/>
        <v>3</v>
      </c>
      <c r="AD10" s="93">
        <f t="shared" si="13"/>
        <v>3</v>
      </c>
      <c r="AE10" s="94">
        <f>IF(Table622027323337383923244450[[#This Row],[Non-Member]]="X"," ",IF(AD10=" "," ",IFERROR(VLOOKUP(AC10,Points!$A$2:$B$14,2,FALSE)," ")))</f>
        <v>12</v>
      </c>
      <c r="AF10" s="163" t="s">
        <v>296</v>
      </c>
      <c r="AG10" s="93">
        <v>3</v>
      </c>
      <c r="AH10" s="93">
        <v>3</v>
      </c>
      <c r="AI10" s="94">
        <f>IF(Table622027323337383923244450[[#This Row],[Non-Member]]="X"," ",IF(AH10=" "," ",IFERROR(VLOOKUP(AG10,Points!$A$2:$B$14,2,FALSE)," ")))</f>
        <v>12</v>
      </c>
      <c r="AJ10" s="93">
        <f>IF(Table622027323337383923244450[[#This Row],[Non-Member]]="X"," ",((IF(G10=" ",0,G10))+(IF(K10=" ",0,K10))+(IF(O10=" ",0,O10))+(IF(S10=" ",0,S10))+(IF(W10=" ",0,W10))+(IF(AA10=" ",0,AA10))+(IF(AE10=" ",0,AE10))+(IF(AI10=" ",0,AI10))))</f>
        <v>24</v>
      </c>
      <c r="AK10" s="95">
        <f t="shared" si="14"/>
        <v>24</v>
      </c>
      <c r="AL10" s="96">
        <f t="shared" si="15"/>
        <v>5</v>
      </c>
    </row>
    <row r="11" spans="2:38" x14ac:dyDescent="0.25">
      <c r="B11" s="90" t="s">
        <v>264</v>
      </c>
      <c r="C11" s="91"/>
      <c r="D11" s="92"/>
      <c r="E11" s="93" t="str">
        <f t="shared" si="0"/>
        <v xml:space="preserve"> </v>
      </c>
      <c r="F11" s="93" t="str">
        <f t="shared" si="1"/>
        <v xml:space="preserve"> </v>
      </c>
      <c r="G11" s="94" t="str">
        <f>IF(Table622027323337383923244450[[#This Row],[Non-Member]]="X"," ",IF(F11=" "," ",IFERROR(VLOOKUP(E11,Points!$A$2:$B$14,2,FALSE)," ")))</f>
        <v xml:space="preserve"> </v>
      </c>
      <c r="H11" s="92"/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IF(Table622027323337383923244450[[#This Row],[Non-Member]]="X"," ",IF(J11=" "," ",IFERROR(VLOOKUP(I11,Points!$A$2:$B$14,2,FALSE)," ")))</f>
        <v xml:space="preserve"> </v>
      </c>
      <c r="L11" s="92">
        <v>3.05</v>
      </c>
      <c r="M11" s="93">
        <f t="shared" si="4"/>
        <v>1</v>
      </c>
      <c r="N11" s="93">
        <f t="shared" si="5"/>
        <v>1</v>
      </c>
      <c r="O11" s="94">
        <f>IF(Table622027323337383923244450[[#This Row],[Non-Member]]="X"," ",IF(N11=" "," ",IFERROR(VLOOKUP(M11,Points!$A$2:$B$14,2,FALSE)," ")))</f>
        <v>18</v>
      </c>
      <c r="P11" s="92">
        <v>0</v>
      </c>
      <c r="Q11" s="93" t="str">
        <f t="shared" si="6"/>
        <v xml:space="preserve"> </v>
      </c>
      <c r="R11" s="93" t="str">
        <f t="shared" si="7"/>
        <v xml:space="preserve"> </v>
      </c>
      <c r="S11" s="94" t="str">
        <f>IF(Table622027323337383923244450[[#This Row],[Non-Member]]="X"," ",IF(R11=" "," ",IFERROR(VLOOKUP(Q11,Points!$A$2:$B$14,2,FALSE)," ")))</f>
        <v xml:space="preserve"> </v>
      </c>
      <c r="T11" s="92"/>
      <c r="U11" s="93" t="str">
        <f t="shared" si="8"/>
        <v xml:space="preserve"> </v>
      </c>
      <c r="V11" s="93" t="str">
        <f t="shared" si="9"/>
        <v xml:space="preserve"> </v>
      </c>
      <c r="W11" s="94" t="str">
        <f>IF(Table622027323337383923244450[[#This Row],[Non-Member]]="X"," ",IF(V11=" "," ",IFERROR(VLOOKUP(U11,Points!$A$2:$B$14,2,FALSE)," ")))</f>
        <v xml:space="preserve"> </v>
      </c>
      <c r="X11" s="92"/>
      <c r="Y11" s="93" t="str">
        <f t="shared" si="10"/>
        <v xml:space="preserve"> </v>
      </c>
      <c r="Z11" s="93" t="str">
        <f t="shared" si="11"/>
        <v xml:space="preserve"> </v>
      </c>
      <c r="AA11" s="94" t="str">
        <f>IF(Table622027323337383923244450[[#This Row],[Non-Member]]="X"," ",IF(Z11=" "," ",IFERROR(VLOOKUP(Y11,Points!$A$2:$B$14,2,FALSE)," ")))</f>
        <v xml:space="preserve"> </v>
      </c>
      <c r="AB11" s="92"/>
      <c r="AC11" s="93" t="str">
        <f t="shared" si="12"/>
        <v xml:space="preserve"> </v>
      </c>
      <c r="AD11" s="93" t="str">
        <f t="shared" si="13"/>
        <v xml:space="preserve"> </v>
      </c>
      <c r="AE11" s="94" t="str">
        <f>IF(Table622027323337383923244450[[#This Row],[Non-Member]]="X"," ",IF(AD11=" "," ",IFERROR(VLOOKUP(AC11,Points!$A$2:$B$14,2,FALSE)," ")))</f>
        <v xml:space="preserve"> </v>
      </c>
      <c r="AF11" s="92" t="str">
        <f t="shared" ref="AF11:AF24" si="16">IF(OR(X11=0,AB11=0)," ",X11+AB11)</f>
        <v xml:space="preserve"> </v>
      </c>
      <c r="AG11" s="93" t="str">
        <f t="shared" ref="AG11:AG24" si="17">IF(OR(AF11=0,AF11=" ")," ",_xlfn.RANK.AVG(AF11,AF$5:AF$24,1)-COUNTIF(AF$5:AF$24,0))</f>
        <v xml:space="preserve"> </v>
      </c>
      <c r="AH11" s="93" t="str">
        <f t="shared" ref="AH11:AH24" si="18">IF(OR(AF11=0,AF11=" ")," ",IF((RANK(AF11,AF$5:AF$24,1)-COUNTIF(AF$5:AF$24,0)&gt;6)," ",RANK(AF11,AF$5:AF$24,1)-COUNTIF(AF$5:AF$24,0)))</f>
        <v xml:space="preserve"> </v>
      </c>
      <c r="AI11" s="94" t="str">
        <f>IF(Table622027323337383923244450[[#This Row],[Non-Member]]="X"," ",IF(AH11=" "," ",IFERROR(VLOOKUP(AG11,Points!$A$2:$B$14,2,FALSE)," ")))</f>
        <v xml:space="preserve"> </v>
      </c>
      <c r="AJ11" s="93">
        <f>IF(Table622027323337383923244450[[#This Row],[Non-Member]]="X"," ",((IF(G11=" ",0,G11))+(IF(K11=" ",0,K11))+(IF(O11=" ",0,O11))+(IF(S11=" ",0,S11))+(IF(W11=" ",0,W11))+(IF(AA11=" ",0,AA11))+(IF(AE11=" ",0,AE11))+(IF(AI11=" ",0,AI11))))</f>
        <v>18</v>
      </c>
      <c r="AK11" s="95">
        <f t="shared" si="14"/>
        <v>18</v>
      </c>
      <c r="AL11" s="96">
        <f t="shared" si="15"/>
        <v>7</v>
      </c>
    </row>
    <row r="12" spans="2:38" x14ac:dyDescent="0.25">
      <c r="B12" s="90" t="s">
        <v>188</v>
      </c>
      <c r="C12" s="91"/>
      <c r="D12" s="92">
        <v>3.06</v>
      </c>
      <c r="E12" s="93">
        <f t="shared" si="0"/>
        <v>1</v>
      </c>
      <c r="F12" s="93">
        <f t="shared" si="1"/>
        <v>1</v>
      </c>
      <c r="G12" s="94">
        <f>IF(Table622027323337383923244450[[#This Row],[Non-Member]]="X"," ",IF(F12=" "," ",IFERROR(VLOOKUP(E12,Points!$A$2:$B$14,2,FALSE)," ")))</f>
        <v>18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IF(Table622027323337383923244450[[#This Row],[Non-Member]]="X"," ",IF(J12=" "," ",IFERROR(VLOOKUP(I12,Points!$A$2:$B$14,2,FALSE)," ")))</f>
        <v xml:space="preserve"> </v>
      </c>
      <c r="L12" s="92"/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IF(Table622027323337383923244450[[#This Row],[Non-Member]]="X"," ",IF(N12=" "," ",IFERROR(VLOOKUP(M12,Points!$A$2:$B$14,2,FALSE)," ")))</f>
        <v xml:space="preserve"> </v>
      </c>
      <c r="P12" s="92"/>
      <c r="Q12" s="93" t="str">
        <f t="shared" si="6"/>
        <v xml:space="preserve"> </v>
      </c>
      <c r="R12" s="93" t="str">
        <f t="shared" si="7"/>
        <v xml:space="preserve"> </v>
      </c>
      <c r="S12" s="94" t="str">
        <f>IF(Table622027323337383923244450[[#This Row],[Non-Member]]="X"," ",IF(R12=" "," ",IFERROR(VLOOKUP(Q12,Points!$A$2:$B$14,2,FALSE)," ")))</f>
        <v xml:space="preserve"> </v>
      </c>
      <c r="T12" s="92">
        <v>0</v>
      </c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IF(Table622027323337383923244450[[#This Row],[Non-Member]]="X"," ",IF(V12=" "," ",IFERROR(VLOOKUP(U12,Points!$A$2:$B$14,2,FALSE)," ")))</f>
        <v xml:space="preserve"> </v>
      </c>
      <c r="X12" s="92">
        <v>0</v>
      </c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IF(Table622027323337383923244450[[#This Row],[Non-Member]]="X"," ",IF(Z12=" "," ",IFERROR(VLOOKUP(Y12,Points!$A$2:$B$14,2,FALSE)," ")))</f>
        <v xml:space="preserve"> </v>
      </c>
      <c r="AB12" s="92">
        <v>0</v>
      </c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IF(Table622027323337383923244450[[#This Row],[Non-Member]]="X"," ",IF(AD12=" "," ",IFERROR(VLOOKUP(AC12,Points!$A$2:$B$14,2,FALSE)," ")))</f>
        <v xml:space="preserve"> </v>
      </c>
      <c r="AF12" s="92" t="str">
        <f t="shared" si="16"/>
        <v xml:space="preserve"> </v>
      </c>
      <c r="AG12" s="93" t="str">
        <f t="shared" si="17"/>
        <v xml:space="preserve"> </v>
      </c>
      <c r="AH12" s="93" t="str">
        <f t="shared" si="18"/>
        <v xml:space="preserve"> </v>
      </c>
      <c r="AI12" s="94" t="str">
        <f>IF(Table622027323337383923244450[[#This Row],[Non-Member]]="X"," ",IF(AH12=" "," ",IFERROR(VLOOKUP(AG12,Points!$A$2:$B$14,2,FALSE)," ")))</f>
        <v xml:space="preserve"> </v>
      </c>
      <c r="AJ12" s="93">
        <f>IF(Table622027323337383923244450[[#This Row],[Non-Member]]="X"," ",((IF(G12=" ",0,G12))+(IF(K12=" ",0,K12))+(IF(O12=" ",0,O12))+(IF(S12=" ",0,S12))+(IF(W12=" ",0,W12))+(IF(AA12=" ",0,AA12))+(IF(AE12=" ",0,AE12))+(IF(AI12=" ",0,AI12))))</f>
        <v>18</v>
      </c>
      <c r="AK12" s="95">
        <f t="shared" si="14"/>
        <v>18</v>
      </c>
      <c r="AL12" s="96">
        <f t="shared" si="15"/>
        <v>7</v>
      </c>
    </row>
    <row r="13" spans="2:38" x14ac:dyDescent="0.25">
      <c r="B13" s="90" t="s">
        <v>258</v>
      </c>
      <c r="C13" s="91"/>
      <c r="D13" s="92"/>
      <c r="E13" s="97" t="str">
        <f t="shared" si="0"/>
        <v xml:space="preserve"> </v>
      </c>
      <c r="F13" s="97" t="str">
        <f t="shared" si="1"/>
        <v xml:space="preserve"> </v>
      </c>
      <c r="G13" s="94" t="str">
        <f>IF(Table622027323337383923244450[[#This Row],[Non-Member]]="X"," ",IF(F13=" "," ",IFERROR(VLOOKUP(E13,Points!$A$2:$B$14,2,FALSE)," ")))</f>
        <v xml:space="preserve"> </v>
      </c>
      <c r="H13" s="92">
        <v>0</v>
      </c>
      <c r="I13" s="97" t="str">
        <f t="shared" si="2"/>
        <v xml:space="preserve"> </v>
      </c>
      <c r="J13" s="97" t="str">
        <f t="shared" si="3"/>
        <v xml:space="preserve"> </v>
      </c>
      <c r="K13" s="94" t="str">
        <f>IF(Table622027323337383923244450[[#This Row],[Non-Member]]="X"," ",IF(J13=" "," ",IFERROR(VLOOKUP(I13,Points!$A$2:$B$14,2,FALSE)," ")))</f>
        <v xml:space="preserve"> </v>
      </c>
      <c r="L13" s="92"/>
      <c r="M13" s="97" t="str">
        <f t="shared" si="4"/>
        <v xml:space="preserve"> </v>
      </c>
      <c r="N13" s="97" t="str">
        <f t="shared" si="5"/>
        <v xml:space="preserve"> </v>
      </c>
      <c r="O13" s="94" t="str">
        <f>IF(Table622027323337383923244450[[#This Row],[Non-Member]]="X"," ",IF(N13=" "," ",IFERROR(VLOOKUP(M13,Points!$A$2:$B$14,2,FALSE)," ")))</f>
        <v xml:space="preserve"> </v>
      </c>
      <c r="P13" s="92"/>
      <c r="Q13" s="97" t="str">
        <f t="shared" si="6"/>
        <v xml:space="preserve"> </v>
      </c>
      <c r="R13" s="97" t="str">
        <f t="shared" si="7"/>
        <v xml:space="preserve"> </v>
      </c>
      <c r="S13" s="94" t="str">
        <f>IF(Table622027323337383923244450[[#This Row],[Non-Member]]="X"," ",IF(R13=" "," ",IFERROR(VLOOKUP(Q13,Points!$A$2:$B$14,2,FALSE)," ")))</f>
        <v xml:space="preserve"> </v>
      </c>
      <c r="T13" s="92"/>
      <c r="U13" s="97" t="str">
        <f t="shared" si="8"/>
        <v xml:space="preserve"> </v>
      </c>
      <c r="V13" s="97" t="str">
        <f t="shared" si="9"/>
        <v xml:space="preserve"> </v>
      </c>
      <c r="W13" s="94" t="str">
        <f>IF(Table622027323337383923244450[[#This Row],[Non-Member]]="X"," ",IF(V13=" "," ",IFERROR(VLOOKUP(U13,Points!$A$2:$B$14,2,FALSE)," ")))</f>
        <v xml:space="preserve"> </v>
      </c>
      <c r="X13" s="92"/>
      <c r="Y13" s="97" t="str">
        <f t="shared" si="10"/>
        <v xml:space="preserve"> </v>
      </c>
      <c r="Z13" s="97" t="str">
        <f t="shared" si="11"/>
        <v xml:space="preserve"> </v>
      </c>
      <c r="AA13" s="94" t="str">
        <f>IF(Table622027323337383923244450[[#This Row],[Non-Member]]="X"," ",IF(Z13=" "," ",IFERROR(VLOOKUP(Y13,Points!$A$2:$B$14,2,FALSE)," ")))</f>
        <v xml:space="preserve"> </v>
      </c>
      <c r="AB13" s="92"/>
      <c r="AC13" s="97" t="str">
        <f t="shared" si="12"/>
        <v xml:space="preserve"> </v>
      </c>
      <c r="AD13" s="97" t="str">
        <f t="shared" si="13"/>
        <v xml:space="preserve"> </v>
      </c>
      <c r="AE13" s="94" t="str">
        <f>IF(Table622027323337383923244450[[#This Row],[Non-Member]]="X"," ",IF(AD13=" "," ",IFERROR(VLOOKUP(AC13,Points!$A$2:$B$14,2,FALSE)," ")))</f>
        <v xml:space="preserve"> </v>
      </c>
      <c r="AF13" s="92" t="str">
        <f t="shared" si="16"/>
        <v xml:space="preserve"> </v>
      </c>
      <c r="AG13" s="97" t="str">
        <f t="shared" si="17"/>
        <v xml:space="preserve"> </v>
      </c>
      <c r="AH13" s="97" t="str">
        <f t="shared" si="18"/>
        <v xml:space="preserve"> </v>
      </c>
      <c r="AI13" s="94" t="str">
        <f>IF(Table622027323337383923244450[[#This Row],[Non-Member]]="X"," ",IF(AH13=" "," ",IFERROR(VLOOKUP(AG13,Points!$A$2:$B$14,2,FALSE)," ")))</f>
        <v xml:space="preserve"> </v>
      </c>
      <c r="AJ13" s="97">
        <f>IF(Table622027323337383923244450[[#This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4"/>
        <v xml:space="preserve"> </v>
      </c>
      <c r="AL13" s="98" t="str">
        <f t="shared" si="15"/>
        <v xml:space="preserve"> </v>
      </c>
    </row>
    <row r="14" spans="2:38" x14ac:dyDescent="0.25">
      <c r="B14" s="90" t="s">
        <v>186</v>
      </c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IF(Table622027323337383923244450[[#This Row],[Non-Member]]="X"," ",IF(F14=" "," ",IFERROR(VLOOKUP(E14,Points!$A$2:$B$14,2,FALSE)," ")))</f>
        <v xml:space="preserve"> </v>
      </c>
      <c r="H14" s="92">
        <v>0</v>
      </c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IF(Table622027323337383923244450[[#This Row],[Non-Member]]="X"," ",IF(J14=" "," ",IFERROR(VLOOKUP(I14,Points!$A$2:$B$14,2,FALSE)," ")))</f>
        <v xml:space="preserve"> </v>
      </c>
      <c r="L14" s="92">
        <v>0</v>
      </c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IF(Table622027323337383923244450[[#This Row],[Non-Member]]="X"," ",IF(N14=" "," ",IFERROR(VLOOKUP(M14,Points!$A$2:$B$14,2,FALSE)," ")))</f>
        <v xml:space="preserve"> </v>
      </c>
      <c r="P14" s="92">
        <v>0</v>
      </c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IF(Table622027323337383923244450[[#This Row],[Non-Member]]="X"," ",IF(R14=" "," ",IFERROR(VLOOKUP(Q14,Points!$A$2:$B$14,2,FALSE)," ")))</f>
        <v xml:space="preserve"> </v>
      </c>
      <c r="T14" s="92">
        <v>0</v>
      </c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IF(Table622027323337383923244450[[#This Row],[Non-Member]]="X"," ",IF(V14=" "," ",IFERROR(VLOOKUP(U14,Points!$A$2:$B$14,2,FALSE)," ")))</f>
        <v xml:space="preserve"> </v>
      </c>
      <c r="X14" s="92">
        <v>0</v>
      </c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IF(Table622027323337383923244450[[#This Row],[Non-Member]]="X"," ",IF(Z14=" "," ",IFERROR(VLOOKUP(Y14,Points!$A$2:$B$14,2,FALSE)," ")))</f>
        <v xml:space="preserve"> </v>
      </c>
      <c r="AB14" s="92">
        <v>0</v>
      </c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IF(Table622027323337383923244450[[#This Row],[Non-Member]]="X"," ",IF(AD14=" "," ",IFERROR(VLOOKUP(AC14,Points!$A$2:$B$14,2,FALSE)," ")))</f>
        <v xml:space="preserve"> </v>
      </c>
      <c r="AF14" s="92" t="str">
        <f t="shared" si="16"/>
        <v xml:space="preserve"> </v>
      </c>
      <c r="AG14" s="93" t="str">
        <f t="shared" si="17"/>
        <v xml:space="preserve"> </v>
      </c>
      <c r="AH14" s="93" t="str">
        <f t="shared" si="18"/>
        <v xml:space="preserve"> </v>
      </c>
      <c r="AI14" s="94" t="str">
        <f>IF(Table622027323337383923244450[[#This Row],[Non-Member]]="X"," ",IF(AH14=" "," ",IFERROR(VLOOKUP(AG14,Points!$A$2:$B$14,2,FALSE)," ")))</f>
        <v xml:space="preserve"> </v>
      </c>
      <c r="AJ14" s="93">
        <f>IF(Table622027323337383923244450[[#This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4"/>
        <v xml:space="preserve"> </v>
      </c>
      <c r="AL14" s="96" t="str">
        <f t="shared" si="15"/>
        <v xml:space="preserve"> </v>
      </c>
    </row>
    <row r="15" spans="2:38" x14ac:dyDescent="0.25">
      <c r="B15" s="90"/>
      <c r="C15" s="91"/>
      <c r="D15" s="92"/>
      <c r="E15" s="97" t="str">
        <f t="shared" si="0"/>
        <v xml:space="preserve"> </v>
      </c>
      <c r="F15" s="97" t="str">
        <f t="shared" si="1"/>
        <v xml:space="preserve"> </v>
      </c>
      <c r="G15" s="94" t="str">
        <f>IF(Table622027323337383923244450[[#This Row],[Non-Member]]="X"," ",IF(F15=" "," ",IFERROR(VLOOKUP(E15,Points!$A$2:$B$14,2,FALSE)," ")))</f>
        <v xml:space="preserve"> </v>
      </c>
      <c r="H15" s="92"/>
      <c r="I15" s="97" t="str">
        <f t="shared" si="2"/>
        <v xml:space="preserve"> </v>
      </c>
      <c r="J15" s="97" t="str">
        <f t="shared" si="3"/>
        <v xml:space="preserve"> </v>
      </c>
      <c r="K15" s="94" t="str">
        <f>IF(Table622027323337383923244450[[#This Row],[Non-Member]]="X"," ",IF(J15=" "," ",IFERROR(VLOOKUP(I15,Points!$A$2:$B$14,2,FALSE)," ")))</f>
        <v xml:space="preserve"> </v>
      </c>
      <c r="L15" s="92"/>
      <c r="M15" s="97" t="str">
        <f t="shared" si="4"/>
        <v xml:space="preserve"> </v>
      </c>
      <c r="N15" s="97" t="str">
        <f t="shared" si="5"/>
        <v xml:space="preserve"> </v>
      </c>
      <c r="O15" s="94" t="str">
        <f>IF(Table622027323337383923244450[[#This Row],[Non-Member]]="X"," ",IF(N15=" "," ",IFERROR(VLOOKUP(M15,Points!$A$2:$B$14,2,FALSE)," ")))</f>
        <v xml:space="preserve"> </v>
      </c>
      <c r="P15" s="92"/>
      <c r="Q15" s="97" t="str">
        <f t="shared" si="6"/>
        <v xml:space="preserve"> </v>
      </c>
      <c r="R15" s="97" t="str">
        <f t="shared" si="7"/>
        <v xml:space="preserve"> </v>
      </c>
      <c r="S15" s="94" t="str">
        <f>IF(Table622027323337383923244450[[#This Row],[Non-Member]]="X"," ",IF(R15=" "," ",IFERROR(VLOOKUP(Q15,Points!$A$2:$B$14,2,FALSE)," ")))</f>
        <v xml:space="preserve"> </v>
      </c>
      <c r="T15" s="92"/>
      <c r="U15" s="97" t="str">
        <f t="shared" si="8"/>
        <v xml:space="preserve"> </v>
      </c>
      <c r="V15" s="97" t="str">
        <f t="shared" si="9"/>
        <v xml:space="preserve"> </v>
      </c>
      <c r="W15" s="94" t="str">
        <f>IF(Table622027323337383923244450[[#This Row],[Non-Member]]="X"," ",IF(V15=" "," ",IFERROR(VLOOKUP(U15,Points!$A$2:$B$14,2,FALSE)," ")))</f>
        <v xml:space="preserve"> </v>
      </c>
      <c r="X15" s="92"/>
      <c r="Y15" s="97" t="str">
        <f t="shared" si="10"/>
        <v xml:space="preserve"> </v>
      </c>
      <c r="Z15" s="97" t="str">
        <f t="shared" si="11"/>
        <v xml:space="preserve"> </v>
      </c>
      <c r="AA15" s="94" t="str">
        <f>IF(Table622027323337383923244450[[#This Row],[Non-Member]]="X"," ",IF(Z15=" "," ",IFERROR(VLOOKUP(Y15,Points!$A$2:$B$14,2,FALSE)," ")))</f>
        <v xml:space="preserve"> </v>
      </c>
      <c r="AB15" s="92"/>
      <c r="AC15" s="97" t="str">
        <f t="shared" si="12"/>
        <v xml:space="preserve"> </v>
      </c>
      <c r="AD15" s="97" t="str">
        <f t="shared" si="13"/>
        <v xml:space="preserve"> </v>
      </c>
      <c r="AE15" s="94" t="str">
        <f>IF(Table622027323337383923244450[[#This Row],[Non-Member]]="X"," ",IF(AD15=" "," ",IFERROR(VLOOKUP(AC15,Points!$A$2:$B$14,2,FALSE)," ")))</f>
        <v xml:space="preserve"> </v>
      </c>
      <c r="AF15" s="92" t="str">
        <f t="shared" si="16"/>
        <v xml:space="preserve"> </v>
      </c>
      <c r="AG15" s="97" t="str">
        <f t="shared" si="17"/>
        <v xml:space="preserve"> </v>
      </c>
      <c r="AH15" s="97" t="str">
        <f t="shared" si="18"/>
        <v xml:space="preserve"> </v>
      </c>
      <c r="AI15" s="94" t="str">
        <f>IF(Table622027323337383923244450[[#This Row],[Non-Member]]="X"," ",IF(AH15=" "," ",IFERROR(VLOOKUP(AG15,Points!$A$2:$B$14,2,FALSE)," ")))</f>
        <v xml:space="preserve"> </v>
      </c>
      <c r="AJ15" s="97">
        <f>IF(Table622027323337383923244450[[#This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4"/>
        <v xml:space="preserve"> </v>
      </c>
      <c r="AL15" s="98" t="str">
        <f t="shared" si="15"/>
        <v xml:space="preserve"> </v>
      </c>
    </row>
    <row r="16" spans="2:38" x14ac:dyDescent="0.25">
      <c r="B16" s="90"/>
      <c r="C16" s="91"/>
      <c r="D16" s="92"/>
      <c r="E16" s="93" t="str">
        <f t="shared" si="0"/>
        <v xml:space="preserve"> </v>
      </c>
      <c r="F16" s="93" t="str">
        <f t="shared" si="1"/>
        <v xml:space="preserve"> </v>
      </c>
      <c r="G16" s="94" t="str">
        <f>IF(Table622027323337383923244450[[#This Row],[Non-Member]]="X"," ",IF(F16=" "," ",IFERROR(VLOOKUP(E16,Points!$A$2:$B$14,2,FALSE)," ")))</f>
        <v xml:space="preserve"> </v>
      </c>
      <c r="H16" s="92"/>
      <c r="I16" s="93" t="str">
        <f t="shared" si="2"/>
        <v xml:space="preserve"> </v>
      </c>
      <c r="J16" s="93" t="str">
        <f t="shared" si="3"/>
        <v xml:space="preserve"> </v>
      </c>
      <c r="K16" s="94" t="str">
        <f>IF(Table622027323337383923244450[[#This Row],[Non-Member]]="X"," ",IF(J16=" "," ",IFERROR(VLOOKUP(I16,Points!$A$2:$B$14,2,FALSE)," ")))</f>
        <v xml:space="preserve"> </v>
      </c>
      <c r="L16" s="92"/>
      <c r="M16" s="93" t="str">
        <f t="shared" si="4"/>
        <v xml:space="preserve"> </v>
      </c>
      <c r="N16" s="93" t="str">
        <f t="shared" si="5"/>
        <v xml:space="preserve"> </v>
      </c>
      <c r="O16" s="94" t="str">
        <f>IF(Table622027323337383923244450[[#This Row],[Non-Member]]="X"," ",IF(N16=" "," ",IFERROR(VLOOKUP(M16,Points!$A$2:$B$14,2,FALSE)," ")))</f>
        <v xml:space="preserve"> </v>
      </c>
      <c r="P16" s="92"/>
      <c r="Q16" s="93" t="str">
        <f t="shared" si="6"/>
        <v xml:space="preserve"> </v>
      </c>
      <c r="R16" s="93" t="str">
        <f t="shared" si="7"/>
        <v xml:space="preserve"> </v>
      </c>
      <c r="S16" s="94" t="str">
        <f>IF(Table622027323337383923244450[[#This Row],[Non-Member]]="X"," ",IF(R16=" "," ",IFERROR(VLOOKUP(Q16,Points!$A$2:$B$14,2,FALSE)," ")))</f>
        <v xml:space="preserve"> </v>
      </c>
      <c r="T16" s="92"/>
      <c r="U16" s="93" t="str">
        <f t="shared" si="8"/>
        <v xml:space="preserve"> </v>
      </c>
      <c r="V16" s="93" t="str">
        <f t="shared" si="9"/>
        <v xml:space="preserve"> </v>
      </c>
      <c r="W16" s="94" t="str">
        <f>IF(Table622027323337383923244450[[#This Row],[Non-Member]]="X"," ",IF(V16=" "," ",IFERROR(VLOOKUP(U16,Points!$A$2:$B$14,2,FALSE)," ")))</f>
        <v xml:space="preserve"> </v>
      </c>
      <c r="X16" s="92"/>
      <c r="Y16" s="93" t="str">
        <f t="shared" si="10"/>
        <v xml:space="preserve"> </v>
      </c>
      <c r="Z16" s="93" t="str">
        <f t="shared" si="11"/>
        <v xml:space="preserve"> </v>
      </c>
      <c r="AA16" s="94" t="str">
        <f>IF(Table622027323337383923244450[[#This Row],[Non-Member]]="X"," ",IF(Z16=" "," ",IFERROR(VLOOKUP(Y16,Points!$A$2:$B$14,2,FALSE)," ")))</f>
        <v xml:space="preserve"> </v>
      </c>
      <c r="AB16" s="92"/>
      <c r="AC16" s="93" t="str">
        <f t="shared" si="12"/>
        <v xml:space="preserve"> </v>
      </c>
      <c r="AD16" s="93" t="str">
        <f t="shared" si="13"/>
        <v xml:space="preserve"> </v>
      </c>
      <c r="AE16" s="94" t="str">
        <f>IF(Table622027323337383923244450[[#This Row],[Non-Member]]="X"," ",IF(AD16=" "," ",IFERROR(VLOOKUP(AC16,Points!$A$2:$B$14,2,FALSE)," ")))</f>
        <v xml:space="preserve"> </v>
      </c>
      <c r="AF16" s="92" t="str">
        <f t="shared" si="16"/>
        <v xml:space="preserve"> </v>
      </c>
      <c r="AG16" s="93" t="str">
        <f t="shared" si="17"/>
        <v xml:space="preserve"> </v>
      </c>
      <c r="AH16" s="93" t="str">
        <f t="shared" si="18"/>
        <v xml:space="preserve"> </v>
      </c>
      <c r="AI16" s="94" t="str">
        <f>IF(Table622027323337383923244450[[#This Row],[Non-Member]]="X"," ",IF(AH16=" "," ",IFERROR(VLOOKUP(AG16,Points!$A$2:$B$14,2,FALSE)," ")))</f>
        <v xml:space="preserve"> </v>
      </c>
      <c r="AJ16" s="93">
        <f>IF(Table622027323337383923244450[[#This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4"/>
        <v xml:space="preserve"> </v>
      </c>
      <c r="AL16" s="96" t="str">
        <f t="shared" si="15"/>
        <v xml:space="preserve"> </v>
      </c>
    </row>
    <row r="17" spans="2:38" x14ac:dyDescent="0.25">
      <c r="B17" s="90"/>
      <c r="C17" s="91"/>
      <c r="D17" s="92"/>
      <c r="E17" s="93" t="str">
        <f t="shared" si="0"/>
        <v xml:space="preserve"> </v>
      </c>
      <c r="F17" s="93" t="str">
        <f t="shared" si="1"/>
        <v xml:space="preserve"> </v>
      </c>
      <c r="G17" s="94" t="str">
        <f>IF(Table622027323337383923244450[[#This Row],[Non-Member]]="X"," ",IF(F17=" "," ",IFERROR(VLOOKUP(E17,Points!$A$2:$B$14,2,FALSE)," ")))</f>
        <v xml:space="preserve"> </v>
      </c>
      <c r="H17" s="92"/>
      <c r="I17" s="93" t="str">
        <f t="shared" si="2"/>
        <v xml:space="preserve"> </v>
      </c>
      <c r="J17" s="93" t="str">
        <f t="shared" si="3"/>
        <v xml:space="preserve"> </v>
      </c>
      <c r="K17" s="94" t="str">
        <f>IF(Table622027323337383923244450[[#This Row],[Non-Member]]="X"," ",IF(J17=" "," ",IFERROR(VLOOKUP(I17,Points!$A$2:$B$14,2,FALSE)," ")))</f>
        <v xml:space="preserve"> </v>
      </c>
      <c r="L17" s="92"/>
      <c r="M17" s="93" t="str">
        <f t="shared" si="4"/>
        <v xml:space="preserve"> </v>
      </c>
      <c r="N17" s="93" t="str">
        <f t="shared" si="5"/>
        <v xml:space="preserve"> </v>
      </c>
      <c r="O17" s="94" t="str">
        <f>IF(Table622027323337383923244450[[#This Row],[Non-Member]]="X"," ",IF(N17=" "," ",IFERROR(VLOOKUP(M17,Points!$A$2:$B$14,2,FALSE)," ")))</f>
        <v xml:space="preserve"> </v>
      </c>
      <c r="P17" s="92"/>
      <c r="Q17" s="93" t="str">
        <f t="shared" si="6"/>
        <v xml:space="preserve"> </v>
      </c>
      <c r="R17" s="93" t="str">
        <f t="shared" si="7"/>
        <v xml:space="preserve"> </v>
      </c>
      <c r="S17" s="94" t="str">
        <f>IF(Table622027323337383923244450[[#This Row],[Non-Member]]="X"," ",IF(R17=" "," ",IFERROR(VLOOKUP(Q17,Points!$A$2:$B$14,2,FALSE)," ")))</f>
        <v xml:space="preserve"> </v>
      </c>
      <c r="T17" s="92"/>
      <c r="U17" s="93" t="str">
        <f t="shared" si="8"/>
        <v xml:space="preserve"> </v>
      </c>
      <c r="V17" s="93" t="str">
        <f t="shared" si="9"/>
        <v xml:space="preserve"> </v>
      </c>
      <c r="W17" s="94" t="str">
        <f>IF(Table622027323337383923244450[[#This Row],[Non-Member]]="X"," ",IF(V17=" "," ",IFERROR(VLOOKUP(U17,Points!$A$2:$B$14,2,FALSE)," ")))</f>
        <v xml:space="preserve"> </v>
      </c>
      <c r="X17" s="92"/>
      <c r="Y17" s="93" t="str">
        <f t="shared" si="10"/>
        <v xml:space="preserve"> </v>
      </c>
      <c r="Z17" s="93" t="str">
        <f t="shared" si="11"/>
        <v xml:space="preserve"> </v>
      </c>
      <c r="AA17" s="94" t="str">
        <f>IF(Table622027323337383923244450[[#This Row],[Non-Member]]="X"," ",IF(Z17=" "," ",IFERROR(VLOOKUP(Y17,Points!$A$2:$B$14,2,FALSE)," ")))</f>
        <v xml:space="preserve"> </v>
      </c>
      <c r="AB17" s="92"/>
      <c r="AC17" s="93" t="str">
        <f t="shared" si="12"/>
        <v xml:space="preserve"> </v>
      </c>
      <c r="AD17" s="93" t="str">
        <f t="shared" si="13"/>
        <v xml:space="preserve"> </v>
      </c>
      <c r="AE17" s="94" t="str">
        <f>IF(Table622027323337383923244450[[#This Row],[Non-Member]]="X"," ",IF(AD17=" "," ",IFERROR(VLOOKUP(AC17,Points!$A$2:$B$14,2,FALSE)," ")))</f>
        <v xml:space="preserve"> </v>
      </c>
      <c r="AF17" s="92" t="str">
        <f t="shared" si="16"/>
        <v xml:space="preserve"> </v>
      </c>
      <c r="AG17" s="93" t="str">
        <f t="shared" si="17"/>
        <v xml:space="preserve"> </v>
      </c>
      <c r="AH17" s="93" t="str">
        <f t="shared" si="18"/>
        <v xml:space="preserve"> </v>
      </c>
      <c r="AI17" s="94" t="str">
        <f>IF(Table622027323337383923244450[[#This Row],[Non-Member]]="X"," ",IF(AH17=" "," ",IFERROR(VLOOKUP(AG17,Points!$A$2:$B$14,2,FALSE)," ")))</f>
        <v xml:space="preserve"> </v>
      </c>
      <c r="AJ17" s="93">
        <f>IF(Table622027323337383923244450[[#This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4"/>
        <v xml:space="preserve"> </v>
      </c>
      <c r="AL17" s="96" t="str">
        <f t="shared" si="15"/>
        <v xml:space="preserve"> </v>
      </c>
    </row>
    <row r="18" spans="2:38" x14ac:dyDescent="0.25">
      <c r="B18" s="90"/>
      <c r="C18" s="91"/>
      <c r="D18" s="92"/>
      <c r="E18" s="93" t="str">
        <f t="shared" si="0"/>
        <v xml:space="preserve"> </v>
      </c>
      <c r="F18" s="93" t="str">
        <f t="shared" si="1"/>
        <v xml:space="preserve"> </v>
      </c>
      <c r="G18" s="94" t="str">
        <f>IF(Table622027323337383923244450[[#This Row],[Non-Member]]="X"," ",IF(F18=" "," ",IFERROR(VLOOKUP(E18,Points!$A$2:$B$14,2,FALSE)," ")))</f>
        <v xml:space="preserve"> </v>
      </c>
      <c r="H18" s="92"/>
      <c r="I18" s="93" t="str">
        <f t="shared" si="2"/>
        <v xml:space="preserve"> </v>
      </c>
      <c r="J18" s="93" t="str">
        <f t="shared" si="3"/>
        <v xml:space="preserve"> </v>
      </c>
      <c r="K18" s="94" t="str">
        <f>IF(Table622027323337383923244450[[#This Row],[Non-Member]]="X"," ",IF(J18=" "," ",IFERROR(VLOOKUP(I18,Points!$A$2:$B$14,2,FALSE)," ")))</f>
        <v xml:space="preserve"> </v>
      </c>
      <c r="L18" s="92"/>
      <c r="M18" s="93" t="str">
        <f t="shared" si="4"/>
        <v xml:space="preserve"> </v>
      </c>
      <c r="N18" s="93" t="str">
        <f t="shared" si="5"/>
        <v xml:space="preserve"> </v>
      </c>
      <c r="O18" s="94" t="str">
        <f>IF(Table622027323337383923244450[[#This Row],[Non-Member]]="X"," ",IF(N18=" "," ",IFERROR(VLOOKUP(M18,Points!$A$2:$B$14,2,FALSE)," ")))</f>
        <v xml:space="preserve"> </v>
      </c>
      <c r="P18" s="92"/>
      <c r="Q18" s="93" t="str">
        <f t="shared" si="6"/>
        <v xml:space="preserve"> </v>
      </c>
      <c r="R18" s="93" t="str">
        <f t="shared" si="7"/>
        <v xml:space="preserve"> </v>
      </c>
      <c r="S18" s="94" t="str">
        <f>IF(Table622027323337383923244450[[#This Row],[Non-Member]]="X"," ",IF(R18=" "," ",IFERROR(VLOOKUP(Q18,Points!$A$2:$B$14,2,FALSE)," ")))</f>
        <v xml:space="preserve"> </v>
      </c>
      <c r="T18" s="92"/>
      <c r="U18" s="93" t="str">
        <f t="shared" si="8"/>
        <v xml:space="preserve"> </v>
      </c>
      <c r="V18" s="93" t="str">
        <f t="shared" si="9"/>
        <v xml:space="preserve"> </v>
      </c>
      <c r="W18" s="94" t="str">
        <f>IF(Table622027323337383923244450[[#This Row],[Non-Member]]="X"," ",IF(V18=" "," ",IFERROR(VLOOKUP(U18,Points!$A$2:$B$14,2,FALSE)," ")))</f>
        <v xml:space="preserve"> </v>
      </c>
      <c r="X18" s="92"/>
      <c r="Y18" s="93" t="str">
        <f t="shared" si="10"/>
        <v xml:space="preserve"> </v>
      </c>
      <c r="Z18" s="93" t="str">
        <f t="shared" si="11"/>
        <v xml:space="preserve"> </v>
      </c>
      <c r="AA18" s="94" t="str">
        <f>IF(Table622027323337383923244450[[#This Row],[Non-Member]]="X"," ",IF(Z18=" "," ",IFERROR(VLOOKUP(Y18,Points!$A$2:$B$14,2,FALSE)," ")))</f>
        <v xml:space="preserve"> </v>
      </c>
      <c r="AB18" s="92"/>
      <c r="AC18" s="93" t="str">
        <f t="shared" si="12"/>
        <v xml:space="preserve"> </v>
      </c>
      <c r="AD18" s="93" t="str">
        <f t="shared" si="13"/>
        <v xml:space="preserve"> </v>
      </c>
      <c r="AE18" s="94" t="str">
        <f>IF(Table622027323337383923244450[[#This Row],[Non-Member]]="X"," ",IF(AD18=" "," ",IFERROR(VLOOKUP(AC18,Points!$A$2:$B$14,2,FALSE)," ")))</f>
        <v xml:space="preserve"> </v>
      </c>
      <c r="AF18" s="92" t="str">
        <f t="shared" si="16"/>
        <v xml:space="preserve"> </v>
      </c>
      <c r="AG18" s="93" t="str">
        <f t="shared" si="17"/>
        <v xml:space="preserve"> </v>
      </c>
      <c r="AH18" s="93" t="str">
        <f t="shared" si="18"/>
        <v xml:space="preserve"> </v>
      </c>
      <c r="AI18" s="94" t="str">
        <f>IF(Table622027323337383923244450[[#This Row],[Non-Member]]="X"," ",IF(AH18=" "," ",IFERROR(VLOOKUP(AG18,Points!$A$2:$B$14,2,FALSE)," ")))</f>
        <v xml:space="preserve"> </v>
      </c>
      <c r="AJ18" s="93">
        <f>IF(Table622027323337383923244450[[#This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4"/>
        <v xml:space="preserve"> </v>
      </c>
      <c r="AL18" s="96" t="str">
        <f t="shared" si="15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IF(Table622027323337383923244450[[#This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IF(Table622027323337383923244450[[#This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IF(Table622027323337383923244450[[#This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IF(Table622027323337383923244450[[#This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IF(Table622027323337383923244450[[#This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IF(Table622027323337383923244450[[#This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IF(Table622027323337383923244450[[#This Row],[Non-Member]]="X"," ",IF(AD19=" "," ",IFERROR(VLOOKUP(AC19,Points!$A$2:$B$14,2,FALSE)," ")))</f>
        <v xml:space="preserve"> </v>
      </c>
      <c r="AF19" s="92" t="str">
        <f t="shared" si="16"/>
        <v xml:space="preserve"> </v>
      </c>
      <c r="AG19" s="93" t="str">
        <f t="shared" si="17"/>
        <v xml:space="preserve"> </v>
      </c>
      <c r="AH19" s="93" t="str">
        <f t="shared" si="18"/>
        <v xml:space="preserve"> </v>
      </c>
      <c r="AI19" s="94" t="str">
        <f>IF(Table622027323337383923244450[[#This Row],[Non-Member]]="X"," ",IF(AH19=" "," ",IFERROR(VLOOKUP(AG19,Points!$A$2:$B$14,2,FALSE)," ")))</f>
        <v xml:space="preserve"> </v>
      </c>
      <c r="AJ19" s="93">
        <f>IF(Table622027323337383923244450[[#This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4"/>
        <v xml:space="preserve"> </v>
      </c>
      <c r="AL19" s="96" t="str">
        <f t="shared" si="15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IF(Table622027323337383923244450[[#This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IF(Table622027323337383923244450[[#This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IF(Table622027323337383923244450[[#This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IF(Table622027323337383923244450[[#This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IF(Table622027323337383923244450[[#This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IF(Table622027323337383923244450[[#This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IF(Table622027323337383923244450[[#This Row],[Non-Member]]="X"," ",IF(AD20=" "," ",IFERROR(VLOOKUP(AC20,Points!$A$2:$B$14,2,FALSE)," ")))</f>
        <v xml:space="preserve"> </v>
      </c>
      <c r="AF20" s="92" t="str">
        <f t="shared" si="16"/>
        <v xml:space="preserve"> </v>
      </c>
      <c r="AG20" s="93" t="str">
        <f t="shared" si="17"/>
        <v xml:space="preserve"> </v>
      </c>
      <c r="AH20" s="93" t="str">
        <f t="shared" si="18"/>
        <v xml:space="preserve"> </v>
      </c>
      <c r="AI20" s="94" t="str">
        <f>IF(Table622027323337383923244450[[#This Row],[Non-Member]]="X"," ",IF(AH20=" "," ",IFERROR(VLOOKUP(AG20,Points!$A$2:$B$14,2,FALSE)," ")))</f>
        <v xml:space="preserve"> </v>
      </c>
      <c r="AJ20" s="93">
        <f>IF(Table622027323337383923244450[[#This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4"/>
        <v xml:space="preserve"> </v>
      </c>
      <c r="AL20" s="96" t="str">
        <f t="shared" si="15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IF(Table622027323337383923244450[[#This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IF(Table622027323337383923244450[[#This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IF(Table622027323337383923244450[[#This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IF(Table622027323337383923244450[[#This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IF(Table622027323337383923244450[[#This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IF(Table622027323337383923244450[[#This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IF(Table622027323337383923244450[[#This Row],[Non-Member]]="X"," ",IF(AD21=" "," ",IFERROR(VLOOKUP(AC21,Points!$A$2:$B$14,2,FALSE)," ")))</f>
        <v xml:space="preserve"> </v>
      </c>
      <c r="AF21" s="92" t="str">
        <f t="shared" si="16"/>
        <v xml:space="preserve"> </v>
      </c>
      <c r="AG21" s="93" t="str">
        <f t="shared" si="17"/>
        <v xml:space="preserve"> </v>
      </c>
      <c r="AH21" s="93" t="str">
        <f t="shared" si="18"/>
        <v xml:space="preserve"> </v>
      </c>
      <c r="AI21" s="94" t="str">
        <f>IF(Table622027323337383923244450[[#This Row],[Non-Member]]="X"," ",IF(AH21=" "," ",IFERROR(VLOOKUP(AG21,Points!$A$2:$B$14,2,FALSE)," ")))</f>
        <v xml:space="preserve"> </v>
      </c>
      <c r="AJ21" s="93">
        <f>IF(Table622027323337383923244450[[#This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4"/>
        <v xml:space="preserve"> </v>
      </c>
      <c r="AL21" s="96" t="str">
        <f t="shared" si="15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IF(Table622027323337383923244450[[#This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IF(Table622027323337383923244450[[#This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IF(Table622027323337383923244450[[#This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IF(Table622027323337383923244450[[#This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IF(Table622027323337383923244450[[#This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IF(Table622027323337383923244450[[#This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IF(Table622027323337383923244450[[#This Row],[Non-Member]]="X"," ",IF(AD22=" "," ",IFERROR(VLOOKUP(AC22,Points!$A$2:$B$14,2,FALSE)," ")))</f>
        <v xml:space="preserve"> </v>
      </c>
      <c r="AF22" s="92" t="str">
        <f t="shared" si="16"/>
        <v xml:space="preserve"> </v>
      </c>
      <c r="AG22" s="93" t="str">
        <f t="shared" si="17"/>
        <v xml:space="preserve"> </v>
      </c>
      <c r="AH22" s="93" t="str">
        <f t="shared" si="18"/>
        <v xml:space="preserve"> </v>
      </c>
      <c r="AI22" s="94" t="str">
        <f>IF(Table622027323337383923244450[[#This Row],[Non-Member]]="X"," ",IF(AH22=" "," ",IFERROR(VLOOKUP(AG22,Points!$A$2:$B$14,2,FALSE)," ")))</f>
        <v xml:space="preserve"> </v>
      </c>
      <c r="AJ22" s="93">
        <f>IF(Table622027323337383923244450[[#This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4"/>
        <v xml:space="preserve"> </v>
      </c>
      <c r="AL22" s="96" t="str">
        <f t="shared" si="15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IF(Table622027323337383923244450[[#This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IF(Table622027323337383923244450[[#This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IF(Table622027323337383923244450[[#This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IF(Table622027323337383923244450[[#This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IF(Table622027323337383923244450[[#This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IF(Table622027323337383923244450[[#This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IF(Table622027323337383923244450[[#This Row],[Non-Member]]="X"," ",IF(AD23=" "," ",IFERROR(VLOOKUP(AC23,Points!$A$2:$B$14,2,FALSE)," ")))</f>
        <v xml:space="preserve"> </v>
      </c>
      <c r="AF23" s="92" t="str">
        <f t="shared" si="16"/>
        <v xml:space="preserve"> </v>
      </c>
      <c r="AG23" s="93" t="str">
        <f t="shared" si="17"/>
        <v xml:space="preserve"> </v>
      </c>
      <c r="AH23" s="93" t="str">
        <f t="shared" si="18"/>
        <v xml:space="preserve"> </v>
      </c>
      <c r="AI23" s="94" t="str">
        <f>IF(Table622027323337383923244450[[#This Row],[Non-Member]]="X"," ",IF(AH23=" "," ",IFERROR(VLOOKUP(AG23,Points!$A$2:$B$14,2,FALSE)," ")))</f>
        <v xml:space="preserve"> </v>
      </c>
      <c r="AJ23" s="93">
        <f>IF(Table622027323337383923244450[[#This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4"/>
        <v xml:space="preserve"> </v>
      </c>
      <c r="AL23" s="96" t="str">
        <f t="shared" si="15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IF(Table622027323337383923244450[[#This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IF(Table622027323337383923244450[[#This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IF(Table622027323337383923244450[[#This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IF(Table622027323337383923244450[[#This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IF(Table622027323337383923244450[[#This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IF(Table622027323337383923244450[[#This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IF(Table622027323337383923244450[[#This Row],[Non-Member]]="X"," ",IF(AD24=" "," ",IFERROR(VLOOKUP(AC24,Points!$A$2:$B$14,2,FALSE)," ")))</f>
        <v xml:space="preserve"> </v>
      </c>
      <c r="AF24" s="102" t="str">
        <f t="shared" si="16"/>
        <v xml:space="preserve"> </v>
      </c>
      <c r="AG24" s="103" t="str">
        <f t="shared" si="17"/>
        <v xml:space="preserve"> </v>
      </c>
      <c r="AH24" s="103" t="str">
        <f t="shared" si="18"/>
        <v xml:space="preserve"> </v>
      </c>
      <c r="AI24" s="104" t="str">
        <f>IF(Table622027323337383923244450[[#This Row],[Non-Member]]="X"," ",IF(AH24=" "," ",IFERROR(VLOOKUP(AG24,Points!$A$2:$B$14,2,FALSE)," ")))</f>
        <v xml:space="preserve"> </v>
      </c>
      <c r="AJ24" s="93">
        <f>IF(Table622027323337383923244450[[#This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4"/>
        <v xml:space="preserve"> </v>
      </c>
      <c r="AL24" s="96" t="str">
        <f t="shared" si="15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oDoBLmUZ54hDu4zH2HsSIKOir+tHXhsVBzJAPLX6g034ONEaokXtbpH6yFCmyfRiBUHOaNxEVQF6Dg1l7EN0fA==" saltValue="YepCLVUN3SALANylHcICVA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ignoredErrors>
    <ignoredError sqref="AF5:AH10" calculatedColumn="1"/>
  </ignoredErrors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781B-DEF9-4583-9FDE-784EA6C8326D}">
  <sheetPr codeName="Sheet51">
    <tabColor theme="4" tint="0.39997558519241921"/>
  </sheetPr>
  <dimension ref="B1:AL29"/>
  <sheetViews>
    <sheetView showGridLines="0" zoomScaleNormal="100" workbookViewId="0">
      <pane xSplit="2" topLeftCell="C1" activePane="topRight" state="frozen"/>
      <selection activeCell="K35" sqref="K35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11.6640625" style="56" customWidth="1"/>
    <col min="5" max="5" width="11.6640625" style="57" hidden="1" customWidth="1"/>
    <col min="6" max="6" width="11.6640625" style="57" customWidth="1"/>
    <col min="7" max="7" width="11.6640625" style="58" customWidth="1"/>
    <col min="8" max="8" width="11.6640625" style="59" customWidth="1"/>
    <col min="9" max="9" width="11.6640625" style="57" hidden="1" customWidth="1"/>
    <col min="10" max="10" width="11.6640625" style="57" customWidth="1"/>
    <col min="11" max="11" width="11.6640625" style="60" customWidth="1"/>
    <col min="12" max="12" width="12" style="59" customWidth="1"/>
    <col min="13" max="13" width="11.6640625" style="57" hidden="1" customWidth="1"/>
    <col min="14" max="14" width="12" style="57" customWidth="1"/>
    <col min="15" max="15" width="12" style="60" customWidth="1"/>
    <col min="16" max="16" width="12" style="59" customWidth="1"/>
    <col min="17" max="17" width="11.6640625" style="57" hidden="1" customWidth="1"/>
    <col min="18" max="18" width="12" style="57" customWidth="1"/>
    <col min="19" max="19" width="12" style="60" customWidth="1"/>
    <col min="20" max="20" width="12" style="59" customWidth="1"/>
    <col min="21" max="21" width="11.6640625" style="57" hidden="1" customWidth="1"/>
    <col min="22" max="22" width="12" style="57" customWidth="1"/>
    <col min="23" max="23" width="12" style="60" customWidth="1"/>
    <col min="24" max="24" width="12" style="59" customWidth="1"/>
    <col min="25" max="25" width="11.6640625" style="57" hidden="1" customWidth="1"/>
    <col min="26" max="26" width="12" style="57" customWidth="1"/>
    <col min="27" max="27" width="12" style="60" customWidth="1"/>
    <col min="28" max="28" width="12" style="59" customWidth="1"/>
    <col min="29" max="29" width="11.6640625" style="57" hidden="1" customWidth="1"/>
    <col min="30" max="30" width="12" style="57" customWidth="1"/>
    <col min="31" max="31" width="12" style="60" customWidth="1"/>
    <col min="32" max="32" width="12" style="59" customWidth="1"/>
    <col min="33" max="33" width="12" style="57" hidden="1" customWidth="1"/>
    <col min="34" max="34" width="12" style="57" customWidth="1"/>
    <col min="35" max="35" width="12" style="60" customWidth="1"/>
    <col min="36" max="36" width="12" style="57" hidden="1" customWidth="1"/>
    <col min="37" max="37" width="12" style="61" customWidth="1"/>
    <col min="38" max="38" width="12" style="57" customWidth="1"/>
    <col min="39" max="16384" width="9.109375" style="62"/>
  </cols>
  <sheetData>
    <row r="1" spans="2:38" ht="18" thickBot="1" x14ac:dyDescent="0.35">
      <c r="B1" s="54"/>
      <c r="C1" s="55"/>
    </row>
    <row r="2" spans="2:38" s="64" customFormat="1" ht="17.399999999999999" x14ac:dyDescent="0.3">
      <c r="B2" s="168" t="s">
        <v>62</v>
      </c>
      <c r="C2" s="169"/>
      <c r="D2" s="166">
        <v>43590</v>
      </c>
      <c r="E2" s="166"/>
      <c r="F2" s="166"/>
      <c r="G2" s="167"/>
      <c r="H2" s="165">
        <v>43632</v>
      </c>
      <c r="I2" s="166"/>
      <c r="J2" s="166"/>
      <c r="K2" s="167"/>
      <c r="L2" s="165">
        <v>43659</v>
      </c>
      <c r="M2" s="166"/>
      <c r="N2" s="166"/>
      <c r="O2" s="167"/>
      <c r="P2" s="165">
        <v>43660</v>
      </c>
      <c r="Q2" s="166"/>
      <c r="R2" s="166"/>
      <c r="S2" s="167"/>
      <c r="T2" s="165">
        <v>43681</v>
      </c>
      <c r="U2" s="166"/>
      <c r="V2" s="166"/>
      <c r="W2" s="167"/>
      <c r="X2" s="165" t="s">
        <v>183</v>
      </c>
      <c r="Y2" s="166"/>
      <c r="Z2" s="166"/>
      <c r="AA2" s="167"/>
      <c r="AB2" s="165" t="s">
        <v>184</v>
      </c>
      <c r="AC2" s="166"/>
      <c r="AD2" s="166"/>
      <c r="AE2" s="167"/>
      <c r="AF2" s="165" t="s">
        <v>3</v>
      </c>
      <c r="AG2" s="166"/>
      <c r="AH2" s="166"/>
      <c r="AI2" s="167"/>
      <c r="AJ2" s="63"/>
      <c r="AK2" s="166" t="s">
        <v>4</v>
      </c>
      <c r="AL2" s="167"/>
    </row>
    <row r="3" spans="2:38" s="74" customFormat="1" ht="14.4" thickBot="1" x14ac:dyDescent="0.3">
      <c r="B3" s="65" t="s">
        <v>38</v>
      </c>
      <c r="C3" s="66" t="s">
        <v>39</v>
      </c>
      <c r="D3" s="67" t="s">
        <v>0</v>
      </c>
      <c r="E3" s="68"/>
      <c r="F3" s="68" t="s">
        <v>1</v>
      </c>
      <c r="G3" s="69" t="s">
        <v>2</v>
      </c>
      <c r="H3" s="70" t="s">
        <v>0</v>
      </c>
      <c r="I3" s="68"/>
      <c r="J3" s="68" t="s">
        <v>1</v>
      </c>
      <c r="K3" s="71" t="s">
        <v>2</v>
      </c>
      <c r="L3" s="70" t="s">
        <v>0</v>
      </c>
      <c r="M3" s="68"/>
      <c r="N3" s="68" t="s">
        <v>1</v>
      </c>
      <c r="O3" s="71" t="s">
        <v>2</v>
      </c>
      <c r="P3" s="70" t="s">
        <v>0</v>
      </c>
      <c r="Q3" s="68"/>
      <c r="R3" s="68" t="s">
        <v>1</v>
      </c>
      <c r="S3" s="71" t="s">
        <v>2</v>
      </c>
      <c r="T3" s="70" t="s">
        <v>0</v>
      </c>
      <c r="U3" s="68"/>
      <c r="V3" s="68" t="s">
        <v>1</v>
      </c>
      <c r="W3" s="71" t="s">
        <v>2</v>
      </c>
      <c r="X3" s="70" t="s">
        <v>0</v>
      </c>
      <c r="Y3" s="68"/>
      <c r="Z3" s="68" t="s">
        <v>1</v>
      </c>
      <c r="AA3" s="71" t="s">
        <v>2</v>
      </c>
      <c r="AB3" s="70" t="s">
        <v>0</v>
      </c>
      <c r="AC3" s="68"/>
      <c r="AD3" s="68" t="s">
        <v>1</v>
      </c>
      <c r="AE3" s="71" t="s">
        <v>2</v>
      </c>
      <c r="AF3" s="70" t="s">
        <v>0</v>
      </c>
      <c r="AG3" s="68"/>
      <c r="AH3" s="68" t="s">
        <v>1</v>
      </c>
      <c r="AI3" s="71" t="s">
        <v>2</v>
      </c>
      <c r="AJ3" s="68"/>
      <c r="AK3" s="72" t="s">
        <v>2</v>
      </c>
      <c r="AL3" s="73" t="s">
        <v>1</v>
      </c>
    </row>
    <row r="4" spans="2:38" s="74" customFormat="1" ht="18" hidden="1" thickBot="1" x14ac:dyDescent="0.35">
      <c r="B4" s="75" t="s">
        <v>38</v>
      </c>
      <c r="C4" s="76" t="s">
        <v>39</v>
      </c>
      <c r="D4" s="77" t="s">
        <v>0</v>
      </c>
      <c r="E4" s="78" t="s">
        <v>7</v>
      </c>
      <c r="F4" s="78" t="s">
        <v>1</v>
      </c>
      <c r="G4" s="79" t="s">
        <v>2</v>
      </c>
      <c r="H4" s="80" t="s">
        <v>17</v>
      </c>
      <c r="I4" s="78" t="s">
        <v>18</v>
      </c>
      <c r="J4" s="78" t="s">
        <v>8</v>
      </c>
      <c r="K4" s="81" t="s">
        <v>9</v>
      </c>
      <c r="L4" s="80" t="s">
        <v>10</v>
      </c>
      <c r="M4" s="78" t="s">
        <v>19</v>
      </c>
      <c r="N4" s="78" t="s">
        <v>20</v>
      </c>
      <c r="O4" s="81" t="s">
        <v>21</v>
      </c>
      <c r="P4" s="80" t="s">
        <v>22</v>
      </c>
      <c r="Q4" s="78" t="s">
        <v>11</v>
      </c>
      <c r="R4" s="78" t="s">
        <v>23</v>
      </c>
      <c r="S4" s="81" t="s">
        <v>24</v>
      </c>
      <c r="T4" s="80" t="s">
        <v>25</v>
      </c>
      <c r="U4" s="78" t="s">
        <v>26</v>
      </c>
      <c r="V4" s="78" t="s">
        <v>27</v>
      </c>
      <c r="W4" s="81" t="s">
        <v>28</v>
      </c>
      <c r="X4" s="80" t="s">
        <v>29</v>
      </c>
      <c r="Y4" s="78" t="s">
        <v>30</v>
      </c>
      <c r="Z4" s="78" t="s">
        <v>12</v>
      </c>
      <c r="AA4" s="81" t="s">
        <v>13</v>
      </c>
      <c r="AB4" s="80" t="s">
        <v>14</v>
      </c>
      <c r="AC4" s="78" t="s">
        <v>31</v>
      </c>
      <c r="AD4" s="78" t="s">
        <v>32</v>
      </c>
      <c r="AE4" s="81" t="s">
        <v>33</v>
      </c>
      <c r="AF4" s="80" t="s">
        <v>34</v>
      </c>
      <c r="AG4" s="78" t="s">
        <v>15</v>
      </c>
      <c r="AH4" s="78" t="s">
        <v>35</v>
      </c>
      <c r="AI4" s="81" t="s">
        <v>36</v>
      </c>
      <c r="AJ4" s="78" t="s">
        <v>40</v>
      </c>
      <c r="AK4" s="82" t="s">
        <v>16</v>
      </c>
      <c r="AL4" s="78" t="s">
        <v>37</v>
      </c>
    </row>
    <row r="5" spans="2:38" x14ac:dyDescent="0.25">
      <c r="B5" s="83" t="s">
        <v>67</v>
      </c>
      <c r="C5" s="84"/>
      <c r="D5" s="85">
        <v>17.504000000000001</v>
      </c>
      <c r="E5" s="86">
        <f t="shared" ref="E5:E24" si="0">IF(D5=0," ",_xlfn.RANK.AVG(D5,D$5:D$24,1)-COUNTIF(D$5:D$24,0))</f>
        <v>1</v>
      </c>
      <c r="F5" s="86">
        <f t="shared" ref="F5:F24" si="1">IF(D5=0," ",IF((RANK(D5,D$5:D$24,1)-COUNTIF(D$5:D$24,0)&gt;6)," ",RANK(D5,D$5:D$24,1)-COUNTIF(D$5:D$24,0)))</f>
        <v>1</v>
      </c>
      <c r="G5" s="87">
        <f>IF(Table62202732333435[[#This Row],[Non-Member]]="X"," ",IF(F5=" "," ",IFERROR(VLOOKUP(E5,Points!$A$2:$B$14,2,FALSE)," ")))</f>
        <v>18</v>
      </c>
      <c r="H5" s="85">
        <v>16.135000000000002</v>
      </c>
      <c r="I5" s="86">
        <f t="shared" ref="I5:I24" si="2">IF(H5=0," ",_xlfn.RANK.AVG(H5,H$5:H$24,1)-COUNTIF(H$5:H$24,0))</f>
        <v>1</v>
      </c>
      <c r="J5" s="86">
        <f t="shared" ref="J5:J24" si="3">IF(H5=0," ",IF((RANK(H5,H$5:H$24,1)-COUNTIF(H$5:H$24,0)&gt;6)," ",RANK(H5,H$5:H$24,1)-COUNTIF(H$5:H$24,0)))</f>
        <v>1</v>
      </c>
      <c r="K5" s="87">
        <f>IF(Table62202732333435[[#This Row],[Non-Member]]="X"," ",IF(J5=" "," ",IFERROR(VLOOKUP(I5,Points!$A$2:$B$14,2,FALSE)," ")))</f>
        <v>18</v>
      </c>
      <c r="L5" s="85">
        <v>15.21</v>
      </c>
      <c r="M5" s="86">
        <f t="shared" ref="M5:M24" si="4">IF(L5=0," ",_xlfn.RANK.AVG(L5,L$5:L$24,1)-COUNTIF(L$5:L$24,0))</f>
        <v>1</v>
      </c>
      <c r="N5" s="86">
        <f t="shared" ref="N5:N24" si="5">IF(L5=0," ",IF((RANK(L5,L$5:L$24,1)-COUNTIF(L$5:L$24,0)&gt;6)," ",RANK(L5,L$5:L$24,1)-COUNTIF(L$5:L$24,0)))</f>
        <v>1</v>
      </c>
      <c r="O5" s="87">
        <f>IF(Table62202732333435[[#This Row],[Non-Member]]="X"," ",IF(N5=" "," ",IFERROR(VLOOKUP(M5,Points!$A$2:$B$14,2,FALSE)," ")))</f>
        <v>18</v>
      </c>
      <c r="P5" s="85">
        <v>17.475999999999999</v>
      </c>
      <c r="Q5" s="86">
        <f t="shared" ref="Q5:Q24" si="6">IF(P5=0," ",_xlfn.RANK.AVG(P5,P$5:P$24,1)-COUNTIF(P$5:P$24,0))</f>
        <v>2</v>
      </c>
      <c r="R5" s="86">
        <f t="shared" ref="R5:R24" si="7">IF(P5=0," ",IF((RANK(P5,P$5:P$24,1)-COUNTIF(P$5:P$24,0)&gt;6)," ",RANK(P5,P$5:P$24,1)-COUNTIF(P$5:P$24,0)))</f>
        <v>2</v>
      </c>
      <c r="S5" s="87">
        <f>IF(Table62202732333435[[#This Row],[Non-Member]]="X"," ",IF(R5=" "," ",IFERROR(VLOOKUP(Q5,Points!$A$2:$B$14,2,FALSE)," ")))</f>
        <v>15</v>
      </c>
      <c r="T5" s="85">
        <v>18.013999999999999</v>
      </c>
      <c r="U5" s="86">
        <f t="shared" ref="U5:U24" si="8">IF(T5=0," ",_xlfn.RANK.AVG(T5,T$5:T$24,1)-COUNTIF(T$5:T$24,0))</f>
        <v>3</v>
      </c>
      <c r="V5" s="86">
        <f t="shared" ref="V5:V24" si="9">IF(T5=0," ",IF((RANK(T5,T$5:T$24,1)-COUNTIF(T$5:T$24,0)&gt;6)," ",RANK(T5,T$5:T$24,1)-COUNTIF(T$5:T$24,0)))</f>
        <v>3</v>
      </c>
      <c r="W5" s="87">
        <f>IF(Table62202732333435[[#This Row],[Non-Member]]="X"," ",IF(V5=" "," ",IFERROR(VLOOKUP(U5,Points!$A$2:$B$14,2,FALSE)," ")))</f>
        <v>12</v>
      </c>
      <c r="X5" s="85">
        <v>17.792000000000002</v>
      </c>
      <c r="Y5" s="86">
        <f t="shared" ref="Y5:Y24" si="10">IF(X5=0," ",_xlfn.RANK.AVG(X5,X$5:X$24,1)-COUNTIF(X$5:X$24,0))</f>
        <v>3</v>
      </c>
      <c r="Z5" s="86">
        <f t="shared" ref="Z5:Z24" si="11">IF(X5=0," ",IF((RANK(X5,X$5:X$24,1)-COUNTIF(X$5:X$24,0)&gt;6)," ",RANK(X5,X$5:X$24,1)-COUNTIF(X$5:X$24,0)))</f>
        <v>3</v>
      </c>
      <c r="AA5" s="87">
        <f>IF(Table62202732333435[[#This Row],[Non-Member]]="X"," ",IF(Z5=" "," ",IFERROR(VLOOKUP(Y5,Points!$A$2:$B$14,2,FALSE)," ")))</f>
        <v>12</v>
      </c>
      <c r="AB5" s="85">
        <v>16.38</v>
      </c>
      <c r="AC5" s="86">
        <f t="shared" ref="AC5:AC24" si="12">IF(AB5=0," ",_xlfn.RANK.AVG(AB5,AB$5:AB$24,1)-COUNTIF(AB$5:AB$24,0))</f>
        <v>1</v>
      </c>
      <c r="AD5" s="86">
        <f t="shared" ref="AD5:AD24" si="13">IF(AB5=0," ",IF((RANK(AB5,AB$5:AB$24,1)-COUNTIF(AB$5:AB$24,0)&gt;6)," ",RANK(AB5,AB$5:AB$24,1)-COUNTIF(AB$5:AB$24,0)))</f>
        <v>1</v>
      </c>
      <c r="AE5" s="87">
        <f>IF(Table62202732333435[[#This Row],[Non-Member]]="X"," ",IF(AD5=" "," ",IFERROR(VLOOKUP(AC5,Points!$A$2:$B$14,2,FALSE)," ")))</f>
        <v>18</v>
      </c>
      <c r="AF5" s="85">
        <f t="shared" ref="AF5:AF24" si="14">IF(OR(X5=0,AB5=0)," ",X5+AB5)</f>
        <v>34.171999999999997</v>
      </c>
      <c r="AG5" s="86">
        <f t="shared" ref="AG5:AG24" si="15">IF(OR(AF5=0,AF5=" ")," ",_xlfn.RANK.AVG(AF5,AF$5:AF$24,1)-COUNTIF(AF$5:AF$24,0))</f>
        <v>2</v>
      </c>
      <c r="AH5" s="86">
        <f t="shared" ref="AH5:AH24" si="16">IF(OR(AF5=0,AF5=" ")," ",IF((RANK(AF5,AF$5:AF$24,1)-COUNTIF(AF$5:AF$24,0)&gt;6)," ",RANK(AF5,AF$5:AF$24,1)-COUNTIF(AF$5:AF$24,0)))</f>
        <v>2</v>
      </c>
      <c r="AI5" s="87">
        <f>IF(Table62202732333435[[#This Row],[Non-Member]]="X"," ",IF(AH5=" "," ",IFERROR(VLOOKUP(AG5,Points!$A$2:$B$14,2,FALSE)," ")))</f>
        <v>15</v>
      </c>
      <c r="AJ5" s="86">
        <f>IF(Table62202732333435[[#This Row],[Non-Member]]="X"," ",((IF(G5=" ",0,G5))+(IF(K5=" ",0,K5))+(IF(O5=" ",0,O5))+(IF(S5=" ",0,S5))+(IF(W5=" ",0,W5))+(IF(AA5=" ",0,AA5))+(IF(AE5=" ",0,AE5))+(IF(AI5=" ",0,AI5))))</f>
        <v>126</v>
      </c>
      <c r="AK5" s="88">
        <f t="shared" ref="AK5:AK24" si="17">IF(AJ5=0," ",AJ5)</f>
        <v>126</v>
      </c>
      <c r="AL5" s="89">
        <f t="shared" ref="AL5:AL24" si="18">IF(AK5=" "," ",RANK(AK5,$AK$5:$AK$24))</f>
        <v>1</v>
      </c>
    </row>
    <row r="6" spans="2:38" x14ac:dyDescent="0.25">
      <c r="B6" s="90" t="s">
        <v>73</v>
      </c>
      <c r="C6" s="91"/>
      <c r="D6" s="92">
        <v>21.841000000000001</v>
      </c>
      <c r="E6" s="93">
        <f t="shared" si="0"/>
        <v>3</v>
      </c>
      <c r="F6" s="93">
        <f t="shared" si="1"/>
        <v>3</v>
      </c>
      <c r="G6" s="94">
        <f>IF(Table62202732333435[[#This Row],[Non-Member]]="X"," ",IF(F6=" "," ",IFERROR(VLOOKUP(E6,Points!$A$2:$B$14,2,FALSE)," ")))</f>
        <v>12</v>
      </c>
      <c r="H6" s="92">
        <v>17.809999999999999</v>
      </c>
      <c r="I6" s="93">
        <f t="shared" si="2"/>
        <v>2</v>
      </c>
      <c r="J6" s="93">
        <f t="shared" si="3"/>
        <v>2</v>
      </c>
      <c r="K6" s="94">
        <f>IF(Table62202732333435[[#This Row],[Non-Member]]="X"," ",IF(J6=" "," ",IFERROR(VLOOKUP(I6,Points!$A$2:$B$14,2,FALSE)," ")))</f>
        <v>15</v>
      </c>
      <c r="L6" s="92">
        <v>15.79</v>
      </c>
      <c r="M6" s="93">
        <f t="shared" si="4"/>
        <v>2</v>
      </c>
      <c r="N6" s="93">
        <f t="shared" si="5"/>
        <v>2</v>
      </c>
      <c r="O6" s="94">
        <f>IF(Table62202732333435[[#This Row],[Non-Member]]="X"," ",IF(N6=" "," ",IFERROR(VLOOKUP(M6,Points!$A$2:$B$14,2,FALSE)," ")))</f>
        <v>15</v>
      </c>
      <c r="P6" s="92">
        <v>17.309999999999999</v>
      </c>
      <c r="Q6" s="93">
        <f t="shared" si="6"/>
        <v>1</v>
      </c>
      <c r="R6" s="93">
        <f t="shared" si="7"/>
        <v>1</v>
      </c>
      <c r="S6" s="94">
        <f>IF(Table62202732333435[[#This Row],[Non-Member]]="X"," ",IF(R6=" "," ",IFERROR(VLOOKUP(Q6,Points!$A$2:$B$14,2,FALSE)," ")))</f>
        <v>18</v>
      </c>
      <c r="T6" s="92">
        <v>16.356000000000002</v>
      </c>
      <c r="U6" s="93">
        <f t="shared" si="8"/>
        <v>1</v>
      </c>
      <c r="V6" s="93">
        <f t="shared" si="9"/>
        <v>1</v>
      </c>
      <c r="W6" s="94">
        <f>IF(Table62202732333435[[#This Row],[Non-Member]]="X"," ",IF(V6=" "," ",IFERROR(VLOOKUP(U6,Points!$A$2:$B$14,2,FALSE)," ")))</f>
        <v>18</v>
      </c>
      <c r="X6" s="92">
        <v>16.754999999999999</v>
      </c>
      <c r="Y6" s="93">
        <f t="shared" si="10"/>
        <v>2</v>
      </c>
      <c r="Z6" s="93">
        <f t="shared" si="11"/>
        <v>2</v>
      </c>
      <c r="AA6" s="94">
        <f>IF(Table62202732333435[[#This Row],[Non-Member]]="X"," ",IF(Z6=" "," ",IFERROR(VLOOKUP(Y6,Points!$A$2:$B$14,2,FALSE)," ")))</f>
        <v>15</v>
      </c>
      <c r="AB6" s="92">
        <v>21.372</v>
      </c>
      <c r="AC6" s="93">
        <f t="shared" si="12"/>
        <v>4</v>
      </c>
      <c r="AD6" s="93">
        <f t="shared" si="13"/>
        <v>4</v>
      </c>
      <c r="AE6" s="94">
        <f>IF(Table62202732333435[[#This Row],[Non-Member]]="X"," ",IF(AD6=" "," ",IFERROR(VLOOKUP(AC6,Points!$A$2:$B$14,2,FALSE)," ")))</f>
        <v>9</v>
      </c>
      <c r="AF6" s="92">
        <f t="shared" si="14"/>
        <v>38.126999999999995</v>
      </c>
      <c r="AG6" s="93">
        <f t="shared" si="15"/>
        <v>4</v>
      </c>
      <c r="AH6" s="93">
        <f t="shared" si="16"/>
        <v>4</v>
      </c>
      <c r="AI6" s="94">
        <f>IF(Table62202732333435[[#This Row],[Non-Member]]="X"," ",IF(AH6=" "," ",IFERROR(VLOOKUP(AG6,Points!$A$2:$B$14,2,FALSE)," ")))</f>
        <v>9</v>
      </c>
      <c r="AJ6" s="93">
        <f>IF(Table62202732333435[[#This Row],[Non-Member]]="X"," ",((IF(G6=" ",0,G6))+(IF(K6=" ",0,K6))+(IF(O6=" ",0,O6))+(IF(S6=" ",0,S6))+(IF(W6=" ",0,W6))+(IF(AA6=" ",0,AA6))+(IF(AE6=" ",0,AE6))+(IF(AI6=" ",0,AI6))))</f>
        <v>111</v>
      </c>
      <c r="AK6" s="95">
        <f t="shared" si="17"/>
        <v>111</v>
      </c>
      <c r="AL6" s="96">
        <f t="shared" si="18"/>
        <v>2</v>
      </c>
    </row>
    <row r="7" spans="2:38" x14ac:dyDescent="0.25">
      <c r="B7" s="90" t="s">
        <v>70</v>
      </c>
      <c r="C7" s="91"/>
      <c r="D7" s="92">
        <v>30.26</v>
      </c>
      <c r="E7" s="93">
        <f t="shared" si="0"/>
        <v>6</v>
      </c>
      <c r="F7" s="93">
        <f t="shared" si="1"/>
        <v>6</v>
      </c>
      <c r="G7" s="94">
        <f>IF(Table62202732333435[[#This Row],[Non-Member]]="X"," ",IF(F7=" "," ",IFERROR(VLOOKUP(E7,Points!$A$2:$B$14,2,FALSE)," ")))</f>
        <v>3</v>
      </c>
      <c r="H7" s="92">
        <v>23.184999999999999</v>
      </c>
      <c r="I7" s="93">
        <f t="shared" si="2"/>
        <v>5</v>
      </c>
      <c r="J7" s="93">
        <f t="shared" si="3"/>
        <v>5</v>
      </c>
      <c r="K7" s="94">
        <f>IF(Table62202732333435[[#This Row],[Non-Member]]="X"," ",IF(J7=" "," ",IFERROR(VLOOKUP(I7,Points!$A$2:$B$14,2,FALSE)," ")))</f>
        <v>6</v>
      </c>
      <c r="L7" s="92">
        <v>24.69</v>
      </c>
      <c r="M7" s="93">
        <f t="shared" si="4"/>
        <v>4</v>
      </c>
      <c r="N7" s="93">
        <f t="shared" si="5"/>
        <v>4</v>
      </c>
      <c r="O7" s="94">
        <f>IF(Table62202732333435[[#This Row],[Non-Member]]="X"," ",IF(N7=" "," ",IFERROR(VLOOKUP(M7,Points!$A$2:$B$14,2,FALSE)," ")))</f>
        <v>9</v>
      </c>
      <c r="P7" s="92">
        <v>22.812999999999999</v>
      </c>
      <c r="Q7" s="93">
        <f t="shared" si="6"/>
        <v>4</v>
      </c>
      <c r="R7" s="93">
        <f t="shared" si="7"/>
        <v>4</v>
      </c>
      <c r="S7" s="94">
        <f>IF(Table62202732333435[[#This Row],[Non-Member]]="X"," ",IF(R7=" "," ",IFERROR(VLOOKUP(Q7,Points!$A$2:$B$14,2,FALSE)," ")))</f>
        <v>9</v>
      </c>
      <c r="T7" s="92">
        <v>16.884</v>
      </c>
      <c r="U7" s="93">
        <f t="shared" si="8"/>
        <v>2</v>
      </c>
      <c r="V7" s="93">
        <f t="shared" si="9"/>
        <v>2</v>
      </c>
      <c r="W7" s="94">
        <f>IF(Table62202732333435[[#This Row],[Non-Member]]="X"," ",IF(V7=" "," ",IFERROR(VLOOKUP(U7,Points!$A$2:$B$14,2,FALSE)," ")))</f>
        <v>15</v>
      </c>
      <c r="X7" s="92">
        <v>16.61</v>
      </c>
      <c r="Y7" s="93">
        <f t="shared" si="10"/>
        <v>1</v>
      </c>
      <c r="Z7" s="93">
        <f t="shared" si="11"/>
        <v>1</v>
      </c>
      <c r="AA7" s="94">
        <f>IF(Table62202732333435[[#This Row],[Non-Member]]="X"," ",IF(Z7=" "," ",IFERROR(VLOOKUP(Y7,Points!$A$2:$B$14,2,FALSE)," ")))</f>
        <v>18</v>
      </c>
      <c r="AB7" s="92">
        <v>17.114999999999998</v>
      </c>
      <c r="AC7" s="93">
        <f t="shared" si="12"/>
        <v>3</v>
      </c>
      <c r="AD7" s="93">
        <f t="shared" si="13"/>
        <v>3</v>
      </c>
      <c r="AE7" s="94">
        <f>IF(Table62202732333435[[#This Row],[Non-Member]]="X"," ",IF(AD7=" "," ",IFERROR(VLOOKUP(AC7,Points!$A$2:$B$14,2,FALSE)," ")))</f>
        <v>12</v>
      </c>
      <c r="AF7" s="92">
        <f t="shared" si="14"/>
        <v>33.724999999999994</v>
      </c>
      <c r="AG7" s="93">
        <f t="shared" si="15"/>
        <v>1</v>
      </c>
      <c r="AH7" s="93">
        <f t="shared" si="16"/>
        <v>1</v>
      </c>
      <c r="AI7" s="94">
        <f>IF(Table62202732333435[[#This Row],[Non-Member]]="X"," ",IF(AH7=" "," ",IFERROR(VLOOKUP(AG7,Points!$A$2:$B$14,2,FALSE)," ")))</f>
        <v>18</v>
      </c>
      <c r="AJ7" s="93">
        <f>IF(Table62202732333435[[#This Row],[Non-Member]]="X"," ",((IF(G7=" ",0,G7))+(IF(K7=" ",0,K7))+(IF(O7=" ",0,O7))+(IF(S7=" ",0,S7))+(IF(W7=" ",0,W7))+(IF(AA7=" ",0,AA7))+(IF(AE7=" ",0,AE7))+(IF(AI7=" ",0,AI7))))</f>
        <v>90</v>
      </c>
      <c r="AK7" s="95">
        <f t="shared" si="17"/>
        <v>90</v>
      </c>
      <c r="AL7" s="96">
        <f t="shared" si="18"/>
        <v>3</v>
      </c>
    </row>
    <row r="8" spans="2:38" x14ac:dyDescent="0.25">
      <c r="B8" s="90" t="s">
        <v>74</v>
      </c>
      <c r="C8" s="91"/>
      <c r="D8" s="92">
        <v>21.204999999999998</v>
      </c>
      <c r="E8" s="93">
        <f t="shared" si="0"/>
        <v>2</v>
      </c>
      <c r="F8" s="93">
        <f t="shared" si="1"/>
        <v>2</v>
      </c>
      <c r="G8" s="94">
        <f>IF(Table62202732333435[[#This Row],[Non-Member]]="X"," ",IF(F8=" "," ",IFERROR(VLOOKUP(E8,Points!$A$2:$B$14,2,FALSE)," ")))</f>
        <v>15</v>
      </c>
      <c r="H8" s="92">
        <v>21.648</v>
      </c>
      <c r="I8" s="93">
        <f t="shared" si="2"/>
        <v>4</v>
      </c>
      <c r="J8" s="93">
        <f t="shared" si="3"/>
        <v>4</v>
      </c>
      <c r="K8" s="94">
        <f>IF(Table62202732333435[[#This Row],[Non-Member]]="X"," ",IF(J8=" "," ",IFERROR(VLOOKUP(I8,Points!$A$2:$B$14,2,FALSE)," ")))</f>
        <v>9</v>
      </c>
      <c r="L8" s="92">
        <v>20.18</v>
      </c>
      <c r="M8" s="93">
        <f t="shared" si="4"/>
        <v>3</v>
      </c>
      <c r="N8" s="93">
        <f t="shared" si="5"/>
        <v>3</v>
      </c>
      <c r="O8" s="94">
        <f>IF(Table62202732333435[[#This Row],[Non-Member]]="X"," ",IF(N8=" "," ",IFERROR(VLOOKUP(M8,Points!$A$2:$B$14,2,FALSE)," ")))</f>
        <v>12</v>
      </c>
      <c r="P8" s="92">
        <v>22.385000000000002</v>
      </c>
      <c r="Q8" s="93">
        <f t="shared" si="6"/>
        <v>3</v>
      </c>
      <c r="R8" s="93">
        <f t="shared" si="7"/>
        <v>3</v>
      </c>
      <c r="S8" s="94">
        <f>IF(Table62202732333435[[#This Row],[Non-Member]]="X"," ",IF(R8=" "," ",IFERROR(VLOOKUP(Q8,Points!$A$2:$B$14,2,FALSE)," ")))</f>
        <v>12</v>
      </c>
      <c r="T8" s="92">
        <v>20.472999999999999</v>
      </c>
      <c r="U8" s="93">
        <f t="shared" si="8"/>
        <v>5</v>
      </c>
      <c r="V8" s="93">
        <f t="shared" si="9"/>
        <v>5</v>
      </c>
      <c r="W8" s="94">
        <f>IF(Table62202732333435[[#This Row],[Non-Member]]="X"," ",IF(V8=" "," ",IFERROR(VLOOKUP(U8,Points!$A$2:$B$14,2,FALSE)," ")))</f>
        <v>6</v>
      </c>
      <c r="X8" s="92">
        <v>21.434000000000001</v>
      </c>
      <c r="Y8" s="93">
        <f t="shared" si="10"/>
        <v>5</v>
      </c>
      <c r="Z8" s="93">
        <f t="shared" si="11"/>
        <v>5</v>
      </c>
      <c r="AA8" s="94">
        <f>IF(Table62202732333435[[#This Row],[Non-Member]]="X"," ",IF(Z8=" "," ",IFERROR(VLOOKUP(Y8,Points!$A$2:$B$14,2,FALSE)," ")))</f>
        <v>6</v>
      </c>
      <c r="AB8" s="92">
        <v>23.279</v>
      </c>
      <c r="AC8" s="93">
        <f t="shared" si="12"/>
        <v>5</v>
      </c>
      <c r="AD8" s="93">
        <f t="shared" si="13"/>
        <v>5</v>
      </c>
      <c r="AE8" s="94">
        <f>IF(Table62202732333435[[#This Row],[Non-Member]]="X"," ",IF(AD8=" "," ",IFERROR(VLOOKUP(AC8,Points!$A$2:$B$14,2,FALSE)," ")))</f>
        <v>6</v>
      </c>
      <c r="AF8" s="92">
        <f t="shared" si="14"/>
        <v>44.713000000000001</v>
      </c>
      <c r="AG8" s="93">
        <f t="shared" si="15"/>
        <v>5</v>
      </c>
      <c r="AH8" s="93">
        <f t="shared" si="16"/>
        <v>5</v>
      </c>
      <c r="AI8" s="94">
        <f>IF(Table62202732333435[[#This Row],[Non-Member]]="X"," ",IF(AH8=" "," ",IFERROR(VLOOKUP(AG8,Points!$A$2:$B$14,2,FALSE)," ")))</f>
        <v>6</v>
      </c>
      <c r="AJ8" s="93">
        <f>IF(Table62202732333435[[#This Row],[Non-Member]]="X"," ",((IF(G8=" ",0,G8))+(IF(K8=" ",0,K8))+(IF(O8=" ",0,O8))+(IF(S8=" ",0,S8))+(IF(W8=" ",0,W8))+(IF(AA8=" ",0,AA8))+(IF(AE8=" ",0,AE8))+(IF(AI8=" ",0,AI8))))</f>
        <v>72</v>
      </c>
      <c r="AK8" s="95">
        <f t="shared" si="17"/>
        <v>72</v>
      </c>
      <c r="AL8" s="96">
        <f t="shared" si="18"/>
        <v>4</v>
      </c>
    </row>
    <row r="9" spans="2:38" x14ac:dyDescent="0.25">
      <c r="B9" s="90" t="s">
        <v>72</v>
      </c>
      <c r="C9" s="91"/>
      <c r="D9" s="92">
        <v>0</v>
      </c>
      <c r="E9" s="93" t="str">
        <f t="shared" si="0"/>
        <v xml:space="preserve"> </v>
      </c>
      <c r="F9" s="93" t="str">
        <f t="shared" si="1"/>
        <v xml:space="preserve"> </v>
      </c>
      <c r="G9" s="94" t="str">
        <f>IF(Table62202732333435[[#This Row],[Non-Member]]="X"," ",IF(F9=" "," ",IFERROR(VLOOKUP(E9,Points!$A$2:$B$14,2,FALSE)," ")))</f>
        <v xml:space="preserve"> </v>
      </c>
      <c r="H9" s="92">
        <v>17.853000000000002</v>
      </c>
      <c r="I9" s="93">
        <f t="shared" si="2"/>
        <v>3</v>
      </c>
      <c r="J9" s="93">
        <f t="shared" si="3"/>
        <v>3</v>
      </c>
      <c r="K9" s="94">
        <f>IF(Table62202732333435[[#This Row],[Non-Member]]="X"," ",IF(J9=" "," ",IFERROR(VLOOKUP(I9,Points!$A$2:$B$14,2,FALSE)," ")))</f>
        <v>12</v>
      </c>
      <c r="L9" s="92">
        <v>0</v>
      </c>
      <c r="M9" s="93" t="str">
        <f t="shared" si="4"/>
        <v xml:space="preserve"> </v>
      </c>
      <c r="N9" s="93" t="str">
        <f t="shared" si="5"/>
        <v xml:space="preserve"> </v>
      </c>
      <c r="O9" s="94" t="str">
        <f>IF(Table62202732333435[[#This Row],[Non-Member]]="X"," ",IF(N9=" "," ",IFERROR(VLOOKUP(M9,Points!$A$2:$B$14,2,FALSE)," ")))</f>
        <v xml:space="preserve"> </v>
      </c>
      <c r="P9" s="92">
        <v>24.809000000000001</v>
      </c>
      <c r="Q9" s="93">
        <f t="shared" si="6"/>
        <v>6</v>
      </c>
      <c r="R9" s="93">
        <f t="shared" si="7"/>
        <v>6</v>
      </c>
      <c r="S9" s="94">
        <f>IF(Table62202732333435[[#This Row],[Non-Member]]="X"," ",IF(R9=" "," ",IFERROR(VLOOKUP(Q9,Points!$A$2:$B$14,2,FALSE)," ")))</f>
        <v>3</v>
      </c>
      <c r="T9" s="92">
        <v>19.337</v>
      </c>
      <c r="U9" s="93">
        <f t="shared" si="8"/>
        <v>4</v>
      </c>
      <c r="V9" s="93">
        <f t="shared" si="9"/>
        <v>4</v>
      </c>
      <c r="W9" s="94">
        <f>IF(Table62202732333435[[#This Row],[Non-Member]]="X"," ",IF(V9=" "," ",IFERROR(VLOOKUP(U9,Points!$A$2:$B$14,2,FALSE)," ")))</f>
        <v>9</v>
      </c>
      <c r="X9" s="92">
        <v>18.445</v>
      </c>
      <c r="Y9" s="93">
        <f t="shared" si="10"/>
        <v>4</v>
      </c>
      <c r="Z9" s="93">
        <f t="shared" si="11"/>
        <v>4</v>
      </c>
      <c r="AA9" s="94">
        <f>IF(Table62202732333435[[#This Row],[Non-Member]]="X"," ",IF(Z9=" "," ",IFERROR(VLOOKUP(Y9,Points!$A$2:$B$14,2,FALSE)," ")))</f>
        <v>9</v>
      </c>
      <c r="AB9" s="92">
        <v>16.41</v>
      </c>
      <c r="AC9" s="93">
        <f t="shared" si="12"/>
        <v>2</v>
      </c>
      <c r="AD9" s="93">
        <f t="shared" si="13"/>
        <v>2</v>
      </c>
      <c r="AE9" s="94">
        <f>IF(Table62202732333435[[#This Row],[Non-Member]]="X"," ",IF(AD9=" "," ",IFERROR(VLOOKUP(AC9,Points!$A$2:$B$14,2,FALSE)," ")))</f>
        <v>15</v>
      </c>
      <c r="AF9" s="92">
        <f t="shared" si="14"/>
        <v>34.855000000000004</v>
      </c>
      <c r="AG9" s="93">
        <f t="shared" si="15"/>
        <v>3</v>
      </c>
      <c r="AH9" s="93">
        <f t="shared" si="16"/>
        <v>3</v>
      </c>
      <c r="AI9" s="94">
        <f>IF(Table62202732333435[[#This Row],[Non-Member]]="X"," ",IF(AH9=" "," ",IFERROR(VLOOKUP(AG9,Points!$A$2:$B$14,2,FALSE)," ")))</f>
        <v>12</v>
      </c>
      <c r="AJ9" s="93">
        <f>IF(Table62202732333435[[#This Row],[Non-Member]]="X"," ",((IF(G9=" ",0,G9))+(IF(K9=" ",0,K9))+(IF(O9=" ",0,O9))+(IF(S9=" ",0,S9))+(IF(W9=" ",0,W9))+(IF(AA9=" ",0,AA9))+(IF(AE9=" ",0,AE9))+(IF(AI9=" ",0,AI9))))</f>
        <v>60</v>
      </c>
      <c r="AK9" s="95">
        <f t="shared" si="17"/>
        <v>60</v>
      </c>
      <c r="AL9" s="96">
        <f t="shared" si="18"/>
        <v>5</v>
      </c>
    </row>
    <row r="10" spans="2:38" x14ac:dyDescent="0.25">
      <c r="B10" s="90" t="s">
        <v>231</v>
      </c>
      <c r="C10" s="91"/>
      <c r="D10" s="92">
        <v>25.803999999999998</v>
      </c>
      <c r="E10" s="93">
        <f t="shared" si="0"/>
        <v>4</v>
      </c>
      <c r="F10" s="93">
        <f t="shared" si="1"/>
        <v>4</v>
      </c>
      <c r="G10" s="94">
        <f>IF(Table62202732333435[[#This Row],[Non-Member]]="X"," ",IF(F10=" "," ",IFERROR(VLOOKUP(E10,Points!$A$2:$B$14,2,FALSE)," ")))</f>
        <v>9</v>
      </c>
      <c r="H10" s="92">
        <v>0</v>
      </c>
      <c r="I10" s="93" t="str">
        <f t="shared" si="2"/>
        <v xml:space="preserve"> </v>
      </c>
      <c r="J10" s="93" t="str">
        <f t="shared" si="3"/>
        <v xml:space="preserve"> </v>
      </c>
      <c r="K10" s="94" t="str">
        <f>IF(Table62202732333435[[#This Row],[Non-Member]]="X"," ",IF(J10=" "," ",IFERROR(VLOOKUP(I10,Points!$A$2:$B$14,2,FALSE)," ")))</f>
        <v xml:space="preserve"> </v>
      </c>
      <c r="L10" s="92">
        <v>0</v>
      </c>
      <c r="M10" s="93" t="str">
        <f t="shared" si="4"/>
        <v xml:space="preserve"> </v>
      </c>
      <c r="N10" s="93" t="str">
        <f t="shared" si="5"/>
        <v xml:space="preserve"> </v>
      </c>
      <c r="O10" s="94" t="str">
        <f>IF(Table62202732333435[[#This Row],[Non-Member]]="X"," ",IF(N10=" "," ",IFERROR(VLOOKUP(M10,Points!$A$2:$B$14,2,FALSE)," ")))</f>
        <v xml:space="preserve"> </v>
      </c>
      <c r="P10" s="92">
        <v>26.143999999999998</v>
      </c>
      <c r="Q10" s="93">
        <f t="shared" si="6"/>
        <v>8</v>
      </c>
      <c r="R10" s="93" t="str">
        <f t="shared" si="7"/>
        <v xml:space="preserve"> </v>
      </c>
      <c r="S10" s="94" t="str">
        <f>IF(Table62202732333435[[#This Row],[Non-Member]]="X"," ",IF(R10=" "," ",IFERROR(VLOOKUP(Q10,Points!$A$2:$B$14,2,FALSE)," ")))</f>
        <v xml:space="preserve"> </v>
      </c>
      <c r="T10" s="92">
        <v>23.116</v>
      </c>
      <c r="U10" s="93">
        <f t="shared" si="8"/>
        <v>6</v>
      </c>
      <c r="V10" s="93">
        <f t="shared" si="9"/>
        <v>6</v>
      </c>
      <c r="W10" s="94">
        <f>IF(Table62202732333435[[#This Row],[Non-Member]]="X"," ",IF(V10=" "," ",IFERROR(VLOOKUP(U10,Points!$A$2:$B$14,2,FALSE)," ")))</f>
        <v>3</v>
      </c>
      <c r="X10" s="92">
        <v>22.045000000000002</v>
      </c>
      <c r="Y10" s="93">
        <f t="shared" si="10"/>
        <v>6</v>
      </c>
      <c r="Z10" s="93">
        <f t="shared" si="11"/>
        <v>6</v>
      </c>
      <c r="AA10" s="94">
        <f>IF(Table62202732333435[[#This Row],[Non-Member]]="X"," ",IF(Z10=" "," ",IFERROR(VLOOKUP(Y10,Points!$A$2:$B$14,2,FALSE)," ")))</f>
        <v>3</v>
      </c>
      <c r="AB10" s="92">
        <v>0</v>
      </c>
      <c r="AC10" s="93" t="str">
        <f t="shared" si="12"/>
        <v xml:space="preserve"> </v>
      </c>
      <c r="AD10" s="93" t="str">
        <f t="shared" si="13"/>
        <v xml:space="preserve"> </v>
      </c>
      <c r="AE10" s="94" t="str">
        <f>IF(Table62202732333435[[#This Row],[Non-Member]]="X"," ",IF(AD10=" "," ",IFERROR(VLOOKUP(AC10,Points!$A$2:$B$14,2,FALSE)," ")))</f>
        <v xml:space="preserve"> </v>
      </c>
      <c r="AF10" s="92" t="str">
        <f t="shared" si="14"/>
        <v xml:space="preserve"> </v>
      </c>
      <c r="AG10" s="93" t="str">
        <f t="shared" si="15"/>
        <v xml:space="preserve"> </v>
      </c>
      <c r="AH10" s="93" t="str">
        <f t="shared" si="16"/>
        <v xml:space="preserve"> </v>
      </c>
      <c r="AI10" s="94" t="str">
        <f>IF(Table62202732333435[[#This Row],[Non-Member]]="X"," ",IF(AH10=" "," ",IFERROR(VLOOKUP(AG10,Points!$A$2:$B$14,2,FALSE)," ")))</f>
        <v xml:space="preserve"> </v>
      </c>
      <c r="AJ10" s="93">
        <f>IF(Table62202732333435[[#This Row],[Non-Member]]="X"," ",((IF(G10=" ",0,G10))+(IF(K10=" ",0,K10))+(IF(O10=" ",0,O10))+(IF(S10=" ",0,S10))+(IF(W10=" ",0,W10))+(IF(AA10=" ",0,AA10))+(IF(AE10=" ",0,AE10))+(IF(AI10=" ",0,AI10))))</f>
        <v>15</v>
      </c>
      <c r="AK10" s="95">
        <f t="shared" si="17"/>
        <v>15</v>
      </c>
      <c r="AL10" s="96">
        <f t="shared" si="18"/>
        <v>6</v>
      </c>
    </row>
    <row r="11" spans="2:38" x14ac:dyDescent="0.25">
      <c r="B11" s="90" t="s">
        <v>232</v>
      </c>
      <c r="C11" s="91"/>
      <c r="D11" s="92">
        <v>29.077999999999999</v>
      </c>
      <c r="E11" s="93">
        <f t="shared" si="0"/>
        <v>5</v>
      </c>
      <c r="F11" s="93">
        <f t="shared" si="1"/>
        <v>5</v>
      </c>
      <c r="G11" s="94">
        <f>IF(Table62202732333435[[#This Row],[Non-Member]]="X"," ",IF(F11=" "," ",IFERROR(VLOOKUP(E11,Points!$A$2:$B$14,2,FALSE)," ")))</f>
        <v>6</v>
      </c>
      <c r="H11" s="92">
        <v>0</v>
      </c>
      <c r="I11" s="93" t="str">
        <f t="shared" si="2"/>
        <v xml:space="preserve"> </v>
      </c>
      <c r="J11" s="93" t="str">
        <f t="shared" si="3"/>
        <v xml:space="preserve"> </v>
      </c>
      <c r="K11" s="94" t="str">
        <f>IF(Table62202732333435[[#This Row],[Non-Member]]="X"," ",IF(J11=" "," ",IFERROR(VLOOKUP(I11,Points!$A$2:$B$14,2,FALSE)," ")))</f>
        <v xml:space="preserve"> </v>
      </c>
      <c r="L11" s="92">
        <v>0</v>
      </c>
      <c r="M11" s="93" t="str">
        <f t="shared" si="4"/>
        <v xml:space="preserve"> </v>
      </c>
      <c r="N11" s="93" t="str">
        <f t="shared" si="5"/>
        <v xml:space="preserve"> </v>
      </c>
      <c r="O11" s="94" t="str">
        <f>IF(Table62202732333435[[#This Row],[Non-Member]]="X"," ",IF(N11=" "," ",IFERROR(VLOOKUP(M11,Points!$A$2:$B$14,2,FALSE)," ")))</f>
        <v xml:space="preserve"> </v>
      </c>
      <c r="P11" s="92">
        <v>25.324000000000002</v>
      </c>
      <c r="Q11" s="93">
        <f t="shared" si="6"/>
        <v>7</v>
      </c>
      <c r="R11" s="93" t="str">
        <f t="shared" si="7"/>
        <v xml:space="preserve"> </v>
      </c>
      <c r="S11" s="94" t="str">
        <f>IF(Table62202732333435[[#This Row],[Non-Member]]="X"," ",IF(R11=" "," ",IFERROR(VLOOKUP(Q11,Points!$A$2:$B$14,2,FALSE)," ")))</f>
        <v xml:space="preserve"> </v>
      </c>
      <c r="T11" s="92">
        <v>23.588999999999999</v>
      </c>
      <c r="U11" s="93">
        <f t="shared" si="8"/>
        <v>7</v>
      </c>
      <c r="V11" s="93" t="str">
        <f t="shared" si="9"/>
        <v xml:space="preserve"> </v>
      </c>
      <c r="W11" s="94" t="str">
        <f>IF(Table62202732333435[[#This Row],[Non-Member]]="X"," ",IF(V11=" "," ",IFERROR(VLOOKUP(U11,Points!$A$2:$B$14,2,FALSE)," ")))</f>
        <v xml:space="preserve"> </v>
      </c>
      <c r="X11" s="92">
        <v>25.869</v>
      </c>
      <c r="Y11" s="93">
        <f t="shared" si="10"/>
        <v>7</v>
      </c>
      <c r="Z11" s="93" t="str">
        <f t="shared" si="11"/>
        <v xml:space="preserve"> </v>
      </c>
      <c r="AA11" s="94" t="str">
        <f>IF(Table62202732333435[[#This Row],[Non-Member]]="X"," ",IF(Z11=" "," ",IFERROR(VLOOKUP(Y11,Points!$A$2:$B$14,2,FALSE)," ")))</f>
        <v xml:space="preserve"> </v>
      </c>
      <c r="AB11" s="92">
        <v>26.994</v>
      </c>
      <c r="AC11" s="93">
        <f t="shared" si="12"/>
        <v>6</v>
      </c>
      <c r="AD11" s="93">
        <f t="shared" si="13"/>
        <v>6</v>
      </c>
      <c r="AE11" s="94">
        <f>IF(Table62202732333435[[#This Row],[Non-Member]]="X"," ",IF(AD11=" "," ",IFERROR(VLOOKUP(AC11,Points!$A$2:$B$14,2,FALSE)," ")))</f>
        <v>3</v>
      </c>
      <c r="AF11" s="92">
        <f t="shared" si="14"/>
        <v>52.863</v>
      </c>
      <c r="AG11" s="93">
        <f t="shared" si="15"/>
        <v>6</v>
      </c>
      <c r="AH11" s="93">
        <f t="shared" si="16"/>
        <v>6</v>
      </c>
      <c r="AI11" s="94">
        <f>IF(Table62202732333435[[#This Row],[Non-Member]]="X"," ",IF(AH11=" "," ",IFERROR(VLOOKUP(AG11,Points!$A$2:$B$14,2,FALSE)," ")))</f>
        <v>3</v>
      </c>
      <c r="AJ11" s="93">
        <f>IF(Table62202732333435[[#This Row],[Non-Member]]="X"," ",((IF(G11=" ",0,G11))+(IF(K11=" ",0,K11))+(IF(O11=" ",0,O11))+(IF(S11=" ",0,S11))+(IF(W11=" ",0,W11))+(IF(AA11=" ",0,AA11))+(IF(AE11=" ",0,AE11))+(IF(AI11=" ",0,AI11))))</f>
        <v>12</v>
      </c>
      <c r="AK11" s="95">
        <f t="shared" si="17"/>
        <v>12</v>
      </c>
      <c r="AL11" s="96">
        <f t="shared" si="18"/>
        <v>7</v>
      </c>
    </row>
    <row r="12" spans="2:38" x14ac:dyDescent="0.25">
      <c r="B12" s="90" t="s">
        <v>283</v>
      </c>
      <c r="C12" s="91" t="s">
        <v>95</v>
      </c>
      <c r="D12" s="92"/>
      <c r="E12" s="93" t="str">
        <f t="shared" si="0"/>
        <v xml:space="preserve"> </v>
      </c>
      <c r="F12" s="93" t="str">
        <f t="shared" si="1"/>
        <v xml:space="preserve"> </v>
      </c>
      <c r="G12" s="94" t="str">
        <f>IF(Table62202732333435[[#This Row],[Non-Member]]="X"," ",IF(F12=" "," ",IFERROR(VLOOKUP(E12,Points!$A$2:$B$14,2,FALSE)," ")))</f>
        <v xml:space="preserve"> </v>
      </c>
      <c r="H12" s="92"/>
      <c r="I12" s="93" t="str">
        <f t="shared" si="2"/>
        <v xml:space="preserve"> </v>
      </c>
      <c r="J12" s="93" t="str">
        <f t="shared" si="3"/>
        <v xml:space="preserve"> </v>
      </c>
      <c r="K12" s="94" t="str">
        <f>IF(Table62202732333435[[#This Row],[Non-Member]]="X"," ",IF(J12=" "," ",IFERROR(VLOOKUP(I12,Points!$A$2:$B$14,2,FALSE)," ")))</f>
        <v xml:space="preserve"> </v>
      </c>
      <c r="L12" s="92">
        <v>0</v>
      </c>
      <c r="M12" s="93" t="str">
        <f t="shared" si="4"/>
        <v xml:space="preserve"> </v>
      </c>
      <c r="N12" s="93" t="str">
        <f t="shared" si="5"/>
        <v xml:space="preserve"> </v>
      </c>
      <c r="O12" s="94" t="str">
        <f>IF(Table62202732333435[[#This Row],[Non-Member]]="X"," ",IF(N12=" "," ",IFERROR(VLOOKUP(M12,Points!$A$2:$B$14,2,FALSE)," ")))</f>
        <v xml:space="preserve"> </v>
      </c>
      <c r="P12" s="92">
        <v>24.785</v>
      </c>
      <c r="Q12" s="93">
        <f t="shared" si="6"/>
        <v>5</v>
      </c>
      <c r="R12" s="93">
        <f t="shared" si="7"/>
        <v>5</v>
      </c>
      <c r="S12" s="94" t="str">
        <f>IF(Table62202732333435[[#This Row],[Non-Member]]="X"," ",IF(R12=" "," ",IFERROR(VLOOKUP(Q12,Points!$A$2:$B$14,2,FALSE)," ")))</f>
        <v xml:space="preserve"> </v>
      </c>
      <c r="T12" s="92"/>
      <c r="U12" s="93" t="str">
        <f t="shared" si="8"/>
        <v xml:space="preserve"> </v>
      </c>
      <c r="V12" s="93" t="str">
        <f t="shared" si="9"/>
        <v xml:space="preserve"> </v>
      </c>
      <c r="W12" s="94" t="str">
        <f>IF(Table62202732333435[[#This Row],[Non-Member]]="X"," ",IF(V12=" "," ",IFERROR(VLOOKUP(U12,Points!$A$2:$B$14,2,FALSE)," ")))</f>
        <v xml:space="preserve"> </v>
      </c>
      <c r="X12" s="92"/>
      <c r="Y12" s="93" t="str">
        <f t="shared" si="10"/>
        <v xml:space="preserve"> </v>
      </c>
      <c r="Z12" s="93" t="str">
        <f t="shared" si="11"/>
        <v xml:space="preserve"> </v>
      </c>
      <c r="AA12" s="94" t="str">
        <f>IF(Table62202732333435[[#This Row],[Non-Member]]="X"," ",IF(Z12=" "," ",IFERROR(VLOOKUP(Y12,Points!$A$2:$B$14,2,FALSE)," ")))</f>
        <v xml:space="preserve"> </v>
      </c>
      <c r="AB12" s="92"/>
      <c r="AC12" s="93" t="str">
        <f t="shared" si="12"/>
        <v xml:space="preserve"> </v>
      </c>
      <c r="AD12" s="93" t="str">
        <f t="shared" si="13"/>
        <v xml:space="preserve"> </v>
      </c>
      <c r="AE12" s="94" t="str">
        <f>IF(Table62202732333435[[#This Row],[Non-Member]]="X"," ",IF(AD12=" "," ",IFERROR(VLOOKUP(AC12,Points!$A$2:$B$14,2,FALSE)," ")))</f>
        <v xml:space="preserve"> </v>
      </c>
      <c r="AF12" s="92" t="str">
        <f t="shared" si="14"/>
        <v xml:space="preserve"> </v>
      </c>
      <c r="AG12" s="93" t="str">
        <f t="shared" si="15"/>
        <v xml:space="preserve"> </v>
      </c>
      <c r="AH12" s="93" t="str">
        <f t="shared" si="16"/>
        <v xml:space="preserve"> </v>
      </c>
      <c r="AI12" s="94" t="str">
        <f>IF(Table62202732333435[[#This Row],[Non-Member]]="X"," ",IF(AH12=" "," ",IFERROR(VLOOKUP(AG12,Points!$A$2:$B$14,2,FALSE)," ")))</f>
        <v xml:space="preserve"> </v>
      </c>
      <c r="AJ12" s="93" t="str">
        <f>IF(Table62202732333435[[#This Row],[Non-Member]]="X"," ",((IF(G12=" ",0,G12))+(IF(K12=" ",0,K12))+(IF(O12=" ",0,O12))+(IF(S12=" ",0,S12))+(IF(W12=" ",0,W12))+(IF(AA12=" ",0,AA12))+(IF(AE12=" ",0,AE12))+(IF(AI12=" ",0,AI12))))</f>
        <v xml:space="preserve"> </v>
      </c>
      <c r="AK12" s="95" t="str">
        <f t="shared" si="17"/>
        <v xml:space="preserve"> </v>
      </c>
      <c r="AL12" s="96" t="str">
        <f t="shared" si="18"/>
        <v xml:space="preserve"> </v>
      </c>
    </row>
    <row r="13" spans="2:38" x14ac:dyDescent="0.25">
      <c r="B13" s="90" t="s">
        <v>230</v>
      </c>
      <c r="C13" s="91"/>
      <c r="D13" s="92"/>
      <c r="E13" s="93" t="str">
        <f t="shared" si="0"/>
        <v xml:space="preserve"> </v>
      </c>
      <c r="F13" s="93" t="str">
        <f t="shared" si="1"/>
        <v xml:space="preserve"> </v>
      </c>
      <c r="G13" s="94" t="str">
        <f>IF(Table62202732333435[[#This Row],[Non-Member]]="X"," ",IF(F13=" "," ",IFERROR(VLOOKUP(E13,Points!$A$2:$B$14,2,FALSE)," ")))</f>
        <v xml:space="preserve"> </v>
      </c>
      <c r="H13" s="92"/>
      <c r="I13" s="93" t="str">
        <f t="shared" si="2"/>
        <v xml:space="preserve"> </v>
      </c>
      <c r="J13" s="93" t="str">
        <f t="shared" si="3"/>
        <v xml:space="preserve"> </v>
      </c>
      <c r="K13" s="94" t="str">
        <f>IF(Table62202732333435[[#This Row],[Non-Member]]="X"," ",IF(J13=" "," ",IFERROR(VLOOKUP(I13,Points!$A$2:$B$14,2,FALSE)," ")))</f>
        <v xml:space="preserve"> </v>
      </c>
      <c r="L13" s="92"/>
      <c r="M13" s="93" t="str">
        <f t="shared" si="4"/>
        <v xml:space="preserve"> </v>
      </c>
      <c r="N13" s="93" t="str">
        <f t="shared" si="5"/>
        <v xml:space="preserve"> </v>
      </c>
      <c r="O13" s="94" t="str">
        <f>IF(Table62202732333435[[#This Row],[Non-Member]]="X"," ",IF(N13=" "," ",IFERROR(VLOOKUP(M13,Points!$A$2:$B$14,2,FALSE)," ")))</f>
        <v xml:space="preserve"> </v>
      </c>
      <c r="P13" s="92"/>
      <c r="Q13" s="93" t="str">
        <f t="shared" si="6"/>
        <v xml:space="preserve"> </v>
      </c>
      <c r="R13" s="93" t="str">
        <f t="shared" si="7"/>
        <v xml:space="preserve"> </v>
      </c>
      <c r="S13" s="94" t="str">
        <f>IF(Table62202732333435[[#This Row],[Non-Member]]="X"," ",IF(R13=" "," ",IFERROR(VLOOKUP(Q13,Points!$A$2:$B$14,2,FALSE)," ")))</f>
        <v xml:space="preserve"> </v>
      </c>
      <c r="T13" s="138">
        <v>0</v>
      </c>
      <c r="U13" s="93" t="str">
        <f t="shared" si="8"/>
        <v xml:space="preserve"> </v>
      </c>
      <c r="V13" s="93" t="str">
        <f t="shared" si="9"/>
        <v xml:space="preserve"> </v>
      </c>
      <c r="W13" s="94" t="str">
        <f>IF(Table62202732333435[[#This Row],[Non-Member]]="X"," ",IF(V13=" "," ",IFERROR(VLOOKUP(U13,Points!$A$2:$B$14,2,FALSE)," ")))</f>
        <v xml:space="preserve"> </v>
      </c>
      <c r="X13" s="92"/>
      <c r="Y13" s="93" t="str">
        <f t="shared" si="10"/>
        <v xml:space="preserve"> </v>
      </c>
      <c r="Z13" s="93" t="str">
        <f t="shared" si="11"/>
        <v xml:space="preserve"> </v>
      </c>
      <c r="AA13" s="94" t="str">
        <f>IF(Table62202732333435[[#This Row],[Non-Member]]="X"," ",IF(Z13=" "," ",IFERROR(VLOOKUP(Y13,Points!$A$2:$B$14,2,FALSE)," ")))</f>
        <v xml:space="preserve"> </v>
      </c>
      <c r="AB13" s="92"/>
      <c r="AC13" s="93" t="str">
        <f t="shared" si="12"/>
        <v xml:space="preserve"> </v>
      </c>
      <c r="AD13" s="93" t="str">
        <f t="shared" si="13"/>
        <v xml:space="preserve"> </v>
      </c>
      <c r="AE13" s="94" t="str">
        <f>IF(Table62202732333435[[#This Row],[Non-Member]]="X"," ",IF(AD13=" "," ",IFERROR(VLOOKUP(AC13,Points!$A$2:$B$14,2,FALSE)," ")))</f>
        <v xml:space="preserve"> </v>
      </c>
      <c r="AF13" s="92" t="str">
        <f t="shared" si="14"/>
        <v xml:space="preserve"> </v>
      </c>
      <c r="AG13" s="93" t="str">
        <f t="shared" si="15"/>
        <v xml:space="preserve"> </v>
      </c>
      <c r="AH13" s="93" t="str">
        <f t="shared" si="16"/>
        <v xml:space="preserve"> </v>
      </c>
      <c r="AI13" s="94" t="str">
        <f>IF(Table62202732333435[[#This Row],[Non-Member]]="X"," ",IF(AH13=" "," ",IFERROR(VLOOKUP(AG13,Points!$A$2:$B$14,2,FALSE)," ")))</f>
        <v xml:space="preserve"> </v>
      </c>
      <c r="AJ13" s="93">
        <f>IF(Table62202732333435[[#This Row],[Non-Member]]="X"," ",((IF(G13=" ",0,G13))+(IF(K13=" ",0,K13))+(IF(O13=" ",0,O13))+(IF(S13=" ",0,S13))+(IF(W13=" ",0,W13))+(IF(AA13=" ",0,AA13))+(IF(AE13=" ",0,AE13))+(IF(AI13=" ",0,AI13))))</f>
        <v>0</v>
      </c>
      <c r="AK13" s="95" t="str">
        <f t="shared" si="17"/>
        <v xml:space="preserve"> </v>
      </c>
      <c r="AL13" s="96" t="str">
        <f t="shared" si="18"/>
        <v xml:space="preserve"> </v>
      </c>
    </row>
    <row r="14" spans="2:38" x14ac:dyDescent="0.25">
      <c r="B14" s="90"/>
      <c r="C14" s="91"/>
      <c r="D14" s="92"/>
      <c r="E14" s="93" t="str">
        <f t="shared" si="0"/>
        <v xml:space="preserve"> </v>
      </c>
      <c r="F14" s="93" t="str">
        <f t="shared" si="1"/>
        <v xml:space="preserve"> </v>
      </c>
      <c r="G14" s="94" t="str">
        <f>IF(Table62202732333435[[#This Row],[Non-Member]]="X"," ",IF(F14=" "," ",IFERROR(VLOOKUP(E14,Points!$A$2:$B$14,2,FALSE)," ")))</f>
        <v xml:space="preserve"> </v>
      </c>
      <c r="H14" s="92"/>
      <c r="I14" s="93" t="str">
        <f t="shared" si="2"/>
        <v xml:space="preserve"> </v>
      </c>
      <c r="J14" s="93" t="str">
        <f t="shared" si="3"/>
        <v xml:space="preserve"> </v>
      </c>
      <c r="K14" s="94" t="str">
        <f>IF(Table62202732333435[[#This Row],[Non-Member]]="X"," ",IF(J14=" "," ",IFERROR(VLOOKUP(I14,Points!$A$2:$B$14,2,FALSE)," ")))</f>
        <v xml:space="preserve"> </v>
      </c>
      <c r="L14" s="92"/>
      <c r="M14" s="93" t="str">
        <f t="shared" si="4"/>
        <v xml:space="preserve"> </v>
      </c>
      <c r="N14" s="93" t="str">
        <f t="shared" si="5"/>
        <v xml:space="preserve"> </v>
      </c>
      <c r="O14" s="94" t="str">
        <f>IF(Table62202732333435[[#This Row],[Non-Member]]="X"," ",IF(N14=" "," ",IFERROR(VLOOKUP(M14,Points!$A$2:$B$14,2,FALSE)," ")))</f>
        <v xml:space="preserve"> </v>
      </c>
      <c r="P14" s="92"/>
      <c r="Q14" s="93" t="str">
        <f t="shared" si="6"/>
        <v xml:space="preserve"> </v>
      </c>
      <c r="R14" s="93" t="str">
        <f t="shared" si="7"/>
        <v xml:space="preserve"> </v>
      </c>
      <c r="S14" s="94" t="str">
        <f>IF(Table62202732333435[[#This Row],[Non-Member]]="X"," ",IF(R14=" "," ",IFERROR(VLOOKUP(Q14,Points!$A$2:$B$14,2,FALSE)," ")))</f>
        <v xml:space="preserve"> </v>
      </c>
      <c r="T14" s="92"/>
      <c r="U14" s="93" t="str">
        <f t="shared" si="8"/>
        <v xml:space="preserve"> </v>
      </c>
      <c r="V14" s="93" t="str">
        <f t="shared" si="9"/>
        <v xml:space="preserve"> </v>
      </c>
      <c r="W14" s="94" t="str">
        <f>IF(Table62202732333435[[#This Row],[Non-Member]]="X"," ",IF(V14=" "," ",IFERROR(VLOOKUP(U14,Points!$A$2:$B$14,2,FALSE)," ")))</f>
        <v xml:space="preserve"> </v>
      </c>
      <c r="X14" s="92"/>
      <c r="Y14" s="93" t="str">
        <f t="shared" si="10"/>
        <v xml:space="preserve"> </v>
      </c>
      <c r="Z14" s="93" t="str">
        <f t="shared" si="11"/>
        <v xml:space="preserve"> </v>
      </c>
      <c r="AA14" s="94" t="str">
        <f>IF(Table62202732333435[[#This Row],[Non-Member]]="X"," ",IF(Z14=" "," ",IFERROR(VLOOKUP(Y14,Points!$A$2:$B$14,2,FALSE)," ")))</f>
        <v xml:space="preserve"> </v>
      </c>
      <c r="AB14" s="92"/>
      <c r="AC14" s="93" t="str">
        <f t="shared" si="12"/>
        <v xml:space="preserve"> </v>
      </c>
      <c r="AD14" s="93" t="str">
        <f t="shared" si="13"/>
        <v xml:space="preserve"> </v>
      </c>
      <c r="AE14" s="94" t="str">
        <f>IF(Table62202732333435[[#This Row],[Non-Member]]="X"," ",IF(AD14=" "," ",IFERROR(VLOOKUP(AC14,Points!$A$2:$B$14,2,FALSE)," ")))</f>
        <v xml:space="preserve"> </v>
      </c>
      <c r="AF14" s="92" t="str">
        <f t="shared" si="14"/>
        <v xml:space="preserve"> </v>
      </c>
      <c r="AG14" s="93" t="str">
        <f t="shared" si="15"/>
        <v xml:space="preserve"> </v>
      </c>
      <c r="AH14" s="93" t="str">
        <f t="shared" si="16"/>
        <v xml:space="preserve"> </v>
      </c>
      <c r="AI14" s="94" t="str">
        <f>IF(Table62202732333435[[#This Row],[Non-Member]]="X"," ",IF(AH14=" "," ",IFERROR(VLOOKUP(AG14,Points!$A$2:$B$14,2,FALSE)," ")))</f>
        <v xml:space="preserve"> </v>
      </c>
      <c r="AJ14" s="93">
        <f>IF(Table62202732333435[[#This Row],[Non-Member]]="X"," ",((IF(G14=" ",0,G14))+(IF(K14=" ",0,K14))+(IF(O14=" ",0,O14))+(IF(S14=" ",0,S14))+(IF(W14=" ",0,W14))+(IF(AA14=" ",0,AA14))+(IF(AE14=" ",0,AE14))+(IF(AI14=" ",0,AI14))))</f>
        <v>0</v>
      </c>
      <c r="AK14" s="95" t="str">
        <f t="shared" si="17"/>
        <v xml:space="preserve"> </v>
      </c>
      <c r="AL14" s="96" t="str">
        <f t="shared" si="18"/>
        <v xml:space="preserve"> </v>
      </c>
    </row>
    <row r="15" spans="2:38" x14ac:dyDescent="0.25">
      <c r="B15" s="90"/>
      <c r="C15" s="91"/>
      <c r="D15" s="92"/>
      <c r="E15" s="93" t="str">
        <f t="shared" si="0"/>
        <v xml:space="preserve"> </v>
      </c>
      <c r="F15" s="93" t="str">
        <f t="shared" si="1"/>
        <v xml:space="preserve"> </v>
      </c>
      <c r="G15" s="94" t="str">
        <f>IF(Table62202732333435[[#This Row],[Non-Member]]="X"," ",IF(F15=" "," ",IFERROR(VLOOKUP(E15,Points!$A$2:$B$14,2,FALSE)," ")))</f>
        <v xml:space="preserve"> </v>
      </c>
      <c r="H15" s="92"/>
      <c r="I15" s="93" t="str">
        <f t="shared" si="2"/>
        <v xml:space="preserve"> </v>
      </c>
      <c r="J15" s="93" t="str">
        <f t="shared" si="3"/>
        <v xml:space="preserve"> </v>
      </c>
      <c r="K15" s="94" t="str">
        <f>IF(Table62202732333435[[#This Row],[Non-Member]]="X"," ",IF(J15=" "," ",IFERROR(VLOOKUP(I15,Points!$A$2:$B$14,2,FALSE)," ")))</f>
        <v xml:space="preserve"> </v>
      </c>
      <c r="L15" s="92"/>
      <c r="M15" s="93" t="str">
        <f t="shared" si="4"/>
        <v xml:space="preserve"> </v>
      </c>
      <c r="N15" s="93" t="str">
        <f t="shared" si="5"/>
        <v xml:space="preserve"> </v>
      </c>
      <c r="O15" s="94" t="str">
        <f>IF(Table62202732333435[[#This Row],[Non-Member]]="X"," ",IF(N15=" "," ",IFERROR(VLOOKUP(M15,Points!$A$2:$B$14,2,FALSE)," ")))</f>
        <v xml:space="preserve"> </v>
      </c>
      <c r="P15" s="92"/>
      <c r="Q15" s="93" t="str">
        <f t="shared" si="6"/>
        <v xml:space="preserve"> </v>
      </c>
      <c r="R15" s="93" t="str">
        <f t="shared" si="7"/>
        <v xml:space="preserve"> </v>
      </c>
      <c r="S15" s="94" t="str">
        <f>IF(Table62202732333435[[#This Row],[Non-Member]]="X"," ",IF(R15=" "," ",IFERROR(VLOOKUP(Q15,Points!$A$2:$B$14,2,FALSE)," ")))</f>
        <v xml:space="preserve"> </v>
      </c>
      <c r="T15" s="92"/>
      <c r="U15" s="93" t="str">
        <f t="shared" si="8"/>
        <v xml:space="preserve"> </v>
      </c>
      <c r="V15" s="93" t="str">
        <f t="shared" si="9"/>
        <v xml:space="preserve"> </v>
      </c>
      <c r="W15" s="94" t="str">
        <f>IF(Table62202732333435[[#This Row],[Non-Member]]="X"," ",IF(V15=" "," ",IFERROR(VLOOKUP(U15,Points!$A$2:$B$14,2,FALSE)," ")))</f>
        <v xml:space="preserve"> </v>
      </c>
      <c r="X15" s="92"/>
      <c r="Y15" s="93" t="str">
        <f t="shared" si="10"/>
        <v xml:space="preserve"> </v>
      </c>
      <c r="Z15" s="93" t="str">
        <f t="shared" si="11"/>
        <v xml:space="preserve"> </v>
      </c>
      <c r="AA15" s="94" t="str">
        <f>IF(Table62202732333435[[#This Row],[Non-Member]]="X"," ",IF(Z15=" "," ",IFERROR(VLOOKUP(Y15,Points!$A$2:$B$14,2,FALSE)," ")))</f>
        <v xml:space="preserve"> </v>
      </c>
      <c r="AB15" s="92"/>
      <c r="AC15" s="93" t="str">
        <f t="shared" si="12"/>
        <v xml:space="preserve"> </v>
      </c>
      <c r="AD15" s="93" t="str">
        <f t="shared" si="13"/>
        <v xml:space="preserve"> </v>
      </c>
      <c r="AE15" s="94" t="str">
        <f>IF(Table62202732333435[[#This Row],[Non-Member]]="X"," ",IF(AD15=" "," ",IFERROR(VLOOKUP(AC15,Points!$A$2:$B$14,2,FALSE)," ")))</f>
        <v xml:space="preserve"> </v>
      </c>
      <c r="AF15" s="92" t="str">
        <f t="shared" si="14"/>
        <v xml:space="preserve"> </v>
      </c>
      <c r="AG15" s="93" t="str">
        <f t="shared" si="15"/>
        <v xml:space="preserve"> </v>
      </c>
      <c r="AH15" s="93" t="str">
        <f t="shared" si="16"/>
        <v xml:space="preserve"> </v>
      </c>
      <c r="AI15" s="94" t="str">
        <f>IF(Table62202732333435[[#This Row],[Non-Member]]="X"," ",IF(AH15=" "," ",IFERROR(VLOOKUP(AG15,Points!$A$2:$B$14,2,FALSE)," ")))</f>
        <v xml:space="preserve"> </v>
      </c>
      <c r="AJ15" s="93">
        <f>IF(Table62202732333435[[#This Row],[Non-Member]]="X"," ",((IF(G15=" ",0,G15))+(IF(K15=" ",0,K15))+(IF(O15=" ",0,O15))+(IF(S15=" ",0,S15))+(IF(W15=" ",0,W15))+(IF(AA15=" ",0,AA15))+(IF(AE15=" ",0,AE15))+(IF(AI15=" ",0,AI15))))</f>
        <v>0</v>
      </c>
      <c r="AK15" s="95" t="str">
        <f t="shared" si="17"/>
        <v xml:space="preserve"> </v>
      </c>
      <c r="AL15" s="96" t="str">
        <f t="shared" si="18"/>
        <v xml:space="preserve"> </v>
      </c>
    </row>
    <row r="16" spans="2:38" x14ac:dyDescent="0.25">
      <c r="B16" s="90"/>
      <c r="C16" s="91"/>
      <c r="D16" s="92"/>
      <c r="E16" s="97" t="str">
        <f t="shared" si="0"/>
        <v xml:space="preserve"> </v>
      </c>
      <c r="F16" s="97" t="str">
        <f t="shared" si="1"/>
        <v xml:space="preserve"> </v>
      </c>
      <c r="G16" s="94" t="str">
        <f>IF(Table62202732333435[[#This Row],[Non-Member]]="X"," ",IF(F16=" "," ",IFERROR(VLOOKUP(E16,Points!$A$2:$B$14,2,FALSE)," ")))</f>
        <v xml:space="preserve"> </v>
      </c>
      <c r="H16" s="92"/>
      <c r="I16" s="97" t="str">
        <f t="shared" si="2"/>
        <v xml:space="preserve"> </v>
      </c>
      <c r="J16" s="97" t="str">
        <f t="shared" si="3"/>
        <v xml:space="preserve"> </v>
      </c>
      <c r="K16" s="94" t="str">
        <f>IF(Table62202732333435[[#This Row],[Non-Member]]="X"," ",IF(J16=" "," ",IFERROR(VLOOKUP(I16,Points!$A$2:$B$14,2,FALSE)," ")))</f>
        <v xml:space="preserve"> </v>
      </c>
      <c r="L16" s="92"/>
      <c r="M16" s="97" t="str">
        <f t="shared" si="4"/>
        <v xml:space="preserve"> </v>
      </c>
      <c r="N16" s="97" t="str">
        <f t="shared" si="5"/>
        <v xml:space="preserve"> </v>
      </c>
      <c r="O16" s="94" t="str">
        <f>IF(Table62202732333435[[#This Row],[Non-Member]]="X"," ",IF(N16=" "," ",IFERROR(VLOOKUP(M16,Points!$A$2:$B$14,2,FALSE)," ")))</f>
        <v xml:space="preserve"> </v>
      </c>
      <c r="P16" s="92"/>
      <c r="Q16" s="97" t="str">
        <f t="shared" si="6"/>
        <v xml:space="preserve"> </v>
      </c>
      <c r="R16" s="97" t="str">
        <f t="shared" si="7"/>
        <v xml:space="preserve"> </v>
      </c>
      <c r="S16" s="94" t="str">
        <f>IF(Table62202732333435[[#This Row],[Non-Member]]="X"," ",IF(R16=" "," ",IFERROR(VLOOKUP(Q16,Points!$A$2:$B$14,2,FALSE)," ")))</f>
        <v xml:space="preserve"> </v>
      </c>
      <c r="T16" s="92"/>
      <c r="U16" s="97" t="str">
        <f t="shared" si="8"/>
        <v xml:space="preserve"> </v>
      </c>
      <c r="V16" s="97" t="str">
        <f t="shared" si="9"/>
        <v xml:space="preserve"> </v>
      </c>
      <c r="W16" s="94" t="str">
        <f>IF(Table62202732333435[[#This Row],[Non-Member]]="X"," ",IF(V16=" "," ",IFERROR(VLOOKUP(U16,Points!$A$2:$B$14,2,FALSE)," ")))</f>
        <v xml:space="preserve"> </v>
      </c>
      <c r="X16" s="92"/>
      <c r="Y16" s="97" t="str">
        <f t="shared" si="10"/>
        <v xml:space="preserve"> </v>
      </c>
      <c r="Z16" s="97" t="str">
        <f t="shared" si="11"/>
        <v xml:space="preserve"> </v>
      </c>
      <c r="AA16" s="94" t="str">
        <f>IF(Table62202732333435[[#This Row],[Non-Member]]="X"," ",IF(Z16=" "," ",IFERROR(VLOOKUP(Y16,Points!$A$2:$B$14,2,FALSE)," ")))</f>
        <v xml:space="preserve"> </v>
      </c>
      <c r="AB16" s="92"/>
      <c r="AC16" s="97" t="str">
        <f t="shared" si="12"/>
        <v xml:space="preserve"> </v>
      </c>
      <c r="AD16" s="97" t="str">
        <f t="shared" si="13"/>
        <v xml:space="preserve"> </v>
      </c>
      <c r="AE16" s="94" t="str">
        <f>IF(Table62202732333435[[#This Row],[Non-Member]]="X"," ",IF(AD16=" "," ",IFERROR(VLOOKUP(AC16,Points!$A$2:$B$14,2,FALSE)," ")))</f>
        <v xml:space="preserve"> </v>
      </c>
      <c r="AF16" s="92" t="str">
        <f t="shared" si="14"/>
        <v xml:space="preserve"> </v>
      </c>
      <c r="AG16" s="97" t="str">
        <f t="shared" si="15"/>
        <v xml:space="preserve"> </v>
      </c>
      <c r="AH16" s="97" t="str">
        <f t="shared" si="16"/>
        <v xml:space="preserve"> </v>
      </c>
      <c r="AI16" s="94" t="str">
        <f>IF(Table62202732333435[[#This Row],[Non-Member]]="X"," ",IF(AH16=" "," ",IFERROR(VLOOKUP(AG16,Points!$A$2:$B$14,2,FALSE)," ")))</f>
        <v xml:space="preserve"> </v>
      </c>
      <c r="AJ16" s="97">
        <f>IF(Table62202732333435[[#This Row],[Non-Member]]="X"," ",((IF(G16=" ",0,G16))+(IF(K16=" ",0,K16))+(IF(O16=" ",0,O16))+(IF(S16=" ",0,S16))+(IF(W16=" ",0,W16))+(IF(AA16=" ",0,AA16))+(IF(AE16=" ",0,AE16))+(IF(AI16=" ",0,AI16))))</f>
        <v>0</v>
      </c>
      <c r="AK16" s="95" t="str">
        <f t="shared" si="17"/>
        <v xml:space="preserve"> </v>
      </c>
      <c r="AL16" s="98" t="str">
        <f t="shared" si="18"/>
        <v xml:space="preserve"> </v>
      </c>
    </row>
    <row r="17" spans="2:38" x14ac:dyDescent="0.25">
      <c r="B17" s="90"/>
      <c r="C17" s="91"/>
      <c r="D17" s="92"/>
      <c r="E17" s="97" t="str">
        <f t="shared" si="0"/>
        <v xml:space="preserve"> </v>
      </c>
      <c r="F17" s="97" t="str">
        <f t="shared" si="1"/>
        <v xml:space="preserve"> </v>
      </c>
      <c r="G17" s="94" t="str">
        <f>IF(Table62202732333435[[#This Row],[Non-Member]]="X"," ",IF(F17=" "," ",IFERROR(VLOOKUP(E17,Points!$A$2:$B$14,2,FALSE)," ")))</f>
        <v xml:space="preserve"> </v>
      </c>
      <c r="H17" s="92"/>
      <c r="I17" s="97" t="str">
        <f t="shared" si="2"/>
        <v xml:space="preserve"> </v>
      </c>
      <c r="J17" s="97" t="str">
        <f t="shared" si="3"/>
        <v xml:space="preserve"> </v>
      </c>
      <c r="K17" s="94" t="str">
        <f>IF(Table62202732333435[[#This Row],[Non-Member]]="X"," ",IF(J17=" "," ",IFERROR(VLOOKUP(I17,Points!$A$2:$B$14,2,FALSE)," ")))</f>
        <v xml:space="preserve"> </v>
      </c>
      <c r="L17" s="92"/>
      <c r="M17" s="97" t="str">
        <f t="shared" si="4"/>
        <v xml:space="preserve"> </v>
      </c>
      <c r="N17" s="97" t="str">
        <f t="shared" si="5"/>
        <v xml:space="preserve"> </v>
      </c>
      <c r="O17" s="94" t="str">
        <f>IF(Table62202732333435[[#This Row],[Non-Member]]="X"," ",IF(N17=" "," ",IFERROR(VLOOKUP(M17,Points!$A$2:$B$14,2,FALSE)," ")))</f>
        <v xml:space="preserve"> </v>
      </c>
      <c r="P17" s="92"/>
      <c r="Q17" s="97" t="str">
        <f t="shared" si="6"/>
        <v xml:space="preserve"> </v>
      </c>
      <c r="R17" s="97" t="str">
        <f t="shared" si="7"/>
        <v xml:space="preserve"> </v>
      </c>
      <c r="S17" s="94" t="str">
        <f>IF(Table62202732333435[[#This Row],[Non-Member]]="X"," ",IF(R17=" "," ",IFERROR(VLOOKUP(Q17,Points!$A$2:$B$14,2,FALSE)," ")))</f>
        <v xml:space="preserve"> </v>
      </c>
      <c r="T17" s="92"/>
      <c r="U17" s="97" t="str">
        <f t="shared" si="8"/>
        <v xml:space="preserve"> </v>
      </c>
      <c r="V17" s="97" t="str">
        <f t="shared" si="9"/>
        <v xml:space="preserve"> </v>
      </c>
      <c r="W17" s="94" t="str">
        <f>IF(Table62202732333435[[#This Row],[Non-Member]]="X"," ",IF(V17=" "," ",IFERROR(VLOOKUP(U17,Points!$A$2:$B$14,2,FALSE)," ")))</f>
        <v xml:space="preserve"> </v>
      </c>
      <c r="X17" s="92"/>
      <c r="Y17" s="97" t="str">
        <f t="shared" si="10"/>
        <v xml:space="preserve"> </v>
      </c>
      <c r="Z17" s="97" t="str">
        <f t="shared" si="11"/>
        <v xml:space="preserve"> </v>
      </c>
      <c r="AA17" s="94" t="str">
        <f>IF(Table62202732333435[[#This Row],[Non-Member]]="X"," ",IF(Z17=" "," ",IFERROR(VLOOKUP(Y17,Points!$A$2:$B$14,2,FALSE)," ")))</f>
        <v xml:space="preserve"> </v>
      </c>
      <c r="AB17" s="92"/>
      <c r="AC17" s="97" t="str">
        <f t="shared" si="12"/>
        <v xml:space="preserve"> </v>
      </c>
      <c r="AD17" s="97" t="str">
        <f t="shared" si="13"/>
        <v xml:space="preserve"> </v>
      </c>
      <c r="AE17" s="94" t="str">
        <f>IF(Table62202732333435[[#This Row],[Non-Member]]="X"," ",IF(AD17=" "," ",IFERROR(VLOOKUP(AC17,Points!$A$2:$B$14,2,FALSE)," ")))</f>
        <v xml:space="preserve"> </v>
      </c>
      <c r="AF17" s="92" t="str">
        <f t="shared" si="14"/>
        <v xml:space="preserve"> </v>
      </c>
      <c r="AG17" s="97" t="str">
        <f t="shared" si="15"/>
        <v xml:space="preserve"> </v>
      </c>
      <c r="AH17" s="97" t="str">
        <f t="shared" si="16"/>
        <v xml:space="preserve"> </v>
      </c>
      <c r="AI17" s="94" t="str">
        <f>IF(Table62202732333435[[#This Row],[Non-Member]]="X"," ",IF(AH17=" "," ",IFERROR(VLOOKUP(AG17,Points!$A$2:$B$14,2,FALSE)," ")))</f>
        <v xml:space="preserve"> </v>
      </c>
      <c r="AJ17" s="97">
        <f>IF(Table62202732333435[[#This Row],[Non-Member]]="X"," ",((IF(G17=" ",0,G17))+(IF(K17=" ",0,K17))+(IF(O17=" ",0,O17))+(IF(S17=" ",0,S17))+(IF(W17=" ",0,W17))+(IF(AA17=" ",0,AA17))+(IF(AE17=" ",0,AE17))+(IF(AI17=" ",0,AI17))))</f>
        <v>0</v>
      </c>
      <c r="AK17" s="95" t="str">
        <f t="shared" si="17"/>
        <v xml:space="preserve"> </v>
      </c>
      <c r="AL17" s="98" t="str">
        <f t="shared" si="18"/>
        <v xml:space="preserve"> </v>
      </c>
    </row>
    <row r="18" spans="2:38" x14ac:dyDescent="0.25">
      <c r="B18" s="90"/>
      <c r="C18" s="91"/>
      <c r="D18" s="92"/>
      <c r="E18" s="97" t="str">
        <f t="shared" si="0"/>
        <v xml:space="preserve"> </v>
      </c>
      <c r="F18" s="97" t="str">
        <f t="shared" si="1"/>
        <v xml:space="preserve"> </v>
      </c>
      <c r="G18" s="94" t="str">
        <f>IF(Table62202732333435[[#This Row],[Non-Member]]="X"," ",IF(F18=" "," ",IFERROR(VLOOKUP(E18,Points!$A$2:$B$14,2,FALSE)," ")))</f>
        <v xml:space="preserve"> </v>
      </c>
      <c r="H18" s="92"/>
      <c r="I18" s="97" t="str">
        <f t="shared" si="2"/>
        <v xml:space="preserve"> </v>
      </c>
      <c r="J18" s="97" t="str">
        <f t="shared" si="3"/>
        <v xml:space="preserve"> </v>
      </c>
      <c r="K18" s="94" t="str">
        <f>IF(Table62202732333435[[#This Row],[Non-Member]]="X"," ",IF(J18=" "," ",IFERROR(VLOOKUP(I18,Points!$A$2:$B$14,2,FALSE)," ")))</f>
        <v xml:space="preserve"> </v>
      </c>
      <c r="L18" s="92"/>
      <c r="M18" s="97" t="str">
        <f t="shared" si="4"/>
        <v xml:space="preserve"> </v>
      </c>
      <c r="N18" s="97" t="str">
        <f t="shared" si="5"/>
        <v xml:space="preserve"> </v>
      </c>
      <c r="O18" s="94" t="str">
        <f>IF(Table62202732333435[[#This Row],[Non-Member]]="X"," ",IF(N18=" "," ",IFERROR(VLOOKUP(M18,Points!$A$2:$B$14,2,FALSE)," ")))</f>
        <v xml:space="preserve"> </v>
      </c>
      <c r="P18" s="92"/>
      <c r="Q18" s="97" t="str">
        <f t="shared" si="6"/>
        <v xml:space="preserve"> </v>
      </c>
      <c r="R18" s="97" t="str">
        <f t="shared" si="7"/>
        <v xml:space="preserve"> </v>
      </c>
      <c r="S18" s="94" t="str">
        <f>IF(Table62202732333435[[#This Row],[Non-Member]]="X"," ",IF(R18=" "," ",IFERROR(VLOOKUP(Q18,Points!$A$2:$B$14,2,FALSE)," ")))</f>
        <v xml:space="preserve"> </v>
      </c>
      <c r="T18" s="92"/>
      <c r="U18" s="97" t="str">
        <f t="shared" si="8"/>
        <v xml:space="preserve"> </v>
      </c>
      <c r="V18" s="97" t="str">
        <f t="shared" si="9"/>
        <v xml:space="preserve"> </v>
      </c>
      <c r="W18" s="94" t="str">
        <f>IF(Table62202732333435[[#This Row],[Non-Member]]="X"," ",IF(V18=" "," ",IFERROR(VLOOKUP(U18,Points!$A$2:$B$14,2,FALSE)," ")))</f>
        <v xml:space="preserve"> </v>
      </c>
      <c r="X18" s="92"/>
      <c r="Y18" s="97" t="str">
        <f t="shared" si="10"/>
        <v xml:space="preserve"> </v>
      </c>
      <c r="Z18" s="97" t="str">
        <f t="shared" si="11"/>
        <v xml:space="preserve"> </v>
      </c>
      <c r="AA18" s="94" t="str">
        <f>IF(Table62202732333435[[#This Row],[Non-Member]]="X"," ",IF(Z18=" "," ",IFERROR(VLOOKUP(Y18,Points!$A$2:$B$14,2,FALSE)," ")))</f>
        <v xml:space="preserve"> </v>
      </c>
      <c r="AB18" s="92"/>
      <c r="AC18" s="97" t="str">
        <f t="shared" si="12"/>
        <v xml:space="preserve"> </v>
      </c>
      <c r="AD18" s="97" t="str">
        <f t="shared" si="13"/>
        <v xml:space="preserve"> </v>
      </c>
      <c r="AE18" s="94" t="str">
        <f>IF(Table62202732333435[[#This Row],[Non-Member]]="X"," ",IF(AD18=" "," ",IFERROR(VLOOKUP(AC18,Points!$A$2:$B$14,2,FALSE)," ")))</f>
        <v xml:space="preserve"> </v>
      </c>
      <c r="AF18" s="92" t="str">
        <f t="shared" si="14"/>
        <v xml:space="preserve"> </v>
      </c>
      <c r="AG18" s="97" t="str">
        <f t="shared" si="15"/>
        <v xml:space="preserve"> </v>
      </c>
      <c r="AH18" s="97" t="str">
        <f t="shared" si="16"/>
        <v xml:space="preserve"> </v>
      </c>
      <c r="AI18" s="94" t="str">
        <f>IF(Table62202732333435[[#This Row],[Non-Member]]="X"," ",IF(AH18=" "," ",IFERROR(VLOOKUP(AG18,Points!$A$2:$B$14,2,FALSE)," ")))</f>
        <v xml:space="preserve"> </v>
      </c>
      <c r="AJ18" s="97">
        <f>IF(Table62202732333435[[#This Row],[Non-Member]]="X"," ",((IF(G18=" ",0,G18))+(IF(K18=" ",0,K18))+(IF(O18=" ",0,O18))+(IF(S18=" ",0,S18))+(IF(W18=" ",0,W18))+(IF(AA18=" ",0,AA18))+(IF(AE18=" ",0,AE18))+(IF(AI18=" ",0,AI18))))</f>
        <v>0</v>
      </c>
      <c r="AK18" s="95" t="str">
        <f t="shared" si="17"/>
        <v xml:space="preserve"> </v>
      </c>
      <c r="AL18" s="98" t="str">
        <f t="shared" si="18"/>
        <v xml:space="preserve"> </v>
      </c>
    </row>
    <row r="19" spans="2:38" x14ac:dyDescent="0.25">
      <c r="B19" s="90"/>
      <c r="C19" s="91"/>
      <c r="D19" s="92"/>
      <c r="E19" s="93" t="str">
        <f t="shared" si="0"/>
        <v xml:space="preserve"> </v>
      </c>
      <c r="F19" s="93" t="str">
        <f t="shared" si="1"/>
        <v xml:space="preserve"> </v>
      </c>
      <c r="G19" s="94" t="str">
        <f>IF(Table62202732333435[[#This Row],[Non-Member]]="X"," ",IF(F19=" "," ",IFERROR(VLOOKUP(E19,Points!$A$2:$B$14,2,FALSE)," ")))</f>
        <v xml:space="preserve"> </v>
      </c>
      <c r="H19" s="92"/>
      <c r="I19" s="93" t="str">
        <f t="shared" si="2"/>
        <v xml:space="preserve"> </v>
      </c>
      <c r="J19" s="93" t="str">
        <f t="shared" si="3"/>
        <v xml:space="preserve"> </v>
      </c>
      <c r="K19" s="94" t="str">
        <f>IF(Table62202732333435[[#This Row],[Non-Member]]="X"," ",IF(J19=" "," ",IFERROR(VLOOKUP(I19,Points!$A$2:$B$14,2,FALSE)," ")))</f>
        <v xml:space="preserve"> </v>
      </c>
      <c r="L19" s="92"/>
      <c r="M19" s="93" t="str">
        <f t="shared" si="4"/>
        <v xml:space="preserve"> </v>
      </c>
      <c r="N19" s="93" t="str">
        <f t="shared" si="5"/>
        <v xml:space="preserve"> </v>
      </c>
      <c r="O19" s="94" t="str">
        <f>IF(Table62202732333435[[#This Row],[Non-Member]]="X"," ",IF(N19=" "," ",IFERROR(VLOOKUP(M19,Points!$A$2:$B$14,2,FALSE)," ")))</f>
        <v xml:space="preserve"> </v>
      </c>
      <c r="P19" s="92"/>
      <c r="Q19" s="93" t="str">
        <f t="shared" si="6"/>
        <v xml:space="preserve"> </v>
      </c>
      <c r="R19" s="93" t="str">
        <f t="shared" si="7"/>
        <v xml:space="preserve"> </v>
      </c>
      <c r="S19" s="94" t="str">
        <f>IF(Table62202732333435[[#This Row],[Non-Member]]="X"," ",IF(R19=" "," ",IFERROR(VLOOKUP(Q19,Points!$A$2:$B$14,2,FALSE)," ")))</f>
        <v xml:space="preserve"> </v>
      </c>
      <c r="T19" s="92"/>
      <c r="U19" s="93" t="str">
        <f t="shared" si="8"/>
        <v xml:space="preserve"> </v>
      </c>
      <c r="V19" s="93" t="str">
        <f t="shared" si="9"/>
        <v xml:space="preserve"> </v>
      </c>
      <c r="W19" s="94" t="str">
        <f>IF(Table62202732333435[[#This Row],[Non-Member]]="X"," ",IF(V19=" "," ",IFERROR(VLOOKUP(U19,Points!$A$2:$B$14,2,FALSE)," ")))</f>
        <v xml:space="preserve"> </v>
      </c>
      <c r="X19" s="92"/>
      <c r="Y19" s="93" t="str">
        <f t="shared" si="10"/>
        <v xml:space="preserve"> </v>
      </c>
      <c r="Z19" s="93" t="str">
        <f t="shared" si="11"/>
        <v xml:space="preserve"> </v>
      </c>
      <c r="AA19" s="94" t="str">
        <f>IF(Table62202732333435[[#This Row],[Non-Member]]="X"," ",IF(Z19=" "," ",IFERROR(VLOOKUP(Y19,Points!$A$2:$B$14,2,FALSE)," ")))</f>
        <v xml:space="preserve"> </v>
      </c>
      <c r="AB19" s="92"/>
      <c r="AC19" s="93" t="str">
        <f t="shared" si="12"/>
        <v xml:space="preserve"> </v>
      </c>
      <c r="AD19" s="93" t="str">
        <f t="shared" si="13"/>
        <v xml:space="preserve"> </v>
      </c>
      <c r="AE19" s="94" t="str">
        <f>IF(Table62202732333435[[#This Row],[Non-Member]]="X"," ",IF(AD19=" "," ",IFERROR(VLOOKUP(AC19,Points!$A$2:$B$14,2,FALSE)," ")))</f>
        <v xml:space="preserve"> </v>
      </c>
      <c r="AF19" s="92" t="str">
        <f t="shared" si="14"/>
        <v xml:space="preserve"> </v>
      </c>
      <c r="AG19" s="93" t="str">
        <f t="shared" si="15"/>
        <v xml:space="preserve"> </v>
      </c>
      <c r="AH19" s="93" t="str">
        <f t="shared" si="16"/>
        <v xml:space="preserve"> </v>
      </c>
      <c r="AI19" s="94" t="str">
        <f>IF(Table62202732333435[[#This Row],[Non-Member]]="X"," ",IF(AH19=" "," ",IFERROR(VLOOKUP(AG19,Points!$A$2:$B$14,2,FALSE)," ")))</f>
        <v xml:space="preserve"> </v>
      </c>
      <c r="AJ19" s="93">
        <f>IF(Table62202732333435[[#This Row],[Non-Member]]="X"," ",((IF(G19=" ",0,G19))+(IF(K19=" ",0,K19))+(IF(O19=" ",0,O19))+(IF(S19=" ",0,S19))+(IF(W19=" ",0,W19))+(IF(AA19=" ",0,AA19))+(IF(AE19=" ",0,AE19))+(IF(AI19=" ",0,AI19))))</f>
        <v>0</v>
      </c>
      <c r="AK19" s="95" t="str">
        <f t="shared" si="17"/>
        <v xml:space="preserve"> </v>
      </c>
      <c r="AL19" s="96" t="str">
        <f t="shared" si="18"/>
        <v xml:space="preserve"> </v>
      </c>
    </row>
    <row r="20" spans="2:38" x14ac:dyDescent="0.25">
      <c r="B20" s="90"/>
      <c r="C20" s="91"/>
      <c r="D20" s="92"/>
      <c r="E20" s="93" t="str">
        <f t="shared" si="0"/>
        <v xml:space="preserve"> </v>
      </c>
      <c r="F20" s="93" t="str">
        <f t="shared" si="1"/>
        <v xml:space="preserve"> </v>
      </c>
      <c r="G20" s="94" t="str">
        <f>IF(Table62202732333435[[#This Row],[Non-Member]]="X"," ",IF(F20=" "," ",IFERROR(VLOOKUP(E20,Points!$A$2:$B$14,2,FALSE)," ")))</f>
        <v xml:space="preserve"> </v>
      </c>
      <c r="H20" s="92"/>
      <c r="I20" s="93" t="str">
        <f t="shared" si="2"/>
        <v xml:space="preserve"> </v>
      </c>
      <c r="J20" s="93" t="str">
        <f t="shared" si="3"/>
        <v xml:space="preserve"> </v>
      </c>
      <c r="K20" s="94" t="str">
        <f>IF(Table62202732333435[[#This Row],[Non-Member]]="X"," ",IF(J20=" "," ",IFERROR(VLOOKUP(I20,Points!$A$2:$B$14,2,FALSE)," ")))</f>
        <v xml:space="preserve"> </v>
      </c>
      <c r="L20" s="92"/>
      <c r="M20" s="93" t="str">
        <f t="shared" si="4"/>
        <v xml:space="preserve"> </v>
      </c>
      <c r="N20" s="93" t="str">
        <f t="shared" si="5"/>
        <v xml:space="preserve"> </v>
      </c>
      <c r="O20" s="94" t="str">
        <f>IF(Table62202732333435[[#This Row],[Non-Member]]="X"," ",IF(N20=" "," ",IFERROR(VLOOKUP(M20,Points!$A$2:$B$14,2,FALSE)," ")))</f>
        <v xml:space="preserve"> </v>
      </c>
      <c r="P20" s="92"/>
      <c r="Q20" s="93" t="str">
        <f t="shared" si="6"/>
        <v xml:space="preserve"> </v>
      </c>
      <c r="R20" s="93" t="str">
        <f t="shared" si="7"/>
        <v xml:space="preserve"> </v>
      </c>
      <c r="S20" s="94" t="str">
        <f>IF(Table62202732333435[[#This Row],[Non-Member]]="X"," ",IF(R20=" "," ",IFERROR(VLOOKUP(Q20,Points!$A$2:$B$14,2,FALSE)," ")))</f>
        <v xml:space="preserve"> </v>
      </c>
      <c r="T20" s="92"/>
      <c r="U20" s="93" t="str">
        <f t="shared" si="8"/>
        <v xml:space="preserve"> </v>
      </c>
      <c r="V20" s="93" t="str">
        <f t="shared" si="9"/>
        <v xml:space="preserve"> </v>
      </c>
      <c r="W20" s="94" t="str">
        <f>IF(Table62202732333435[[#This Row],[Non-Member]]="X"," ",IF(V20=" "," ",IFERROR(VLOOKUP(U20,Points!$A$2:$B$14,2,FALSE)," ")))</f>
        <v xml:space="preserve"> </v>
      </c>
      <c r="X20" s="92"/>
      <c r="Y20" s="93" t="str">
        <f t="shared" si="10"/>
        <v xml:space="preserve"> </v>
      </c>
      <c r="Z20" s="93" t="str">
        <f t="shared" si="11"/>
        <v xml:space="preserve"> </v>
      </c>
      <c r="AA20" s="94" t="str">
        <f>IF(Table62202732333435[[#This Row],[Non-Member]]="X"," ",IF(Z20=" "," ",IFERROR(VLOOKUP(Y20,Points!$A$2:$B$14,2,FALSE)," ")))</f>
        <v xml:space="preserve"> </v>
      </c>
      <c r="AB20" s="92"/>
      <c r="AC20" s="93" t="str">
        <f t="shared" si="12"/>
        <v xml:space="preserve"> </v>
      </c>
      <c r="AD20" s="93" t="str">
        <f t="shared" si="13"/>
        <v xml:space="preserve"> </v>
      </c>
      <c r="AE20" s="94" t="str">
        <f>IF(Table62202732333435[[#This Row],[Non-Member]]="X"," ",IF(AD20=" "," ",IFERROR(VLOOKUP(AC20,Points!$A$2:$B$14,2,FALSE)," ")))</f>
        <v xml:space="preserve"> </v>
      </c>
      <c r="AF20" s="92" t="str">
        <f t="shared" si="14"/>
        <v xml:space="preserve"> </v>
      </c>
      <c r="AG20" s="93" t="str">
        <f t="shared" si="15"/>
        <v xml:space="preserve"> </v>
      </c>
      <c r="AH20" s="93" t="str">
        <f t="shared" si="16"/>
        <v xml:space="preserve"> </v>
      </c>
      <c r="AI20" s="94" t="str">
        <f>IF(Table62202732333435[[#This Row],[Non-Member]]="X"," ",IF(AH20=" "," ",IFERROR(VLOOKUP(AG20,Points!$A$2:$B$14,2,FALSE)," ")))</f>
        <v xml:space="preserve"> </v>
      </c>
      <c r="AJ20" s="93">
        <f>IF(Table62202732333435[[#This Row],[Non-Member]]="X"," ",((IF(G20=" ",0,G20))+(IF(K20=" ",0,K20))+(IF(O20=" ",0,O20))+(IF(S20=" ",0,S20))+(IF(W20=" ",0,W20))+(IF(AA20=" ",0,AA20))+(IF(AE20=" ",0,AE20))+(IF(AI20=" ",0,AI20))))</f>
        <v>0</v>
      </c>
      <c r="AK20" s="95" t="str">
        <f t="shared" si="17"/>
        <v xml:space="preserve"> </v>
      </c>
      <c r="AL20" s="96" t="str">
        <f t="shared" si="18"/>
        <v xml:space="preserve"> </v>
      </c>
    </row>
    <row r="21" spans="2:38" x14ac:dyDescent="0.25">
      <c r="B21" s="90"/>
      <c r="C21" s="91"/>
      <c r="D21" s="92"/>
      <c r="E21" s="93" t="str">
        <f t="shared" si="0"/>
        <v xml:space="preserve"> </v>
      </c>
      <c r="F21" s="93" t="str">
        <f t="shared" si="1"/>
        <v xml:space="preserve"> </v>
      </c>
      <c r="G21" s="94" t="str">
        <f>IF(Table62202732333435[[#This Row],[Non-Member]]="X"," ",IF(F21=" "," ",IFERROR(VLOOKUP(E21,Points!$A$2:$B$14,2,FALSE)," ")))</f>
        <v xml:space="preserve"> </v>
      </c>
      <c r="H21" s="92"/>
      <c r="I21" s="93" t="str">
        <f t="shared" si="2"/>
        <v xml:space="preserve"> </v>
      </c>
      <c r="J21" s="93" t="str">
        <f t="shared" si="3"/>
        <v xml:space="preserve"> </v>
      </c>
      <c r="K21" s="94" t="str">
        <f>IF(Table62202732333435[[#This Row],[Non-Member]]="X"," ",IF(J21=" "," ",IFERROR(VLOOKUP(I21,Points!$A$2:$B$14,2,FALSE)," ")))</f>
        <v xml:space="preserve"> </v>
      </c>
      <c r="L21" s="92"/>
      <c r="M21" s="93" t="str">
        <f t="shared" si="4"/>
        <v xml:space="preserve"> </v>
      </c>
      <c r="N21" s="93" t="str">
        <f t="shared" si="5"/>
        <v xml:space="preserve"> </v>
      </c>
      <c r="O21" s="94" t="str">
        <f>IF(Table62202732333435[[#This Row],[Non-Member]]="X"," ",IF(N21=" "," ",IFERROR(VLOOKUP(M21,Points!$A$2:$B$14,2,FALSE)," ")))</f>
        <v xml:space="preserve"> </v>
      </c>
      <c r="P21" s="92"/>
      <c r="Q21" s="93" t="str">
        <f t="shared" si="6"/>
        <v xml:space="preserve"> </v>
      </c>
      <c r="R21" s="93" t="str">
        <f t="shared" si="7"/>
        <v xml:space="preserve"> </v>
      </c>
      <c r="S21" s="94" t="str">
        <f>IF(Table62202732333435[[#This Row],[Non-Member]]="X"," ",IF(R21=" "," ",IFERROR(VLOOKUP(Q21,Points!$A$2:$B$14,2,FALSE)," ")))</f>
        <v xml:space="preserve"> </v>
      </c>
      <c r="T21" s="92"/>
      <c r="U21" s="93" t="str">
        <f t="shared" si="8"/>
        <v xml:space="preserve"> </v>
      </c>
      <c r="V21" s="93" t="str">
        <f t="shared" si="9"/>
        <v xml:space="preserve"> </v>
      </c>
      <c r="W21" s="94" t="str">
        <f>IF(Table62202732333435[[#This Row],[Non-Member]]="X"," ",IF(V21=" "," ",IFERROR(VLOOKUP(U21,Points!$A$2:$B$14,2,FALSE)," ")))</f>
        <v xml:space="preserve"> </v>
      </c>
      <c r="X21" s="92"/>
      <c r="Y21" s="93" t="str">
        <f t="shared" si="10"/>
        <v xml:space="preserve"> </v>
      </c>
      <c r="Z21" s="93" t="str">
        <f t="shared" si="11"/>
        <v xml:space="preserve"> </v>
      </c>
      <c r="AA21" s="94" t="str">
        <f>IF(Table62202732333435[[#This Row],[Non-Member]]="X"," ",IF(Z21=" "," ",IFERROR(VLOOKUP(Y21,Points!$A$2:$B$14,2,FALSE)," ")))</f>
        <v xml:space="preserve"> </v>
      </c>
      <c r="AB21" s="92"/>
      <c r="AC21" s="93" t="str">
        <f t="shared" si="12"/>
        <v xml:space="preserve"> </v>
      </c>
      <c r="AD21" s="93" t="str">
        <f t="shared" si="13"/>
        <v xml:space="preserve"> </v>
      </c>
      <c r="AE21" s="94" t="str">
        <f>IF(Table62202732333435[[#This Row],[Non-Member]]="X"," ",IF(AD21=" "," ",IFERROR(VLOOKUP(AC21,Points!$A$2:$B$14,2,FALSE)," ")))</f>
        <v xml:space="preserve"> </v>
      </c>
      <c r="AF21" s="92" t="str">
        <f t="shared" si="14"/>
        <v xml:space="preserve"> </v>
      </c>
      <c r="AG21" s="93" t="str">
        <f t="shared" si="15"/>
        <v xml:space="preserve"> </v>
      </c>
      <c r="AH21" s="93" t="str">
        <f t="shared" si="16"/>
        <v xml:space="preserve"> </v>
      </c>
      <c r="AI21" s="94" t="str">
        <f>IF(Table62202732333435[[#This Row],[Non-Member]]="X"," ",IF(AH21=" "," ",IFERROR(VLOOKUP(AG21,Points!$A$2:$B$14,2,FALSE)," ")))</f>
        <v xml:space="preserve"> </v>
      </c>
      <c r="AJ21" s="93">
        <f>IF(Table62202732333435[[#This Row],[Non-Member]]="X"," ",((IF(G21=" ",0,G21))+(IF(K21=" ",0,K21))+(IF(O21=" ",0,O21))+(IF(S21=" ",0,S21))+(IF(W21=" ",0,W21))+(IF(AA21=" ",0,AA21))+(IF(AE21=" ",0,AE21))+(IF(AI21=" ",0,AI21))))</f>
        <v>0</v>
      </c>
      <c r="AK21" s="95" t="str">
        <f t="shared" si="17"/>
        <v xml:space="preserve"> </v>
      </c>
      <c r="AL21" s="96" t="str">
        <f t="shared" si="18"/>
        <v xml:space="preserve"> </v>
      </c>
    </row>
    <row r="22" spans="2:38" x14ac:dyDescent="0.25">
      <c r="B22" s="90"/>
      <c r="C22" s="91"/>
      <c r="D22" s="92"/>
      <c r="E22" s="93" t="str">
        <f t="shared" si="0"/>
        <v xml:space="preserve"> </v>
      </c>
      <c r="F22" s="93" t="str">
        <f t="shared" si="1"/>
        <v xml:space="preserve"> </v>
      </c>
      <c r="G22" s="94" t="str">
        <f>IF(Table62202732333435[[#This Row],[Non-Member]]="X"," ",IF(F22=" "," ",IFERROR(VLOOKUP(E22,Points!$A$2:$B$14,2,FALSE)," ")))</f>
        <v xml:space="preserve"> </v>
      </c>
      <c r="H22" s="92"/>
      <c r="I22" s="93" t="str">
        <f t="shared" si="2"/>
        <v xml:space="preserve"> </v>
      </c>
      <c r="J22" s="93" t="str">
        <f t="shared" si="3"/>
        <v xml:space="preserve"> </v>
      </c>
      <c r="K22" s="94" t="str">
        <f>IF(Table62202732333435[[#This Row],[Non-Member]]="X"," ",IF(J22=" "," ",IFERROR(VLOOKUP(I22,Points!$A$2:$B$14,2,FALSE)," ")))</f>
        <v xml:space="preserve"> </v>
      </c>
      <c r="L22" s="92"/>
      <c r="M22" s="93" t="str">
        <f t="shared" si="4"/>
        <v xml:space="preserve"> </v>
      </c>
      <c r="N22" s="93" t="str">
        <f t="shared" si="5"/>
        <v xml:space="preserve"> </v>
      </c>
      <c r="O22" s="94" t="str">
        <f>IF(Table62202732333435[[#This Row],[Non-Member]]="X"," ",IF(N22=" "," ",IFERROR(VLOOKUP(M22,Points!$A$2:$B$14,2,FALSE)," ")))</f>
        <v xml:space="preserve"> </v>
      </c>
      <c r="P22" s="92"/>
      <c r="Q22" s="93" t="str">
        <f t="shared" si="6"/>
        <v xml:space="preserve"> </v>
      </c>
      <c r="R22" s="93" t="str">
        <f t="shared" si="7"/>
        <v xml:space="preserve"> </v>
      </c>
      <c r="S22" s="94" t="str">
        <f>IF(Table62202732333435[[#This Row],[Non-Member]]="X"," ",IF(R22=" "," ",IFERROR(VLOOKUP(Q22,Points!$A$2:$B$14,2,FALSE)," ")))</f>
        <v xml:space="preserve"> </v>
      </c>
      <c r="T22" s="92"/>
      <c r="U22" s="93" t="str">
        <f t="shared" si="8"/>
        <v xml:space="preserve"> </v>
      </c>
      <c r="V22" s="93" t="str">
        <f t="shared" si="9"/>
        <v xml:space="preserve"> </v>
      </c>
      <c r="W22" s="94" t="str">
        <f>IF(Table62202732333435[[#This Row],[Non-Member]]="X"," ",IF(V22=" "," ",IFERROR(VLOOKUP(U22,Points!$A$2:$B$14,2,FALSE)," ")))</f>
        <v xml:space="preserve"> </v>
      </c>
      <c r="X22" s="92"/>
      <c r="Y22" s="93" t="str">
        <f t="shared" si="10"/>
        <v xml:space="preserve"> </v>
      </c>
      <c r="Z22" s="93" t="str">
        <f t="shared" si="11"/>
        <v xml:space="preserve"> </v>
      </c>
      <c r="AA22" s="94" t="str">
        <f>IF(Table62202732333435[[#This Row],[Non-Member]]="X"," ",IF(Z22=" "," ",IFERROR(VLOOKUP(Y22,Points!$A$2:$B$14,2,FALSE)," ")))</f>
        <v xml:space="preserve"> </v>
      </c>
      <c r="AB22" s="92"/>
      <c r="AC22" s="93" t="str">
        <f t="shared" si="12"/>
        <v xml:space="preserve"> </v>
      </c>
      <c r="AD22" s="93" t="str">
        <f t="shared" si="13"/>
        <v xml:space="preserve"> </v>
      </c>
      <c r="AE22" s="94" t="str">
        <f>IF(Table62202732333435[[#This Row],[Non-Member]]="X"," ",IF(AD22=" "," ",IFERROR(VLOOKUP(AC22,Points!$A$2:$B$14,2,FALSE)," ")))</f>
        <v xml:space="preserve"> </v>
      </c>
      <c r="AF22" s="92" t="str">
        <f t="shared" si="14"/>
        <v xml:space="preserve"> </v>
      </c>
      <c r="AG22" s="93" t="str">
        <f t="shared" si="15"/>
        <v xml:space="preserve"> </v>
      </c>
      <c r="AH22" s="93" t="str">
        <f t="shared" si="16"/>
        <v xml:space="preserve"> </v>
      </c>
      <c r="AI22" s="94" t="str">
        <f>IF(Table62202732333435[[#This Row],[Non-Member]]="X"," ",IF(AH22=" "," ",IFERROR(VLOOKUP(AG22,Points!$A$2:$B$14,2,FALSE)," ")))</f>
        <v xml:space="preserve"> </v>
      </c>
      <c r="AJ22" s="93">
        <f>IF(Table62202732333435[[#This Row],[Non-Member]]="X"," ",((IF(G22=" ",0,G22))+(IF(K22=" ",0,K22))+(IF(O22=" ",0,O22))+(IF(S22=" ",0,S22))+(IF(W22=" ",0,W22))+(IF(AA22=" ",0,AA22))+(IF(AE22=" ",0,AE22))+(IF(AI22=" ",0,AI22))))</f>
        <v>0</v>
      </c>
      <c r="AK22" s="95" t="str">
        <f t="shared" si="17"/>
        <v xml:space="preserve"> </v>
      </c>
      <c r="AL22" s="96" t="str">
        <f t="shared" si="18"/>
        <v xml:space="preserve"> </v>
      </c>
    </row>
    <row r="23" spans="2:38" x14ac:dyDescent="0.25">
      <c r="B23" s="90"/>
      <c r="C23" s="91"/>
      <c r="D23" s="92"/>
      <c r="E23" s="93" t="str">
        <f t="shared" si="0"/>
        <v xml:space="preserve"> </v>
      </c>
      <c r="F23" s="93" t="str">
        <f t="shared" si="1"/>
        <v xml:space="preserve"> </v>
      </c>
      <c r="G23" s="94" t="str">
        <f>IF(Table62202732333435[[#This Row],[Non-Member]]="X"," ",IF(F23=" "," ",IFERROR(VLOOKUP(E23,Points!$A$2:$B$14,2,FALSE)," ")))</f>
        <v xml:space="preserve"> </v>
      </c>
      <c r="H23" s="92"/>
      <c r="I23" s="93" t="str">
        <f t="shared" si="2"/>
        <v xml:space="preserve"> </v>
      </c>
      <c r="J23" s="93" t="str">
        <f t="shared" si="3"/>
        <v xml:space="preserve"> </v>
      </c>
      <c r="K23" s="94" t="str">
        <f>IF(Table62202732333435[[#This Row],[Non-Member]]="X"," ",IF(J23=" "," ",IFERROR(VLOOKUP(I23,Points!$A$2:$B$14,2,FALSE)," ")))</f>
        <v xml:space="preserve"> </v>
      </c>
      <c r="L23" s="92"/>
      <c r="M23" s="93" t="str">
        <f t="shared" si="4"/>
        <v xml:space="preserve"> </v>
      </c>
      <c r="N23" s="93" t="str">
        <f t="shared" si="5"/>
        <v xml:space="preserve"> </v>
      </c>
      <c r="O23" s="94" t="str">
        <f>IF(Table62202732333435[[#This Row],[Non-Member]]="X"," ",IF(N23=" "," ",IFERROR(VLOOKUP(M23,Points!$A$2:$B$14,2,FALSE)," ")))</f>
        <v xml:space="preserve"> </v>
      </c>
      <c r="P23" s="92"/>
      <c r="Q23" s="93" t="str">
        <f t="shared" si="6"/>
        <v xml:space="preserve"> </v>
      </c>
      <c r="R23" s="93" t="str">
        <f t="shared" si="7"/>
        <v xml:space="preserve"> </v>
      </c>
      <c r="S23" s="94" t="str">
        <f>IF(Table62202732333435[[#This Row],[Non-Member]]="X"," ",IF(R23=" "," ",IFERROR(VLOOKUP(Q23,Points!$A$2:$B$14,2,FALSE)," ")))</f>
        <v xml:space="preserve"> </v>
      </c>
      <c r="T23" s="92"/>
      <c r="U23" s="93" t="str">
        <f t="shared" si="8"/>
        <v xml:space="preserve"> </v>
      </c>
      <c r="V23" s="93" t="str">
        <f t="shared" si="9"/>
        <v xml:space="preserve"> </v>
      </c>
      <c r="W23" s="94" t="str">
        <f>IF(Table62202732333435[[#This Row],[Non-Member]]="X"," ",IF(V23=" "," ",IFERROR(VLOOKUP(U23,Points!$A$2:$B$14,2,FALSE)," ")))</f>
        <v xml:space="preserve"> </v>
      </c>
      <c r="X23" s="92"/>
      <c r="Y23" s="93" t="str">
        <f t="shared" si="10"/>
        <v xml:space="preserve"> </v>
      </c>
      <c r="Z23" s="93" t="str">
        <f t="shared" si="11"/>
        <v xml:space="preserve"> </v>
      </c>
      <c r="AA23" s="94" t="str">
        <f>IF(Table62202732333435[[#This Row],[Non-Member]]="X"," ",IF(Z23=" "," ",IFERROR(VLOOKUP(Y23,Points!$A$2:$B$14,2,FALSE)," ")))</f>
        <v xml:space="preserve"> </v>
      </c>
      <c r="AB23" s="92"/>
      <c r="AC23" s="93" t="str">
        <f t="shared" si="12"/>
        <v xml:space="preserve"> </v>
      </c>
      <c r="AD23" s="93" t="str">
        <f t="shared" si="13"/>
        <v xml:space="preserve"> </v>
      </c>
      <c r="AE23" s="94" t="str">
        <f>IF(Table62202732333435[[#This Row],[Non-Member]]="X"," ",IF(AD23=" "," ",IFERROR(VLOOKUP(AC23,Points!$A$2:$B$14,2,FALSE)," ")))</f>
        <v xml:space="preserve"> </v>
      </c>
      <c r="AF23" s="92" t="str">
        <f t="shared" si="14"/>
        <v xml:space="preserve"> </v>
      </c>
      <c r="AG23" s="93" t="str">
        <f t="shared" si="15"/>
        <v xml:space="preserve"> </v>
      </c>
      <c r="AH23" s="93" t="str">
        <f t="shared" si="16"/>
        <v xml:space="preserve"> </v>
      </c>
      <c r="AI23" s="94" t="str">
        <f>IF(Table62202732333435[[#This Row],[Non-Member]]="X"," ",IF(AH23=" "," ",IFERROR(VLOOKUP(AG23,Points!$A$2:$B$14,2,FALSE)," ")))</f>
        <v xml:space="preserve"> </v>
      </c>
      <c r="AJ23" s="93">
        <f>IF(Table62202732333435[[#This Row],[Non-Member]]="X"," ",((IF(G23=" ",0,G23))+(IF(K23=" ",0,K23))+(IF(O23=" ",0,O23))+(IF(S23=" ",0,S23))+(IF(W23=" ",0,W23))+(IF(AA23=" ",0,AA23))+(IF(AE23=" ",0,AE23))+(IF(AI23=" ",0,AI23))))</f>
        <v>0</v>
      </c>
      <c r="AK23" s="95" t="str">
        <f t="shared" si="17"/>
        <v xml:space="preserve"> </v>
      </c>
      <c r="AL23" s="96" t="str">
        <f t="shared" si="18"/>
        <v xml:space="preserve"> </v>
      </c>
    </row>
    <row r="24" spans="2:38" ht="14.4" thickBot="1" x14ac:dyDescent="0.3">
      <c r="B24" s="100"/>
      <c r="C24" s="101"/>
      <c r="D24" s="102"/>
      <c r="E24" s="103" t="str">
        <f t="shared" si="0"/>
        <v xml:space="preserve"> </v>
      </c>
      <c r="F24" s="103" t="str">
        <f t="shared" si="1"/>
        <v xml:space="preserve"> </v>
      </c>
      <c r="G24" s="104" t="str">
        <f>IF(Table62202732333435[[#This Row],[Non-Member]]="X"," ",IF(F24=" "," ",IFERROR(VLOOKUP(E24,Points!$A$2:$B$14,2,FALSE)," ")))</f>
        <v xml:space="preserve"> </v>
      </c>
      <c r="H24" s="102"/>
      <c r="I24" s="103" t="str">
        <f t="shared" si="2"/>
        <v xml:space="preserve"> </v>
      </c>
      <c r="J24" s="103" t="str">
        <f t="shared" si="3"/>
        <v xml:space="preserve"> </v>
      </c>
      <c r="K24" s="104" t="str">
        <f>IF(Table62202732333435[[#This Row],[Non-Member]]="X"," ",IF(J24=" "," ",IFERROR(VLOOKUP(I24,Points!$A$2:$B$14,2,FALSE)," ")))</f>
        <v xml:space="preserve"> </v>
      </c>
      <c r="L24" s="102"/>
      <c r="M24" s="103" t="str">
        <f t="shared" si="4"/>
        <v xml:space="preserve"> </v>
      </c>
      <c r="N24" s="103" t="str">
        <f t="shared" si="5"/>
        <v xml:space="preserve"> </v>
      </c>
      <c r="O24" s="104" t="str">
        <f>IF(Table62202732333435[[#This Row],[Non-Member]]="X"," ",IF(N24=" "," ",IFERROR(VLOOKUP(M24,Points!$A$2:$B$14,2,FALSE)," ")))</f>
        <v xml:space="preserve"> </v>
      </c>
      <c r="P24" s="102"/>
      <c r="Q24" s="103" t="str">
        <f t="shared" si="6"/>
        <v xml:space="preserve"> </v>
      </c>
      <c r="R24" s="103" t="str">
        <f t="shared" si="7"/>
        <v xml:space="preserve"> </v>
      </c>
      <c r="S24" s="104" t="str">
        <f>IF(Table62202732333435[[#This Row],[Non-Member]]="X"," ",IF(R24=" "," ",IFERROR(VLOOKUP(Q24,Points!$A$2:$B$14,2,FALSE)," ")))</f>
        <v xml:space="preserve"> </v>
      </c>
      <c r="T24" s="102"/>
      <c r="U24" s="103" t="str">
        <f t="shared" si="8"/>
        <v xml:space="preserve"> </v>
      </c>
      <c r="V24" s="103" t="str">
        <f t="shared" si="9"/>
        <v xml:space="preserve"> </v>
      </c>
      <c r="W24" s="104" t="str">
        <f>IF(Table62202732333435[[#This Row],[Non-Member]]="X"," ",IF(V24=" "," ",IFERROR(VLOOKUP(U24,Points!$A$2:$B$14,2,FALSE)," ")))</f>
        <v xml:space="preserve"> </v>
      </c>
      <c r="X24" s="102"/>
      <c r="Y24" s="103" t="str">
        <f t="shared" si="10"/>
        <v xml:space="preserve"> </v>
      </c>
      <c r="Z24" s="103" t="str">
        <f t="shared" si="11"/>
        <v xml:space="preserve"> </v>
      </c>
      <c r="AA24" s="104" t="str">
        <f>IF(Table62202732333435[[#This Row],[Non-Member]]="X"," ",IF(Z24=" "," ",IFERROR(VLOOKUP(Y24,Points!$A$2:$B$14,2,FALSE)," ")))</f>
        <v xml:space="preserve"> </v>
      </c>
      <c r="AB24" s="102"/>
      <c r="AC24" s="103" t="str">
        <f t="shared" si="12"/>
        <v xml:space="preserve"> </v>
      </c>
      <c r="AD24" s="103" t="str">
        <f t="shared" si="13"/>
        <v xml:space="preserve"> </v>
      </c>
      <c r="AE24" s="104" t="str">
        <f>IF(Table62202732333435[[#This Row],[Non-Member]]="X"," ",IF(AD24=" "," ",IFERROR(VLOOKUP(AC24,Points!$A$2:$B$14,2,FALSE)," ")))</f>
        <v xml:space="preserve"> </v>
      </c>
      <c r="AF24" s="102" t="str">
        <f t="shared" si="14"/>
        <v xml:space="preserve"> </v>
      </c>
      <c r="AG24" s="103" t="str">
        <f t="shared" si="15"/>
        <v xml:space="preserve"> </v>
      </c>
      <c r="AH24" s="103" t="str">
        <f t="shared" si="16"/>
        <v xml:space="preserve"> </v>
      </c>
      <c r="AI24" s="104" t="str">
        <f>IF(Table62202732333435[[#This Row],[Non-Member]]="X"," ",IF(AH24=" "," ",IFERROR(VLOOKUP(AG24,Points!$A$2:$B$14,2,FALSE)," ")))</f>
        <v xml:space="preserve"> </v>
      </c>
      <c r="AJ24" s="93">
        <f>IF(Table62202732333435[[#This Row],[Non-Member]]="X"," ",((IF(G24=" ",0,G24))+(IF(K24=" ",0,K24))+(IF(O24=" ",0,O24))+(IF(S24=" ",0,S24))+(IF(W24=" ",0,W24))+(IF(AA24=" ",0,AA24))+(IF(AE24=" ",0,AE24))+(IF(AI24=" ",0,AI24))))</f>
        <v>0</v>
      </c>
      <c r="AK24" s="105" t="str">
        <f t="shared" si="17"/>
        <v xml:space="preserve"> </v>
      </c>
      <c r="AL24" s="96" t="str">
        <f t="shared" si="18"/>
        <v xml:space="preserve"> </v>
      </c>
    </row>
    <row r="25" spans="2:38" ht="14.4" thickBot="1" x14ac:dyDescent="0.3">
      <c r="B25" s="106" t="s">
        <v>235</v>
      </c>
      <c r="AG25" s="107"/>
    </row>
    <row r="27" spans="2:38" x14ac:dyDescent="0.25">
      <c r="F27" s="107"/>
    </row>
    <row r="28" spans="2:38" x14ac:dyDescent="0.25">
      <c r="F28" s="107"/>
    </row>
    <row r="29" spans="2:38" x14ac:dyDescent="0.25">
      <c r="H29" s="108"/>
    </row>
  </sheetData>
  <sheetProtection algorithmName="SHA-512" hashValue="1dBKibTyfOA8czJZpiODqczKn8UmHqr9cA0IVvm+y0nEKj0VFUcO7UeiHKCf0bDF2vlaMgP8JJMpadV7OHGQiQ==" saltValue="1Ymsp91uTKCCs1S/UxW5Cg==" spinCount="100000" sheet="1" objects="1" scenarios="1"/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02B3-60CD-46FC-86F6-C735E9FFDD87}">
  <sheetPr codeName="Sheet47">
    <tabColor theme="4" tint="0.39997558519241921"/>
    <pageSetUpPr fitToPage="1"/>
  </sheetPr>
  <dimension ref="B1:AC28"/>
  <sheetViews>
    <sheetView showGridLines="0" workbookViewId="0">
      <pane xSplit="2" topLeftCell="D1" activePane="topRight" state="frozen"/>
      <selection activeCell="D34" sqref="D34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47" style="62" customWidth="1"/>
    <col min="3" max="3" width="11.6640625" style="60" hidden="1" customWidth="1"/>
    <col min="4" max="4" width="11.6640625" style="60" customWidth="1"/>
    <col min="5" max="5" width="11.6640625" style="57" customWidth="1"/>
    <col min="6" max="6" width="11.6640625" style="60" hidden="1" customWidth="1"/>
    <col min="7" max="7" width="11.6640625" style="60" customWidth="1"/>
    <col min="8" max="8" width="11.6640625" style="57" customWidth="1"/>
    <col min="9" max="9" width="11.6640625" style="60" hidden="1" customWidth="1"/>
    <col min="10" max="10" width="11.6640625" style="60" customWidth="1"/>
    <col min="11" max="11" width="11.6640625" style="57" customWidth="1"/>
    <col min="12" max="12" width="11.6640625" style="60" hidden="1" customWidth="1"/>
    <col min="13" max="13" width="11.6640625" style="60" customWidth="1"/>
    <col min="14" max="14" width="11.6640625" style="57" customWidth="1"/>
    <col min="15" max="15" width="11.6640625" style="60" hidden="1" customWidth="1"/>
    <col min="16" max="16" width="11.6640625" style="60" customWidth="1"/>
    <col min="17" max="17" width="11.6640625" style="57" customWidth="1"/>
    <col min="18" max="18" width="11.6640625" style="60" hidden="1" customWidth="1"/>
    <col min="19" max="19" width="11.6640625" style="60" customWidth="1"/>
    <col min="20" max="20" width="11.6640625" style="57" customWidth="1"/>
    <col min="21" max="21" width="11.6640625" style="60" hidden="1" customWidth="1"/>
    <col min="22" max="22" width="11.6640625" style="60" customWidth="1"/>
    <col min="23" max="23" width="11.6640625" style="57" customWidth="1"/>
    <col min="24" max="24" width="11.6640625" style="60" hidden="1" customWidth="1"/>
    <col min="25" max="25" width="11.6640625" style="60" customWidth="1"/>
    <col min="26" max="26" width="11.6640625" style="57" customWidth="1"/>
    <col min="27" max="27" width="11.6640625" style="60" hidden="1" customWidth="1"/>
    <col min="28" max="28" width="11.6640625" style="60" customWidth="1"/>
    <col min="29" max="29" width="11.6640625" style="57" customWidth="1"/>
    <col min="30" max="16384" width="9.109375" style="62"/>
  </cols>
  <sheetData>
    <row r="1" spans="2:29" ht="18" thickBot="1" x14ac:dyDescent="0.35">
      <c r="B1" s="54"/>
    </row>
    <row r="2" spans="2:29" s="64" customFormat="1" ht="17.399999999999999" x14ac:dyDescent="0.3">
      <c r="B2" s="139" t="s">
        <v>66</v>
      </c>
      <c r="C2" s="165">
        <v>43590</v>
      </c>
      <c r="D2" s="166"/>
      <c r="E2" s="167"/>
      <c r="F2" s="166">
        <v>43632</v>
      </c>
      <c r="G2" s="166"/>
      <c r="H2" s="167"/>
      <c r="I2" s="166">
        <v>43659</v>
      </c>
      <c r="J2" s="166"/>
      <c r="K2" s="167"/>
      <c r="L2" s="166">
        <v>43660</v>
      </c>
      <c r="M2" s="166"/>
      <c r="N2" s="167"/>
      <c r="O2" s="166">
        <v>43681</v>
      </c>
      <c r="P2" s="166"/>
      <c r="Q2" s="167"/>
      <c r="R2" s="166" t="s">
        <v>183</v>
      </c>
      <c r="S2" s="166"/>
      <c r="T2" s="167"/>
      <c r="U2" s="166" t="s">
        <v>184</v>
      </c>
      <c r="V2" s="166"/>
      <c r="W2" s="167"/>
      <c r="X2" s="166" t="s">
        <v>3</v>
      </c>
      <c r="Y2" s="166"/>
      <c r="Z2" s="167"/>
      <c r="AA2" s="166" t="s">
        <v>4</v>
      </c>
      <c r="AB2" s="166"/>
      <c r="AC2" s="167"/>
    </row>
    <row r="3" spans="2:29" s="74" customFormat="1" ht="14.4" thickBot="1" x14ac:dyDescent="0.3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3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25">
      <c r="B5" s="140" t="s">
        <v>67</v>
      </c>
      <c r="C5" s="118">
        <f>IFERROR(IF(VLOOKUP($B5,'MM B-Dummy Roping'!$B$5:$AI$24,6,FALSE)=" ",0,VLOOKUP($B5,'MM B-Dummy Roping'!$B$5:$AI$24,6,FALSE)),0)+IFERROR(IF(VLOOKUP($B5,'MM B-Flags'!$B$5:$AI$24,6,FALSE)=" ",0,VLOOKUP($B5,'MM B-Flags'!$B$5:$AI$24,6,FALSE)),0)+IFERROR(IF(VLOOKUP($B5,'MM B-Figure 8'!$B$5:$AI$24,6,FALSE)=" ",0,VLOOKUP($B5,'MM B-Figure 8'!$B$5:$AI$24,6,FALSE)),0)+IFERROR(IF(VLOOKUP($B5,'MM B-Goats'!$B$5:$AI$24,6,FALSE)=" ",0,VLOOKUP($B5,'MM B-Goats'!$B$5:$AI$24,6,FALSE)),0)</f>
        <v>69</v>
      </c>
      <c r="D5" s="88">
        <f t="shared" ref="D5:D24" si="0">IF(C5&gt;0,C5," ")</f>
        <v>69</v>
      </c>
      <c r="E5" s="84">
        <f t="shared" ref="E5:E24" si="1">IF(C5=0," ",RANK(C5,C$5:C$24,0))</f>
        <v>1</v>
      </c>
      <c r="F5" s="119">
        <f>IFERROR(IF(VLOOKUP($B5,'MM B-Dummy Roping'!$B$5:$AI$24,10,FALSE)=" ",0,VLOOKUP($B5,'MM B-Dummy Roping'!$B$5:$AI$24,10,FALSE)),0)+IFERROR(IF(VLOOKUP($B5,'MM B-Flags'!$B$5:$AI$24,10,FALSE)=" ",0,VLOOKUP($B5,'MM B-Flags'!$B$5:$AI$24,10,FALSE)),0)+IFERROR(IF(VLOOKUP($B5,'MM B-Figure 8'!$B$5:$AI$24,10,FALSE)=" ",0,VLOOKUP($B5,'MM B-Figure 8'!$B$5:$AI$24,10,FALSE)),0)+IFERROR(IF(VLOOKUP($B5,'MM B-Goats'!$B$5:$AI$24,10,FALSE)=" ",0,VLOOKUP($B5,'MM B-Goats'!$B$5:$AI$24,10,FALSE)),0)</f>
        <v>48</v>
      </c>
      <c r="G5" s="88">
        <f t="shared" ref="G5:G24" si="2">IF(F5&gt;0,F5," ")</f>
        <v>48</v>
      </c>
      <c r="H5" s="84">
        <f t="shared" ref="H5:H24" si="3">IF(F5=0," ",RANK(F5,F$5:F$24,0))</f>
        <v>2</v>
      </c>
      <c r="I5" s="119">
        <f>IFERROR(IF(VLOOKUP($B5,'MM B-Dummy Roping'!$B$5:$AI$24,14,FALSE)=" ",0,VLOOKUP($B5,'MM B-Dummy Roping'!$B$5:$AI$24,14,FALSE)),0)+IFERROR(IF(VLOOKUP($B5,'MM B-Flags'!$B$5:$AI$24,14,FALSE)=" ",0,VLOOKUP($B5,'MM B-Flags'!$B$5:$AI$24,14,FALSE)),0)+IFERROR(IF(VLOOKUP($B5,'MM B-Figure 8'!$B$5:$AI$24,14,FALSE)=" ",0,VLOOKUP($B5,'MM B-Figure 8'!$B$5:$AI$24,14,FALSE)),0)+IFERROR(IF(VLOOKUP($B5,'MM B-Goats'!$B$5:$AI$24,14,FALSE)=" ",0,VLOOKUP($B5,'MM B-Goats'!$B$5:$AI$24,14,FALSE)),0)</f>
        <v>69</v>
      </c>
      <c r="J5" s="88">
        <f t="shared" ref="J5:J24" si="4">IF(I5&gt;0,I5," ")</f>
        <v>69</v>
      </c>
      <c r="K5" s="84">
        <f t="shared" ref="K5:K24" si="5">IF(I5=0," ",RANK(I5,I$5:I$24,0))</f>
        <v>1</v>
      </c>
      <c r="L5" s="119">
        <f>IFERROR(IF(VLOOKUP($B5,'MM B-Dummy Roping'!$B$5:$AI$24,18,FALSE)=" ",0,VLOOKUP($B5,'MM B-Dummy Roping'!$B$5:$AI$24,18,FALSE)),0)+IFERROR(IF(VLOOKUP($B5,'MM B-Flags'!$B$5:$AI$24,18,FALSE)=" ",0,VLOOKUP($B5,'MM B-Flags'!$B$5:$AI$24,18,FALSE)),0)+IFERROR(IF(VLOOKUP($B5,'MM B-Figure 8'!$B$5:$AI$24,18,FALSE)=" ",0,VLOOKUP($B5,'MM B-Figure 8'!$B$5:$AI$24,18,FALSE)),0)+IFERROR(IF(VLOOKUP($B5,'MM B-Goats'!$B$5:$AI$24,18,FALSE)=" ",0,VLOOKUP($B5,'MM B-Goats'!$B$5:$AI$24,18,FALSE)),0)</f>
        <v>54</v>
      </c>
      <c r="M5" s="88">
        <f t="shared" ref="M5:M24" si="6">IF(L5&gt;0,L5," ")</f>
        <v>54</v>
      </c>
      <c r="N5" s="84">
        <f t="shared" ref="N5:N24" si="7">IF(L5=0," ",RANK(L5,L$5:L$24,0))</f>
        <v>1</v>
      </c>
      <c r="O5" s="119">
        <f>IFERROR(IF(VLOOKUP($B5,'MM B-Dummy Roping'!$B$5:$AI$24,22,FALSE)=" ",0,VLOOKUP($B5,'MM B-Dummy Roping'!$B$5:$AI$24,22,FALSE)),0)+IFERROR(IF(VLOOKUP($B5,'MM B-Flags'!$B$5:$AI$24,22,FALSE)=" ",0,VLOOKUP($B5,'MM B-Flags'!$B$5:$AI$24,22,FALSE)),0)+IFERROR(IF(VLOOKUP($B5,'MM B-Figure 8'!$B$5:$AI$24,22,FALSE)=" ",0,VLOOKUP($B5,'MM B-Figure 8'!$B$5:$AI$24,22,FALSE)),0)+IFERROR(IF(VLOOKUP($B5,'MM B-Goats'!$B$5:$AI$24,22,FALSE)=" ",0,VLOOKUP($B5,'MM B-Goats'!$B$5:$AI$24,22,FALSE)),0)</f>
        <v>58.5</v>
      </c>
      <c r="P5" s="88">
        <f t="shared" ref="P5:P24" si="8">IF(O5&gt;0,O5," ")</f>
        <v>58.5</v>
      </c>
      <c r="Q5" s="84">
        <f t="shared" ref="Q5:Q24" si="9">IF(O5=0," ",RANK(O5,O$5:O$24,0))</f>
        <v>2</v>
      </c>
      <c r="R5" s="119">
        <f>IFERROR(IF(VLOOKUP($B5,'MM B-Dummy Roping'!$B$5:$AI$24,26,FALSE)=" ",0,VLOOKUP($B5,'MM B-Dummy Roping'!$B$5:$AI$24,26,FALSE)),0)+IFERROR(IF(VLOOKUP($B5,'MM B-Flags'!$B$5:$AI$24,26,FALSE)=" ",0,VLOOKUP($B5,'MM B-Flags'!$B$5:$AI$24,26,FALSE)),0)+IFERROR(IF(VLOOKUP($B5,'MM B-Figure 8'!$B$5:$AI$24,26,FALSE)=" ",0,VLOOKUP($B5,'MM B-Figure 8'!$B$5:$AI$24,26,FALSE)),0)+IFERROR(IF(VLOOKUP($B5,'MM B-Goats'!$B$5:$AI$24,26,FALSE)=" ",0,VLOOKUP($B5,'MM B-Goats'!$B$5:$AI$24,26,FALSE)),0)</f>
        <v>60</v>
      </c>
      <c r="S5" s="88">
        <f t="shared" ref="S5:S24" si="10">IF(R5&gt;0,R5," ")</f>
        <v>60</v>
      </c>
      <c r="T5" s="84">
        <f t="shared" ref="T5:T24" si="11">IF(R5=0," ",RANK(R5,R$5:R$24,0))</f>
        <v>1</v>
      </c>
      <c r="U5" s="119">
        <f>IFERROR(IF(VLOOKUP($B5,'MM B-Dummy Roping'!$B$5:$AI$24,30,FALSE)=" ",0,VLOOKUP($B5,'MM B-Dummy Roping'!$B$5:$AI$24,30,FALSE)),0)+IFERROR(IF(VLOOKUP($B5,'MM B-Flags'!$B$5:$AI$24,30,FALSE)=" ",0,VLOOKUP($B5,'MM B-Flags'!$B$5:$AI$24,30,FALSE)),0)+IFERROR(IF(VLOOKUP($B5,'MM B-Figure 8'!$B$5:$AI$24,30,FALSE)=" ",0,VLOOKUP($B5,'MM B-Figure 8'!$B$5:$AI$24,30,FALSE)),0)+IFERROR(IF(VLOOKUP($B5,'MM B-Goats'!$B$5:$AI$24,30,FALSE)=" ",0,VLOOKUP($B5,'MM B-Goats'!$B$5:$AI$24,30,FALSE)),0)</f>
        <v>60</v>
      </c>
      <c r="V5" s="88">
        <f t="shared" ref="V5:V24" si="12">IF(U5&gt;0,U5," ")</f>
        <v>60</v>
      </c>
      <c r="W5" s="84">
        <f t="shared" ref="W5:W24" si="13">IF(U5=0," ",RANK(U5,U$5:U$24,0))</f>
        <v>1</v>
      </c>
      <c r="X5" s="119">
        <f>IFERROR(IF(VLOOKUP($B5,'MM B-Dummy Roping'!$B$5:$AI$24,34,FALSE)=" ",0,VLOOKUP($B5,'MM B-Dummy Roping'!$B$5:$AI$24,34,FALSE)),0)+IFERROR(IF(VLOOKUP($B5,'MM B-Flags'!$B$5:$AI$24,34,FALSE)=" ",0,VLOOKUP($B5,'MM B-Flags'!$B$5:$AI$24,34,FALSE)),0)+IFERROR(IF(VLOOKUP($B5,'MM B-Figure 8'!$B$5:$AI$24,34,FALSE)=" ",0,VLOOKUP($B5,'MM B-Figure 8'!$B$5:$AI$24,34,FALSE)),0)+IFERROR(IF(VLOOKUP($B5,'MM B-Goats'!$B$5:$AI$24,34,FALSE)=" ",0,VLOOKUP($B5,'MM B-Goats'!$B$5:$AI$24,34,FALSE)),0)</f>
        <v>63</v>
      </c>
      <c r="Y5" s="88">
        <f t="shared" ref="Y5:Y24" si="14">IF(X5&gt;0,X5," ")</f>
        <v>63</v>
      </c>
      <c r="Z5" s="84">
        <f t="shared" ref="Z5:Z24" si="15">IF(X5=0," ",RANK(X5,X$5:X$24,0))</f>
        <v>1</v>
      </c>
      <c r="AA5" s="119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481.5</v>
      </c>
      <c r="AB5" s="88">
        <f t="shared" ref="AB5:AB24" si="16">IF(AA5&gt;0,AA5," ")</f>
        <v>481.5</v>
      </c>
      <c r="AC5" s="84">
        <f t="shared" ref="AC5:AC24" si="17">IF(AB5=" "," ",RANK(AB5,AB$5:AB$24))</f>
        <v>1</v>
      </c>
    </row>
    <row r="6" spans="2:29" x14ac:dyDescent="0.25">
      <c r="B6" s="141" t="s">
        <v>73</v>
      </c>
      <c r="C6" s="120">
        <f>IFERROR(IF(VLOOKUP($B6,'MM B-Dummy Roping'!$B$5:$AI$24,6,FALSE)=" ",0,VLOOKUP($B6,'MM B-Dummy Roping'!$B$5:$AI$24,6,FALSE)),0)+IFERROR(IF(VLOOKUP($B6,'MM B-Flags'!$B$5:$AI$24,6,FALSE)=" ",0,VLOOKUP($B6,'MM B-Flags'!$B$5:$AI$24,6,FALSE)),0)+IFERROR(IF(VLOOKUP($B6,'MM B-Figure 8'!$B$5:$AI$24,6,FALSE)=" ",0,VLOOKUP($B6,'MM B-Figure 8'!$B$5:$AI$24,6,FALSE)),0)+IFERROR(IF(VLOOKUP($B6,'MM B-Goats'!$B$5:$AI$24,6,FALSE)=" ",0,VLOOKUP($B6,'MM B-Goats'!$B$5:$AI$24,6,FALSE)),0)</f>
        <v>58.5</v>
      </c>
      <c r="D6" s="95">
        <f t="shared" si="0"/>
        <v>58.5</v>
      </c>
      <c r="E6" s="91">
        <f t="shared" si="1"/>
        <v>2</v>
      </c>
      <c r="F6" s="121">
        <f>IFERROR(IF(VLOOKUP($B6,'MM B-Dummy Roping'!$B$5:$AI$24,10,FALSE)=" ",0,VLOOKUP($B6,'MM B-Dummy Roping'!$B$5:$AI$24,10,FALSE)),0)+IFERROR(IF(VLOOKUP($B6,'MM B-Flags'!$B$5:$AI$24,10,FALSE)=" ",0,VLOOKUP($B6,'MM B-Flags'!$B$5:$AI$24,10,FALSE)),0)+IFERROR(IF(VLOOKUP($B6,'MM B-Figure 8'!$B$5:$AI$24,10,FALSE)=" ",0,VLOOKUP($B6,'MM B-Figure 8'!$B$5:$AI$24,10,FALSE)),0)+IFERROR(IF(VLOOKUP($B6,'MM B-Goats'!$B$5:$AI$24,10,FALSE)=" ",0,VLOOKUP($B6,'MM B-Goats'!$B$5:$AI$24,10,FALSE)),0)</f>
        <v>57</v>
      </c>
      <c r="G6" s="95">
        <f t="shared" si="2"/>
        <v>57</v>
      </c>
      <c r="H6" s="91">
        <f t="shared" si="3"/>
        <v>1</v>
      </c>
      <c r="I6" s="121">
        <f>IFERROR(IF(VLOOKUP($B6,'MM B-Dummy Roping'!$B$5:$AI$24,14,FALSE)=" ",0,VLOOKUP($B6,'MM B-Dummy Roping'!$B$5:$AI$24,14,FALSE)),0)+IFERROR(IF(VLOOKUP($B6,'MM B-Flags'!$B$5:$AI$24,14,FALSE)=" ",0,VLOOKUP($B6,'MM B-Flags'!$B$5:$AI$24,14,FALSE)),0)+IFERROR(IF(VLOOKUP($B6,'MM B-Figure 8'!$B$5:$AI$24,14,FALSE)=" ",0,VLOOKUP($B6,'MM B-Figure 8'!$B$5:$AI$24,14,FALSE)),0)+IFERROR(IF(VLOOKUP($B6,'MM B-Goats'!$B$5:$AI$24,14,FALSE)=" ",0,VLOOKUP($B6,'MM B-Goats'!$B$5:$AI$24,14,FALSE)),0)</f>
        <v>34.5</v>
      </c>
      <c r="J6" s="95">
        <f t="shared" si="4"/>
        <v>34.5</v>
      </c>
      <c r="K6" s="91">
        <f t="shared" si="5"/>
        <v>2</v>
      </c>
      <c r="L6" s="121">
        <f>IFERROR(IF(VLOOKUP($B6,'MM B-Dummy Roping'!$B$5:$AI$24,18,FALSE)=" ",0,VLOOKUP($B6,'MM B-Dummy Roping'!$B$5:$AI$24,18,FALSE)),0)+IFERROR(IF(VLOOKUP($B6,'MM B-Flags'!$B$5:$AI$24,18,FALSE)=" ",0,VLOOKUP($B6,'MM B-Flags'!$B$5:$AI$24,18,FALSE)),0)+IFERROR(IF(VLOOKUP($B6,'MM B-Figure 8'!$B$5:$AI$24,18,FALSE)=" ",0,VLOOKUP($B6,'MM B-Figure 8'!$B$5:$AI$24,18,FALSE)),0)+IFERROR(IF(VLOOKUP($B6,'MM B-Goats'!$B$5:$AI$24,18,FALSE)=" ",0,VLOOKUP($B6,'MM B-Goats'!$B$5:$AI$24,18,FALSE)),0)</f>
        <v>51</v>
      </c>
      <c r="M6" s="95">
        <f t="shared" si="6"/>
        <v>51</v>
      </c>
      <c r="N6" s="91">
        <f t="shared" si="7"/>
        <v>2</v>
      </c>
      <c r="O6" s="121">
        <f>IFERROR(IF(VLOOKUP($B6,'MM B-Dummy Roping'!$B$5:$AI$24,22,FALSE)=" ",0,VLOOKUP($B6,'MM B-Dummy Roping'!$B$5:$AI$24,22,FALSE)),0)+IFERROR(IF(VLOOKUP($B6,'MM B-Flags'!$B$5:$AI$24,22,FALSE)=" ",0,VLOOKUP($B6,'MM B-Flags'!$B$5:$AI$24,22,FALSE)),0)+IFERROR(IF(VLOOKUP($B6,'MM B-Figure 8'!$B$5:$AI$24,22,FALSE)=" ",0,VLOOKUP($B6,'MM B-Figure 8'!$B$5:$AI$24,22,FALSE)),0)+IFERROR(IF(VLOOKUP($B6,'MM B-Goats'!$B$5:$AI$24,22,FALSE)=" ",0,VLOOKUP($B6,'MM B-Goats'!$B$5:$AI$24,22,FALSE)),0)</f>
        <v>61.5</v>
      </c>
      <c r="P6" s="95">
        <f t="shared" si="8"/>
        <v>61.5</v>
      </c>
      <c r="Q6" s="91">
        <f t="shared" si="9"/>
        <v>1</v>
      </c>
      <c r="R6" s="121">
        <f>IFERROR(IF(VLOOKUP($B6,'MM B-Dummy Roping'!$B$5:$AI$24,26,FALSE)=" ",0,VLOOKUP($B6,'MM B-Dummy Roping'!$B$5:$AI$24,26,FALSE)),0)+IFERROR(IF(VLOOKUP($B6,'MM B-Flags'!$B$5:$AI$24,26,FALSE)=" ",0,VLOOKUP($B6,'MM B-Flags'!$B$5:$AI$24,26,FALSE)),0)+IFERROR(IF(VLOOKUP($B6,'MM B-Figure 8'!$B$5:$AI$24,26,FALSE)=" ",0,VLOOKUP($B6,'MM B-Figure 8'!$B$5:$AI$24,26,FALSE)),0)+IFERROR(IF(VLOOKUP($B6,'MM B-Goats'!$B$5:$AI$24,26,FALSE)=" ",0,VLOOKUP($B6,'MM B-Goats'!$B$5:$AI$24,26,FALSE)),0)</f>
        <v>57</v>
      </c>
      <c r="S6" s="95">
        <f t="shared" si="10"/>
        <v>57</v>
      </c>
      <c r="T6" s="91">
        <f t="shared" si="11"/>
        <v>3</v>
      </c>
      <c r="U6" s="121">
        <f>IFERROR(IF(VLOOKUP($B6,'MM B-Dummy Roping'!$B$5:$AI$24,30,FALSE)=" ",0,VLOOKUP($B6,'MM B-Dummy Roping'!$B$5:$AI$24,30,FALSE)),0)+IFERROR(IF(VLOOKUP($B6,'MM B-Flags'!$B$5:$AI$24,30,FALSE)=" ",0,VLOOKUP($B6,'MM B-Flags'!$B$5:$AI$24,30,FALSE)),0)+IFERROR(IF(VLOOKUP($B6,'MM B-Figure 8'!$B$5:$AI$24,30,FALSE)=" ",0,VLOOKUP($B6,'MM B-Figure 8'!$B$5:$AI$24,30,FALSE)),0)+IFERROR(IF(VLOOKUP($B6,'MM B-Goats'!$B$5:$AI$24,30,FALSE)=" ",0,VLOOKUP($B6,'MM B-Goats'!$B$5:$AI$24,30,FALSE)),0)</f>
        <v>51</v>
      </c>
      <c r="V6" s="95">
        <f t="shared" si="12"/>
        <v>51</v>
      </c>
      <c r="W6" s="91">
        <f t="shared" si="13"/>
        <v>2</v>
      </c>
      <c r="X6" s="121">
        <f>IFERROR(IF(VLOOKUP($B6,'MM B-Dummy Roping'!$B$5:$AI$24,34,FALSE)=" ",0,VLOOKUP($B6,'MM B-Dummy Roping'!$B$5:$AI$24,34,FALSE)),0)+IFERROR(IF(VLOOKUP($B6,'MM B-Flags'!$B$5:$AI$24,34,FALSE)=" ",0,VLOOKUP($B6,'MM B-Flags'!$B$5:$AI$24,34,FALSE)),0)+IFERROR(IF(VLOOKUP($B6,'MM B-Figure 8'!$B$5:$AI$24,34,FALSE)=" ",0,VLOOKUP($B6,'MM B-Figure 8'!$B$5:$AI$24,34,FALSE)),0)+IFERROR(IF(VLOOKUP($B6,'MM B-Goats'!$B$5:$AI$24,34,FALSE)=" ",0,VLOOKUP($B6,'MM B-Goats'!$B$5:$AI$24,34,FALSE)),0)</f>
        <v>54</v>
      </c>
      <c r="Y6" s="95">
        <f t="shared" si="14"/>
        <v>54</v>
      </c>
      <c r="Z6" s="91">
        <f t="shared" si="15"/>
        <v>2</v>
      </c>
      <c r="AA6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424.5</v>
      </c>
      <c r="AB6" s="95">
        <f t="shared" si="16"/>
        <v>424.5</v>
      </c>
      <c r="AC6" s="91">
        <f t="shared" si="17"/>
        <v>2</v>
      </c>
    </row>
    <row r="7" spans="2:29" x14ac:dyDescent="0.25">
      <c r="B7" s="141" t="s">
        <v>70</v>
      </c>
      <c r="C7" s="120">
        <f>IFERROR(IF(VLOOKUP($B7,'MM B-Dummy Roping'!$B$5:$AI$24,6,FALSE)=" ",0,VLOOKUP($B7,'MM B-Dummy Roping'!$B$5:$AI$24,6,FALSE)),0)+IFERROR(IF(VLOOKUP($B7,'MM B-Flags'!$B$5:$AI$24,6,FALSE)=" ",0,VLOOKUP($B7,'MM B-Flags'!$B$5:$AI$24,6,FALSE)),0)+IFERROR(IF(VLOOKUP($B7,'MM B-Figure 8'!$B$5:$AI$24,6,FALSE)=" ",0,VLOOKUP($B7,'MM B-Figure 8'!$B$5:$AI$24,6,FALSE)),0)+IFERROR(IF(VLOOKUP($B7,'MM B-Goats'!$B$5:$AI$24,6,FALSE)=" ",0,VLOOKUP($B7,'MM B-Goats'!$B$5:$AI$24,6,FALSE)),0)</f>
        <v>19.5</v>
      </c>
      <c r="D7" s="95">
        <f t="shared" si="0"/>
        <v>19.5</v>
      </c>
      <c r="E7" s="91">
        <f t="shared" si="1"/>
        <v>5</v>
      </c>
      <c r="F7" s="121">
        <f>IFERROR(IF(VLOOKUP($B7,'MM B-Dummy Roping'!$B$5:$AI$24,10,FALSE)=" ",0,VLOOKUP($B7,'MM B-Dummy Roping'!$B$5:$AI$24,10,FALSE)),0)+IFERROR(IF(VLOOKUP($B7,'MM B-Flags'!$B$5:$AI$24,10,FALSE)=" ",0,VLOOKUP($B7,'MM B-Flags'!$B$5:$AI$24,10,FALSE)),0)+IFERROR(IF(VLOOKUP($B7,'MM B-Figure 8'!$B$5:$AI$24,10,FALSE)=" ",0,VLOOKUP($B7,'MM B-Figure 8'!$B$5:$AI$24,10,FALSE)),0)+IFERROR(IF(VLOOKUP($B7,'MM B-Goats'!$B$5:$AI$24,10,FALSE)=" ",0,VLOOKUP($B7,'MM B-Goats'!$B$5:$AI$24,10,FALSE)),0)</f>
        <v>36</v>
      </c>
      <c r="G7" s="95">
        <f t="shared" si="2"/>
        <v>36</v>
      </c>
      <c r="H7" s="91">
        <f t="shared" si="3"/>
        <v>4</v>
      </c>
      <c r="I7" s="121">
        <f>IFERROR(IF(VLOOKUP($B7,'MM B-Dummy Roping'!$B$5:$AI$24,14,FALSE)=" ",0,VLOOKUP($B7,'MM B-Dummy Roping'!$B$5:$AI$24,14,FALSE)),0)+IFERROR(IF(VLOOKUP($B7,'MM B-Flags'!$B$5:$AI$24,14,FALSE)=" ",0,VLOOKUP($B7,'MM B-Flags'!$B$5:$AI$24,14,FALSE)),0)+IFERROR(IF(VLOOKUP($B7,'MM B-Figure 8'!$B$5:$AI$24,14,FALSE)=" ",0,VLOOKUP($B7,'MM B-Figure 8'!$B$5:$AI$24,14,FALSE)),0)+IFERROR(IF(VLOOKUP($B7,'MM B-Goats'!$B$5:$AI$24,14,FALSE)=" ",0,VLOOKUP($B7,'MM B-Goats'!$B$5:$AI$24,14,FALSE)),0)</f>
        <v>33</v>
      </c>
      <c r="J7" s="95">
        <f t="shared" si="4"/>
        <v>33</v>
      </c>
      <c r="K7" s="91">
        <f t="shared" si="5"/>
        <v>3</v>
      </c>
      <c r="L7" s="121">
        <f>IFERROR(IF(VLOOKUP($B7,'MM B-Dummy Roping'!$B$5:$AI$24,18,FALSE)=" ",0,VLOOKUP($B7,'MM B-Dummy Roping'!$B$5:$AI$24,18,FALSE)),0)+IFERROR(IF(VLOOKUP($B7,'MM B-Flags'!$B$5:$AI$24,18,FALSE)=" ",0,VLOOKUP($B7,'MM B-Flags'!$B$5:$AI$24,18,FALSE)),0)+IFERROR(IF(VLOOKUP($B7,'MM B-Figure 8'!$B$5:$AI$24,18,FALSE)=" ",0,VLOOKUP($B7,'MM B-Figure 8'!$B$5:$AI$24,18,FALSE)),0)+IFERROR(IF(VLOOKUP($B7,'MM B-Goats'!$B$5:$AI$24,18,FALSE)=" ",0,VLOOKUP($B7,'MM B-Goats'!$B$5:$AI$24,18,FALSE)),0)</f>
        <v>24</v>
      </c>
      <c r="M7" s="95">
        <f t="shared" si="6"/>
        <v>24</v>
      </c>
      <c r="N7" s="91">
        <f t="shared" si="7"/>
        <v>5</v>
      </c>
      <c r="O7" s="121">
        <f>IFERROR(IF(VLOOKUP($B7,'MM B-Dummy Roping'!$B$5:$AI$24,22,FALSE)=" ",0,VLOOKUP($B7,'MM B-Dummy Roping'!$B$5:$AI$24,22,FALSE)),0)+IFERROR(IF(VLOOKUP($B7,'MM B-Flags'!$B$5:$AI$24,22,FALSE)=" ",0,VLOOKUP($B7,'MM B-Flags'!$B$5:$AI$24,22,FALSE)),0)+IFERROR(IF(VLOOKUP($B7,'MM B-Figure 8'!$B$5:$AI$24,22,FALSE)=" ",0,VLOOKUP($B7,'MM B-Figure 8'!$B$5:$AI$24,22,FALSE)),0)+IFERROR(IF(VLOOKUP($B7,'MM B-Goats'!$B$5:$AI$24,22,FALSE)=" ",0,VLOOKUP($B7,'MM B-Goats'!$B$5:$AI$24,22,FALSE)),0)</f>
        <v>55.5</v>
      </c>
      <c r="P7" s="95">
        <f t="shared" si="8"/>
        <v>55.5</v>
      </c>
      <c r="Q7" s="91">
        <f t="shared" si="9"/>
        <v>3</v>
      </c>
      <c r="R7" s="121">
        <f>IFERROR(IF(VLOOKUP($B7,'MM B-Dummy Roping'!$B$5:$AI$24,26,FALSE)=" ",0,VLOOKUP($B7,'MM B-Dummy Roping'!$B$5:$AI$24,26,FALSE)),0)+IFERROR(IF(VLOOKUP($B7,'MM B-Flags'!$B$5:$AI$24,26,FALSE)=" ",0,VLOOKUP($B7,'MM B-Flags'!$B$5:$AI$24,26,FALSE)),0)+IFERROR(IF(VLOOKUP($B7,'MM B-Figure 8'!$B$5:$AI$24,26,FALSE)=" ",0,VLOOKUP($B7,'MM B-Figure 8'!$B$5:$AI$24,26,FALSE)),0)+IFERROR(IF(VLOOKUP($B7,'MM B-Goats'!$B$5:$AI$24,26,FALSE)=" ",0,VLOOKUP($B7,'MM B-Goats'!$B$5:$AI$24,26,FALSE)),0)</f>
        <v>60</v>
      </c>
      <c r="S7" s="95">
        <f t="shared" si="10"/>
        <v>60</v>
      </c>
      <c r="T7" s="91">
        <f t="shared" si="11"/>
        <v>1</v>
      </c>
      <c r="U7" s="121">
        <f>IFERROR(IF(VLOOKUP($B7,'MM B-Dummy Roping'!$B$5:$AI$24,30,FALSE)=" ",0,VLOOKUP($B7,'MM B-Dummy Roping'!$B$5:$AI$24,30,FALSE)),0)+IFERROR(IF(VLOOKUP($B7,'MM B-Flags'!$B$5:$AI$24,30,FALSE)=" ",0,VLOOKUP($B7,'MM B-Flags'!$B$5:$AI$24,30,FALSE)),0)+IFERROR(IF(VLOOKUP($B7,'MM B-Figure 8'!$B$5:$AI$24,30,FALSE)=" ",0,VLOOKUP($B7,'MM B-Figure 8'!$B$5:$AI$24,30,FALSE)),0)+IFERROR(IF(VLOOKUP($B7,'MM B-Goats'!$B$5:$AI$24,30,FALSE)=" ",0,VLOOKUP($B7,'MM B-Goats'!$B$5:$AI$24,30,FALSE)),0)</f>
        <v>36</v>
      </c>
      <c r="V7" s="95">
        <f t="shared" si="12"/>
        <v>36</v>
      </c>
      <c r="W7" s="91">
        <f t="shared" si="13"/>
        <v>4</v>
      </c>
      <c r="X7" s="121">
        <f>IFERROR(IF(VLOOKUP($B7,'MM B-Dummy Roping'!$B$5:$AI$24,34,FALSE)=" ",0,VLOOKUP($B7,'MM B-Dummy Roping'!$B$5:$AI$24,34,FALSE)),0)+IFERROR(IF(VLOOKUP($B7,'MM B-Flags'!$B$5:$AI$24,34,FALSE)=" ",0,VLOOKUP($B7,'MM B-Flags'!$B$5:$AI$24,34,FALSE)),0)+IFERROR(IF(VLOOKUP($B7,'MM B-Figure 8'!$B$5:$AI$24,34,FALSE)=" ",0,VLOOKUP($B7,'MM B-Figure 8'!$B$5:$AI$24,34,FALSE)),0)+IFERROR(IF(VLOOKUP($B7,'MM B-Goats'!$B$5:$AI$24,34,FALSE)=" ",0,VLOOKUP($B7,'MM B-Goats'!$B$5:$AI$24,34,FALSE)),0)</f>
        <v>48</v>
      </c>
      <c r="Y7" s="95">
        <f t="shared" si="14"/>
        <v>48</v>
      </c>
      <c r="Z7" s="91">
        <f t="shared" si="15"/>
        <v>3</v>
      </c>
      <c r="AA7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312</v>
      </c>
      <c r="AB7" s="95">
        <f t="shared" si="16"/>
        <v>312</v>
      </c>
      <c r="AC7" s="91">
        <f t="shared" si="17"/>
        <v>3</v>
      </c>
    </row>
    <row r="8" spans="2:29" x14ac:dyDescent="0.25">
      <c r="B8" s="141" t="s">
        <v>74</v>
      </c>
      <c r="C8" s="120">
        <f>IFERROR(IF(VLOOKUP($B8,'MM B-Dummy Roping'!$B$5:$AI$24,6,FALSE)=" ",0,VLOOKUP($B8,'MM B-Dummy Roping'!$B$5:$AI$24,6,FALSE)),0)+IFERROR(IF(VLOOKUP($B8,'MM B-Flags'!$B$5:$AI$24,6,FALSE)=" ",0,VLOOKUP($B8,'MM B-Flags'!$B$5:$AI$24,6,FALSE)),0)+IFERROR(IF(VLOOKUP($B8,'MM B-Figure 8'!$B$5:$AI$24,6,FALSE)=" ",0,VLOOKUP($B8,'MM B-Figure 8'!$B$5:$AI$24,6,FALSE)),0)+IFERROR(IF(VLOOKUP($B8,'MM B-Goats'!$B$5:$AI$24,6,FALSE)=" ",0,VLOOKUP($B8,'MM B-Goats'!$B$5:$AI$24,6,FALSE)),0)</f>
        <v>28.5</v>
      </c>
      <c r="D8" s="95">
        <f t="shared" si="0"/>
        <v>28.5</v>
      </c>
      <c r="E8" s="91">
        <f t="shared" si="1"/>
        <v>4</v>
      </c>
      <c r="F8" s="121">
        <f>IFERROR(IF(VLOOKUP($B8,'MM B-Dummy Roping'!$B$5:$AI$24,10,FALSE)=" ",0,VLOOKUP($B8,'MM B-Dummy Roping'!$B$5:$AI$24,10,FALSE)),0)+IFERROR(IF(VLOOKUP($B8,'MM B-Flags'!$B$5:$AI$24,10,FALSE)=" ",0,VLOOKUP($B8,'MM B-Flags'!$B$5:$AI$24,10,FALSE)),0)+IFERROR(IF(VLOOKUP($B8,'MM B-Figure 8'!$B$5:$AI$24,10,FALSE)=" ",0,VLOOKUP($B8,'MM B-Figure 8'!$B$5:$AI$24,10,FALSE)),0)+IFERROR(IF(VLOOKUP($B8,'MM B-Goats'!$B$5:$AI$24,10,FALSE)=" ",0,VLOOKUP($B8,'MM B-Goats'!$B$5:$AI$24,10,FALSE)),0)</f>
        <v>42</v>
      </c>
      <c r="G8" s="95">
        <f t="shared" si="2"/>
        <v>42</v>
      </c>
      <c r="H8" s="91">
        <f t="shared" si="3"/>
        <v>3</v>
      </c>
      <c r="I8" s="121">
        <f>IFERROR(IF(VLOOKUP($B8,'MM B-Dummy Roping'!$B$5:$AI$24,14,FALSE)=" ",0,VLOOKUP($B8,'MM B-Dummy Roping'!$B$5:$AI$24,14,FALSE)),0)+IFERROR(IF(VLOOKUP($B8,'MM B-Flags'!$B$5:$AI$24,14,FALSE)=" ",0,VLOOKUP($B8,'MM B-Flags'!$B$5:$AI$24,14,FALSE)),0)+IFERROR(IF(VLOOKUP($B8,'MM B-Figure 8'!$B$5:$AI$24,14,FALSE)=" ",0,VLOOKUP($B8,'MM B-Figure 8'!$B$5:$AI$24,14,FALSE)),0)+IFERROR(IF(VLOOKUP($B8,'MM B-Goats'!$B$5:$AI$24,14,FALSE)=" ",0,VLOOKUP($B8,'MM B-Goats'!$B$5:$AI$24,14,FALSE)),0)</f>
        <v>27</v>
      </c>
      <c r="J8" s="95">
        <f t="shared" si="4"/>
        <v>27</v>
      </c>
      <c r="K8" s="91">
        <f t="shared" si="5"/>
        <v>4</v>
      </c>
      <c r="L8" s="121">
        <f>IFERROR(IF(VLOOKUP($B8,'MM B-Dummy Roping'!$B$5:$AI$24,18,FALSE)=" ",0,VLOOKUP($B8,'MM B-Dummy Roping'!$B$5:$AI$24,18,FALSE)),0)+IFERROR(IF(VLOOKUP($B8,'MM B-Flags'!$B$5:$AI$24,18,FALSE)=" ",0,VLOOKUP($B8,'MM B-Flags'!$B$5:$AI$24,18,FALSE)),0)+IFERROR(IF(VLOOKUP($B8,'MM B-Figure 8'!$B$5:$AI$24,18,FALSE)=" ",0,VLOOKUP($B8,'MM B-Figure 8'!$B$5:$AI$24,18,FALSE)),0)+IFERROR(IF(VLOOKUP($B8,'MM B-Goats'!$B$5:$AI$24,18,FALSE)=" ",0,VLOOKUP($B8,'MM B-Goats'!$B$5:$AI$24,18,FALSE)),0)</f>
        <v>40.5</v>
      </c>
      <c r="M8" s="95">
        <f t="shared" si="6"/>
        <v>40.5</v>
      </c>
      <c r="N8" s="91">
        <f t="shared" si="7"/>
        <v>3</v>
      </c>
      <c r="O8" s="121">
        <f>IFERROR(IF(VLOOKUP($B8,'MM B-Dummy Roping'!$B$5:$AI$24,22,FALSE)=" ",0,VLOOKUP($B8,'MM B-Dummy Roping'!$B$5:$AI$24,22,FALSE)),0)+IFERROR(IF(VLOOKUP($B8,'MM B-Flags'!$B$5:$AI$24,22,FALSE)=" ",0,VLOOKUP($B8,'MM B-Flags'!$B$5:$AI$24,22,FALSE)),0)+IFERROR(IF(VLOOKUP($B8,'MM B-Figure 8'!$B$5:$AI$24,22,FALSE)=" ",0,VLOOKUP($B8,'MM B-Figure 8'!$B$5:$AI$24,22,FALSE)),0)+IFERROR(IF(VLOOKUP($B8,'MM B-Goats'!$B$5:$AI$24,22,FALSE)=" ",0,VLOOKUP($B8,'MM B-Goats'!$B$5:$AI$24,22,FALSE)),0)</f>
        <v>13.5</v>
      </c>
      <c r="P8" s="95">
        <f t="shared" si="8"/>
        <v>13.5</v>
      </c>
      <c r="Q8" s="91">
        <f t="shared" si="9"/>
        <v>5</v>
      </c>
      <c r="R8" s="121">
        <f>IFERROR(IF(VLOOKUP($B8,'MM B-Dummy Roping'!$B$5:$AI$24,26,FALSE)=" ",0,VLOOKUP($B8,'MM B-Dummy Roping'!$B$5:$AI$24,26,FALSE)),0)+IFERROR(IF(VLOOKUP($B8,'MM B-Flags'!$B$5:$AI$24,26,FALSE)=" ",0,VLOOKUP($B8,'MM B-Flags'!$B$5:$AI$24,26,FALSE)),0)+IFERROR(IF(VLOOKUP($B8,'MM B-Figure 8'!$B$5:$AI$24,26,FALSE)=" ",0,VLOOKUP($B8,'MM B-Figure 8'!$B$5:$AI$24,26,FALSE)),0)+IFERROR(IF(VLOOKUP($B8,'MM B-Goats'!$B$5:$AI$24,26,FALSE)=" ",0,VLOOKUP($B8,'MM B-Goats'!$B$5:$AI$24,26,FALSE)),0)</f>
        <v>21</v>
      </c>
      <c r="S8" s="95">
        <f t="shared" si="10"/>
        <v>21</v>
      </c>
      <c r="T8" s="91">
        <f t="shared" si="11"/>
        <v>5</v>
      </c>
      <c r="U8" s="121">
        <f>IFERROR(IF(VLOOKUP($B8,'MM B-Dummy Roping'!$B$5:$AI$24,30,FALSE)=" ",0,VLOOKUP($B8,'MM B-Dummy Roping'!$B$5:$AI$24,30,FALSE)),0)+IFERROR(IF(VLOOKUP($B8,'MM B-Flags'!$B$5:$AI$24,30,FALSE)=" ",0,VLOOKUP($B8,'MM B-Flags'!$B$5:$AI$24,30,FALSE)),0)+IFERROR(IF(VLOOKUP($B8,'MM B-Figure 8'!$B$5:$AI$24,30,FALSE)=" ",0,VLOOKUP($B8,'MM B-Figure 8'!$B$5:$AI$24,30,FALSE)),0)+IFERROR(IF(VLOOKUP($B8,'MM B-Goats'!$B$5:$AI$24,30,FALSE)=" ",0,VLOOKUP($B8,'MM B-Goats'!$B$5:$AI$24,30,FALSE)),0)</f>
        <v>24</v>
      </c>
      <c r="V8" s="95">
        <f t="shared" si="12"/>
        <v>24</v>
      </c>
      <c r="W8" s="91">
        <f t="shared" si="13"/>
        <v>6</v>
      </c>
      <c r="X8" s="121">
        <f>IFERROR(IF(VLOOKUP($B8,'MM B-Dummy Roping'!$B$5:$AI$24,34,FALSE)=" ",0,VLOOKUP($B8,'MM B-Dummy Roping'!$B$5:$AI$24,34,FALSE)),0)+IFERROR(IF(VLOOKUP($B8,'MM B-Flags'!$B$5:$AI$24,34,FALSE)=" ",0,VLOOKUP($B8,'MM B-Flags'!$B$5:$AI$24,34,FALSE)),0)+IFERROR(IF(VLOOKUP($B8,'MM B-Figure 8'!$B$5:$AI$24,34,FALSE)=" ",0,VLOOKUP($B8,'MM B-Figure 8'!$B$5:$AI$24,34,FALSE)),0)+IFERROR(IF(VLOOKUP($B8,'MM B-Goats'!$B$5:$AI$24,34,FALSE)=" ",0,VLOOKUP($B8,'MM B-Goats'!$B$5:$AI$24,34,FALSE)),0)</f>
        <v>24</v>
      </c>
      <c r="Y8" s="95">
        <f t="shared" si="14"/>
        <v>24</v>
      </c>
      <c r="Z8" s="91">
        <f t="shared" si="15"/>
        <v>5</v>
      </c>
      <c r="AA8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220.5</v>
      </c>
      <c r="AB8" s="95">
        <f t="shared" si="16"/>
        <v>220.5</v>
      </c>
      <c r="AC8" s="91">
        <f t="shared" si="17"/>
        <v>4</v>
      </c>
    </row>
    <row r="9" spans="2:29" x14ac:dyDescent="0.25">
      <c r="B9" s="141" t="s">
        <v>72</v>
      </c>
      <c r="C9" s="120">
        <f>IFERROR(IF(VLOOKUP($B9,'MM B-Dummy Roping'!$B$5:$AI$24,6,FALSE)=" ",0,VLOOKUP($B9,'MM B-Dummy Roping'!$B$5:$AI$24,6,FALSE)),0)+IFERROR(IF(VLOOKUP($B9,'MM B-Flags'!$B$5:$AI$24,6,FALSE)=" ",0,VLOOKUP($B9,'MM B-Flags'!$B$5:$AI$24,6,FALSE)),0)+IFERROR(IF(VLOOKUP($B9,'MM B-Figure 8'!$B$5:$AI$24,6,FALSE)=" ",0,VLOOKUP($B9,'MM B-Figure 8'!$B$5:$AI$24,6,FALSE)),0)+IFERROR(IF(VLOOKUP($B9,'MM B-Goats'!$B$5:$AI$24,6,FALSE)=" ",0,VLOOKUP($B9,'MM B-Goats'!$B$5:$AI$24,6,FALSE)),0)</f>
        <v>16.5</v>
      </c>
      <c r="D9" s="95">
        <f t="shared" si="0"/>
        <v>16.5</v>
      </c>
      <c r="E9" s="122">
        <f t="shared" si="1"/>
        <v>6</v>
      </c>
      <c r="F9" s="121">
        <f>IFERROR(IF(VLOOKUP($B9,'MM B-Dummy Roping'!$B$5:$AI$24,10,FALSE)=" ",0,VLOOKUP($B9,'MM B-Dummy Roping'!$B$5:$AI$24,10,FALSE)),0)+IFERROR(IF(VLOOKUP($B9,'MM B-Flags'!$B$5:$AI$24,10,FALSE)=" ",0,VLOOKUP($B9,'MM B-Flags'!$B$5:$AI$24,10,FALSE)),0)+IFERROR(IF(VLOOKUP($B9,'MM B-Figure 8'!$B$5:$AI$24,10,FALSE)=" ",0,VLOOKUP($B9,'MM B-Figure 8'!$B$5:$AI$24,10,FALSE)),0)+IFERROR(IF(VLOOKUP($B9,'MM B-Goats'!$B$5:$AI$24,10,FALSE)=" ",0,VLOOKUP($B9,'MM B-Goats'!$B$5:$AI$24,10,FALSE)),0)</f>
        <v>21</v>
      </c>
      <c r="G9" s="95">
        <f t="shared" si="2"/>
        <v>21</v>
      </c>
      <c r="H9" s="122">
        <f t="shared" si="3"/>
        <v>6</v>
      </c>
      <c r="I9" s="121">
        <f>IFERROR(IF(VLOOKUP($B9,'MM B-Dummy Roping'!$B$5:$AI$24,14,FALSE)=" ",0,VLOOKUP($B9,'MM B-Dummy Roping'!$B$5:$AI$24,14,FALSE)),0)+IFERROR(IF(VLOOKUP($B9,'MM B-Flags'!$B$5:$AI$24,14,FALSE)=" ",0,VLOOKUP($B9,'MM B-Flags'!$B$5:$AI$24,14,FALSE)),0)+IFERROR(IF(VLOOKUP($B9,'MM B-Figure 8'!$B$5:$AI$24,14,FALSE)=" ",0,VLOOKUP($B9,'MM B-Figure 8'!$B$5:$AI$24,14,FALSE)),0)+IFERROR(IF(VLOOKUP($B9,'MM B-Goats'!$B$5:$AI$24,14,FALSE)=" ",0,VLOOKUP($B9,'MM B-Goats'!$B$5:$AI$24,14,FALSE)),0)</f>
        <v>6</v>
      </c>
      <c r="J9" s="95">
        <f t="shared" si="4"/>
        <v>6</v>
      </c>
      <c r="K9" s="122">
        <f t="shared" si="5"/>
        <v>7</v>
      </c>
      <c r="L9" s="121">
        <f>IFERROR(IF(VLOOKUP($B9,'MM B-Dummy Roping'!$B$5:$AI$24,18,FALSE)=" ",0,VLOOKUP($B9,'MM B-Dummy Roping'!$B$5:$AI$24,18,FALSE)),0)+IFERROR(IF(VLOOKUP($B9,'MM B-Flags'!$B$5:$AI$24,18,FALSE)=" ",0,VLOOKUP($B9,'MM B-Flags'!$B$5:$AI$24,18,FALSE)),0)+IFERROR(IF(VLOOKUP($B9,'MM B-Figure 8'!$B$5:$AI$24,18,FALSE)=" ",0,VLOOKUP($B9,'MM B-Figure 8'!$B$5:$AI$24,18,FALSE)),0)+IFERROR(IF(VLOOKUP($B9,'MM B-Goats'!$B$5:$AI$24,18,FALSE)=" ",0,VLOOKUP($B9,'MM B-Goats'!$B$5:$AI$24,18,FALSE)),0)</f>
        <v>21</v>
      </c>
      <c r="M9" s="95">
        <f t="shared" si="6"/>
        <v>21</v>
      </c>
      <c r="N9" s="122">
        <f t="shared" si="7"/>
        <v>6</v>
      </c>
      <c r="O9" s="121">
        <f>IFERROR(IF(VLOOKUP($B9,'MM B-Dummy Roping'!$B$5:$AI$24,22,FALSE)=" ",0,VLOOKUP($B9,'MM B-Dummy Roping'!$B$5:$AI$24,22,FALSE)),0)+IFERROR(IF(VLOOKUP($B9,'MM B-Flags'!$B$5:$AI$24,22,FALSE)=" ",0,VLOOKUP($B9,'MM B-Flags'!$B$5:$AI$24,22,FALSE)),0)+IFERROR(IF(VLOOKUP($B9,'MM B-Figure 8'!$B$5:$AI$24,22,FALSE)=" ",0,VLOOKUP($B9,'MM B-Figure 8'!$B$5:$AI$24,22,FALSE)),0)+IFERROR(IF(VLOOKUP($B9,'MM B-Goats'!$B$5:$AI$24,22,FALSE)=" ",0,VLOOKUP($B9,'MM B-Goats'!$B$5:$AI$24,22,FALSE)),0)</f>
        <v>10.5</v>
      </c>
      <c r="P9" s="95">
        <f t="shared" si="8"/>
        <v>10.5</v>
      </c>
      <c r="Q9" s="122">
        <f t="shared" si="9"/>
        <v>6</v>
      </c>
      <c r="R9" s="121">
        <f>IFERROR(IF(VLOOKUP($B9,'MM B-Dummy Roping'!$B$5:$AI$24,26,FALSE)=" ",0,VLOOKUP($B9,'MM B-Dummy Roping'!$B$5:$AI$24,26,FALSE)),0)+IFERROR(IF(VLOOKUP($B9,'MM B-Flags'!$B$5:$AI$24,26,FALSE)=" ",0,VLOOKUP($B9,'MM B-Flags'!$B$5:$AI$24,26,FALSE)),0)+IFERROR(IF(VLOOKUP($B9,'MM B-Figure 8'!$B$5:$AI$24,26,FALSE)=" ",0,VLOOKUP($B9,'MM B-Figure 8'!$B$5:$AI$24,26,FALSE)),0)+IFERROR(IF(VLOOKUP($B9,'MM B-Goats'!$B$5:$AI$24,26,FALSE)=" ",0,VLOOKUP($B9,'MM B-Goats'!$B$5:$AI$24,26,FALSE)),0)</f>
        <v>30</v>
      </c>
      <c r="S9" s="95">
        <f t="shared" si="10"/>
        <v>30</v>
      </c>
      <c r="T9" s="122">
        <f t="shared" si="11"/>
        <v>4</v>
      </c>
      <c r="U9" s="121">
        <f>IFERROR(IF(VLOOKUP($B9,'MM B-Dummy Roping'!$B$5:$AI$24,30,FALSE)=" ",0,VLOOKUP($B9,'MM B-Dummy Roping'!$B$5:$AI$24,30,FALSE)),0)+IFERROR(IF(VLOOKUP($B9,'MM B-Flags'!$B$5:$AI$24,30,FALSE)=" ",0,VLOOKUP($B9,'MM B-Flags'!$B$5:$AI$24,30,FALSE)),0)+IFERROR(IF(VLOOKUP($B9,'MM B-Figure 8'!$B$5:$AI$24,30,FALSE)=" ",0,VLOOKUP($B9,'MM B-Figure 8'!$B$5:$AI$24,30,FALSE)),0)+IFERROR(IF(VLOOKUP($B9,'MM B-Goats'!$B$5:$AI$24,30,FALSE)=" ",0,VLOOKUP($B9,'MM B-Goats'!$B$5:$AI$24,30,FALSE)),0)</f>
        <v>27</v>
      </c>
      <c r="V9" s="95">
        <f t="shared" si="12"/>
        <v>27</v>
      </c>
      <c r="W9" s="122">
        <f t="shared" si="13"/>
        <v>5</v>
      </c>
      <c r="X9" s="121">
        <f>IFERROR(IF(VLOOKUP($B9,'MM B-Dummy Roping'!$B$5:$AI$24,34,FALSE)=" ",0,VLOOKUP($B9,'MM B-Dummy Roping'!$B$5:$AI$24,34,FALSE)),0)+IFERROR(IF(VLOOKUP($B9,'MM B-Flags'!$B$5:$AI$24,34,FALSE)=" ",0,VLOOKUP($B9,'MM B-Flags'!$B$5:$AI$24,34,FALSE)),0)+IFERROR(IF(VLOOKUP($B9,'MM B-Figure 8'!$B$5:$AI$24,34,FALSE)=" ",0,VLOOKUP($B9,'MM B-Figure 8'!$B$5:$AI$24,34,FALSE)),0)+IFERROR(IF(VLOOKUP($B9,'MM B-Goats'!$B$5:$AI$24,34,FALSE)=" ",0,VLOOKUP($B9,'MM B-Goats'!$B$5:$AI$24,34,FALSE)),0)</f>
        <v>36</v>
      </c>
      <c r="Y9" s="95">
        <f t="shared" si="14"/>
        <v>36</v>
      </c>
      <c r="Z9" s="122">
        <f t="shared" si="15"/>
        <v>4</v>
      </c>
      <c r="AA9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168</v>
      </c>
      <c r="AB9" s="95">
        <f t="shared" si="16"/>
        <v>168</v>
      </c>
      <c r="AC9" s="122">
        <f t="shared" si="17"/>
        <v>5</v>
      </c>
    </row>
    <row r="10" spans="2:29" x14ac:dyDescent="0.25">
      <c r="B10" s="154" t="s">
        <v>231</v>
      </c>
      <c r="C10" s="120">
        <f>IFERROR(IF(VLOOKUP($B10,'MM B-Dummy Roping'!$B$5:$AI$24,6,FALSE)=" ",0,VLOOKUP($B10,'MM B-Dummy Roping'!$B$5:$AI$24,6,FALSE)),0)+IFERROR(IF(VLOOKUP($B10,'MM B-Flags'!$B$5:$AI$24,6,FALSE)=" ",0,VLOOKUP($B10,'MM B-Flags'!$B$5:$AI$24,6,FALSE)),0)+IFERROR(IF(VLOOKUP($B10,'MM B-Figure 8'!$B$5:$AI$24,6,FALSE)=" ",0,VLOOKUP($B10,'MM B-Figure 8'!$B$5:$AI$24,6,FALSE)),0)+IFERROR(IF(VLOOKUP($B10,'MM B-Goats'!$B$5:$AI$24,6,FALSE)=" ",0,VLOOKUP($B10,'MM B-Goats'!$B$5:$AI$24,6,FALSE)),0)</f>
        <v>9</v>
      </c>
      <c r="D10" s="95">
        <f t="shared" si="0"/>
        <v>9</v>
      </c>
      <c r="E10" s="91">
        <f t="shared" si="1"/>
        <v>7</v>
      </c>
      <c r="F10" s="121">
        <f>IFERROR(IF(VLOOKUP($B10,'MM B-Dummy Roping'!$B$5:$AI$24,10,FALSE)=" ",0,VLOOKUP($B10,'MM B-Dummy Roping'!$B$5:$AI$24,10,FALSE)),0)+IFERROR(IF(VLOOKUP($B10,'MM B-Flags'!$B$5:$AI$24,10,FALSE)=" ",0,VLOOKUP($B10,'MM B-Flags'!$B$5:$AI$24,10,FALSE)),0)+IFERROR(IF(VLOOKUP($B10,'MM B-Figure 8'!$B$5:$AI$24,10,FALSE)=" ",0,VLOOKUP($B10,'MM B-Figure 8'!$B$5:$AI$24,10,FALSE)),0)+IFERROR(IF(VLOOKUP($B10,'MM B-Goats'!$B$5:$AI$24,10,FALSE)=" ",0,VLOOKUP($B10,'MM B-Goats'!$B$5:$AI$24,10,FALSE)),0)</f>
        <v>15</v>
      </c>
      <c r="G10" s="95">
        <f t="shared" si="2"/>
        <v>15</v>
      </c>
      <c r="H10" s="91">
        <f t="shared" si="3"/>
        <v>7</v>
      </c>
      <c r="I10" s="121">
        <f>IFERROR(IF(VLOOKUP($B10,'MM B-Dummy Roping'!$B$5:$AI$24,14,FALSE)=" ",0,VLOOKUP($B10,'MM B-Dummy Roping'!$B$5:$AI$24,14,FALSE)),0)+IFERROR(IF(VLOOKUP($B10,'MM B-Flags'!$B$5:$AI$24,14,FALSE)=" ",0,VLOOKUP($B10,'MM B-Flags'!$B$5:$AI$24,14,FALSE)),0)+IFERROR(IF(VLOOKUP($B10,'MM B-Figure 8'!$B$5:$AI$24,14,FALSE)=" ",0,VLOOKUP($B10,'MM B-Figure 8'!$B$5:$AI$24,14,FALSE)),0)+IFERROR(IF(VLOOKUP($B10,'MM B-Goats'!$B$5:$AI$24,14,FALSE)=" ",0,VLOOKUP($B10,'MM B-Goats'!$B$5:$AI$24,14,FALSE)),0)</f>
        <v>24</v>
      </c>
      <c r="J10" s="95">
        <f t="shared" si="4"/>
        <v>24</v>
      </c>
      <c r="K10" s="91">
        <f t="shared" si="5"/>
        <v>5</v>
      </c>
      <c r="L10" s="121">
        <f>IFERROR(IF(VLOOKUP($B10,'MM B-Dummy Roping'!$B$5:$AI$24,18,FALSE)=" ",0,VLOOKUP($B10,'MM B-Dummy Roping'!$B$5:$AI$24,18,FALSE)),0)+IFERROR(IF(VLOOKUP($B10,'MM B-Flags'!$B$5:$AI$24,18,FALSE)=" ",0,VLOOKUP($B10,'MM B-Flags'!$B$5:$AI$24,18,FALSE)),0)+IFERROR(IF(VLOOKUP($B10,'MM B-Figure 8'!$B$5:$AI$24,18,FALSE)=" ",0,VLOOKUP($B10,'MM B-Figure 8'!$B$5:$AI$24,18,FALSE)),0)+IFERROR(IF(VLOOKUP($B10,'MM B-Goats'!$B$5:$AI$24,18,FALSE)=" ",0,VLOOKUP($B10,'MM B-Goats'!$B$5:$AI$24,18,FALSE)),0)</f>
        <v>4.5</v>
      </c>
      <c r="M10" s="95">
        <f t="shared" si="6"/>
        <v>4.5</v>
      </c>
      <c r="N10" s="91">
        <f t="shared" si="7"/>
        <v>8</v>
      </c>
      <c r="O10" s="121">
        <f>IFERROR(IF(VLOOKUP($B10,'MM B-Dummy Roping'!$B$5:$AI$24,22,FALSE)=" ",0,VLOOKUP($B10,'MM B-Dummy Roping'!$B$5:$AI$24,22,FALSE)),0)+IFERROR(IF(VLOOKUP($B10,'MM B-Flags'!$B$5:$AI$24,22,FALSE)=" ",0,VLOOKUP($B10,'MM B-Flags'!$B$5:$AI$24,22,FALSE)),0)+IFERROR(IF(VLOOKUP($B10,'MM B-Figure 8'!$B$5:$AI$24,22,FALSE)=" ",0,VLOOKUP($B10,'MM B-Figure 8'!$B$5:$AI$24,22,FALSE)),0)+IFERROR(IF(VLOOKUP($B10,'MM B-Goats'!$B$5:$AI$24,22,FALSE)=" ",0,VLOOKUP($B10,'MM B-Goats'!$B$5:$AI$24,22,FALSE)),0)</f>
        <v>34.5</v>
      </c>
      <c r="P10" s="95">
        <f t="shared" si="8"/>
        <v>34.5</v>
      </c>
      <c r="Q10" s="91">
        <f t="shared" si="9"/>
        <v>4</v>
      </c>
      <c r="R10" s="121">
        <f>IFERROR(IF(VLOOKUP($B10,'MM B-Dummy Roping'!$B$5:$AI$24,26,FALSE)=" ",0,VLOOKUP($B10,'MM B-Dummy Roping'!$B$5:$AI$24,26,FALSE)),0)+IFERROR(IF(VLOOKUP($B10,'MM B-Flags'!$B$5:$AI$24,26,FALSE)=" ",0,VLOOKUP($B10,'MM B-Flags'!$B$5:$AI$24,26,FALSE)),0)+IFERROR(IF(VLOOKUP($B10,'MM B-Figure 8'!$B$5:$AI$24,26,FALSE)=" ",0,VLOOKUP($B10,'MM B-Figure 8'!$B$5:$AI$24,26,FALSE)),0)+IFERROR(IF(VLOOKUP($B10,'MM B-Goats'!$B$5:$AI$24,26,FALSE)=" ",0,VLOOKUP($B10,'MM B-Goats'!$B$5:$AI$24,26,FALSE)),0)</f>
        <v>9</v>
      </c>
      <c r="S10" s="95">
        <f t="shared" si="10"/>
        <v>9</v>
      </c>
      <c r="T10" s="91">
        <f t="shared" si="11"/>
        <v>7</v>
      </c>
      <c r="U10" s="121">
        <f>IFERROR(IF(VLOOKUP($B10,'MM B-Dummy Roping'!$B$5:$AI$24,30,FALSE)=" ",0,VLOOKUP($B10,'MM B-Dummy Roping'!$B$5:$AI$24,30,FALSE)),0)+IFERROR(IF(VLOOKUP($B10,'MM B-Flags'!$B$5:$AI$24,30,FALSE)=" ",0,VLOOKUP($B10,'MM B-Flags'!$B$5:$AI$24,30,FALSE)),0)+IFERROR(IF(VLOOKUP($B10,'MM B-Figure 8'!$B$5:$AI$24,30,FALSE)=" ",0,VLOOKUP($B10,'MM B-Figure 8'!$B$5:$AI$24,30,FALSE)),0)+IFERROR(IF(VLOOKUP($B10,'MM B-Goats'!$B$5:$AI$24,30,FALSE)=" ",0,VLOOKUP($B10,'MM B-Goats'!$B$5:$AI$24,30,FALSE)),0)</f>
        <v>39</v>
      </c>
      <c r="V10" s="95">
        <f t="shared" si="12"/>
        <v>39</v>
      </c>
      <c r="W10" s="91">
        <f t="shared" si="13"/>
        <v>3</v>
      </c>
      <c r="X10" s="121">
        <f>IFERROR(IF(VLOOKUP($B10,'MM B-Dummy Roping'!$B$5:$AI$24,34,FALSE)=" ",0,VLOOKUP($B10,'MM B-Dummy Roping'!$B$5:$AI$24,34,FALSE)),0)+IFERROR(IF(VLOOKUP($B10,'MM B-Flags'!$B$5:$AI$24,34,FALSE)=" ",0,VLOOKUP($B10,'MM B-Flags'!$B$5:$AI$24,34,FALSE)),0)+IFERROR(IF(VLOOKUP($B10,'MM B-Figure 8'!$B$5:$AI$24,34,FALSE)=" ",0,VLOOKUP($B10,'MM B-Figure 8'!$B$5:$AI$24,34,FALSE)),0)+IFERROR(IF(VLOOKUP($B10,'MM B-Goats'!$B$5:$AI$24,34,FALSE)=" ",0,VLOOKUP($B10,'MM B-Goats'!$B$5:$AI$24,34,FALSE)),0)</f>
        <v>18</v>
      </c>
      <c r="Y10" s="95">
        <f t="shared" si="14"/>
        <v>18</v>
      </c>
      <c r="Z10" s="91">
        <f t="shared" si="15"/>
        <v>6</v>
      </c>
      <c r="AA10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153</v>
      </c>
      <c r="AB10" s="95">
        <f t="shared" si="16"/>
        <v>153</v>
      </c>
      <c r="AC10" s="91">
        <f t="shared" si="17"/>
        <v>6</v>
      </c>
    </row>
    <row r="11" spans="2:29" x14ac:dyDescent="0.25">
      <c r="B11" s="141" t="s">
        <v>232</v>
      </c>
      <c r="C11" s="120">
        <f>IFERROR(IF(VLOOKUP($B11,'MM B-Dummy Roping'!$B$5:$AI$24,6,FALSE)=" ",0,VLOOKUP($B11,'MM B-Dummy Roping'!$B$5:$AI$24,6,FALSE)),0)+IFERROR(IF(VLOOKUP($B11,'MM B-Flags'!$B$5:$AI$24,6,FALSE)=" ",0,VLOOKUP($B11,'MM B-Flags'!$B$5:$AI$24,6,FALSE)),0)+IFERROR(IF(VLOOKUP($B11,'MM B-Figure 8'!$B$5:$AI$24,6,FALSE)=" ",0,VLOOKUP($B11,'MM B-Figure 8'!$B$5:$AI$24,6,FALSE)),0)+IFERROR(IF(VLOOKUP($B11,'MM B-Goats'!$B$5:$AI$24,6,FALSE)=" ",0,VLOOKUP($B11,'MM B-Goats'!$B$5:$AI$24,6,FALSE)),0)</f>
        <v>30</v>
      </c>
      <c r="D11" s="95">
        <f t="shared" si="0"/>
        <v>30</v>
      </c>
      <c r="E11" s="91">
        <f t="shared" si="1"/>
        <v>3</v>
      </c>
      <c r="F11" s="121">
        <f>IFERROR(IF(VLOOKUP($B11,'MM B-Dummy Roping'!$B$5:$AI$24,10,FALSE)=" ",0,VLOOKUP($B11,'MM B-Dummy Roping'!$B$5:$AI$24,10,FALSE)),0)+IFERROR(IF(VLOOKUP($B11,'MM B-Flags'!$B$5:$AI$24,10,FALSE)=" ",0,VLOOKUP($B11,'MM B-Flags'!$B$5:$AI$24,10,FALSE)),0)+IFERROR(IF(VLOOKUP($B11,'MM B-Figure 8'!$B$5:$AI$24,10,FALSE)=" ",0,VLOOKUP($B11,'MM B-Figure 8'!$B$5:$AI$24,10,FALSE)),0)+IFERROR(IF(VLOOKUP($B11,'MM B-Goats'!$B$5:$AI$24,10,FALSE)=" ",0,VLOOKUP($B11,'MM B-Goats'!$B$5:$AI$24,10,FALSE)),0)</f>
        <v>27</v>
      </c>
      <c r="G11" s="95">
        <f t="shared" si="2"/>
        <v>27</v>
      </c>
      <c r="H11" s="91">
        <f t="shared" si="3"/>
        <v>5</v>
      </c>
      <c r="I11" s="121">
        <f>IFERROR(IF(VLOOKUP($B11,'MM B-Dummy Roping'!$B$5:$AI$24,14,FALSE)=" ",0,VLOOKUP($B11,'MM B-Dummy Roping'!$B$5:$AI$24,14,FALSE)),0)+IFERROR(IF(VLOOKUP($B11,'MM B-Flags'!$B$5:$AI$24,14,FALSE)=" ",0,VLOOKUP($B11,'MM B-Flags'!$B$5:$AI$24,14,FALSE)),0)+IFERROR(IF(VLOOKUP($B11,'MM B-Figure 8'!$B$5:$AI$24,14,FALSE)=" ",0,VLOOKUP($B11,'MM B-Figure 8'!$B$5:$AI$24,14,FALSE)),0)+IFERROR(IF(VLOOKUP($B11,'MM B-Goats'!$B$5:$AI$24,14,FALSE)=" ",0,VLOOKUP($B11,'MM B-Goats'!$B$5:$AI$24,14,FALSE)),0)</f>
        <v>13.5</v>
      </c>
      <c r="J11" s="95">
        <f t="shared" si="4"/>
        <v>13.5</v>
      </c>
      <c r="K11" s="91">
        <f t="shared" si="5"/>
        <v>6</v>
      </c>
      <c r="L11" s="121">
        <f>IFERROR(IF(VLOOKUP($B11,'MM B-Dummy Roping'!$B$5:$AI$24,18,FALSE)=" ",0,VLOOKUP($B11,'MM B-Dummy Roping'!$B$5:$AI$24,18,FALSE)),0)+IFERROR(IF(VLOOKUP($B11,'MM B-Flags'!$B$5:$AI$24,18,FALSE)=" ",0,VLOOKUP($B11,'MM B-Flags'!$B$5:$AI$24,18,FALSE)),0)+IFERROR(IF(VLOOKUP($B11,'MM B-Figure 8'!$B$5:$AI$24,18,FALSE)=" ",0,VLOOKUP($B11,'MM B-Figure 8'!$B$5:$AI$24,18,FALSE)),0)+IFERROR(IF(VLOOKUP($B11,'MM B-Goats'!$B$5:$AI$24,18,FALSE)=" ",0,VLOOKUP($B11,'MM B-Goats'!$B$5:$AI$24,18,FALSE)),0)</f>
        <v>25.5</v>
      </c>
      <c r="M11" s="95">
        <f t="shared" si="6"/>
        <v>25.5</v>
      </c>
      <c r="N11" s="91">
        <f t="shared" si="7"/>
        <v>4</v>
      </c>
      <c r="O11" s="121">
        <f>IFERROR(IF(VLOOKUP($B11,'MM B-Dummy Roping'!$B$5:$AI$24,22,FALSE)=" ",0,VLOOKUP($B11,'MM B-Dummy Roping'!$B$5:$AI$24,22,FALSE)),0)+IFERROR(IF(VLOOKUP($B11,'MM B-Flags'!$B$5:$AI$24,22,FALSE)=" ",0,VLOOKUP($B11,'MM B-Flags'!$B$5:$AI$24,22,FALSE)),0)+IFERROR(IF(VLOOKUP($B11,'MM B-Figure 8'!$B$5:$AI$24,22,FALSE)=" ",0,VLOOKUP($B11,'MM B-Figure 8'!$B$5:$AI$24,22,FALSE)),0)+IFERROR(IF(VLOOKUP($B11,'MM B-Goats'!$B$5:$AI$24,22,FALSE)=" ",0,VLOOKUP($B11,'MM B-Goats'!$B$5:$AI$24,22,FALSE)),0)</f>
        <v>9</v>
      </c>
      <c r="P11" s="95">
        <f t="shared" si="8"/>
        <v>9</v>
      </c>
      <c r="Q11" s="91">
        <f t="shared" si="9"/>
        <v>7</v>
      </c>
      <c r="R11" s="121">
        <f>IFERROR(IF(VLOOKUP($B11,'MM B-Dummy Roping'!$B$5:$AI$24,26,FALSE)=" ",0,VLOOKUP($B11,'MM B-Dummy Roping'!$B$5:$AI$24,26,FALSE)),0)+IFERROR(IF(VLOOKUP($B11,'MM B-Flags'!$B$5:$AI$24,26,FALSE)=" ",0,VLOOKUP($B11,'MM B-Flags'!$B$5:$AI$24,26,FALSE)),0)+IFERROR(IF(VLOOKUP($B11,'MM B-Figure 8'!$B$5:$AI$24,26,FALSE)=" ",0,VLOOKUP($B11,'MM B-Figure 8'!$B$5:$AI$24,26,FALSE)),0)+IFERROR(IF(VLOOKUP($B11,'MM B-Goats'!$B$5:$AI$24,26,FALSE)=" ",0,VLOOKUP($B11,'MM B-Goats'!$B$5:$AI$24,26,FALSE)),0)</f>
        <v>15</v>
      </c>
      <c r="S11" s="95">
        <f t="shared" si="10"/>
        <v>15</v>
      </c>
      <c r="T11" s="91">
        <f t="shared" si="11"/>
        <v>6</v>
      </c>
      <c r="U11" s="121">
        <f>IFERROR(IF(VLOOKUP($B11,'MM B-Dummy Roping'!$B$5:$AI$24,30,FALSE)=" ",0,VLOOKUP($B11,'MM B-Dummy Roping'!$B$5:$AI$24,30,FALSE)),0)+IFERROR(IF(VLOOKUP($B11,'MM B-Flags'!$B$5:$AI$24,30,FALSE)=" ",0,VLOOKUP($B11,'MM B-Flags'!$B$5:$AI$24,30,FALSE)),0)+IFERROR(IF(VLOOKUP($B11,'MM B-Figure 8'!$B$5:$AI$24,30,FALSE)=" ",0,VLOOKUP($B11,'MM B-Figure 8'!$B$5:$AI$24,30,FALSE)),0)+IFERROR(IF(VLOOKUP($B11,'MM B-Goats'!$B$5:$AI$24,30,FALSE)=" ",0,VLOOKUP($B11,'MM B-Goats'!$B$5:$AI$24,30,FALSE)),0)</f>
        <v>6</v>
      </c>
      <c r="V11" s="95">
        <f t="shared" si="12"/>
        <v>6</v>
      </c>
      <c r="W11" s="91">
        <f t="shared" si="13"/>
        <v>7</v>
      </c>
      <c r="X11" s="121">
        <f>IFERROR(IF(VLOOKUP($B11,'MM B-Dummy Roping'!$B$5:$AI$24,34,FALSE)=" ",0,VLOOKUP($B11,'MM B-Dummy Roping'!$B$5:$AI$24,34,FALSE)),0)+IFERROR(IF(VLOOKUP($B11,'MM B-Flags'!$B$5:$AI$24,34,FALSE)=" ",0,VLOOKUP($B11,'MM B-Flags'!$B$5:$AI$24,34,FALSE)),0)+IFERROR(IF(VLOOKUP($B11,'MM B-Figure 8'!$B$5:$AI$24,34,FALSE)=" ",0,VLOOKUP($B11,'MM B-Figure 8'!$B$5:$AI$24,34,FALSE)),0)+IFERROR(IF(VLOOKUP($B11,'MM B-Goats'!$B$5:$AI$24,34,FALSE)=" ",0,VLOOKUP($B11,'MM B-Goats'!$B$5:$AI$24,34,FALSE)),0)</f>
        <v>9</v>
      </c>
      <c r="Y11" s="95">
        <f t="shared" si="14"/>
        <v>9</v>
      </c>
      <c r="Z11" s="91">
        <f t="shared" si="15"/>
        <v>7</v>
      </c>
      <c r="AA11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135</v>
      </c>
      <c r="AB11" s="95">
        <f t="shared" si="16"/>
        <v>135</v>
      </c>
      <c r="AC11" s="91">
        <f t="shared" si="17"/>
        <v>7</v>
      </c>
    </row>
    <row r="12" spans="2:29" x14ac:dyDescent="0.25">
      <c r="B12" s="142" t="s">
        <v>230</v>
      </c>
      <c r="C12" s="120">
        <f>IFERROR(IF(VLOOKUP($B12,'MM B-Dummy Roping'!$B$5:$AI$24,6,FALSE)=" ",0,VLOOKUP($B12,'MM B-Dummy Roping'!$B$5:$AI$24,6,FALSE)),0)+IFERROR(IF(VLOOKUP($B12,'MM B-Flags'!$B$5:$AI$24,6,FALSE)=" ",0,VLOOKUP($B12,'MM B-Flags'!$B$5:$AI$24,6,FALSE)),0)+IFERROR(IF(VLOOKUP($B12,'MM B-Figure 8'!$B$5:$AI$24,6,FALSE)=" ",0,VLOOKUP($B12,'MM B-Figure 8'!$B$5:$AI$24,6,FALSE)),0)+IFERROR(IF(VLOOKUP($B12,'MM B-Goats'!$B$5:$AI$24,6,FALSE)=" ",0,VLOOKUP($B12,'MM B-Goats'!$B$5:$AI$24,6,FALSE)),0)</f>
        <v>0</v>
      </c>
      <c r="D12" s="95" t="str">
        <f t="shared" si="0"/>
        <v xml:space="preserve"> </v>
      </c>
      <c r="E12" s="91" t="str">
        <f t="shared" si="1"/>
        <v xml:space="preserve"> </v>
      </c>
      <c r="F12" s="121">
        <f>IFERROR(IF(VLOOKUP($B12,'MM B-Dummy Roping'!$B$5:$AI$24,10,FALSE)=" ",0,VLOOKUP($B12,'MM B-Dummy Roping'!$B$5:$AI$24,10,FALSE)),0)+IFERROR(IF(VLOOKUP($B12,'MM B-Flags'!$B$5:$AI$24,10,FALSE)=" ",0,VLOOKUP($B12,'MM B-Flags'!$B$5:$AI$24,10,FALSE)),0)+IFERROR(IF(VLOOKUP($B12,'MM B-Figure 8'!$B$5:$AI$24,10,FALSE)=" ",0,VLOOKUP($B12,'MM B-Figure 8'!$B$5:$AI$24,10,FALSE)),0)+IFERROR(IF(VLOOKUP($B12,'MM B-Goats'!$B$5:$AI$24,10,FALSE)=" ",0,VLOOKUP($B12,'MM B-Goats'!$B$5:$AI$24,10,FALSE)),0)</f>
        <v>0</v>
      </c>
      <c r="G12" s="95" t="str">
        <f t="shared" si="2"/>
        <v xml:space="preserve"> </v>
      </c>
      <c r="H12" s="91" t="str">
        <f t="shared" si="3"/>
        <v xml:space="preserve"> </v>
      </c>
      <c r="I12" s="121">
        <f>IFERROR(IF(VLOOKUP($B12,'MM B-Dummy Roping'!$B$5:$AI$24,14,FALSE)=" ",0,VLOOKUP($B12,'MM B-Dummy Roping'!$B$5:$AI$24,14,FALSE)),0)+IFERROR(IF(VLOOKUP($B12,'MM B-Flags'!$B$5:$AI$24,14,FALSE)=" ",0,VLOOKUP($B12,'MM B-Flags'!$B$5:$AI$24,14,FALSE)),0)+IFERROR(IF(VLOOKUP($B12,'MM B-Figure 8'!$B$5:$AI$24,14,FALSE)=" ",0,VLOOKUP($B12,'MM B-Figure 8'!$B$5:$AI$24,14,FALSE)),0)+IFERROR(IF(VLOOKUP($B12,'MM B-Goats'!$B$5:$AI$24,14,FALSE)=" ",0,VLOOKUP($B12,'MM B-Goats'!$B$5:$AI$24,14,FALSE)),0)</f>
        <v>6</v>
      </c>
      <c r="J12" s="95">
        <f t="shared" si="4"/>
        <v>6</v>
      </c>
      <c r="K12" s="91">
        <f t="shared" si="5"/>
        <v>7</v>
      </c>
      <c r="L12" s="121">
        <f>IFERROR(IF(VLOOKUP($B12,'MM B-Dummy Roping'!$B$5:$AI$24,18,FALSE)=" ",0,VLOOKUP($B12,'MM B-Dummy Roping'!$B$5:$AI$24,18,FALSE)),0)+IFERROR(IF(VLOOKUP($B12,'MM B-Flags'!$B$5:$AI$24,18,FALSE)=" ",0,VLOOKUP($B12,'MM B-Flags'!$B$5:$AI$24,18,FALSE)),0)+IFERROR(IF(VLOOKUP($B12,'MM B-Figure 8'!$B$5:$AI$24,18,FALSE)=" ",0,VLOOKUP($B12,'MM B-Figure 8'!$B$5:$AI$24,18,FALSE)),0)+IFERROR(IF(VLOOKUP($B12,'MM B-Goats'!$B$5:$AI$24,18,FALSE)=" ",0,VLOOKUP($B12,'MM B-Goats'!$B$5:$AI$24,18,FALSE)),0)</f>
        <v>10.5</v>
      </c>
      <c r="M12" s="95">
        <f t="shared" si="6"/>
        <v>10.5</v>
      </c>
      <c r="N12" s="91">
        <f t="shared" si="7"/>
        <v>7</v>
      </c>
      <c r="O12" s="121">
        <f>IFERROR(IF(VLOOKUP($B12,'MM B-Dummy Roping'!$B$5:$AI$24,22,FALSE)=" ",0,VLOOKUP($B12,'MM B-Dummy Roping'!$B$5:$AI$24,22,FALSE)),0)+IFERROR(IF(VLOOKUP($B12,'MM B-Flags'!$B$5:$AI$24,22,FALSE)=" ",0,VLOOKUP($B12,'MM B-Flags'!$B$5:$AI$24,22,FALSE)),0)+IFERROR(IF(VLOOKUP($B12,'MM B-Figure 8'!$B$5:$AI$24,22,FALSE)=" ",0,VLOOKUP($B12,'MM B-Figure 8'!$B$5:$AI$24,22,FALSE)),0)+IFERROR(IF(VLOOKUP($B12,'MM B-Goats'!$B$5:$AI$24,22,FALSE)=" ",0,VLOOKUP($B12,'MM B-Goats'!$B$5:$AI$24,22,FALSE)),0)</f>
        <v>6</v>
      </c>
      <c r="P12" s="95">
        <f t="shared" si="8"/>
        <v>6</v>
      </c>
      <c r="Q12" s="91">
        <f t="shared" si="9"/>
        <v>8</v>
      </c>
      <c r="R12" s="121">
        <f>IFERROR(IF(VLOOKUP($B12,'MM B-Dummy Roping'!$B$5:$AI$24,26,FALSE)=" ",0,VLOOKUP($B12,'MM B-Dummy Roping'!$B$5:$AI$24,26,FALSE)),0)+IFERROR(IF(VLOOKUP($B12,'MM B-Flags'!$B$5:$AI$24,26,FALSE)=" ",0,VLOOKUP($B12,'MM B-Flags'!$B$5:$AI$24,26,FALSE)),0)+IFERROR(IF(VLOOKUP($B12,'MM B-Figure 8'!$B$5:$AI$24,26,FALSE)=" ",0,VLOOKUP($B12,'MM B-Figure 8'!$B$5:$AI$24,26,FALSE)),0)+IFERROR(IF(VLOOKUP($B12,'MM B-Goats'!$B$5:$AI$24,26,FALSE)=" ",0,VLOOKUP($B12,'MM B-Goats'!$B$5:$AI$24,26,FALSE)),0)</f>
        <v>0</v>
      </c>
      <c r="S12" s="95" t="str">
        <f t="shared" si="10"/>
        <v xml:space="preserve"> </v>
      </c>
      <c r="T12" s="91" t="str">
        <f t="shared" si="11"/>
        <v xml:space="preserve"> </v>
      </c>
      <c r="U12" s="121">
        <f>IFERROR(IF(VLOOKUP($B12,'MM B-Dummy Roping'!$B$5:$AI$24,30,FALSE)=" ",0,VLOOKUP($B12,'MM B-Dummy Roping'!$B$5:$AI$24,30,FALSE)),0)+IFERROR(IF(VLOOKUP($B12,'MM B-Flags'!$B$5:$AI$24,30,FALSE)=" ",0,VLOOKUP($B12,'MM B-Flags'!$B$5:$AI$24,30,FALSE)),0)+IFERROR(IF(VLOOKUP($B12,'MM B-Figure 8'!$B$5:$AI$24,30,FALSE)=" ",0,VLOOKUP($B12,'MM B-Figure 8'!$B$5:$AI$24,30,FALSE)),0)+IFERROR(IF(VLOOKUP($B12,'MM B-Goats'!$B$5:$AI$24,30,FALSE)=" ",0,VLOOKUP($B12,'MM B-Goats'!$B$5:$AI$24,30,FALSE)),0)</f>
        <v>6</v>
      </c>
      <c r="V12" s="95">
        <f t="shared" si="12"/>
        <v>6</v>
      </c>
      <c r="W12" s="91">
        <f t="shared" si="13"/>
        <v>7</v>
      </c>
      <c r="X12" s="121">
        <f>IFERROR(IF(VLOOKUP($B12,'MM B-Dummy Roping'!$B$5:$AI$24,34,FALSE)=" ",0,VLOOKUP($B12,'MM B-Dummy Roping'!$B$5:$AI$24,34,FALSE)),0)+IFERROR(IF(VLOOKUP($B12,'MM B-Flags'!$B$5:$AI$24,34,FALSE)=" ",0,VLOOKUP($B12,'MM B-Flags'!$B$5:$AI$24,34,FALSE)),0)+IFERROR(IF(VLOOKUP($B12,'MM B-Figure 8'!$B$5:$AI$24,34,FALSE)=" ",0,VLOOKUP($B12,'MM B-Figure 8'!$B$5:$AI$24,34,FALSE)),0)+IFERROR(IF(VLOOKUP($B12,'MM B-Goats'!$B$5:$AI$24,34,FALSE)=" ",0,VLOOKUP($B12,'MM B-Goats'!$B$5:$AI$24,34,FALSE)),0)</f>
        <v>0</v>
      </c>
      <c r="Y12" s="95" t="str">
        <f t="shared" si="14"/>
        <v xml:space="preserve"> </v>
      </c>
      <c r="Z12" s="91" t="str">
        <f t="shared" si="15"/>
        <v xml:space="preserve"> </v>
      </c>
      <c r="AA12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28.5</v>
      </c>
      <c r="AB12" s="95">
        <f t="shared" si="16"/>
        <v>28.5</v>
      </c>
      <c r="AC12" s="91">
        <f t="shared" si="17"/>
        <v>8</v>
      </c>
    </row>
    <row r="13" spans="2:29" x14ac:dyDescent="0.25">
      <c r="B13" s="142" t="s">
        <v>244</v>
      </c>
      <c r="C13" s="120">
        <f>IFERROR(IF(VLOOKUP($B13,'MM B-Dummy Roping'!$B$5:$AI$24,6,FALSE)=" ",0,VLOOKUP($B13,'MM B-Dummy Roping'!$B$5:$AI$24,6,FALSE)),0)+IFERROR(IF(VLOOKUP($B13,'MM B-Flags'!$B$5:$AI$24,6,FALSE)=" ",0,VLOOKUP($B13,'MM B-Flags'!$B$5:$AI$24,6,FALSE)),0)+IFERROR(IF(VLOOKUP($B13,'MM B-Figure 8'!$B$5:$AI$24,6,FALSE)=" ",0,VLOOKUP($B13,'MM B-Figure 8'!$B$5:$AI$24,6,FALSE)),0)+IFERROR(IF(VLOOKUP($B13,'MM B-Goats'!$B$5:$AI$24,6,FALSE)=" ",0,VLOOKUP($B13,'MM B-Goats'!$B$5:$AI$24,6,FALSE)),0)</f>
        <v>0</v>
      </c>
      <c r="D13" s="95" t="str">
        <f t="shared" si="0"/>
        <v xml:space="preserve"> </v>
      </c>
      <c r="E13" s="91" t="str">
        <f t="shared" si="1"/>
        <v xml:space="preserve"> </v>
      </c>
      <c r="F13" s="121">
        <f>IFERROR(IF(VLOOKUP($B13,'MM B-Dummy Roping'!$B$5:$AI$24,10,FALSE)=" ",0,VLOOKUP($B13,'MM B-Dummy Roping'!$B$5:$AI$24,10,FALSE)),0)+IFERROR(IF(VLOOKUP($B13,'MM B-Flags'!$B$5:$AI$24,10,FALSE)=" ",0,VLOOKUP($B13,'MM B-Flags'!$B$5:$AI$24,10,FALSE)),0)+IFERROR(IF(VLOOKUP($B13,'MM B-Figure 8'!$B$5:$AI$24,10,FALSE)=" ",0,VLOOKUP($B13,'MM B-Figure 8'!$B$5:$AI$24,10,FALSE)),0)+IFERROR(IF(VLOOKUP($B13,'MM B-Goats'!$B$5:$AI$24,10,FALSE)=" ",0,VLOOKUP($B13,'MM B-Goats'!$B$5:$AI$24,10,FALSE)),0)</f>
        <v>0</v>
      </c>
      <c r="G13" s="95" t="str">
        <f t="shared" si="2"/>
        <v xml:space="preserve"> </v>
      </c>
      <c r="H13" s="91" t="str">
        <f t="shared" si="3"/>
        <v xml:space="preserve"> </v>
      </c>
      <c r="I13" s="121">
        <f>IFERROR(IF(VLOOKUP($B13,'MM B-Dummy Roping'!$B$5:$AI$24,14,FALSE)=" ",0,VLOOKUP($B13,'MM B-Dummy Roping'!$B$5:$AI$24,14,FALSE)),0)+IFERROR(IF(VLOOKUP($B13,'MM B-Flags'!$B$5:$AI$24,14,FALSE)=" ",0,VLOOKUP($B13,'MM B-Flags'!$B$5:$AI$24,14,FALSE)),0)+IFERROR(IF(VLOOKUP($B13,'MM B-Figure 8'!$B$5:$AI$24,14,FALSE)=" ",0,VLOOKUP($B13,'MM B-Figure 8'!$B$5:$AI$24,14,FALSE)),0)+IFERROR(IF(VLOOKUP($B13,'MM B-Goats'!$B$5:$AI$24,14,FALSE)=" ",0,VLOOKUP($B13,'MM B-Goats'!$B$5:$AI$24,14,FALSE)),0)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IFERROR(IF(VLOOKUP($B13,'MM B-Dummy Roping'!$B$5:$AI$24,18,FALSE)=" ",0,VLOOKUP($B13,'MM B-Dummy Roping'!$B$5:$AI$24,18,FALSE)),0)+IFERROR(IF(VLOOKUP($B13,'MM B-Flags'!$B$5:$AI$24,18,FALSE)=" ",0,VLOOKUP($B13,'MM B-Flags'!$B$5:$AI$24,18,FALSE)),0)+IFERROR(IF(VLOOKUP($B13,'MM B-Figure 8'!$B$5:$AI$24,18,FALSE)=" ",0,VLOOKUP($B13,'MM B-Figure 8'!$B$5:$AI$24,18,FALSE)),0)+IFERROR(IF(VLOOKUP($B13,'MM B-Goats'!$B$5:$AI$24,18,FALSE)=" ",0,VLOOKUP($B13,'MM B-Goats'!$B$5:$AI$24,18,FALSE)),0)</f>
        <v>0</v>
      </c>
      <c r="M13" s="95" t="str">
        <f t="shared" si="6"/>
        <v xml:space="preserve"> </v>
      </c>
      <c r="N13" s="91" t="str">
        <f t="shared" si="7"/>
        <v xml:space="preserve"> </v>
      </c>
      <c r="O13" s="121">
        <f>IFERROR(IF(VLOOKUP($B13,'MM B-Dummy Roping'!$B$5:$AI$24,22,FALSE)=" ",0,VLOOKUP($B13,'MM B-Dummy Roping'!$B$5:$AI$24,22,FALSE)),0)+IFERROR(IF(VLOOKUP($B13,'MM B-Flags'!$B$5:$AI$24,22,FALSE)=" ",0,VLOOKUP($B13,'MM B-Flags'!$B$5:$AI$24,22,FALSE)),0)+IFERROR(IF(VLOOKUP($B13,'MM B-Figure 8'!$B$5:$AI$24,22,FALSE)=" ",0,VLOOKUP($B13,'MM B-Figure 8'!$B$5:$AI$24,22,FALSE)),0)+IFERROR(IF(VLOOKUP($B13,'MM B-Goats'!$B$5:$AI$24,22,FALSE)=" ",0,VLOOKUP($B13,'MM B-Goats'!$B$5:$AI$24,22,FALSE)),0)</f>
        <v>0</v>
      </c>
      <c r="P13" s="95" t="str">
        <f t="shared" si="8"/>
        <v xml:space="preserve"> </v>
      </c>
      <c r="Q13" s="91" t="str">
        <f t="shared" si="9"/>
        <v xml:space="preserve"> </v>
      </c>
      <c r="R13" s="121">
        <f>IFERROR(IF(VLOOKUP($B13,'MM B-Dummy Roping'!$B$5:$AI$24,26,FALSE)=" ",0,VLOOKUP($B13,'MM B-Dummy Roping'!$B$5:$AI$24,26,FALSE)),0)+IFERROR(IF(VLOOKUP($B13,'MM B-Flags'!$B$5:$AI$24,26,FALSE)=" ",0,VLOOKUP($B13,'MM B-Flags'!$B$5:$AI$24,26,FALSE)),0)+IFERROR(IF(VLOOKUP($B13,'MM B-Figure 8'!$B$5:$AI$24,26,FALSE)=" ",0,VLOOKUP($B13,'MM B-Figure 8'!$B$5:$AI$24,26,FALSE)),0)+IFERROR(IF(VLOOKUP($B13,'MM B-Goats'!$B$5:$AI$24,26,FALSE)=" ",0,VLOOKUP($B13,'MM B-Goats'!$B$5:$AI$24,26,FALSE)),0)</f>
        <v>0</v>
      </c>
      <c r="S13" s="95" t="str">
        <f t="shared" si="10"/>
        <v xml:space="preserve"> </v>
      </c>
      <c r="T13" s="91" t="str">
        <f t="shared" si="11"/>
        <v xml:space="preserve"> </v>
      </c>
      <c r="U13" s="121">
        <f>IFERROR(IF(VLOOKUP($B13,'MM B-Dummy Roping'!$B$5:$AI$24,30,FALSE)=" ",0,VLOOKUP($B13,'MM B-Dummy Roping'!$B$5:$AI$24,30,FALSE)),0)+IFERROR(IF(VLOOKUP($B13,'MM B-Flags'!$B$5:$AI$24,30,FALSE)=" ",0,VLOOKUP($B13,'MM B-Flags'!$B$5:$AI$24,30,FALSE)),0)+IFERROR(IF(VLOOKUP($B13,'MM B-Figure 8'!$B$5:$AI$24,30,FALSE)=" ",0,VLOOKUP($B13,'MM B-Figure 8'!$B$5:$AI$24,30,FALSE)),0)+IFERROR(IF(VLOOKUP($B13,'MM B-Goats'!$B$5:$AI$24,30,FALSE)=" ",0,VLOOKUP($B13,'MM B-Goats'!$B$5:$AI$24,30,FALSE)),0)</f>
        <v>0</v>
      </c>
      <c r="V13" s="95" t="str">
        <f t="shared" si="12"/>
        <v xml:space="preserve"> </v>
      </c>
      <c r="W13" s="91" t="str">
        <f t="shared" si="13"/>
        <v xml:space="preserve"> </v>
      </c>
      <c r="X13" s="121">
        <f>IFERROR(IF(VLOOKUP($B13,'MM B-Dummy Roping'!$B$5:$AI$24,34,FALSE)=" ",0,VLOOKUP($B13,'MM B-Dummy Roping'!$B$5:$AI$24,34,FALSE)),0)+IFERROR(IF(VLOOKUP($B13,'MM B-Flags'!$B$5:$AI$24,34,FALSE)=" ",0,VLOOKUP($B13,'MM B-Flags'!$B$5:$AI$24,34,FALSE)),0)+IFERROR(IF(VLOOKUP($B13,'MM B-Figure 8'!$B$5:$AI$24,34,FALSE)=" ",0,VLOOKUP($B13,'MM B-Figure 8'!$B$5:$AI$24,34,FALSE)),0)+IFERROR(IF(VLOOKUP($B13,'MM B-Goats'!$B$5:$AI$24,34,FALSE)=" ",0,VLOOKUP($B13,'MM B-Goats'!$B$5:$AI$24,34,FALSE)),0)</f>
        <v>0</v>
      </c>
      <c r="Y13" s="95" t="str">
        <f t="shared" si="14"/>
        <v xml:space="preserve"> </v>
      </c>
      <c r="Z13" s="91" t="str">
        <f t="shared" si="15"/>
        <v xml:space="preserve"> </v>
      </c>
      <c r="AA13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13" s="95" t="str">
        <f t="shared" si="16"/>
        <v xml:space="preserve"> </v>
      </c>
      <c r="AC13" s="91" t="str">
        <f t="shared" si="17"/>
        <v xml:space="preserve"> </v>
      </c>
    </row>
    <row r="14" spans="2:29" x14ac:dyDescent="0.25">
      <c r="B14" s="141"/>
      <c r="C14" s="120">
        <f>IFERROR(IF(VLOOKUP($B14,'MM B-Dummy Roping'!$B$5:$AI$24,6,FALSE)=" ",0,VLOOKUP($B14,'MM B-Dummy Roping'!$B$5:$AI$24,6,FALSE)),0)+IFERROR(IF(VLOOKUP($B14,'MM B-Flags'!$B$5:$AI$24,6,FALSE)=" ",0,VLOOKUP($B14,'MM B-Flags'!$B$5:$AI$24,6,FALSE)),0)+IFERROR(IF(VLOOKUP($B14,'MM B-Figure 8'!$B$5:$AI$24,6,FALSE)=" ",0,VLOOKUP($B14,'MM B-Figure 8'!$B$5:$AI$24,6,FALSE)),0)+IFERROR(IF(VLOOKUP($B14,'MM B-Goats'!$B$5:$AI$24,6,FALSE)=" ",0,VLOOKUP($B14,'MM B-Goats'!$B$5:$AI$24,6,FALSE)),0)</f>
        <v>0</v>
      </c>
      <c r="D14" s="95" t="str">
        <f t="shared" si="0"/>
        <v xml:space="preserve"> </v>
      </c>
      <c r="E14" s="91" t="str">
        <f t="shared" si="1"/>
        <v xml:space="preserve"> </v>
      </c>
      <c r="F14" s="121">
        <f>IFERROR(IF(VLOOKUP($B14,'MM B-Dummy Roping'!$B$5:$AI$24,10,FALSE)=" ",0,VLOOKUP($B14,'MM B-Dummy Roping'!$B$5:$AI$24,10,FALSE)),0)+IFERROR(IF(VLOOKUP($B14,'MM B-Flags'!$B$5:$AI$24,10,FALSE)=" ",0,VLOOKUP($B14,'MM B-Flags'!$B$5:$AI$24,10,FALSE)),0)+IFERROR(IF(VLOOKUP($B14,'MM B-Figure 8'!$B$5:$AI$24,10,FALSE)=" ",0,VLOOKUP($B14,'MM B-Figure 8'!$B$5:$AI$24,10,FALSE)),0)+IFERROR(IF(VLOOKUP($B14,'MM B-Goats'!$B$5:$AI$24,10,FALSE)=" ",0,VLOOKUP($B14,'MM B-Goats'!$B$5:$AI$24,10,FALSE)),0)</f>
        <v>0</v>
      </c>
      <c r="G14" s="95" t="str">
        <f t="shared" si="2"/>
        <v xml:space="preserve"> </v>
      </c>
      <c r="H14" s="91" t="str">
        <f t="shared" si="3"/>
        <v xml:space="preserve"> </v>
      </c>
      <c r="I14" s="121">
        <f>IFERROR(IF(VLOOKUP($B14,'MM B-Dummy Roping'!$B$5:$AI$24,14,FALSE)=" ",0,VLOOKUP($B14,'MM B-Dummy Roping'!$B$5:$AI$24,14,FALSE)),0)+IFERROR(IF(VLOOKUP($B14,'MM B-Flags'!$B$5:$AI$24,14,FALSE)=" ",0,VLOOKUP($B14,'MM B-Flags'!$B$5:$AI$24,14,FALSE)),0)+IFERROR(IF(VLOOKUP($B14,'MM B-Figure 8'!$B$5:$AI$24,14,FALSE)=" ",0,VLOOKUP($B14,'MM B-Figure 8'!$B$5:$AI$24,14,FALSE)),0)+IFERROR(IF(VLOOKUP($B14,'MM B-Goats'!$B$5:$AI$24,14,FALSE)=" ",0,VLOOKUP($B14,'MM B-Goats'!$B$5:$AI$24,14,FALSE)),0)</f>
        <v>0</v>
      </c>
      <c r="J14" s="95" t="str">
        <f t="shared" si="4"/>
        <v xml:space="preserve"> </v>
      </c>
      <c r="K14" s="91" t="str">
        <f t="shared" si="5"/>
        <v xml:space="preserve"> </v>
      </c>
      <c r="L14" s="121">
        <f>IFERROR(IF(VLOOKUP($B14,'MM B-Dummy Roping'!$B$5:$AI$24,18,FALSE)=" ",0,VLOOKUP($B14,'MM B-Dummy Roping'!$B$5:$AI$24,18,FALSE)),0)+IFERROR(IF(VLOOKUP($B14,'MM B-Flags'!$B$5:$AI$24,18,FALSE)=" ",0,VLOOKUP($B14,'MM B-Flags'!$B$5:$AI$24,18,FALSE)),0)+IFERROR(IF(VLOOKUP($B14,'MM B-Figure 8'!$B$5:$AI$24,18,FALSE)=" ",0,VLOOKUP($B14,'MM B-Figure 8'!$B$5:$AI$24,18,FALSE)),0)+IFERROR(IF(VLOOKUP($B14,'MM B-Goats'!$B$5:$AI$24,18,FALSE)=" ",0,VLOOKUP($B14,'MM B-Goats'!$B$5:$AI$24,18,FALSE)),0)</f>
        <v>0</v>
      </c>
      <c r="M14" s="95" t="str">
        <f t="shared" si="6"/>
        <v xml:space="preserve"> </v>
      </c>
      <c r="N14" s="91" t="str">
        <f t="shared" si="7"/>
        <v xml:space="preserve"> </v>
      </c>
      <c r="O14" s="121">
        <f>IFERROR(IF(VLOOKUP($B14,'MM B-Dummy Roping'!$B$5:$AI$24,22,FALSE)=" ",0,VLOOKUP($B14,'MM B-Dummy Roping'!$B$5:$AI$24,22,FALSE)),0)+IFERROR(IF(VLOOKUP($B14,'MM B-Flags'!$B$5:$AI$24,22,FALSE)=" ",0,VLOOKUP($B14,'MM B-Flags'!$B$5:$AI$24,22,FALSE)),0)+IFERROR(IF(VLOOKUP($B14,'MM B-Figure 8'!$B$5:$AI$24,22,FALSE)=" ",0,VLOOKUP($B14,'MM B-Figure 8'!$B$5:$AI$24,22,FALSE)),0)+IFERROR(IF(VLOOKUP($B14,'MM B-Goats'!$B$5:$AI$24,22,FALSE)=" ",0,VLOOKUP($B14,'MM B-Goats'!$B$5:$AI$24,22,FALSE)),0)</f>
        <v>0</v>
      </c>
      <c r="P14" s="95" t="str">
        <f t="shared" si="8"/>
        <v xml:space="preserve"> </v>
      </c>
      <c r="Q14" s="91" t="str">
        <f t="shared" si="9"/>
        <v xml:space="preserve"> </v>
      </c>
      <c r="R14" s="121">
        <f>IFERROR(IF(VLOOKUP($B14,'MM B-Dummy Roping'!$B$5:$AI$24,26,FALSE)=" ",0,VLOOKUP($B14,'MM B-Dummy Roping'!$B$5:$AI$24,26,FALSE)),0)+IFERROR(IF(VLOOKUP($B14,'MM B-Flags'!$B$5:$AI$24,26,FALSE)=" ",0,VLOOKUP($B14,'MM B-Flags'!$B$5:$AI$24,26,FALSE)),0)+IFERROR(IF(VLOOKUP($B14,'MM B-Figure 8'!$B$5:$AI$24,26,FALSE)=" ",0,VLOOKUP($B14,'MM B-Figure 8'!$B$5:$AI$24,26,FALSE)),0)+IFERROR(IF(VLOOKUP($B14,'MM B-Goats'!$B$5:$AI$24,26,FALSE)=" ",0,VLOOKUP($B14,'MM B-Goats'!$B$5:$AI$24,26,FALSE)),0)</f>
        <v>0</v>
      </c>
      <c r="S14" s="95" t="str">
        <f t="shared" si="10"/>
        <v xml:space="preserve"> </v>
      </c>
      <c r="T14" s="91" t="str">
        <f t="shared" si="11"/>
        <v xml:space="preserve"> </v>
      </c>
      <c r="U14" s="121">
        <f>IFERROR(IF(VLOOKUP($B14,'MM B-Dummy Roping'!$B$5:$AI$24,30,FALSE)=" ",0,VLOOKUP($B14,'MM B-Dummy Roping'!$B$5:$AI$24,30,FALSE)),0)+IFERROR(IF(VLOOKUP($B14,'MM B-Flags'!$B$5:$AI$24,30,FALSE)=" ",0,VLOOKUP($B14,'MM B-Flags'!$B$5:$AI$24,30,FALSE)),0)+IFERROR(IF(VLOOKUP($B14,'MM B-Figure 8'!$B$5:$AI$24,30,FALSE)=" ",0,VLOOKUP($B14,'MM B-Figure 8'!$B$5:$AI$24,30,FALSE)),0)+IFERROR(IF(VLOOKUP($B14,'MM B-Goats'!$B$5:$AI$24,30,FALSE)=" ",0,VLOOKUP($B14,'MM B-Goats'!$B$5:$AI$24,30,FALSE)),0)</f>
        <v>0</v>
      </c>
      <c r="V14" s="95" t="str">
        <f t="shared" si="12"/>
        <v xml:space="preserve"> </v>
      </c>
      <c r="W14" s="91" t="str">
        <f t="shared" si="13"/>
        <v xml:space="preserve"> </v>
      </c>
      <c r="X14" s="121">
        <f>IFERROR(IF(VLOOKUP($B14,'MM B-Dummy Roping'!$B$5:$AI$24,34,FALSE)=" ",0,VLOOKUP($B14,'MM B-Dummy Roping'!$B$5:$AI$24,34,FALSE)),0)+IFERROR(IF(VLOOKUP($B14,'MM B-Flags'!$B$5:$AI$24,34,FALSE)=" ",0,VLOOKUP($B14,'MM B-Flags'!$B$5:$AI$24,34,FALSE)),0)+IFERROR(IF(VLOOKUP($B14,'MM B-Figure 8'!$B$5:$AI$24,34,FALSE)=" ",0,VLOOKUP($B14,'MM B-Figure 8'!$B$5:$AI$24,34,FALSE)),0)+IFERROR(IF(VLOOKUP($B14,'MM B-Goats'!$B$5:$AI$24,34,FALSE)=" ",0,VLOOKUP($B14,'MM B-Goats'!$B$5:$AI$24,34,FALSE)),0)</f>
        <v>0</v>
      </c>
      <c r="Y14" s="95" t="str">
        <f t="shared" si="14"/>
        <v xml:space="preserve"> </v>
      </c>
      <c r="Z14" s="91" t="str">
        <f t="shared" si="15"/>
        <v xml:space="preserve"> </v>
      </c>
      <c r="AA14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14" s="95" t="str">
        <f t="shared" si="16"/>
        <v xml:space="preserve"> </v>
      </c>
      <c r="AC14" s="91" t="str">
        <f t="shared" si="17"/>
        <v xml:space="preserve"> </v>
      </c>
    </row>
    <row r="15" spans="2:29" x14ac:dyDescent="0.25">
      <c r="B15" s="141"/>
      <c r="C15" s="120">
        <f>IFERROR(IF(VLOOKUP($B15,'MM B-Dummy Roping'!$B$5:$AI$24,6,FALSE)=" ",0,VLOOKUP($B15,'MM B-Dummy Roping'!$B$5:$AI$24,6,FALSE)),0)+IFERROR(IF(VLOOKUP($B15,'MM B-Flags'!$B$5:$AI$24,6,FALSE)=" ",0,VLOOKUP($B15,'MM B-Flags'!$B$5:$AI$24,6,FALSE)),0)+IFERROR(IF(VLOOKUP($B15,'MM B-Figure 8'!$B$5:$AI$24,6,FALSE)=" ",0,VLOOKUP($B15,'MM B-Figure 8'!$B$5:$AI$24,6,FALSE)),0)+IFERROR(IF(VLOOKUP($B15,'MM B-Goats'!$B$5:$AI$24,6,FALSE)=" ",0,VLOOKUP($B15,'MM B-Goats'!$B$5:$AI$24,6,FALSE)),0)</f>
        <v>0</v>
      </c>
      <c r="D15" s="95" t="str">
        <f t="shared" si="0"/>
        <v xml:space="preserve"> </v>
      </c>
      <c r="E15" s="122" t="str">
        <f t="shared" si="1"/>
        <v xml:space="preserve"> </v>
      </c>
      <c r="F15" s="121">
        <f>IFERROR(IF(VLOOKUP($B15,'MM B-Dummy Roping'!$B$5:$AI$24,10,FALSE)=" ",0,VLOOKUP($B15,'MM B-Dummy Roping'!$B$5:$AI$24,10,FALSE)),0)+IFERROR(IF(VLOOKUP($B15,'MM B-Flags'!$B$5:$AI$24,10,FALSE)=" ",0,VLOOKUP($B15,'MM B-Flags'!$B$5:$AI$24,10,FALSE)),0)+IFERROR(IF(VLOOKUP($B15,'MM B-Figure 8'!$B$5:$AI$24,10,FALSE)=" ",0,VLOOKUP($B15,'MM B-Figure 8'!$B$5:$AI$24,10,FALSE)),0)+IFERROR(IF(VLOOKUP($B15,'MM B-Goats'!$B$5:$AI$24,10,FALSE)=" ",0,VLOOKUP($B15,'MM B-Goats'!$B$5:$AI$24,10,FALSE)),0)</f>
        <v>0</v>
      </c>
      <c r="G15" s="95" t="str">
        <f t="shared" si="2"/>
        <v xml:space="preserve"> </v>
      </c>
      <c r="H15" s="122" t="str">
        <f t="shared" si="3"/>
        <v xml:space="preserve"> </v>
      </c>
      <c r="I15" s="121">
        <f>IFERROR(IF(VLOOKUP($B15,'MM B-Dummy Roping'!$B$5:$AI$24,14,FALSE)=" ",0,VLOOKUP($B15,'MM B-Dummy Roping'!$B$5:$AI$24,14,FALSE)),0)+IFERROR(IF(VLOOKUP($B15,'MM B-Flags'!$B$5:$AI$24,14,FALSE)=" ",0,VLOOKUP($B15,'MM B-Flags'!$B$5:$AI$24,14,FALSE)),0)+IFERROR(IF(VLOOKUP($B15,'MM B-Figure 8'!$B$5:$AI$24,14,FALSE)=" ",0,VLOOKUP($B15,'MM B-Figure 8'!$B$5:$AI$24,14,FALSE)),0)+IFERROR(IF(VLOOKUP($B15,'MM B-Goats'!$B$5:$AI$24,14,FALSE)=" ",0,VLOOKUP($B15,'MM B-Goats'!$B$5:$AI$24,14,FALSE)),0)</f>
        <v>0</v>
      </c>
      <c r="J15" s="95" t="str">
        <f t="shared" si="4"/>
        <v xml:space="preserve"> </v>
      </c>
      <c r="K15" s="122" t="str">
        <f t="shared" si="5"/>
        <v xml:space="preserve"> </v>
      </c>
      <c r="L15" s="121">
        <f>IFERROR(IF(VLOOKUP($B15,'MM B-Dummy Roping'!$B$5:$AI$24,18,FALSE)=" ",0,VLOOKUP($B15,'MM B-Dummy Roping'!$B$5:$AI$24,18,FALSE)),0)+IFERROR(IF(VLOOKUP($B15,'MM B-Flags'!$B$5:$AI$24,18,FALSE)=" ",0,VLOOKUP($B15,'MM B-Flags'!$B$5:$AI$24,18,FALSE)),0)+IFERROR(IF(VLOOKUP($B15,'MM B-Figure 8'!$B$5:$AI$24,18,FALSE)=" ",0,VLOOKUP($B15,'MM B-Figure 8'!$B$5:$AI$24,18,FALSE)),0)+IFERROR(IF(VLOOKUP($B15,'MM B-Goats'!$B$5:$AI$24,18,FALSE)=" ",0,VLOOKUP($B15,'MM B-Goats'!$B$5:$AI$24,18,FALSE)),0)</f>
        <v>0</v>
      </c>
      <c r="M15" s="95" t="str">
        <f t="shared" si="6"/>
        <v xml:space="preserve"> </v>
      </c>
      <c r="N15" s="122" t="str">
        <f t="shared" si="7"/>
        <v xml:space="preserve"> </v>
      </c>
      <c r="O15" s="121">
        <f>IFERROR(IF(VLOOKUP($B15,'MM B-Dummy Roping'!$B$5:$AI$24,22,FALSE)=" ",0,VLOOKUP($B15,'MM B-Dummy Roping'!$B$5:$AI$24,22,FALSE)),0)+IFERROR(IF(VLOOKUP($B15,'MM B-Flags'!$B$5:$AI$24,22,FALSE)=" ",0,VLOOKUP($B15,'MM B-Flags'!$B$5:$AI$24,22,FALSE)),0)+IFERROR(IF(VLOOKUP($B15,'MM B-Figure 8'!$B$5:$AI$24,22,FALSE)=" ",0,VLOOKUP($B15,'MM B-Figure 8'!$B$5:$AI$24,22,FALSE)),0)+IFERROR(IF(VLOOKUP($B15,'MM B-Goats'!$B$5:$AI$24,22,FALSE)=" ",0,VLOOKUP($B15,'MM B-Goats'!$B$5:$AI$24,22,FALSE)),0)</f>
        <v>0</v>
      </c>
      <c r="P15" s="95" t="str">
        <f t="shared" si="8"/>
        <v xml:space="preserve"> </v>
      </c>
      <c r="Q15" s="122" t="str">
        <f t="shared" si="9"/>
        <v xml:space="preserve"> </v>
      </c>
      <c r="R15" s="121">
        <f>IFERROR(IF(VLOOKUP($B15,'MM B-Dummy Roping'!$B$5:$AI$24,26,FALSE)=" ",0,VLOOKUP($B15,'MM B-Dummy Roping'!$B$5:$AI$24,26,FALSE)),0)+IFERROR(IF(VLOOKUP($B15,'MM B-Flags'!$B$5:$AI$24,26,FALSE)=" ",0,VLOOKUP($B15,'MM B-Flags'!$B$5:$AI$24,26,FALSE)),0)+IFERROR(IF(VLOOKUP($B15,'MM B-Figure 8'!$B$5:$AI$24,26,FALSE)=" ",0,VLOOKUP($B15,'MM B-Figure 8'!$B$5:$AI$24,26,FALSE)),0)+IFERROR(IF(VLOOKUP($B15,'MM B-Goats'!$B$5:$AI$24,26,FALSE)=" ",0,VLOOKUP($B15,'MM B-Goats'!$B$5:$AI$24,26,FALSE)),0)</f>
        <v>0</v>
      </c>
      <c r="S15" s="95" t="str">
        <f t="shared" si="10"/>
        <v xml:space="preserve"> </v>
      </c>
      <c r="T15" s="122" t="str">
        <f t="shared" si="11"/>
        <v xml:space="preserve"> </v>
      </c>
      <c r="U15" s="121">
        <f>IFERROR(IF(VLOOKUP($B15,'MM B-Dummy Roping'!$B$5:$AI$24,30,FALSE)=" ",0,VLOOKUP($B15,'MM B-Dummy Roping'!$B$5:$AI$24,30,FALSE)),0)+IFERROR(IF(VLOOKUP($B15,'MM B-Flags'!$B$5:$AI$24,30,FALSE)=" ",0,VLOOKUP($B15,'MM B-Flags'!$B$5:$AI$24,30,FALSE)),0)+IFERROR(IF(VLOOKUP($B15,'MM B-Figure 8'!$B$5:$AI$24,30,FALSE)=" ",0,VLOOKUP($B15,'MM B-Figure 8'!$B$5:$AI$24,30,FALSE)),0)+IFERROR(IF(VLOOKUP($B15,'MM B-Goats'!$B$5:$AI$24,30,FALSE)=" ",0,VLOOKUP($B15,'MM B-Goats'!$B$5:$AI$24,30,FALSE)),0)</f>
        <v>0</v>
      </c>
      <c r="V15" s="95" t="str">
        <f t="shared" si="12"/>
        <v xml:space="preserve"> </v>
      </c>
      <c r="W15" s="122" t="str">
        <f t="shared" si="13"/>
        <v xml:space="preserve"> </v>
      </c>
      <c r="X15" s="121">
        <f>IFERROR(IF(VLOOKUP($B15,'MM B-Dummy Roping'!$B$5:$AI$24,34,FALSE)=" ",0,VLOOKUP($B15,'MM B-Dummy Roping'!$B$5:$AI$24,34,FALSE)),0)+IFERROR(IF(VLOOKUP($B15,'MM B-Flags'!$B$5:$AI$24,34,FALSE)=" ",0,VLOOKUP($B15,'MM B-Flags'!$B$5:$AI$24,34,FALSE)),0)+IFERROR(IF(VLOOKUP($B15,'MM B-Figure 8'!$B$5:$AI$24,34,FALSE)=" ",0,VLOOKUP($B15,'MM B-Figure 8'!$B$5:$AI$24,34,FALSE)),0)+IFERROR(IF(VLOOKUP($B15,'MM B-Goats'!$B$5:$AI$24,34,FALSE)=" ",0,VLOOKUP($B15,'MM B-Goats'!$B$5:$AI$24,34,FALSE)),0)</f>
        <v>0</v>
      </c>
      <c r="Y15" s="95" t="str">
        <f t="shared" si="14"/>
        <v xml:space="preserve"> </v>
      </c>
      <c r="Z15" s="122" t="str">
        <f t="shared" si="15"/>
        <v xml:space="preserve"> </v>
      </c>
      <c r="AA15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15" s="95" t="str">
        <f t="shared" si="16"/>
        <v xml:space="preserve"> </v>
      </c>
      <c r="AC15" s="122" t="str">
        <f t="shared" si="17"/>
        <v xml:space="preserve"> </v>
      </c>
    </row>
    <row r="16" spans="2:29" x14ac:dyDescent="0.25">
      <c r="B16" s="141"/>
      <c r="C16" s="120">
        <f>IFERROR(IF(VLOOKUP($B16,'MM B-Dummy Roping'!$B$5:$AI$24,6,FALSE)=" ",0,VLOOKUP($B16,'MM B-Dummy Roping'!$B$5:$AI$24,6,FALSE)),0)+IFERROR(IF(VLOOKUP($B16,'MM B-Flags'!$B$5:$AI$24,6,FALSE)=" ",0,VLOOKUP($B16,'MM B-Flags'!$B$5:$AI$24,6,FALSE)),0)+IFERROR(IF(VLOOKUP($B16,'MM B-Figure 8'!$B$5:$AI$24,6,FALSE)=" ",0,VLOOKUP($B16,'MM B-Figure 8'!$B$5:$AI$24,6,FALSE)),0)+IFERROR(IF(VLOOKUP($B16,'MM B-Goats'!$B$5:$AI$24,6,FALSE)=" ",0,VLOOKUP($B16,'MM B-Goats'!$B$5:$AI$24,6,FALSE)),0)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IFERROR(IF(VLOOKUP($B16,'MM B-Dummy Roping'!$B$5:$AI$24,10,FALSE)=" ",0,VLOOKUP($B16,'MM B-Dummy Roping'!$B$5:$AI$24,10,FALSE)),0)+IFERROR(IF(VLOOKUP($B16,'MM B-Flags'!$B$5:$AI$24,10,FALSE)=" ",0,VLOOKUP($B16,'MM B-Flags'!$B$5:$AI$24,10,FALSE)),0)+IFERROR(IF(VLOOKUP($B16,'MM B-Figure 8'!$B$5:$AI$24,10,FALSE)=" ",0,VLOOKUP($B16,'MM B-Figure 8'!$B$5:$AI$24,10,FALSE)),0)+IFERROR(IF(VLOOKUP($B16,'MM B-Goats'!$B$5:$AI$24,10,FALSE)=" ",0,VLOOKUP($B16,'MM B-Goats'!$B$5:$AI$24,10,FALSE)),0)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IFERROR(IF(VLOOKUP($B16,'MM B-Dummy Roping'!$B$5:$AI$24,14,FALSE)=" ",0,VLOOKUP($B16,'MM B-Dummy Roping'!$B$5:$AI$24,14,FALSE)),0)+IFERROR(IF(VLOOKUP($B16,'MM B-Flags'!$B$5:$AI$24,14,FALSE)=" ",0,VLOOKUP($B16,'MM B-Flags'!$B$5:$AI$24,14,FALSE)),0)+IFERROR(IF(VLOOKUP($B16,'MM B-Figure 8'!$B$5:$AI$24,14,FALSE)=" ",0,VLOOKUP($B16,'MM B-Figure 8'!$B$5:$AI$24,14,FALSE)),0)+IFERROR(IF(VLOOKUP($B16,'MM B-Goats'!$B$5:$AI$24,14,FALSE)=" ",0,VLOOKUP($B16,'MM B-Goats'!$B$5:$AI$24,14,FALSE)),0)</f>
        <v>0</v>
      </c>
      <c r="J16" s="95" t="str">
        <f t="shared" si="4"/>
        <v xml:space="preserve"> </v>
      </c>
      <c r="K16" s="91" t="str">
        <f t="shared" si="5"/>
        <v xml:space="preserve"> </v>
      </c>
      <c r="L16" s="121">
        <f>IFERROR(IF(VLOOKUP($B16,'MM B-Dummy Roping'!$B$5:$AI$24,18,FALSE)=" ",0,VLOOKUP($B16,'MM B-Dummy Roping'!$B$5:$AI$24,18,FALSE)),0)+IFERROR(IF(VLOOKUP($B16,'MM B-Flags'!$B$5:$AI$24,18,FALSE)=" ",0,VLOOKUP($B16,'MM B-Flags'!$B$5:$AI$24,18,FALSE)),0)+IFERROR(IF(VLOOKUP($B16,'MM B-Figure 8'!$B$5:$AI$24,18,FALSE)=" ",0,VLOOKUP($B16,'MM B-Figure 8'!$B$5:$AI$24,18,FALSE)),0)+IFERROR(IF(VLOOKUP($B16,'MM B-Goats'!$B$5:$AI$24,18,FALSE)=" ",0,VLOOKUP($B16,'MM B-Goats'!$B$5:$AI$24,18,FALSE)),0)</f>
        <v>0</v>
      </c>
      <c r="M16" s="95" t="str">
        <f t="shared" si="6"/>
        <v xml:space="preserve"> </v>
      </c>
      <c r="N16" s="91" t="str">
        <f t="shared" si="7"/>
        <v xml:space="preserve"> </v>
      </c>
      <c r="O16" s="121">
        <f>IFERROR(IF(VLOOKUP($B16,'MM B-Dummy Roping'!$B$5:$AI$24,22,FALSE)=" ",0,VLOOKUP($B16,'MM B-Dummy Roping'!$B$5:$AI$24,22,FALSE)),0)+IFERROR(IF(VLOOKUP($B16,'MM B-Flags'!$B$5:$AI$24,22,FALSE)=" ",0,VLOOKUP($B16,'MM B-Flags'!$B$5:$AI$24,22,FALSE)),0)+IFERROR(IF(VLOOKUP($B16,'MM B-Figure 8'!$B$5:$AI$24,22,FALSE)=" ",0,VLOOKUP($B16,'MM B-Figure 8'!$B$5:$AI$24,22,FALSE)),0)+IFERROR(IF(VLOOKUP($B16,'MM B-Goats'!$B$5:$AI$24,22,FALSE)=" ",0,VLOOKUP($B16,'MM B-Goats'!$B$5:$AI$24,22,FALSE)),0)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IFERROR(IF(VLOOKUP($B16,'MM B-Dummy Roping'!$B$5:$AI$24,26,FALSE)=" ",0,VLOOKUP($B16,'MM B-Dummy Roping'!$B$5:$AI$24,26,FALSE)),0)+IFERROR(IF(VLOOKUP($B16,'MM B-Flags'!$B$5:$AI$24,26,FALSE)=" ",0,VLOOKUP($B16,'MM B-Flags'!$B$5:$AI$24,26,FALSE)),0)+IFERROR(IF(VLOOKUP($B16,'MM B-Figure 8'!$B$5:$AI$24,26,FALSE)=" ",0,VLOOKUP($B16,'MM B-Figure 8'!$B$5:$AI$24,26,FALSE)),0)+IFERROR(IF(VLOOKUP($B16,'MM B-Goats'!$B$5:$AI$24,26,FALSE)=" ",0,VLOOKUP($B16,'MM B-Goats'!$B$5:$AI$24,26,FALSE)),0)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IFERROR(IF(VLOOKUP($B16,'MM B-Dummy Roping'!$B$5:$AI$24,30,FALSE)=" ",0,VLOOKUP($B16,'MM B-Dummy Roping'!$B$5:$AI$24,30,FALSE)),0)+IFERROR(IF(VLOOKUP($B16,'MM B-Flags'!$B$5:$AI$24,30,FALSE)=" ",0,VLOOKUP($B16,'MM B-Flags'!$B$5:$AI$24,30,FALSE)),0)+IFERROR(IF(VLOOKUP($B16,'MM B-Figure 8'!$B$5:$AI$24,30,FALSE)=" ",0,VLOOKUP($B16,'MM B-Figure 8'!$B$5:$AI$24,30,FALSE)),0)+IFERROR(IF(VLOOKUP($B16,'MM B-Goats'!$B$5:$AI$24,30,FALSE)=" ",0,VLOOKUP($B16,'MM B-Goats'!$B$5:$AI$24,30,FALSE)),0)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IFERROR(IF(VLOOKUP($B16,'MM B-Dummy Roping'!$B$5:$AI$24,34,FALSE)=" ",0,VLOOKUP($B16,'MM B-Dummy Roping'!$B$5:$AI$24,34,FALSE)),0)+IFERROR(IF(VLOOKUP($B16,'MM B-Flags'!$B$5:$AI$24,34,FALSE)=" ",0,VLOOKUP($B16,'MM B-Flags'!$B$5:$AI$24,34,FALSE)),0)+IFERROR(IF(VLOOKUP($B16,'MM B-Figure 8'!$B$5:$AI$24,34,FALSE)=" ",0,VLOOKUP($B16,'MM B-Figure 8'!$B$5:$AI$24,34,FALSE)),0)+IFERROR(IF(VLOOKUP($B16,'MM B-Goats'!$B$5:$AI$24,34,FALSE)=" ",0,VLOOKUP($B16,'MM B-Goats'!$B$5:$AI$24,34,FALSE)),0)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16" s="95" t="str">
        <f t="shared" si="16"/>
        <v xml:space="preserve"> </v>
      </c>
      <c r="AC16" s="91" t="str">
        <f t="shared" si="17"/>
        <v xml:space="preserve"> </v>
      </c>
    </row>
    <row r="17" spans="2:29" x14ac:dyDescent="0.25">
      <c r="B17" s="141"/>
      <c r="C17" s="120">
        <f>IFERROR(IF(VLOOKUP($B17,'MM B-Dummy Roping'!$B$5:$AI$24,6,FALSE)=" ",0,VLOOKUP($B17,'MM B-Dummy Roping'!$B$5:$AI$24,6,FALSE)),0)+IFERROR(IF(VLOOKUP($B17,'MM B-Flags'!$B$5:$AI$24,6,FALSE)=" ",0,VLOOKUP($B17,'MM B-Flags'!$B$5:$AI$24,6,FALSE)),0)+IFERROR(IF(VLOOKUP($B17,'MM B-Figure 8'!$B$5:$AI$24,6,FALSE)=" ",0,VLOOKUP($B17,'MM B-Figure 8'!$B$5:$AI$24,6,FALSE)),0)+IFERROR(IF(VLOOKUP($B17,'MM B-Goats'!$B$5:$AI$24,6,FALSE)=" ",0,VLOOKUP($B17,'MM B-Goats'!$B$5:$AI$24,6,FALSE)),0)</f>
        <v>0</v>
      </c>
      <c r="D17" s="95" t="str">
        <f t="shared" si="0"/>
        <v xml:space="preserve"> </v>
      </c>
      <c r="E17" s="122" t="str">
        <f t="shared" si="1"/>
        <v xml:space="preserve"> </v>
      </c>
      <c r="F17" s="121">
        <f>IFERROR(IF(VLOOKUP($B17,'MM B-Dummy Roping'!$B$5:$AI$24,10,FALSE)=" ",0,VLOOKUP($B17,'MM B-Dummy Roping'!$B$5:$AI$24,10,FALSE)),0)+IFERROR(IF(VLOOKUP($B17,'MM B-Flags'!$B$5:$AI$24,10,FALSE)=" ",0,VLOOKUP($B17,'MM B-Flags'!$B$5:$AI$24,10,FALSE)),0)+IFERROR(IF(VLOOKUP($B17,'MM B-Figure 8'!$B$5:$AI$24,10,FALSE)=" ",0,VLOOKUP($B17,'MM B-Figure 8'!$B$5:$AI$24,10,FALSE)),0)+IFERROR(IF(VLOOKUP($B17,'MM B-Goats'!$B$5:$AI$24,10,FALSE)=" ",0,VLOOKUP($B17,'MM B-Goats'!$B$5:$AI$24,10,FALSE)),0)</f>
        <v>0</v>
      </c>
      <c r="G17" s="95" t="str">
        <f t="shared" si="2"/>
        <v xml:space="preserve"> </v>
      </c>
      <c r="H17" s="122" t="str">
        <f t="shared" si="3"/>
        <v xml:space="preserve"> </v>
      </c>
      <c r="I17" s="121">
        <f>IFERROR(IF(VLOOKUP($B17,'MM B-Dummy Roping'!$B$5:$AI$24,14,FALSE)=" ",0,VLOOKUP($B17,'MM B-Dummy Roping'!$B$5:$AI$24,14,FALSE)),0)+IFERROR(IF(VLOOKUP($B17,'MM B-Flags'!$B$5:$AI$24,14,FALSE)=" ",0,VLOOKUP($B17,'MM B-Flags'!$B$5:$AI$24,14,FALSE)),0)+IFERROR(IF(VLOOKUP($B17,'MM B-Figure 8'!$B$5:$AI$24,14,FALSE)=" ",0,VLOOKUP($B17,'MM B-Figure 8'!$B$5:$AI$24,14,FALSE)),0)+IFERROR(IF(VLOOKUP($B17,'MM B-Goats'!$B$5:$AI$24,14,FALSE)=" ",0,VLOOKUP($B17,'MM B-Goats'!$B$5:$AI$24,14,FALSE)),0)</f>
        <v>0</v>
      </c>
      <c r="J17" s="95" t="str">
        <f t="shared" si="4"/>
        <v xml:space="preserve"> </v>
      </c>
      <c r="K17" s="122" t="str">
        <f t="shared" si="5"/>
        <v xml:space="preserve"> </v>
      </c>
      <c r="L17" s="121">
        <f>IFERROR(IF(VLOOKUP($B17,'MM B-Dummy Roping'!$B$5:$AI$24,18,FALSE)=" ",0,VLOOKUP($B17,'MM B-Dummy Roping'!$B$5:$AI$24,18,FALSE)),0)+IFERROR(IF(VLOOKUP($B17,'MM B-Flags'!$B$5:$AI$24,18,FALSE)=" ",0,VLOOKUP($B17,'MM B-Flags'!$B$5:$AI$24,18,FALSE)),0)+IFERROR(IF(VLOOKUP($B17,'MM B-Figure 8'!$B$5:$AI$24,18,FALSE)=" ",0,VLOOKUP($B17,'MM B-Figure 8'!$B$5:$AI$24,18,FALSE)),0)+IFERROR(IF(VLOOKUP($B17,'MM B-Goats'!$B$5:$AI$24,18,FALSE)=" ",0,VLOOKUP($B17,'MM B-Goats'!$B$5:$AI$24,18,FALSE)),0)</f>
        <v>0</v>
      </c>
      <c r="M17" s="95" t="str">
        <f t="shared" si="6"/>
        <v xml:space="preserve"> </v>
      </c>
      <c r="N17" s="122" t="str">
        <f t="shared" si="7"/>
        <v xml:space="preserve"> </v>
      </c>
      <c r="O17" s="121">
        <f>IFERROR(IF(VLOOKUP($B17,'MM B-Dummy Roping'!$B$5:$AI$24,22,FALSE)=" ",0,VLOOKUP($B17,'MM B-Dummy Roping'!$B$5:$AI$24,22,FALSE)),0)+IFERROR(IF(VLOOKUP($B17,'MM B-Flags'!$B$5:$AI$24,22,FALSE)=" ",0,VLOOKUP($B17,'MM B-Flags'!$B$5:$AI$24,22,FALSE)),0)+IFERROR(IF(VLOOKUP($B17,'MM B-Figure 8'!$B$5:$AI$24,22,FALSE)=" ",0,VLOOKUP($B17,'MM B-Figure 8'!$B$5:$AI$24,22,FALSE)),0)+IFERROR(IF(VLOOKUP($B17,'MM B-Goats'!$B$5:$AI$24,22,FALSE)=" ",0,VLOOKUP($B17,'MM B-Goats'!$B$5:$AI$24,22,FALSE)),0)</f>
        <v>0</v>
      </c>
      <c r="P17" s="95" t="str">
        <f t="shared" si="8"/>
        <v xml:space="preserve"> </v>
      </c>
      <c r="Q17" s="122" t="str">
        <f t="shared" si="9"/>
        <v xml:space="preserve"> </v>
      </c>
      <c r="R17" s="121">
        <f>IFERROR(IF(VLOOKUP($B17,'MM B-Dummy Roping'!$B$5:$AI$24,26,FALSE)=" ",0,VLOOKUP($B17,'MM B-Dummy Roping'!$B$5:$AI$24,26,FALSE)),0)+IFERROR(IF(VLOOKUP($B17,'MM B-Flags'!$B$5:$AI$24,26,FALSE)=" ",0,VLOOKUP($B17,'MM B-Flags'!$B$5:$AI$24,26,FALSE)),0)+IFERROR(IF(VLOOKUP($B17,'MM B-Figure 8'!$B$5:$AI$24,26,FALSE)=" ",0,VLOOKUP($B17,'MM B-Figure 8'!$B$5:$AI$24,26,FALSE)),0)+IFERROR(IF(VLOOKUP($B17,'MM B-Goats'!$B$5:$AI$24,26,FALSE)=" ",0,VLOOKUP($B17,'MM B-Goats'!$B$5:$AI$24,26,FALSE)),0)</f>
        <v>0</v>
      </c>
      <c r="S17" s="95" t="str">
        <f t="shared" si="10"/>
        <v xml:space="preserve"> </v>
      </c>
      <c r="T17" s="122" t="str">
        <f t="shared" si="11"/>
        <v xml:space="preserve"> </v>
      </c>
      <c r="U17" s="121">
        <f>IFERROR(IF(VLOOKUP($B17,'MM B-Dummy Roping'!$B$5:$AI$24,30,FALSE)=" ",0,VLOOKUP($B17,'MM B-Dummy Roping'!$B$5:$AI$24,30,FALSE)),0)+IFERROR(IF(VLOOKUP($B17,'MM B-Flags'!$B$5:$AI$24,30,FALSE)=" ",0,VLOOKUP($B17,'MM B-Flags'!$B$5:$AI$24,30,FALSE)),0)+IFERROR(IF(VLOOKUP($B17,'MM B-Figure 8'!$B$5:$AI$24,30,FALSE)=" ",0,VLOOKUP($B17,'MM B-Figure 8'!$B$5:$AI$24,30,FALSE)),0)+IFERROR(IF(VLOOKUP($B17,'MM B-Goats'!$B$5:$AI$24,30,FALSE)=" ",0,VLOOKUP($B17,'MM B-Goats'!$B$5:$AI$24,30,FALSE)),0)</f>
        <v>0</v>
      </c>
      <c r="V17" s="95" t="str">
        <f t="shared" si="12"/>
        <v xml:space="preserve"> </v>
      </c>
      <c r="W17" s="122" t="str">
        <f t="shared" si="13"/>
        <v xml:space="preserve"> </v>
      </c>
      <c r="X17" s="121">
        <f>IFERROR(IF(VLOOKUP($B17,'MM B-Dummy Roping'!$B$5:$AI$24,34,FALSE)=" ",0,VLOOKUP($B17,'MM B-Dummy Roping'!$B$5:$AI$24,34,FALSE)),0)+IFERROR(IF(VLOOKUP($B17,'MM B-Flags'!$B$5:$AI$24,34,FALSE)=" ",0,VLOOKUP($B17,'MM B-Flags'!$B$5:$AI$24,34,FALSE)),0)+IFERROR(IF(VLOOKUP($B17,'MM B-Figure 8'!$B$5:$AI$24,34,FALSE)=" ",0,VLOOKUP($B17,'MM B-Figure 8'!$B$5:$AI$24,34,FALSE)),0)+IFERROR(IF(VLOOKUP($B17,'MM B-Goats'!$B$5:$AI$24,34,FALSE)=" ",0,VLOOKUP($B17,'MM B-Goats'!$B$5:$AI$24,34,FALSE)),0)</f>
        <v>0</v>
      </c>
      <c r="Y17" s="95" t="str">
        <f t="shared" si="14"/>
        <v xml:space="preserve"> </v>
      </c>
      <c r="Z17" s="122" t="str">
        <f t="shared" si="15"/>
        <v xml:space="preserve"> </v>
      </c>
      <c r="AA17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17" s="95" t="str">
        <f t="shared" si="16"/>
        <v xml:space="preserve"> </v>
      </c>
      <c r="AC17" s="122" t="str">
        <f t="shared" si="17"/>
        <v xml:space="preserve"> </v>
      </c>
    </row>
    <row r="18" spans="2:29" x14ac:dyDescent="0.25">
      <c r="B18" s="141"/>
      <c r="C18" s="120">
        <f>IFERROR(IF(VLOOKUP($B18,'MM B-Dummy Roping'!$B$5:$AI$24,6,FALSE)=" ",0,VLOOKUP($B18,'MM B-Dummy Roping'!$B$5:$AI$24,6,FALSE)),0)+IFERROR(IF(VLOOKUP($B18,'MM B-Flags'!$B$5:$AI$24,6,FALSE)=" ",0,VLOOKUP($B18,'MM B-Flags'!$B$5:$AI$24,6,FALSE)),0)+IFERROR(IF(VLOOKUP($B18,'MM B-Figure 8'!$B$5:$AI$24,6,FALSE)=" ",0,VLOOKUP($B18,'MM B-Figure 8'!$B$5:$AI$24,6,FALSE)),0)+IFERROR(IF(VLOOKUP($B18,'MM B-Goats'!$B$5:$AI$24,6,FALSE)=" ",0,VLOOKUP($B18,'MM B-Goats'!$B$5:$AI$24,6,FALSE)),0)</f>
        <v>0</v>
      </c>
      <c r="D18" s="95" t="str">
        <f t="shared" si="0"/>
        <v xml:space="preserve"> </v>
      </c>
      <c r="E18" s="122" t="str">
        <f t="shared" si="1"/>
        <v xml:space="preserve"> </v>
      </c>
      <c r="F18" s="121">
        <f>IFERROR(IF(VLOOKUP($B18,'MM B-Dummy Roping'!$B$5:$AI$24,10,FALSE)=" ",0,VLOOKUP($B18,'MM B-Dummy Roping'!$B$5:$AI$24,10,FALSE)),0)+IFERROR(IF(VLOOKUP($B18,'MM B-Flags'!$B$5:$AI$24,10,FALSE)=" ",0,VLOOKUP($B18,'MM B-Flags'!$B$5:$AI$24,10,FALSE)),0)+IFERROR(IF(VLOOKUP($B18,'MM B-Figure 8'!$B$5:$AI$24,10,FALSE)=" ",0,VLOOKUP($B18,'MM B-Figure 8'!$B$5:$AI$24,10,FALSE)),0)+IFERROR(IF(VLOOKUP($B18,'MM B-Goats'!$B$5:$AI$24,10,FALSE)=" ",0,VLOOKUP($B18,'MM B-Goats'!$B$5:$AI$24,10,FALSE)),0)</f>
        <v>0</v>
      </c>
      <c r="G18" s="95" t="str">
        <f t="shared" si="2"/>
        <v xml:space="preserve"> </v>
      </c>
      <c r="H18" s="122" t="str">
        <f t="shared" si="3"/>
        <v xml:space="preserve"> </v>
      </c>
      <c r="I18" s="121">
        <f>IFERROR(IF(VLOOKUP($B18,'MM B-Dummy Roping'!$B$5:$AI$24,14,FALSE)=" ",0,VLOOKUP($B18,'MM B-Dummy Roping'!$B$5:$AI$24,14,FALSE)),0)+IFERROR(IF(VLOOKUP($B18,'MM B-Flags'!$B$5:$AI$24,14,FALSE)=" ",0,VLOOKUP($B18,'MM B-Flags'!$B$5:$AI$24,14,FALSE)),0)+IFERROR(IF(VLOOKUP($B18,'MM B-Figure 8'!$B$5:$AI$24,14,FALSE)=" ",0,VLOOKUP($B18,'MM B-Figure 8'!$B$5:$AI$24,14,FALSE)),0)+IFERROR(IF(VLOOKUP($B18,'MM B-Goats'!$B$5:$AI$24,14,FALSE)=" ",0,VLOOKUP($B18,'MM B-Goats'!$B$5:$AI$24,14,FALSE)),0)</f>
        <v>0</v>
      </c>
      <c r="J18" s="95" t="str">
        <f t="shared" si="4"/>
        <v xml:space="preserve"> </v>
      </c>
      <c r="K18" s="122" t="str">
        <f t="shared" si="5"/>
        <v xml:space="preserve"> </v>
      </c>
      <c r="L18" s="121">
        <f>IFERROR(IF(VLOOKUP($B18,'MM B-Dummy Roping'!$B$5:$AI$24,18,FALSE)=" ",0,VLOOKUP($B18,'MM B-Dummy Roping'!$B$5:$AI$24,18,FALSE)),0)+IFERROR(IF(VLOOKUP($B18,'MM B-Flags'!$B$5:$AI$24,18,FALSE)=" ",0,VLOOKUP($B18,'MM B-Flags'!$B$5:$AI$24,18,FALSE)),0)+IFERROR(IF(VLOOKUP($B18,'MM B-Figure 8'!$B$5:$AI$24,18,FALSE)=" ",0,VLOOKUP($B18,'MM B-Figure 8'!$B$5:$AI$24,18,FALSE)),0)+IFERROR(IF(VLOOKUP($B18,'MM B-Goats'!$B$5:$AI$24,18,FALSE)=" ",0,VLOOKUP($B18,'MM B-Goats'!$B$5:$AI$24,18,FALSE)),0)</f>
        <v>0</v>
      </c>
      <c r="M18" s="95" t="str">
        <f t="shared" si="6"/>
        <v xml:space="preserve"> </v>
      </c>
      <c r="N18" s="122" t="str">
        <f t="shared" si="7"/>
        <v xml:space="preserve"> </v>
      </c>
      <c r="O18" s="121">
        <f>IFERROR(IF(VLOOKUP($B18,'MM B-Dummy Roping'!$B$5:$AI$24,22,FALSE)=" ",0,VLOOKUP($B18,'MM B-Dummy Roping'!$B$5:$AI$24,22,FALSE)),0)+IFERROR(IF(VLOOKUP($B18,'MM B-Flags'!$B$5:$AI$24,22,FALSE)=" ",0,VLOOKUP($B18,'MM B-Flags'!$B$5:$AI$24,22,FALSE)),0)+IFERROR(IF(VLOOKUP($B18,'MM B-Figure 8'!$B$5:$AI$24,22,FALSE)=" ",0,VLOOKUP($B18,'MM B-Figure 8'!$B$5:$AI$24,22,FALSE)),0)+IFERROR(IF(VLOOKUP($B18,'MM B-Goats'!$B$5:$AI$24,22,FALSE)=" ",0,VLOOKUP($B18,'MM B-Goats'!$B$5:$AI$24,22,FALSE)),0)</f>
        <v>0</v>
      </c>
      <c r="P18" s="95" t="str">
        <f t="shared" si="8"/>
        <v xml:space="preserve"> </v>
      </c>
      <c r="Q18" s="122" t="str">
        <f t="shared" si="9"/>
        <v xml:space="preserve"> </v>
      </c>
      <c r="R18" s="121">
        <f>IFERROR(IF(VLOOKUP($B18,'MM B-Dummy Roping'!$B$5:$AI$24,26,FALSE)=" ",0,VLOOKUP($B18,'MM B-Dummy Roping'!$B$5:$AI$24,26,FALSE)),0)+IFERROR(IF(VLOOKUP($B18,'MM B-Flags'!$B$5:$AI$24,26,FALSE)=" ",0,VLOOKUP($B18,'MM B-Flags'!$B$5:$AI$24,26,FALSE)),0)+IFERROR(IF(VLOOKUP($B18,'MM B-Figure 8'!$B$5:$AI$24,26,FALSE)=" ",0,VLOOKUP($B18,'MM B-Figure 8'!$B$5:$AI$24,26,FALSE)),0)+IFERROR(IF(VLOOKUP($B18,'MM B-Goats'!$B$5:$AI$24,26,FALSE)=" ",0,VLOOKUP($B18,'MM B-Goats'!$B$5:$AI$24,26,FALSE)),0)</f>
        <v>0</v>
      </c>
      <c r="S18" s="95" t="str">
        <f t="shared" si="10"/>
        <v xml:space="preserve"> </v>
      </c>
      <c r="T18" s="122" t="str">
        <f t="shared" si="11"/>
        <v xml:space="preserve"> </v>
      </c>
      <c r="U18" s="121">
        <f>IFERROR(IF(VLOOKUP($B18,'MM B-Dummy Roping'!$B$5:$AI$24,30,FALSE)=" ",0,VLOOKUP($B18,'MM B-Dummy Roping'!$B$5:$AI$24,30,FALSE)),0)+IFERROR(IF(VLOOKUP($B18,'MM B-Flags'!$B$5:$AI$24,30,FALSE)=" ",0,VLOOKUP($B18,'MM B-Flags'!$B$5:$AI$24,30,FALSE)),0)+IFERROR(IF(VLOOKUP($B18,'MM B-Figure 8'!$B$5:$AI$24,30,FALSE)=" ",0,VLOOKUP($B18,'MM B-Figure 8'!$B$5:$AI$24,30,FALSE)),0)+IFERROR(IF(VLOOKUP($B18,'MM B-Goats'!$B$5:$AI$24,30,FALSE)=" ",0,VLOOKUP($B18,'MM B-Goats'!$B$5:$AI$24,30,FALSE)),0)</f>
        <v>0</v>
      </c>
      <c r="V18" s="95" t="str">
        <f t="shared" si="12"/>
        <v xml:space="preserve"> </v>
      </c>
      <c r="W18" s="122" t="str">
        <f t="shared" si="13"/>
        <v xml:space="preserve"> </v>
      </c>
      <c r="X18" s="121">
        <f>IFERROR(IF(VLOOKUP($B18,'MM B-Dummy Roping'!$B$5:$AI$24,34,FALSE)=" ",0,VLOOKUP($B18,'MM B-Dummy Roping'!$B$5:$AI$24,34,FALSE)),0)+IFERROR(IF(VLOOKUP($B18,'MM B-Flags'!$B$5:$AI$24,34,FALSE)=" ",0,VLOOKUP($B18,'MM B-Flags'!$B$5:$AI$24,34,FALSE)),0)+IFERROR(IF(VLOOKUP($B18,'MM B-Figure 8'!$B$5:$AI$24,34,FALSE)=" ",0,VLOOKUP($B18,'MM B-Figure 8'!$B$5:$AI$24,34,FALSE)),0)+IFERROR(IF(VLOOKUP($B18,'MM B-Goats'!$B$5:$AI$24,34,FALSE)=" ",0,VLOOKUP($B18,'MM B-Goats'!$B$5:$AI$24,34,FALSE)),0)</f>
        <v>0</v>
      </c>
      <c r="Y18" s="95" t="str">
        <f t="shared" si="14"/>
        <v xml:space="preserve"> </v>
      </c>
      <c r="Z18" s="122" t="str">
        <f t="shared" si="15"/>
        <v xml:space="preserve"> </v>
      </c>
      <c r="AA18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18" s="95" t="str">
        <f t="shared" si="16"/>
        <v xml:space="preserve"> </v>
      </c>
      <c r="AC18" s="122" t="str">
        <f t="shared" si="17"/>
        <v xml:space="preserve"> </v>
      </c>
    </row>
    <row r="19" spans="2:29" x14ac:dyDescent="0.25">
      <c r="B19" s="141"/>
      <c r="C19" s="120">
        <f>IFERROR(IF(VLOOKUP($B19,'MM B-Dummy Roping'!$B$5:$AI$24,6,FALSE)=" ",0,VLOOKUP($B19,'MM B-Dummy Roping'!$B$5:$AI$24,6,FALSE)),0)+IFERROR(IF(VLOOKUP($B19,'MM B-Flags'!$B$5:$AI$24,6,FALSE)=" ",0,VLOOKUP($B19,'MM B-Flags'!$B$5:$AI$24,6,FALSE)),0)+IFERROR(IF(VLOOKUP($B19,'MM B-Figure 8'!$B$5:$AI$24,6,FALSE)=" ",0,VLOOKUP($B19,'MM B-Figure 8'!$B$5:$AI$24,6,FALSE)),0)+IFERROR(IF(VLOOKUP($B19,'MM B-Goats'!$B$5:$AI$24,6,FALSE)=" ",0,VLOOKUP($B19,'MM B-Goats'!$B$5:$AI$24,6,FALSE)),0)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IFERROR(IF(VLOOKUP($B19,'MM B-Dummy Roping'!$B$5:$AI$24,10,FALSE)=" ",0,VLOOKUP($B19,'MM B-Dummy Roping'!$B$5:$AI$24,10,FALSE)),0)+IFERROR(IF(VLOOKUP($B19,'MM B-Flags'!$B$5:$AI$24,10,FALSE)=" ",0,VLOOKUP($B19,'MM B-Flags'!$B$5:$AI$24,10,FALSE)),0)+IFERROR(IF(VLOOKUP($B19,'MM B-Figure 8'!$B$5:$AI$24,10,FALSE)=" ",0,VLOOKUP($B19,'MM B-Figure 8'!$B$5:$AI$24,10,FALSE)),0)+IFERROR(IF(VLOOKUP($B19,'MM B-Goats'!$B$5:$AI$24,10,FALSE)=" ",0,VLOOKUP($B19,'MM B-Goats'!$B$5:$AI$24,10,FALSE)),0)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IFERROR(IF(VLOOKUP($B19,'MM B-Dummy Roping'!$B$5:$AI$24,14,FALSE)=" ",0,VLOOKUP($B19,'MM B-Dummy Roping'!$B$5:$AI$24,14,FALSE)),0)+IFERROR(IF(VLOOKUP($B19,'MM B-Flags'!$B$5:$AI$24,14,FALSE)=" ",0,VLOOKUP($B19,'MM B-Flags'!$B$5:$AI$24,14,FALSE)),0)+IFERROR(IF(VLOOKUP($B19,'MM B-Figure 8'!$B$5:$AI$24,14,FALSE)=" ",0,VLOOKUP($B19,'MM B-Figure 8'!$B$5:$AI$24,14,FALSE)),0)+IFERROR(IF(VLOOKUP($B19,'MM B-Goats'!$B$5:$AI$24,14,FALSE)=" ",0,VLOOKUP($B19,'MM B-Goats'!$B$5:$AI$24,14,FALSE)),0)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IFERROR(IF(VLOOKUP($B19,'MM B-Dummy Roping'!$B$5:$AI$24,18,FALSE)=" ",0,VLOOKUP($B19,'MM B-Dummy Roping'!$B$5:$AI$24,18,FALSE)),0)+IFERROR(IF(VLOOKUP($B19,'MM B-Flags'!$B$5:$AI$24,18,FALSE)=" ",0,VLOOKUP($B19,'MM B-Flags'!$B$5:$AI$24,18,FALSE)),0)+IFERROR(IF(VLOOKUP($B19,'MM B-Figure 8'!$B$5:$AI$24,18,FALSE)=" ",0,VLOOKUP($B19,'MM B-Figure 8'!$B$5:$AI$24,18,FALSE)),0)+IFERROR(IF(VLOOKUP($B19,'MM B-Goats'!$B$5:$AI$24,18,FALSE)=" ",0,VLOOKUP($B19,'MM B-Goats'!$B$5:$AI$24,18,FALSE)),0)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IFERROR(IF(VLOOKUP($B19,'MM B-Dummy Roping'!$B$5:$AI$24,22,FALSE)=" ",0,VLOOKUP($B19,'MM B-Dummy Roping'!$B$5:$AI$24,22,FALSE)),0)+IFERROR(IF(VLOOKUP($B19,'MM B-Flags'!$B$5:$AI$24,22,FALSE)=" ",0,VLOOKUP($B19,'MM B-Flags'!$B$5:$AI$24,22,FALSE)),0)+IFERROR(IF(VLOOKUP($B19,'MM B-Figure 8'!$B$5:$AI$24,22,FALSE)=" ",0,VLOOKUP($B19,'MM B-Figure 8'!$B$5:$AI$24,22,FALSE)),0)+IFERROR(IF(VLOOKUP($B19,'MM B-Goats'!$B$5:$AI$24,22,FALSE)=" ",0,VLOOKUP($B19,'MM B-Goats'!$B$5:$AI$24,22,FALSE)),0)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IFERROR(IF(VLOOKUP($B19,'MM B-Dummy Roping'!$B$5:$AI$24,26,FALSE)=" ",0,VLOOKUP($B19,'MM B-Dummy Roping'!$B$5:$AI$24,26,FALSE)),0)+IFERROR(IF(VLOOKUP($B19,'MM B-Flags'!$B$5:$AI$24,26,FALSE)=" ",0,VLOOKUP($B19,'MM B-Flags'!$B$5:$AI$24,26,FALSE)),0)+IFERROR(IF(VLOOKUP($B19,'MM B-Figure 8'!$B$5:$AI$24,26,FALSE)=" ",0,VLOOKUP($B19,'MM B-Figure 8'!$B$5:$AI$24,26,FALSE)),0)+IFERROR(IF(VLOOKUP($B19,'MM B-Goats'!$B$5:$AI$24,26,FALSE)=" ",0,VLOOKUP($B19,'MM B-Goats'!$B$5:$AI$24,26,FALSE)),0)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IFERROR(IF(VLOOKUP($B19,'MM B-Dummy Roping'!$B$5:$AI$24,30,FALSE)=" ",0,VLOOKUP($B19,'MM B-Dummy Roping'!$B$5:$AI$24,30,FALSE)),0)+IFERROR(IF(VLOOKUP($B19,'MM B-Flags'!$B$5:$AI$24,30,FALSE)=" ",0,VLOOKUP($B19,'MM B-Flags'!$B$5:$AI$24,30,FALSE)),0)+IFERROR(IF(VLOOKUP($B19,'MM B-Figure 8'!$B$5:$AI$24,30,FALSE)=" ",0,VLOOKUP($B19,'MM B-Figure 8'!$B$5:$AI$24,30,FALSE)),0)+IFERROR(IF(VLOOKUP($B19,'MM B-Goats'!$B$5:$AI$24,30,FALSE)=" ",0,VLOOKUP($B19,'MM B-Goats'!$B$5:$AI$24,30,FALSE)),0)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IFERROR(IF(VLOOKUP($B19,'MM B-Dummy Roping'!$B$5:$AI$24,34,FALSE)=" ",0,VLOOKUP($B19,'MM B-Dummy Roping'!$B$5:$AI$24,34,FALSE)),0)+IFERROR(IF(VLOOKUP($B19,'MM B-Flags'!$B$5:$AI$24,34,FALSE)=" ",0,VLOOKUP($B19,'MM B-Flags'!$B$5:$AI$24,34,FALSE)),0)+IFERROR(IF(VLOOKUP($B19,'MM B-Figure 8'!$B$5:$AI$24,34,FALSE)=" ",0,VLOOKUP($B19,'MM B-Figure 8'!$B$5:$AI$24,34,FALSE)),0)+IFERROR(IF(VLOOKUP($B19,'MM B-Goats'!$B$5:$AI$24,34,FALSE)=" ",0,VLOOKUP($B19,'MM B-Goats'!$B$5:$AI$24,34,FALSE)),0)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25">
      <c r="B20" s="141"/>
      <c r="C20" s="120">
        <f>IFERROR(IF(VLOOKUP($B20,'MM B-Dummy Roping'!$B$5:$AI$24,6,FALSE)=" ",0,VLOOKUP($B20,'MM B-Dummy Roping'!$B$5:$AI$24,6,FALSE)),0)+IFERROR(IF(VLOOKUP($B20,'MM B-Flags'!$B$5:$AI$24,6,FALSE)=" ",0,VLOOKUP($B20,'MM B-Flags'!$B$5:$AI$24,6,FALSE)),0)+IFERROR(IF(VLOOKUP($B20,'MM B-Figure 8'!$B$5:$AI$24,6,FALSE)=" ",0,VLOOKUP($B20,'MM B-Figure 8'!$B$5:$AI$24,6,FALSE)),0)+IFERROR(IF(VLOOKUP($B20,'MM B-Goats'!$B$5:$AI$24,6,FALSE)=" ",0,VLOOKUP($B20,'MM B-Goats'!$B$5:$AI$24,6,FALSE)),0)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IFERROR(IF(VLOOKUP($B20,'MM B-Dummy Roping'!$B$5:$AI$24,10,FALSE)=" ",0,VLOOKUP($B20,'MM B-Dummy Roping'!$B$5:$AI$24,10,FALSE)),0)+IFERROR(IF(VLOOKUP($B20,'MM B-Flags'!$B$5:$AI$24,10,FALSE)=" ",0,VLOOKUP($B20,'MM B-Flags'!$B$5:$AI$24,10,FALSE)),0)+IFERROR(IF(VLOOKUP($B20,'MM B-Figure 8'!$B$5:$AI$24,10,FALSE)=" ",0,VLOOKUP($B20,'MM B-Figure 8'!$B$5:$AI$24,10,FALSE)),0)+IFERROR(IF(VLOOKUP($B20,'MM B-Goats'!$B$5:$AI$24,10,FALSE)=" ",0,VLOOKUP($B20,'MM B-Goats'!$B$5:$AI$24,10,FALSE)),0)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IFERROR(IF(VLOOKUP($B20,'MM B-Dummy Roping'!$B$5:$AI$24,14,FALSE)=" ",0,VLOOKUP($B20,'MM B-Dummy Roping'!$B$5:$AI$24,14,FALSE)),0)+IFERROR(IF(VLOOKUP($B20,'MM B-Flags'!$B$5:$AI$24,14,FALSE)=" ",0,VLOOKUP($B20,'MM B-Flags'!$B$5:$AI$24,14,FALSE)),0)+IFERROR(IF(VLOOKUP($B20,'MM B-Figure 8'!$B$5:$AI$24,14,FALSE)=" ",0,VLOOKUP($B20,'MM B-Figure 8'!$B$5:$AI$24,14,FALSE)),0)+IFERROR(IF(VLOOKUP($B20,'MM B-Goats'!$B$5:$AI$24,14,FALSE)=" ",0,VLOOKUP($B20,'MM B-Goats'!$B$5:$AI$24,14,FALSE)),0)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IFERROR(IF(VLOOKUP($B20,'MM B-Dummy Roping'!$B$5:$AI$24,18,FALSE)=" ",0,VLOOKUP($B20,'MM B-Dummy Roping'!$B$5:$AI$24,18,FALSE)),0)+IFERROR(IF(VLOOKUP($B20,'MM B-Flags'!$B$5:$AI$24,18,FALSE)=" ",0,VLOOKUP($B20,'MM B-Flags'!$B$5:$AI$24,18,FALSE)),0)+IFERROR(IF(VLOOKUP($B20,'MM B-Figure 8'!$B$5:$AI$24,18,FALSE)=" ",0,VLOOKUP($B20,'MM B-Figure 8'!$B$5:$AI$24,18,FALSE)),0)+IFERROR(IF(VLOOKUP($B20,'MM B-Goats'!$B$5:$AI$24,18,FALSE)=" ",0,VLOOKUP($B20,'MM B-Goats'!$B$5:$AI$24,18,FALSE)),0)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IFERROR(IF(VLOOKUP($B20,'MM B-Dummy Roping'!$B$5:$AI$24,22,FALSE)=" ",0,VLOOKUP($B20,'MM B-Dummy Roping'!$B$5:$AI$24,22,FALSE)),0)+IFERROR(IF(VLOOKUP($B20,'MM B-Flags'!$B$5:$AI$24,22,FALSE)=" ",0,VLOOKUP($B20,'MM B-Flags'!$B$5:$AI$24,22,FALSE)),0)+IFERROR(IF(VLOOKUP($B20,'MM B-Figure 8'!$B$5:$AI$24,22,FALSE)=" ",0,VLOOKUP($B20,'MM B-Figure 8'!$B$5:$AI$24,22,FALSE)),0)+IFERROR(IF(VLOOKUP($B20,'MM B-Goats'!$B$5:$AI$24,22,FALSE)=" ",0,VLOOKUP($B20,'MM B-Goats'!$B$5:$AI$24,22,FALSE)),0)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IFERROR(IF(VLOOKUP($B20,'MM B-Dummy Roping'!$B$5:$AI$24,26,FALSE)=" ",0,VLOOKUP($B20,'MM B-Dummy Roping'!$B$5:$AI$24,26,FALSE)),0)+IFERROR(IF(VLOOKUP($B20,'MM B-Flags'!$B$5:$AI$24,26,FALSE)=" ",0,VLOOKUP($B20,'MM B-Flags'!$B$5:$AI$24,26,FALSE)),0)+IFERROR(IF(VLOOKUP($B20,'MM B-Figure 8'!$B$5:$AI$24,26,FALSE)=" ",0,VLOOKUP($B20,'MM B-Figure 8'!$B$5:$AI$24,26,FALSE)),0)+IFERROR(IF(VLOOKUP($B20,'MM B-Goats'!$B$5:$AI$24,26,FALSE)=" ",0,VLOOKUP($B20,'MM B-Goats'!$B$5:$AI$24,26,FALSE)),0)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IFERROR(IF(VLOOKUP($B20,'MM B-Dummy Roping'!$B$5:$AI$24,30,FALSE)=" ",0,VLOOKUP($B20,'MM B-Dummy Roping'!$B$5:$AI$24,30,FALSE)),0)+IFERROR(IF(VLOOKUP($B20,'MM B-Flags'!$B$5:$AI$24,30,FALSE)=" ",0,VLOOKUP($B20,'MM B-Flags'!$B$5:$AI$24,30,FALSE)),0)+IFERROR(IF(VLOOKUP($B20,'MM B-Figure 8'!$B$5:$AI$24,30,FALSE)=" ",0,VLOOKUP($B20,'MM B-Figure 8'!$B$5:$AI$24,30,FALSE)),0)+IFERROR(IF(VLOOKUP($B20,'MM B-Goats'!$B$5:$AI$24,30,FALSE)=" ",0,VLOOKUP($B20,'MM B-Goats'!$B$5:$AI$24,30,FALSE)),0)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IFERROR(IF(VLOOKUP($B20,'MM B-Dummy Roping'!$B$5:$AI$24,34,FALSE)=" ",0,VLOOKUP($B20,'MM B-Dummy Roping'!$B$5:$AI$24,34,FALSE)),0)+IFERROR(IF(VLOOKUP($B20,'MM B-Flags'!$B$5:$AI$24,34,FALSE)=" ",0,VLOOKUP($B20,'MM B-Flags'!$B$5:$AI$24,34,FALSE)),0)+IFERROR(IF(VLOOKUP($B20,'MM B-Figure 8'!$B$5:$AI$24,34,FALSE)=" ",0,VLOOKUP($B20,'MM B-Figure 8'!$B$5:$AI$24,34,FALSE)),0)+IFERROR(IF(VLOOKUP($B20,'MM B-Goats'!$B$5:$AI$24,34,FALSE)=" ",0,VLOOKUP($B20,'MM B-Goats'!$B$5:$AI$24,34,FALSE)),0)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25">
      <c r="B21" s="141"/>
      <c r="C21" s="120">
        <f>IFERROR(IF(VLOOKUP($B21,'MM B-Dummy Roping'!$B$5:$AI$24,6,FALSE)=" ",0,VLOOKUP($B21,'MM B-Dummy Roping'!$B$5:$AI$24,6,FALSE)),0)+IFERROR(IF(VLOOKUP($B21,'MM B-Flags'!$B$5:$AI$24,6,FALSE)=" ",0,VLOOKUP($B21,'MM B-Flags'!$B$5:$AI$24,6,FALSE)),0)+IFERROR(IF(VLOOKUP($B21,'MM B-Figure 8'!$B$5:$AI$24,6,FALSE)=" ",0,VLOOKUP($B21,'MM B-Figure 8'!$B$5:$AI$24,6,FALSE)),0)+IFERROR(IF(VLOOKUP($B21,'MM B-Goats'!$B$5:$AI$24,6,FALSE)=" ",0,VLOOKUP($B21,'MM B-Goats'!$B$5:$AI$24,6,FALSE)),0)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IFERROR(IF(VLOOKUP($B21,'MM B-Dummy Roping'!$B$5:$AI$24,10,FALSE)=" ",0,VLOOKUP($B21,'MM B-Dummy Roping'!$B$5:$AI$24,10,FALSE)),0)+IFERROR(IF(VLOOKUP($B21,'MM B-Flags'!$B$5:$AI$24,10,FALSE)=" ",0,VLOOKUP($B21,'MM B-Flags'!$B$5:$AI$24,10,FALSE)),0)+IFERROR(IF(VLOOKUP($B21,'MM B-Figure 8'!$B$5:$AI$24,10,FALSE)=" ",0,VLOOKUP($B21,'MM B-Figure 8'!$B$5:$AI$24,10,FALSE)),0)+IFERROR(IF(VLOOKUP($B21,'MM B-Goats'!$B$5:$AI$24,10,FALSE)=" ",0,VLOOKUP($B21,'MM B-Goats'!$B$5:$AI$24,10,FALSE)),0)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IFERROR(IF(VLOOKUP($B21,'MM B-Dummy Roping'!$B$5:$AI$24,14,FALSE)=" ",0,VLOOKUP($B21,'MM B-Dummy Roping'!$B$5:$AI$24,14,FALSE)),0)+IFERROR(IF(VLOOKUP($B21,'MM B-Flags'!$B$5:$AI$24,14,FALSE)=" ",0,VLOOKUP($B21,'MM B-Flags'!$B$5:$AI$24,14,FALSE)),0)+IFERROR(IF(VLOOKUP($B21,'MM B-Figure 8'!$B$5:$AI$24,14,FALSE)=" ",0,VLOOKUP($B21,'MM B-Figure 8'!$B$5:$AI$24,14,FALSE)),0)+IFERROR(IF(VLOOKUP($B21,'MM B-Goats'!$B$5:$AI$24,14,FALSE)=" ",0,VLOOKUP($B21,'MM B-Goats'!$B$5:$AI$24,14,FALSE)),0)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IFERROR(IF(VLOOKUP($B21,'MM B-Dummy Roping'!$B$5:$AI$24,18,FALSE)=" ",0,VLOOKUP($B21,'MM B-Dummy Roping'!$B$5:$AI$24,18,FALSE)),0)+IFERROR(IF(VLOOKUP($B21,'MM B-Flags'!$B$5:$AI$24,18,FALSE)=" ",0,VLOOKUP($B21,'MM B-Flags'!$B$5:$AI$24,18,FALSE)),0)+IFERROR(IF(VLOOKUP($B21,'MM B-Figure 8'!$B$5:$AI$24,18,FALSE)=" ",0,VLOOKUP($B21,'MM B-Figure 8'!$B$5:$AI$24,18,FALSE)),0)+IFERROR(IF(VLOOKUP($B21,'MM B-Goats'!$B$5:$AI$24,18,FALSE)=" ",0,VLOOKUP($B21,'MM B-Goats'!$B$5:$AI$24,18,FALSE)),0)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IFERROR(IF(VLOOKUP($B21,'MM B-Dummy Roping'!$B$5:$AI$24,22,FALSE)=" ",0,VLOOKUP($B21,'MM B-Dummy Roping'!$B$5:$AI$24,22,FALSE)),0)+IFERROR(IF(VLOOKUP($B21,'MM B-Flags'!$B$5:$AI$24,22,FALSE)=" ",0,VLOOKUP($B21,'MM B-Flags'!$B$5:$AI$24,22,FALSE)),0)+IFERROR(IF(VLOOKUP($B21,'MM B-Figure 8'!$B$5:$AI$24,22,FALSE)=" ",0,VLOOKUP($B21,'MM B-Figure 8'!$B$5:$AI$24,22,FALSE)),0)+IFERROR(IF(VLOOKUP($B21,'MM B-Goats'!$B$5:$AI$24,22,FALSE)=" ",0,VLOOKUP($B21,'MM B-Goats'!$B$5:$AI$24,22,FALSE)),0)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IFERROR(IF(VLOOKUP($B21,'MM B-Dummy Roping'!$B$5:$AI$24,26,FALSE)=" ",0,VLOOKUP($B21,'MM B-Dummy Roping'!$B$5:$AI$24,26,FALSE)),0)+IFERROR(IF(VLOOKUP($B21,'MM B-Flags'!$B$5:$AI$24,26,FALSE)=" ",0,VLOOKUP($B21,'MM B-Flags'!$B$5:$AI$24,26,FALSE)),0)+IFERROR(IF(VLOOKUP($B21,'MM B-Figure 8'!$B$5:$AI$24,26,FALSE)=" ",0,VLOOKUP($B21,'MM B-Figure 8'!$B$5:$AI$24,26,FALSE)),0)+IFERROR(IF(VLOOKUP($B21,'MM B-Goats'!$B$5:$AI$24,26,FALSE)=" ",0,VLOOKUP($B21,'MM B-Goats'!$B$5:$AI$24,26,FALSE)),0)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IFERROR(IF(VLOOKUP($B21,'MM B-Dummy Roping'!$B$5:$AI$24,30,FALSE)=" ",0,VLOOKUP($B21,'MM B-Dummy Roping'!$B$5:$AI$24,30,FALSE)),0)+IFERROR(IF(VLOOKUP($B21,'MM B-Flags'!$B$5:$AI$24,30,FALSE)=" ",0,VLOOKUP($B21,'MM B-Flags'!$B$5:$AI$24,30,FALSE)),0)+IFERROR(IF(VLOOKUP($B21,'MM B-Figure 8'!$B$5:$AI$24,30,FALSE)=" ",0,VLOOKUP($B21,'MM B-Figure 8'!$B$5:$AI$24,30,FALSE)),0)+IFERROR(IF(VLOOKUP($B21,'MM B-Goats'!$B$5:$AI$24,30,FALSE)=" ",0,VLOOKUP($B21,'MM B-Goats'!$B$5:$AI$24,30,FALSE)),0)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IFERROR(IF(VLOOKUP($B21,'MM B-Dummy Roping'!$B$5:$AI$24,34,FALSE)=" ",0,VLOOKUP($B21,'MM B-Dummy Roping'!$B$5:$AI$24,34,FALSE)),0)+IFERROR(IF(VLOOKUP($B21,'MM B-Flags'!$B$5:$AI$24,34,FALSE)=" ",0,VLOOKUP($B21,'MM B-Flags'!$B$5:$AI$24,34,FALSE)),0)+IFERROR(IF(VLOOKUP($B21,'MM B-Figure 8'!$B$5:$AI$24,34,FALSE)=" ",0,VLOOKUP($B21,'MM B-Figure 8'!$B$5:$AI$24,34,FALSE)),0)+IFERROR(IF(VLOOKUP($B21,'MM B-Goats'!$B$5:$AI$24,34,FALSE)=" ",0,VLOOKUP($B21,'MM B-Goats'!$B$5:$AI$24,34,FALSE)),0)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25">
      <c r="B22" s="141"/>
      <c r="C22" s="120">
        <f>IFERROR(IF(VLOOKUP($B22,'MM B-Dummy Roping'!$B$5:$AI$24,6,FALSE)=" ",0,VLOOKUP($B22,'MM B-Dummy Roping'!$B$5:$AI$24,6,FALSE)),0)+IFERROR(IF(VLOOKUP($B22,'MM B-Flags'!$B$5:$AI$24,6,FALSE)=" ",0,VLOOKUP($B22,'MM B-Flags'!$B$5:$AI$24,6,FALSE)),0)+IFERROR(IF(VLOOKUP($B22,'MM B-Figure 8'!$B$5:$AI$24,6,FALSE)=" ",0,VLOOKUP($B22,'MM B-Figure 8'!$B$5:$AI$24,6,FALSE)),0)+IFERROR(IF(VLOOKUP($B22,'MM B-Goats'!$B$5:$AI$24,6,FALSE)=" ",0,VLOOKUP($B22,'MM B-Goats'!$B$5:$AI$24,6,FALSE)),0)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IFERROR(IF(VLOOKUP($B22,'MM B-Dummy Roping'!$B$5:$AI$24,10,FALSE)=" ",0,VLOOKUP($B22,'MM B-Dummy Roping'!$B$5:$AI$24,10,FALSE)),0)+IFERROR(IF(VLOOKUP($B22,'MM B-Flags'!$B$5:$AI$24,10,FALSE)=" ",0,VLOOKUP($B22,'MM B-Flags'!$B$5:$AI$24,10,FALSE)),0)+IFERROR(IF(VLOOKUP($B22,'MM B-Figure 8'!$B$5:$AI$24,10,FALSE)=" ",0,VLOOKUP($B22,'MM B-Figure 8'!$B$5:$AI$24,10,FALSE)),0)+IFERROR(IF(VLOOKUP($B22,'MM B-Goats'!$B$5:$AI$24,10,FALSE)=" ",0,VLOOKUP($B22,'MM B-Goats'!$B$5:$AI$24,10,FALSE)),0)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IFERROR(IF(VLOOKUP($B22,'MM B-Dummy Roping'!$B$5:$AI$24,14,FALSE)=" ",0,VLOOKUP($B22,'MM B-Dummy Roping'!$B$5:$AI$24,14,FALSE)),0)+IFERROR(IF(VLOOKUP($B22,'MM B-Flags'!$B$5:$AI$24,14,FALSE)=" ",0,VLOOKUP($B22,'MM B-Flags'!$B$5:$AI$24,14,FALSE)),0)+IFERROR(IF(VLOOKUP($B22,'MM B-Figure 8'!$B$5:$AI$24,14,FALSE)=" ",0,VLOOKUP($B22,'MM B-Figure 8'!$B$5:$AI$24,14,FALSE)),0)+IFERROR(IF(VLOOKUP($B22,'MM B-Goats'!$B$5:$AI$24,14,FALSE)=" ",0,VLOOKUP($B22,'MM B-Goats'!$B$5:$AI$24,14,FALSE)),0)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IFERROR(IF(VLOOKUP($B22,'MM B-Dummy Roping'!$B$5:$AI$24,18,FALSE)=" ",0,VLOOKUP($B22,'MM B-Dummy Roping'!$B$5:$AI$24,18,FALSE)),0)+IFERROR(IF(VLOOKUP($B22,'MM B-Flags'!$B$5:$AI$24,18,FALSE)=" ",0,VLOOKUP($B22,'MM B-Flags'!$B$5:$AI$24,18,FALSE)),0)+IFERROR(IF(VLOOKUP($B22,'MM B-Figure 8'!$B$5:$AI$24,18,FALSE)=" ",0,VLOOKUP($B22,'MM B-Figure 8'!$B$5:$AI$24,18,FALSE)),0)+IFERROR(IF(VLOOKUP($B22,'MM B-Goats'!$B$5:$AI$24,18,FALSE)=" ",0,VLOOKUP($B22,'MM B-Goats'!$B$5:$AI$24,18,FALSE)),0)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IFERROR(IF(VLOOKUP($B22,'MM B-Dummy Roping'!$B$5:$AI$24,22,FALSE)=" ",0,VLOOKUP($B22,'MM B-Dummy Roping'!$B$5:$AI$24,22,FALSE)),0)+IFERROR(IF(VLOOKUP($B22,'MM B-Flags'!$B$5:$AI$24,22,FALSE)=" ",0,VLOOKUP($B22,'MM B-Flags'!$B$5:$AI$24,22,FALSE)),0)+IFERROR(IF(VLOOKUP($B22,'MM B-Figure 8'!$B$5:$AI$24,22,FALSE)=" ",0,VLOOKUP($B22,'MM B-Figure 8'!$B$5:$AI$24,22,FALSE)),0)+IFERROR(IF(VLOOKUP($B22,'MM B-Goats'!$B$5:$AI$24,22,FALSE)=" ",0,VLOOKUP($B22,'MM B-Goats'!$B$5:$AI$24,22,FALSE)),0)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IFERROR(IF(VLOOKUP($B22,'MM B-Dummy Roping'!$B$5:$AI$24,26,FALSE)=" ",0,VLOOKUP($B22,'MM B-Dummy Roping'!$B$5:$AI$24,26,FALSE)),0)+IFERROR(IF(VLOOKUP($B22,'MM B-Flags'!$B$5:$AI$24,26,FALSE)=" ",0,VLOOKUP($B22,'MM B-Flags'!$B$5:$AI$24,26,FALSE)),0)+IFERROR(IF(VLOOKUP($B22,'MM B-Figure 8'!$B$5:$AI$24,26,FALSE)=" ",0,VLOOKUP($B22,'MM B-Figure 8'!$B$5:$AI$24,26,FALSE)),0)+IFERROR(IF(VLOOKUP($B22,'MM B-Goats'!$B$5:$AI$24,26,FALSE)=" ",0,VLOOKUP($B22,'MM B-Goats'!$B$5:$AI$24,26,FALSE)),0)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IFERROR(IF(VLOOKUP($B22,'MM B-Dummy Roping'!$B$5:$AI$24,30,FALSE)=" ",0,VLOOKUP($B22,'MM B-Dummy Roping'!$B$5:$AI$24,30,FALSE)),0)+IFERROR(IF(VLOOKUP($B22,'MM B-Flags'!$B$5:$AI$24,30,FALSE)=" ",0,VLOOKUP($B22,'MM B-Flags'!$B$5:$AI$24,30,FALSE)),0)+IFERROR(IF(VLOOKUP($B22,'MM B-Figure 8'!$B$5:$AI$24,30,FALSE)=" ",0,VLOOKUP($B22,'MM B-Figure 8'!$B$5:$AI$24,30,FALSE)),0)+IFERROR(IF(VLOOKUP($B22,'MM B-Goats'!$B$5:$AI$24,30,FALSE)=" ",0,VLOOKUP($B22,'MM B-Goats'!$B$5:$AI$24,30,FALSE)),0)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IFERROR(IF(VLOOKUP($B22,'MM B-Dummy Roping'!$B$5:$AI$24,34,FALSE)=" ",0,VLOOKUP($B22,'MM B-Dummy Roping'!$B$5:$AI$24,34,FALSE)),0)+IFERROR(IF(VLOOKUP($B22,'MM B-Flags'!$B$5:$AI$24,34,FALSE)=" ",0,VLOOKUP($B22,'MM B-Flags'!$B$5:$AI$24,34,FALSE)),0)+IFERROR(IF(VLOOKUP($B22,'MM B-Figure 8'!$B$5:$AI$24,34,FALSE)=" ",0,VLOOKUP($B22,'MM B-Figure 8'!$B$5:$AI$24,34,FALSE)),0)+IFERROR(IF(VLOOKUP($B22,'MM B-Goats'!$B$5:$AI$24,34,FALSE)=" ",0,VLOOKUP($B22,'MM B-Goats'!$B$5:$AI$24,34,FALSE)),0)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25">
      <c r="B23" s="141"/>
      <c r="C23" s="120">
        <f>IFERROR(IF(VLOOKUP($B23,'MM B-Dummy Roping'!$B$5:$AI$24,6,FALSE)=" ",0,VLOOKUP($B23,'MM B-Dummy Roping'!$B$5:$AI$24,6,FALSE)),0)+IFERROR(IF(VLOOKUP($B23,'MM B-Flags'!$B$5:$AI$24,6,FALSE)=" ",0,VLOOKUP($B23,'MM B-Flags'!$B$5:$AI$24,6,FALSE)),0)+IFERROR(IF(VLOOKUP($B23,'MM B-Figure 8'!$B$5:$AI$24,6,FALSE)=" ",0,VLOOKUP($B23,'MM B-Figure 8'!$B$5:$AI$24,6,FALSE)),0)+IFERROR(IF(VLOOKUP($B23,'MM B-Goats'!$B$5:$AI$24,6,FALSE)=" ",0,VLOOKUP($B23,'MM B-Goats'!$B$5:$AI$24,6,FALSE)),0)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IFERROR(IF(VLOOKUP($B23,'MM B-Dummy Roping'!$B$5:$AI$24,10,FALSE)=" ",0,VLOOKUP($B23,'MM B-Dummy Roping'!$B$5:$AI$24,10,FALSE)),0)+IFERROR(IF(VLOOKUP($B23,'MM B-Flags'!$B$5:$AI$24,10,FALSE)=" ",0,VLOOKUP($B23,'MM B-Flags'!$B$5:$AI$24,10,FALSE)),0)+IFERROR(IF(VLOOKUP($B23,'MM B-Figure 8'!$B$5:$AI$24,10,FALSE)=" ",0,VLOOKUP($B23,'MM B-Figure 8'!$B$5:$AI$24,10,FALSE)),0)+IFERROR(IF(VLOOKUP($B23,'MM B-Goats'!$B$5:$AI$24,10,FALSE)=" ",0,VLOOKUP($B23,'MM B-Goats'!$B$5:$AI$24,10,FALSE)),0)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IFERROR(IF(VLOOKUP($B23,'MM B-Dummy Roping'!$B$5:$AI$24,14,FALSE)=" ",0,VLOOKUP($B23,'MM B-Dummy Roping'!$B$5:$AI$24,14,FALSE)),0)+IFERROR(IF(VLOOKUP($B23,'MM B-Flags'!$B$5:$AI$24,14,FALSE)=" ",0,VLOOKUP($B23,'MM B-Flags'!$B$5:$AI$24,14,FALSE)),0)+IFERROR(IF(VLOOKUP($B23,'MM B-Figure 8'!$B$5:$AI$24,14,FALSE)=" ",0,VLOOKUP($B23,'MM B-Figure 8'!$B$5:$AI$24,14,FALSE)),0)+IFERROR(IF(VLOOKUP($B23,'MM B-Goats'!$B$5:$AI$24,14,FALSE)=" ",0,VLOOKUP($B23,'MM B-Goats'!$B$5:$AI$24,14,FALSE)),0)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IFERROR(IF(VLOOKUP($B23,'MM B-Dummy Roping'!$B$5:$AI$24,18,FALSE)=" ",0,VLOOKUP($B23,'MM B-Dummy Roping'!$B$5:$AI$24,18,FALSE)),0)+IFERROR(IF(VLOOKUP($B23,'MM B-Flags'!$B$5:$AI$24,18,FALSE)=" ",0,VLOOKUP($B23,'MM B-Flags'!$B$5:$AI$24,18,FALSE)),0)+IFERROR(IF(VLOOKUP($B23,'MM B-Figure 8'!$B$5:$AI$24,18,FALSE)=" ",0,VLOOKUP($B23,'MM B-Figure 8'!$B$5:$AI$24,18,FALSE)),0)+IFERROR(IF(VLOOKUP($B23,'MM B-Goats'!$B$5:$AI$24,18,FALSE)=" ",0,VLOOKUP($B23,'MM B-Goats'!$B$5:$AI$24,18,FALSE)),0)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IFERROR(IF(VLOOKUP($B23,'MM B-Dummy Roping'!$B$5:$AI$24,22,FALSE)=" ",0,VLOOKUP($B23,'MM B-Dummy Roping'!$B$5:$AI$24,22,FALSE)),0)+IFERROR(IF(VLOOKUP($B23,'MM B-Flags'!$B$5:$AI$24,22,FALSE)=" ",0,VLOOKUP($B23,'MM B-Flags'!$B$5:$AI$24,22,FALSE)),0)+IFERROR(IF(VLOOKUP($B23,'MM B-Figure 8'!$B$5:$AI$24,22,FALSE)=" ",0,VLOOKUP($B23,'MM B-Figure 8'!$B$5:$AI$24,22,FALSE)),0)+IFERROR(IF(VLOOKUP($B23,'MM B-Goats'!$B$5:$AI$24,22,FALSE)=" ",0,VLOOKUP($B23,'MM B-Goats'!$B$5:$AI$24,22,FALSE)),0)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IFERROR(IF(VLOOKUP($B23,'MM B-Dummy Roping'!$B$5:$AI$24,26,FALSE)=" ",0,VLOOKUP($B23,'MM B-Dummy Roping'!$B$5:$AI$24,26,FALSE)),0)+IFERROR(IF(VLOOKUP($B23,'MM B-Flags'!$B$5:$AI$24,26,FALSE)=" ",0,VLOOKUP($B23,'MM B-Flags'!$B$5:$AI$24,26,FALSE)),0)+IFERROR(IF(VLOOKUP($B23,'MM B-Figure 8'!$B$5:$AI$24,26,FALSE)=" ",0,VLOOKUP($B23,'MM B-Figure 8'!$B$5:$AI$24,26,FALSE)),0)+IFERROR(IF(VLOOKUP($B23,'MM B-Goats'!$B$5:$AI$24,26,FALSE)=" ",0,VLOOKUP($B23,'MM B-Goats'!$B$5:$AI$24,26,FALSE)),0)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IFERROR(IF(VLOOKUP($B23,'MM B-Dummy Roping'!$B$5:$AI$24,30,FALSE)=" ",0,VLOOKUP($B23,'MM B-Dummy Roping'!$B$5:$AI$24,30,FALSE)),0)+IFERROR(IF(VLOOKUP($B23,'MM B-Flags'!$B$5:$AI$24,30,FALSE)=" ",0,VLOOKUP($B23,'MM B-Flags'!$B$5:$AI$24,30,FALSE)),0)+IFERROR(IF(VLOOKUP($B23,'MM B-Figure 8'!$B$5:$AI$24,30,FALSE)=" ",0,VLOOKUP($B23,'MM B-Figure 8'!$B$5:$AI$24,30,FALSE)),0)+IFERROR(IF(VLOOKUP($B23,'MM B-Goats'!$B$5:$AI$24,30,FALSE)=" ",0,VLOOKUP($B23,'MM B-Goats'!$B$5:$AI$24,30,FALSE)),0)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IFERROR(IF(VLOOKUP($B23,'MM B-Dummy Roping'!$B$5:$AI$24,34,FALSE)=" ",0,VLOOKUP($B23,'MM B-Dummy Roping'!$B$5:$AI$24,34,FALSE)),0)+IFERROR(IF(VLOOKUP($B23,'MM B-Flags'!$B$5:$AI$24,34,FALSE)=" ",0,VLOOKUP($B23,'MM B-Flags'!$B$5:$AI$24,34,FALSE)),0)+IFERROR(IF(VLOOKUP($B23,'MM B-Figure 8'!$B$5:$AI$24,34,FALSE)=" ",0,VLOOKUP($B23,'MM B-Figure 8'!$B$5:$AI$24,34,FALSE)),0)+IFERROR(IF(VLOOKUP($B23,'MM B-Goats'!$B$5:$AI$24,34,FALSE)=" ",0,VLOOKUP($B23,'MM B-Goats'!$B$5:$AI$24,34,FALSE)),0)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4" thickBot="1" x14ac:dyDescent="0.3">
      <c r="B24" s="143"/>
      <c r="C24" s="123">
        <f>IFERROR(IF(VLOOKUP($B24,'MM B-Dummy Roping'!$B$5:$AI$24,6,FALSE)=" ",0,VLOOKUP($B24,'MM B-Dummy Roping'!$B$5:$AI$24,6,FALSE)),0)+IFERROR(IF(VLOOKUP($B24,'MM B-Flags'!$B$5:$AI$24,6,FALSE)=" ",0,VLOOKUP($B24,'MM B-Flags'!$B$5:$AI$24,6,FALSE)),0)+IFERROR(IF(VLOOKUP($B24,'MM B-Figure 8'!$B$5:$AI$24,6,FALSE)=" ",0,VLOOKUP($B24,'MM B-Figure 8'!$B$5:$AI$24,6,FALSE)),0)+IFERROR(IF(VLOOKUP($B24,'MM B-Goats'!$B$5:$AI$24,6,FALSE)=" ",0,VLOOKUP($B24,'MM B-Goats'!$B$5:$AI$24,6,FALSE)),0)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IFERROR(IF(VLOOKUP($B24,'MM B-Dummy Roping'!$B$5:$AI$24,10,FALSE)=" ",0,VLOOKUP($B24,'MM B-Dummy Roping'!$B$5:$AI$24,10,FALSE)),0)+IFERROR(IF(VLOOKUP($B24,'MM B-Flags'!$B$5:$AI$24,10,FALSE)=" ",0,VLOOKUP($B24,'MM B-Flags'!$B$5:$AI$24,10,FALSE)),0)+IFERROR(IF(VLOOKUP($B24,'MM B-Figure 8'!$B$5:$AI$24,10,FALSE)=" ",0,VLOOKUP($B24,'MM B-Figure 8'!$B$5:$AI$24,10,FALSE)),0)+IFERROR(IF(VLOOKUP($B24,'MM B-Goats'!$B$5:$AI$24,10,FALSE)=" ",0,VLOOKUP($B24,'MM B-Goats'!$B$5:$AI$24,10,FALSE)),0)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IFERROR(IF(VLOOKUP($B24,'MM B-Dummy Roping'!$B$5:$AI$24,14,FALSE)=" ",0,VLOOKUP($B24,'MM B-Dummy Roping'!$B$5:$AI$24,14,FALSE)),0)+IFERROR(IF(VLOOKUP($B24,'MM B-Flags'!$B$5:$AI$24,14,FALSE)=" ",0,VLOOKUP($B24,'MM B-Flags'!$B$5:$AI$24,14,FALSE)),0)+IFERROR(IF(VLOOKUP($B24,'MM B-Figure 8'!$B$5:$AI$24,14,FALSE)=" ",0,VLOOKUP($B24,'MM B-Figure 8'!$B$5:$AI$24,14,FALSE)),0)+IFERROR(IF(VLOOKUP($B24,'MM B-Goats'!$B$5:$AI$24,14,FALSE)=" ",0,VLOOKUP($B24,'MM B-Goats'!$B$5:$AI$24,14,FALSE)),0)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IFERROR(IF(VLOOKUP($B24,'MM B-Dummy Roping'!$B$5:$AI$24,18,FALSE)=" ",0,VLOOKUP($B24,'MM B-Dummy Roping'!$B$5:$AI$24,18,FALSE)),0)+IFERROR(IF(VLOOKUP($B24,'MM B-Flags'!$B$5:$AI$24,18,FALSE)=" ",0,VLOOKUP($B24,'MM B-Flags'!$B$5:$AI$24,18,FALSE)),0)+IFERROR(IF(VLOOKUP($B24,'MM B-Figure 8'!$B$5:$AI$24,18,FALSE)=" ",0,VLOOKUP($B24,'MM B-Figure 8'!$B$5:$AI$24,18,FALSE)),0)+IFERROR(IF(VLOOKUP($B24,'MM B-Goats'!$B$5:$AI$24,18,FALSE)=" ",0,VLOOKUP($B24,'MM B-Goats'!$B$5:$AI$24,18,FALSE)),0)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IFERROR(IF(VLOOKUP($B24,'MM B-Dummy Roping'!$B$5:$AI$24,22,FALSE)=" ",0,VLOOKUP($B24,'MM B-Dummy Roping'!$B$5:$AI$24,22,FALSE)),0)+IFERROR(IF(VLOOKUP($B24,'MM B-Flags'!$B$5:$AI$24,22,FALSE)=" ",0,VLOOKUP($B24,'MM B-Flags'!$B$5:$AI$24,22,FALSE)),0)+IFERROR(IF(VLOOKUP($B24,'MM B-Figure 8'!$B$5:$AI$24,22,FALSE)=" ",0,VLOOKUP($B24,'MM B-Figure 8'!$B$5:$AI$24,22,FALSE)),0)+IFERROR(IF(VLOOKUP($B24,'MM B-Goats'!$B$5:$AI$24,22,FALSE)=" ",0,VLOOKUP($B24,'MM B-Goats'!$B$5:$AI$24,22,FALSE)),0)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IFERROR(IF(VLOOKUP($B24,'MM B-Dummy Roping'!$B$5:$AI$24,26,FALSE)=" ",0,VLOOKUP($B24,'MM B-Dummy Roping'!$B$5:$AI$24,26,FALSE)),0)+IFERROR(IF(VLOOKUP($B24,'MM B-Flags'!$B$5:$AI$24,26,FALSE)=" ",0,VLOOKUP($B24,'MM B-Flags'!$B$5:$AI$24,26,FALSE)),0)+IFERROR(IF(VLOOKUP($B24,'MM B-Figure 8'!$B$5:$AI$24,26,FALSE)=" ",0,VLOOKUP($B24,'MM B-Figure 8'!$B$5:$AI$24,26,FALSE)),0)+IFERROR(IF(VLOOKUP($B24,'MM B-Goats'!$B$5:$AI$24,26,FALSE)=" ",0,VLOOKUP($B24,'MM B-Goats'!$B$5:$AI$24,26,FALSE)),0)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IFERROR(IF(VLOOKUP($B24,'MM B-Dummy Roping'!$B$5:$AI$24,30,FALSE)=" ",0,VLOOKUP($B24,'MM B-Dummy Roping'!$B$5:$AI$24,30,FALSE)),0)+IFERROR(IF(VLOOKUP($B24,'MM B-Flags'!$B$5:$AI$24,30,FALSE)=" ",0,VLOOKUP($B24,'MM B-Flags'!$B$5:$AI$24,30,FALSE)),0)+IFERROR(IF(VLOOKUP($B24,'MM B-Figure 8'!$B$5:$AI$24,30,FALSE)=" ",0,VLOOKUP($B24,'MM B-Figure 8'!$B$5:$AI$24,30,FALSE)),0)+IFERROR(IF(VLOOKUP($B24,'MM B-Goats'!$B$5:$AI$24,30,FALSE)=" ",0,VLOOKUP($B24,'MM B-Goats'!$B$5:$AI$24,30,FALSE)),0)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IFERROR(IF(VLOOKUP($B24,'MM B-Dummy Roping'!$B$5:$AI$24,34,FALSE)=" ",0,VLOOKUP($B24,'MM B-Dummy Roping'!$B$5:$AI$24,34,FALSE)),0)+IFERROR(IF(VLOOKUP($B24,'MM B-Flags'!$B$5:$AI$24,34,FALSE)=" ",0,VLOOKUP($B24,'MM B-Flags'!$B$5:$AI$24,34,FALSE)),0)+IFERROR(IF(VLOOKUP($B24,'MM B-Figure 8'!$B$5:$AI$24,34,FALSE)=" ",0,VLOOKUP($B24,'MM B-Figure 8'!$B$5:$AI$24,34,FALSE)),0)+IFERROR(IF(VLOOKUP($B24,'MM B-Goats'!$B$5:$AI$24,34,FALSE)=" ",0,VLOOKUP($B24,'MM B-Goats'!$B$5:$AI$24,34,FALSE)),0)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Table634568910112334444014[[#This Row],[Points]]+Table634568910112334444014[[#This Row],[Points4]]+Table634568910112334444014[[#This Row],[Points43]]+Table634568910112334444014[[#This Row],[Points44]]+Table634568910112334444014[[#This Row],[Points45]]+Table634568910112334444014[[#This Row],[Points46]]+Table634568910112334444014[[#This Row],[Points47]]+Table634568910112334444014[[#This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4" thickBot="1" x14ac:dyDescent="0.3">
      <c r="B25" s="125" t="s">
        <v>236</v>
      </c>
    </row>
    <row r="27" spans="2:29" x14ac:dyDescent="0.25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25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PpkXWDE/Pt5jXwmmN9fuehnn3Wtv54X2E054UxuXSCMaPbOiVDGfFJKRltgU8ozOC77MGrkNicXD6cNAYBaOJQ==" saltValue="nq930kb5cI7+l+kFhOOn+Q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E5898-006C-4429-AA4E-357555320CBE}">
  <sheetPr codeName="Sheet97">
    <tabColor theme="2" tint="-9.9978637043366805E-2"/>
    <pageSetUpPr fitToPage="1"/>
  </sheetPr>
  <dimension ref="B1:F36"/>
  <sheetViews>
    <sheetView showGridLines="0" workbookViewId="0">
      <pane xSplit="2" topLeftCell="D1" activePane="topRight" state="frozen"/>
      <selection activeCell="K50" sqref="K50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47" style="62" customWidth="1"/>
    <col min="3" max="3" width="11.6640625" style="60" hidden="1" customWidth="1"/>
    <col min="4" max="4" width="11.6640625" style="60" customWidth="1"/>
    <col min="5" max="5" width="11.6640625" style="57" customWidth="1"/>
    <col min="6" max="6" width="9.109375" style="160"/>
    <col min="7" max="16384" width="9.109375" style="62"/>
  </cols>
  <sheetData>
    <row r="1" spans="2:6" ht="18" thickBot="1" x14ac:dyDescent="0.35">
      <c r="B1" s="54"/>
    </row>
    <row r="2" spans="2:6" s="64" customFormat="1" ht="17.399999999999999" x14ac:dyDescent="0.3">
      <c r="B2" s="139" t="s">
        <v>182</v>
      </c>
      <c r="C2" s="166"/>
      <c r="D2" s="166"/>
      <c r="E2" s="167"/>
      <c r="F2" s="161"/>
    </row>
    <row r="3" spans="2:6" s="74" customFormat="1" ht="14.4" thickBot="1" x14ac:dyDescent="0.3">
      <c r="B3" s="111"/>
      <c r="C3" s="113" t="s">
        <v>2</v>
      </c>
      <c r="D3" s="113" t="s">
        <v>2</v>
      </c>
      <c r="E3" s="73" t="s">
        <v>1</v>
      </c>
      <c r="F3" s="162"/>
    </row>
    <row r="4" spans="2:6" s="74" customFormat="1" ht="18.75" hidden="1" customHeight="1" thickBot="1" x14ac:dyDescent="0.35">
      <c r="B4" s="114" t="s">
        <v>75</v>
      </c>
      <c r="C4" s="116" t="s">
        <v>82</v>
      </c>
      <c r="D4" s="116" t="s">
        <v>234</v>
      </c>
      <c r="E4" s="117" t="s">
        <v>57</v>
      </c>
      <c r="F4" s="162"/>
    </row>
    <row r="5" spans="2:6" x14ac:dyDescent="0.25">
      <c r="B5" s="140" t="s">
        <v>223</v>
      </c>
      <c r="C5" s="88">
        <f>IFERROR(IF(VLOOKUP($B5,'SR G-Barrels'!$B$5:$AL$100,36,FALSE)=" ",0,VLOOKUP($B5,'SR G-Barrels'!$B$5:$AL$100,36,FALSE)),0)+IFERROR(IF(VLOOKUP($B5,'SR G-Poles'!$B$5:$AL$100,36,FALSE)=" ",0,VLOOKUP($B5,'SR G-Poles'!$B$5:$AL$100,36,FALSE)),0)+IFERROR(IF(VLOOKUP($B5,'SR G-Goats'!$B$5:$AL$100,36,FALSE)=" ",0,VLOOKUP($B5,'SR G-Goats'!$B$5:$AL$100,36,FALSE)),0)+IFERROR(IF(VLOOKUP($B5,'SR G-Breakaway'!$B$5:$AL$100,36,FALSE)=" ",0,VLOOKUP($B5,'SR G-Breakaway'!$B$5:$AL$100,36,FALSE)),0)+IFERROR(IF(VLOOKUP($B5,'SR-Team Roping-Header'!$B$5:$AL$100,12,FALSE)=" ",0,VLOOKUP($B5,'SR-Team Roping-Header'!$B$5:$AL$100,12,FALSE)),0)+IFERROR(IF(VLOOKUP($B5,'SR-Team Roping-Heeler'!$B$5:$AL$100,12,FALSE)=" ",0,VLOOKUP($B5,'SR-Team Roping-Heeler'!$B$5:$AL$100,12,FALSE)),0)+IFERROR(IF(VLOOKUP($B5,'JR G-Barrels'!$B$5:$AL$100,36,FALSE)=" ",0,VLOOKUP($B5,'JR G-Barrels'!$B$5:$AL$100,36,FALSE)),0)+IFERROR(IF(VLOOKUP($B5,'JR G-Poles'!$B$5:$AL$100,36,FALSE)=" ",0,VLOOKUP($B5,'JR G-Poles'!$B$5:$AL$100,36,FALSE)),0)+IFERROR(IF(VLOOKUP($B5,'JR G-Goats'!$B$5:$AL$100,36,FALSE)=" ",0,VLOOKUP($B5,'JR G-Goats'!$B$5:$AL$100,36,FALSE)),0)+IFERROR(IF(VLOOKUP($B5,'JR G-Breakaway'!$B$5:$AL$100,36,FALSE)=" ",0,VLOOKUP($B5,'JR G-Breakaway'!$B$5:$AL$100,36,FALSE)),0)+IFERROR(IF(VLOOKUP($B5,'JR-Team Roping-Header'!$B$5:$AL$100,12,FALSE)=" ",0,VLOOKUP($B5,'JR-Team Roping-Header'!$B$5:$AL$100,12,FALSE)),0)+IFERROR(IF(VLOOKUP($B5,'JR-Team Roping-Heeler'!$B$5:$AL$100,12,FALSE)=" ",0,VLOOKUP($B5,'JR-Team Roping-Heeler'!$B$5:$AL$100,12,FALSE)),0)+IFERROR(IF(VLOOKUP($B5,'PW G-Barrels'!$B$5:$AL$101,36,FALSE)=" ",0,VLOOKUP($B5,'PW G-Barrels'!$B$5:$AL$101,36,FALSE)),0)+IFERROR(IF(VLOOKUP($B5,'PW G-Poles'!$B$5:$AL$101,36,FALSE)=" ",0,VLOOKUP($B5,'PW G-Poles'!$B$5:$AL$101,36,FALSE)),0)+IFERROR(IF(VLOOKUP($B5,'PW G-Goats'!$B$5:$AL$100,36,FALSE)=" ",0,VLOOKUP($B5,'PW G-Goats'!$B$5:$AL$100,36,FALSE)),0)+IFERROR(IF(VLOOKUP($B5,'PW G-Breakaway'!$B$5:$AL$100,36,FALSE)=" ",0,VLOOKUP($B5,'PW G-Breakaway'!$B$5:$AL$100,36,FALSE)),0)+IFERROR(IF(VLOOKUP($B5,'MM G-Dummy Roping'!$B$5:$AL$100,36,FALSE)=" ",0,VLOOKUP($B5,'MM G-Dummy Roping'!$B$5:$AL$100,36,FALSE)),0)+IFERROR(IF(VLOOKUP($B5,'MM G-Barrels'!$B$5:$AL$100,36,FALSE)=" ",0,VLOOKUP($B5,'MM G-Barrels'!$B$5:$AL$100,36,FALSE)),0)+IFERROR(IF(VLOOKUP($B5,'MM G-Figure 8'!$B$5:$AL$100,36,FALSE)=" ",0,VLOOKUP($B5,'MM G-Figure 8'!$B$5:$AL$100,36,FALSE)),0)+IFERROR(IF(VLOOKUP($B5,'MM G-Goats'!$B$5:$AL$100,36,FALSE)=" ",0,VLOOKUP($B5,'MM G-Goats'!$B$5:$AL$100,36,FALSE)),0)</f>
        <v>141</v>
      </c>
      <c r="D5" s="88">
        <f>IF(C5&gt;0,C5," ")</f>
        <v>141</v>
      </c>
      <c r="E5" s="84">
        <f>IF(D5=" "," ",RANK(D5,D$5:D$32))</f>
        <v>1</v>
      </c>
    </row>
    <row r="6" spans="2:6" x14ac:dyDescent="0.25">
      <c r="B6" s="141" t="s">
        <v>201</v>
      </c>
      <c r="C6" s="95">
        <f>IFERROR(IF(VLOOKUP($B6,'SR G-Barrels'!$B$5:$AL$100,36,FALSE)=" ",0,VLOOKUP($B6,'SR G-Barrels'!$B$5:$AL$100,36,FALSE)),0)+IFERROR(IF(VLOOKUP($B6,'SR G-Poles'!$B$5:$AL$100,36,FALSE)=" ",0,VLOOKUP($B6,'SR G-Poles'!$B$5:$AL$100,36,FALSE)),0)+IFERROR(IF(VLOOKUP($B6,'SR G-Goats'!$B$5:$AL$100,36,FALSE)=" ",0,VLOOKUP($B6,'SR G-Goats'!$B$5:$AL$100,36,FALSE)),0)+IFERROR(IF(VLOOKUP($B6,'SR G-Breakaway'!$B$5:$AL$100,36,FALSE)=" ",0,VLOOKUP($B6,'SR G-Breakaway'!$B$5:$AL$100,36,FALSE)),0)+IFERROR(IF(VLOOKUP($B6,'SR-Team Roping-Header'!$B$5:$AL$100,12,FALSE)=" ",0,VLOOKUP($B6,'SR-Team Roping-Header'!$B$5:$AL$100,12,FALSE)),0)+IFERROR(IF(VLOOKUP($B6,'SR-Team Roping-Heeler'!$B$5:$AL$100,12,FALSE)=" ",0,VLOOKUP($B6,'SR-Team Roping-Heeler'!$B$5:$AL$100,12,FALSE)),0)+IFERROR(IF(VLOOKUP($B6,'JR G-Barrels'!$B$5:$AL$100,36,FALSE)=" ",0,VLOOKUP($B6,'JR G-Barrels'!$B$5:$AL$100,36,FALSE)),0)+IFERROR(IF(VLOOKUP($B6,'JR G-Poles'!$B$5:$AL$100,36,FALSE)=" ",0,VLOOKUP($B6,'JR G-Poles'!$B$5:$AL$100,36,FALSE)),0)+IFERROR(IF(VLOOKUP($B6,'JR G-Goats'!$B$5:$AL$100,36,FALSE)=" ",0,VLOOKUP($B6,'JR G-Goats'!$B$5:$AL$100,36,FALSE)),0)+IFERROR(IF(VLOOKUP($B6,'JR G-Breakaway'!$B$5:$AL$100,36,FALSE)=" ",0,VLOOKUP($B6,'JR G-Breakaway'!$B$5:$AL$100,36,FALSE)),0)+IFERROR(IF(VLOOKUP($B6,'JR-Team Roping-Header'!$B$5:$AL$100,12,FALSE)=" ",0,VLOOKUP($B6,'JR-Team Roping-Header'!$B$5:$AL$100,12,FALSE)),0)+IFERROR(IF(VLOOKUP($B6,'JR-Team Roping-Heeler'!$B$5:$AL$100,12,FALSE)=" ",0,VLOOKUP($B6,'JR-Team Roping-Heeler'!$B$5:$AL$100,12,FALSE)),0)+IFERROR(IF(VLOOKUP($B6,'PW G-Barrels'!$B$5:$AL$101,36,FALSE)=" ",0,VLOOKUP($B6,'PW G-Barrels'!$B$5:$AL$101,36,FALSE)),0)+IFERROR(IF(VLOOKUP($B6,'PW G-Poles'!$B$5:$AL$101,36,FALSE)=" ",0,VLOOKUP($B6,'PW G-Poles'!$B$5:$AL$101,36,FALSE)),0)+IFERROR(IF(VLOOKUP($B6,'PW G-Goats'!$B$5:$AL$100,36,FALSE)=" ",0,VLOOKUP($B6,'PW G-Goats'!$B$5:$AL$100,36,FALSE)),0)+IFERROR(IF(VLOOKUP($B6,'PW G-Breakaway'!$B$5:$AL$100,36,FALSE)=" ",0,VLOOKUP($B6,'PW G-Breakaway'!$B$5:$AL$100,36,FALSE)),0)+IFERROR(IF(VLOOKUP($B6,'MM G-Dummy Roping'!$B$5:$AL$100,36,FALSE)=" ",0,VLOOKUP($B6,'MM G-Dummy Roping'!$B$5:$AL$100,36,FALSE)),0)+IFERROR(IF(VLOOKUP($B6,'MM G-Barrels'!$B$5:$AL$100,36,FALSE)=" ",0,VLOOKUP($B6,'MM G-Barrels'!$B$5:$AL$100,36,FALSE)),0)+IFERROR(IF(VLOOKUP($B6,'MM G-Figure 8'!$B$5:$AL$100,36,FALSE)=" ",0,VLOOKUP($B6,'MM G-Figure 8'!$B$5:$AL$100,36,FALSE)),0)+IFERROR(IF(VLOOKUP($B6,'MM G-Goats'!$B$5:$AL$100,36,FALSE)=" ",0,VLOOKUP($B6,'MM G-Goats'!$B$5:$AL$100,36,FALSE)),0)</f>
        <v>126</v>
      </c>
      <c r="D6" s="95">
        <f>IF(C6&gt;0,C6," ")</f>
        <v>126</v>
      </c>
      <c r="E6" s="91">
        <f>IF(D6=" "," ",RANK(D6,D$5:D$32))</f>
        <v>2</v>
      </c>
    </row>
    <row r="7" spans="2:6" x14ac:dyDescent="0.25">
      <c r="B7" s="141" t="s">
        <v>225</v>
      </c>
      <c r="C7" s="95">
        <f>IFERROR(IF(VLOOKUP($B7,'SR G-Barrels'!$B$5:$AL$100,36,FALSE)=" ",0,VLOOKUP($B7,'SR G-Barrels'!$B$5:$AL$100,36,FALSE)),0)+IFERROR(IF(VLOOKUP($B7,'SR G-Poles'!$B$5:$AL$100,36,FALSE)=" ",0,VLOOKUP($B7,'SR G-Poles'!$B$5:$AL$100,36,FALSE)),0)+IFERROR(IF(VLOOKUP($B7,'SR G-Goats'!$B$5:$AL$100,36,FALSE)=" ",0,VLOOKUP($B7,'SR G-Goats'!$B$5:$AL$100,36,FALSE)),0)+IFERROR(IF(VLOOKUP($B7,'SR G-Breakaway'!$B$5:$AL$100,36,FALSE)=" ",0,VLOOKUP($B7,'SR G-Breakaway'!$B$5:$AL$100,36,FALSE)),0)+IFERROR(IF(VLOOKUP($B7,'SR-Team Roping-Header'!$B$5:$AL$100,12,FALSE)=" ",0,VLOOKUP($B7,'SR-Team Roping-Header'!$B$5:$AL$100,12,FALSE)),0)+IFERROR(IF(VLOOKUP($B7,'SR-Team Roping-Heeler'!$B$5:$AL$100,12,FALSE)=" ",0,VLOOKUP($B7,'SR-Team Roping-Heeler'!$B$5:$AL$100,12,FALSE)),0)+IFERROR(IF(VLOOKUP($B7,'JR G-Barrels'!$B$5:$AL$100,36,FALSE)=" ",0,VLOOKUP($B7,'JR G-Barrels'!$B$5:$AL$100,36,FALSE)),0)+IFERROR(IF(VLOOKUP($B7,'JR G-Poles'!$B$5:$AL$100,36,FALSE)=" ",0,VLOOKUP($B7,'JR G-Poles'!$B$5:$AL$100,36,FALSE)),0)+IFERROR(IF(VLOOKUP($B7,'JR G-Goats'!$B$5:$AL$100,36,FALSE)=" ",0,VLOOKUP($B7,'JR G-Goats'!$B$5:$AL$100,36,FALSE)),0)+IFERROR(IF(VLOOKUP($B7,'JR G-Breakaway'!$B$5:$AL$100,36,FALSE)=" ",0,VLOOKUP($B7,'JR G-Breakaway'!$B$5:$AL$100,36,FALSE)),0)+IFERROR(IF(VLOOKUP($B7,'JR-Team Roping-Header'!$B$5:$AL$100,12,FALSE)=" ",0,VLOOKUP($B7,'JR-Team Roping-Header'!$B$5:$AL$100,12,FALSE)),0)+IFERROR(IF(VLOOKUP($B7,'JR-Team Roping-Heeler'!$B$5:$AL$100,12,FALSE)=" ",0,VLOOKUP($B7,'JR-Team Roping-Heeler'!$B$5:$AL$100,12,FALSE)),0)+IFERROR(IF(VLOOKUP($B7,'PW G-Barrels'!$B$5:$AL$101,36,FALSE)=" ",0,VLOOKUP($B7,'PW G-Barrels'!$B$5:$AL$101,36,FALSE)),0)+IFERROR(IF(VLOOKUP($B7,'PW G-Poles'!$B$5:$AL$101,36,FALSE)=" ",0,VLOOKUP($B7,'PW G-Poles'!$B$5:$AL$101,36,FALSE)),0)+IFERROR(IF(VLOOKUP($B7,'PW G-Goats'!$B$5:$AL$100,36,FALSE)=" ",0,VLOOKUP($B7,'PW G-Goats'!$B$5:$AL$100,36,FALSE)),0)+IFERROR(IF(VLOOKUP($B7,'PW G-Breakaway'!$B$5:$AL$100,36,FALSE)=" ",0,VLOOKUP($B7,'PW G-Breakaway'!$B$5:$AL$100,36,FALSE)),0)+IFERROR(IF(VLOOKUP($B7,'MM G-Dummy Roping'!$B$5:$AL$100,36,FALSE)=" ",0,VLOOKUP($B7,'MM G-Dummy Roping'!$B$5:$AL$100,36,FALSE)),0)+IFERROR(IF(VLOOKUP($B7,'MM G-Barrels'!$B$5:$AL$100,36,FALSE)=" ",0,VLOOKUP($B7,'MM G-Barrels'!$B$5:$AL$100,36,FALSE)),0)+IFERROR(IF(VLOOKUP($B7,'MM G-Figure 8'!$B$5:$AL$100,36,FALSE)=" ",0,VLOOKUP($B7,'MM G-Figure 8'!$B$5:$AL$100,36,FALSE)),0)+IFERROR(IF(VLOOKUP($B7,'MM G-Goats'!$B$5:$AL$100,36,FALSE)=" ",0,VLOOKUP($B7,'MM G-Goats'!$B$5:$AL$100,36,FALSE)),0)</f>
        <v>121</v>
      </c>
      <c r="D7" s="95">
        <f>IF(C7&gt;0,C7," ")</f>
        <v>121</v>
      </c>
      <c r="E7" s="91">
        <f>IF(D7=" "," ",RANK(D7,D$5:D$32))</f>
        <v>3</v>
      </c>
    </row>
    <row r="8" spans="2:6" x14ac:dyDescent="0.25">
      <c r="B8" s="141" t="s">
        <v>186</v>
      </c>
      <c r="C8" s="95">
        <f>IFERROR(IF(VLOOKUP($B8,'SR G-Barrels'!$B$5:$AL$100,36,FALSE)=" ",0,VLOOKUP($B8,'SR G-Barrels'!$B$5:$AL$100,36,FALSE)),0)+IFERROR(IF(VLOOKUP($B8,'SR G-Poles'!$B$5:$AL$100,36,FALSE)=" ",0,VLOOKUP($B8,'SR G-Poles'!$B$5:$AL$100,36,FALSE)),0)+IFERROR(IF(VLOOKUP($B8,'SR G-Goats'!$B$5:$AL$100,36,FALSE)=" ",0,VLOOKUP($B8,'SR G-Goats'!$B$5:$AL$100,36,FALSE)),0)+IFERROR(IF(VLOOKUP($B8,'SR G-Breakaway'!$B$5:$AL$100,36,FALSE)=" ",0,VLOOKUP($B8,'SR G-Breakaway'!$B$5:$AL$100,36,FALSE)),0)+IFERROR(IF(VLOOKUP($B8,'SR-Team Roping-Header'!$B$5:$AL$100,12,FALSE)=" ",0,VLOOKUP($B8,'SR-Team Roping-Header'!$B$5:$AL$100,12,FALSE)),0)+IFERROR(IF(VLOOKUP($B8,'SR-Team Roping-Heeler'!$B$5:$AL$100,12,FALSE)=" ",0,VLOOKUP($B8,'SR-Team Roping-Heeler'!$B$5:$AL$100,12,FALSE)),0)+IFERROR(IF(VLOOKUP($B8,'JR G-Barrels'!$B$5:$AL$100,36,FALSE)=" ",0,VLOOKUP($B8,'JR G-Barrels'!$B$5:$AL$100,36,FALSE)),0)+IFERROR(IF(VLOOKUP($B8,'JR G-Poles'!$B$5:$AL$100,36,FALSE)=" ",0,VLOOKUP($B8,'JR G-Poles'!$B$5:$AL$100,36,FALSE)),0)+IFERROR(IF(VLOOKUP($B8,'JR G-Goats'!$B$5:$AL$100,36,FALSE)=" ",0,VLOOKUP($B8,'JR G-Goats'!$B$5:$AL$100,36,FALSE)),0)+IFERROR(IF(VLOOKUP($B8,'JR G-Breakaway'!$B$5:$AL$100,36,FALSE)=" ",0,VLOOKUP($B8,'JR G-Breakaway'!$B$5:$AL$100,36,FALSE)),0)+IFERROR(IF(VLOOKUP($B8,'JR-Team Roping-Header'!$B$5:$AL$100,12,FALSE)=" ",0,VLOOKUP($B8,'JR-Team Roping-Header'!$B$5:$AL$100,12,FALSE)),0)+IFERROR(IF(VLOOKUP($B8,'JR-Team Roping-Heeler'!$B$5:$AL$100,12,FALSE)=" ",0,VLOOKUP($B8,'JR-Team Roping-Heeler'!$B$5:$AL$100,12,FALSE)),0)+IFERROR(IF(VLOOKUP($B8,'PW G-Barrels'!$B$5:$AL$101,36,FALSE)=" ",0,VLOOKUP($B8,'PW G-Barrels'!$B$5:$AL$101,36,FALSE)),0)+IFERROR(IF(VLOOKUP($B8,'PW G-Poles'!$B$5:$AL$101,36,FALSE)=" ",0,VLOOKUP($B8,'PW G-Poles'!$B$5:$AL$101,36,FALSE)),0)+IFERROR(IF(VLOOKUP($B8,'PW G-Goats'!$B$5:$AL$100,36,FALSE)=" ",0,VLOOKUP($B8,'PW G-Goats'!$B$5:$AL$100,36,FALSE)),0)+IFERROR(IF(VLOOKUP($B8,'PW G-Breakaway'!$B$5:$AL$100,36,FALSE)=" ",0,VLOOKUP($B8,'PW G-Breakaway'!$B$5:$AL$100,36,FALSE)),0)+IFERROR(IF(VLOOKUP($B8,'MM G-Dummy Roping'!$B$5:$AL$100,36,FALSE)=" ",0,VLOOKUP($B8,'MM G-Dummy Roping'!$B$5:$AL$100,36,FALSE)),0)+IFERROR(IF(VLOOKUP($B8,'MM G-Barrels'!$B$5:$AL$100,36,FALSE)=" ",0,VLOOKUP($B8,'MM G-Barrels'!$B$5:$AL$100,36,FALSE)),0)+IFERROR(IF(VLOOKUP($B8,'MM G-Figure 8'!$B$5:$AL$100,36,FALSE)=" ",0,VLOOKUP($B8,'MM G-Figure 8'!$B$5:$AL$100,36,FALSE)),0)+IFERROR(IF(VLOOKUP($B8,'MM G-Goats'!$B$5:$AL$100,36,FALSE)=" ",0,VLOOKUP($B8,'MM G-Goats'!$B$5:$AL$100,36,FALSE)),0)</f>
        <v>87</v>
      </c>
      <c r="D8" s="95">
        <f>IF(C8&gt;0,C8," ")</f>
        <v>87</v>
      </c>
      <c r="E8" s="91">
        <f>IF(D8=" "," ",RANK(D8,D$5:D$32))</f>
        <v>4</v>
      </c>
    </row>
    <row r="9" spans="2:6" x14ac:dyDescent="0.25">
      <c r="B9" s="154" t="s">
        <v>205</v>
      </c>
      <c r="C9" s="95">
        <f>IFERROR(IF(VLOOKUP($B9,'SR G-Barrels'!$B$5:$AL$100,36,FALSE)=" ",0,VLOOKUP($B9,'SR G-Barrels'!$B$5:$AL$100,36,FALSE)),0)+IFERROR(IF(VLOOKUP($B9,'SR G-Poles'!$B$5:$AL$100,36,FALSE)=" ",0,VLOOKUP($B9,'SR G-Poles'!$B$5:$AL$100,36,FALSE)),0)+IFERROR(IF(VLOOKUP($B9,'SR G-Goats'!$B$5:$AL$100,36,FALSE)=" ",0,VLOOKUP($B9,'SR G-Goats'!$B$5:$AL$100,36,FALSE)),0)+IFERROR(IF(VLOOKUP($B9,'SR G-Breakaway'!$B$5:$AL$100,36,FALSE)=" ",0,VLOOKUP($B9,'SR G-Breakaway'!$B$5:$AL$100,36,FALSE)),0)+IFERROR(IF(VLOOKUP($B9,'SR-Team Roping-Header'!$B$5:$AL$100,12,FALSE)=" ",0,VLOOKUP($B9,'SR-Team Roping-Header'!$B$5:$AL$100,12,FALSE)),0)+IFERROR(IF(VLOOKUP($B9,'SR-Team Roping-Heeler'!$B$5:$AL$100,12,FALSE)=" ",0,VLOOKUP($B9,'SR-Team Roping-Heeler'!$B$5:$AL$100,12,FALSE)),0)+IFERROR(IF(VLOOKUP($B9,'JR G-Barrels'!$B$5:$AL$100,36,FALSE)=" ",0,VLOOKUP($B9,'JR G-Barrels'!$B$5:$AL$100,36,FALSE)),0)+IFERROR(IF(VLOOKUP($B9,'JR G-Poles'!$B$5:$AL$100,36,FALSE)=" ",0,VLOOKUP($B9,'JR G-Poles'!$B$5:$AL$100,36,FALSE)),0)+IFERROR(IF(VLOOKUP($B9,'JR G-Goats'!$B$5:$AL$100,36,FALSE)=" ",0,VLOOKUP($B9,'JR G-Goats'!$B$5:$AL$100,36,FALSE)),0)+IFERROR(IF(VLOOKUP($B9,'JR G-Breakaway'!$B$5:$AL$100,36,FALSE)=" ",0,VLOOKUP($B9,'JR G-Breakaway'!$B$5:$AL$100,36,FALSE)),0)+IFERROR(IF(VLOOKUP($B9,'JR-Team Roping-Header'!$B$5:$AL$100,12,FALSE)=" ",0,VLOOKUP($B9,'JR-Team Roping-Header'!$B$5:$AL$100,12,FALSE)),0)+IFERROR(IF(VLOOKUP($B9,'JR-Team Roping-Heeler'!$B$5:$AL$100,12,FALSE)=" ",0,VLOOKUP($B9,'JR-Team Roping-Heeler'!$B$5:$AL$100,12,FALSE)),0)+IFERROR(IF(VLOOKUP($B9,'PW G-Barrels'!$B$5:$AL$101,36,FALSE)=" ",0,VLOOKUP($B9,'PW G-Barrels'!$B$5:$AL$101,36,FALSE)),0)+IFERROR(IF(VLOOKUP($B9,'PW G-Poles'!$B$5:$AL$101,36,FALSE)=" ",0,VLOOKUP($B9,'PW G-Poles'!$B$5:$AL$101,36,FALSE)),0)+IFERROR(IF(VLOOKUP($B9,'PW G-Goats'!$B$5:$AL$100,36,FALSE)=" ",0,VLOOKUP($B9,'PW G-Goats'!$B$5:$AL$100,36,FALSE)),0)+IFERROR(IF(VLOOKUP($B9,'PW G-Breakaway'!$B$5:$AL$100,36,FALSE)=" ",0,VLOOKUP($B9,'PW G-Breakaway'!$B$5:$AL$100,36,FALSE)),0)+IFERROR(IF(VLOOKUP($B9,'MM G-Dummy Roping'!$B$5:$AL$100,36,FALSE)=" ",0,VLOOKUP($B9,'MM G-Dummy Roping'!$B$5:$AL$100,36,FALSE)),0)+IFERROR(IF(VLOOKUP($B9,'MM G-Barrels'!$B$5:$AL$100,36,FALSE)=" ",0,VLOOKUP($B9,'MM G-Barrels'!$B$5:$AL$100,36,FALSE)),0)+IFERROR(IF(VLOOKUP($B9,'MM G-Figure 8'!$B$5:$AL$100,36,FALSE)=" ",0,VLOOKUP($B9,'MM G-Figure 8'!$B$5:$AL$100,36,FALSE)),0)+IFERROR(IF(VLOOKUP($B9,'MM G-Goats'!$B$5:$AL$100,36,FALSE)=" ",0,VLOOKUP($B9,'MM G-Goats'!$B$5:$AL$100,36,FALSE)),0)</f>
        <v>63</v>
      </c>
      <c r="D9" s="95">
        <f>IF(C9&gt;0,C9," ")</f>
        <v>63</v>
      </c>
      <c r="E9" s="91">
        <f>IF(D9=" "," ",RANK(D9,D$5:D$32))</f>
        <v>5</v>
      </c>
    </row>
    <row r="10" spans="2:6" x14ac:dyDescent="0.25">
      <c r="B10" s="154" t="s">
        <v>239</v>
      </c>
      <c r="C10" s="95">
        <f>IFERROR(IF(VLOOKUP($B10,'SR G-Barrels'!$B$5:$AL$100,36,FALSE)=" ",0,VLOOKUP($B10,'SR G-Barrels'!$B$5:$AL$100,36,FALSE)),0)+IFERROR(IF(VLOOKUP($B10,'SR G-Poles'!$B$5:$AL$100,36,FALSE)=" ",0,VLOOKUP($B10,'SR G-Poles'!$B$5:$AL$100,36,FALSE)),0)+IFERROR(IF(VLOOKUP($B10,'SR G-Goats'!$B$5:$AL$100,36,FALSE)=" ",0,VLOOKUP($B10,'SR G-Goats'!$B$5:$AL$100,36,FALSE)),0)+IFERROR(IF(VLOOKUP($B10,'SR G-Breakaway'!$B$5:$AL$100,36,FALSE)=" ",0,VLOOKUP($B10,'SR G-Breakaway'!$B$5:$AL$100,36,FALSE)),0)+IFERROR(IF(VLOOKUP($B10,'SR-Team Roping-Header'!$B$5:$AL$100,12,FALSE)=" ",0,VLOOKUP($B10,'SR-Team Roping-Header'!$B$5:$AL$100,12,FALSE)),0)+IFERROR(IF(VLOOKUP($B10,'SR-Team Roping-Heeler'!$B$5:$AL$100,12,FALSE)=" ",0,VLOOKUP($B10,'SR-Team Roping-Heeler'!$B$5:$AL$100,12,FALSE)),0)+IFERROR(IF(VLOOKUP($B10,'JR G-Barrels'!$B$5:$AL$100,36,FALSE)=" ",0,VLOOKUP($B10,'JR G-Barrels'!$B$5:$AL$100,36,FALSE)),0)+IFERROR(IF(VLOOKUP($B10,'JR G-Poles'!$B$5:$AL$100,36,FALSE)=" ",0,VLOOKUP($B10,'JR G-Poles'!$B$5:$AL$100,36,FALSE)),0)+IFERROR(IF(VLOOKUP($B10,'JR G-Goats'!$B$5:$AL$100,36,FALSE)=" ",0,VLOOKUP($B10,'JR G-Goats'!$B$5:$AL$100,36,FALSE)),0)+IFERROR(IF(VLOOKUP($B10,'JR G-Breakaway'!$B$5:$AL$100,36,FALSE)=" ",0,VLOOKUP($B10,'JR G-Breakaway'!$B$5:$AL$100,36,FALSE)),0)+IFERROR(IF(VLOOKUP($B10,'JR-Team Roping-Header'!$B$5:$AL$100,12,FALSE)=" ",0,VLOOKUP($B10,'JR-Team Roping-Header'!$B$5:$AL$100,12,FALSE)),0)+IFERROR(IF(VLOOKUP($B10,'JR-Team Roping-Heeler'!$B$5:$AL$100,12,FALSE)=" ",0,VLOOKUP($B10,'JR-Team Roping-Heeler'!$B$5:$AL$100,12,FALSE)),0)+IFERROR(IF(VLOOKUP($B10,'PW G-Barrels'!$B$5:$AL$101,36,FALSE)=" ",0,VLOOKUP($B10,'PW G-Barrels'!$B$5:$AL$101,36,FALSE)),0)+IFERROR(IF(VLOOKUP($B10,'PW G-Poles'!$B$5:$AL$101,36,FALSE)=" ",0,VLOOKUP($B10,'PW G-Poles'!$B$5:$AL$101,36,FALSE)),0)+IFERROR(IF(VLOOKUP($B10,'PW G-Goats'!$B$5:$AL$100,36,FALSE)=" ",0,VLOOKUP($B10,'PW G-Goats'!$B$5:$AL$100,36,FALSE)),0)+IFERROR(IF(VLOOKUP($B10,'PW G-Breakaway'!$B$5:$AL$100,36,FALSE)=" ",0,VLOOKUP($B10,'PW G-Breakaway'!$B$5:$AL$100,36,FALSE)),0)+IFERROR(IF(VLOOKUP($B10,'MM G-Dummy Roping'!$B$5:$AL$100,36,FALSE)=" ",0,VLOOKUP($B10,'MM G-Dummy Roping'!$B$5:$AL$100,36,FALSE)),0)+IFERROR(IF(VLOOKUP($B10,'MM G-Barrels'!$B$5:$AL$100,36,FALSE)=" ",0,VLOOKUP($B10,'MM G-Barrels'!$B$5:$AL$100,36,FALSE)),0)+IFERROR(IF(VLOOKUP($B10,'MM G-Figure 8'!$B$5:$AL$100,36,FALSE)=" ",0,VLOOKUP($B10,'MM G-Figure 8'!$B$5:$AL$100,36,FALSE)),0)+IFERROR(IF(VLOOKUP($B10,'MM G-Goats'!$B$5:$AL$100,36,FALSE)=" ",0,VLOOKUP($B10,'MM G-Goats'!$B$5:$AL$100,36,FALSE)),0)</f>
        <v>57</v>
      </c>
      <c r="D10" s="95">
        <f>IF(C10&gt;0,C10," ")</f>
        <v>57</v>
      </c>
      <c r="E10" s="122">
        <f>IF(D10=" "," ",RANK(D10,D$5:D$32))</f>
        <v>6</v>
      </c>
    </row>
    <row r="11" spans="2:6" x14ac:dyDescent="0.25">
      <c r="B11" s="142" t="s">
        <v>94</v>
      </c>
      <c r="C11" s="95">
        <f>IFERROR(IF(VLOOKUP($B11,'SR G-Barrels'!$B$5:$AL$100,36,FALSE)=" ",0,VLOOKUP($B11,'SR G-Barrels'!$B$5:$AL$100,36,FALSE)),0)+IFERROR(IF(VLOOKUP($B11,'SR G-Poles'!$B$5:$AL$100,36,FALSE)=" ",0,VLOOKUP($B11,'SR G-Poles'!$B$5:$AL$100,36,FALSE)),0)+IFERROR(IF(VLOOKUP($B11,'SR G-Goats'!$B$5:$AL$100,36,FALSE)=" ",0,VLOOKUP($B11,'SR G-Goats'!$B$5:$AL$100,36,FALSE)),0)+IFERROR(IF(VLOOKUP($B11,'SR G-Breakaway'!$B$5:$AL$100,36,FALSE)=" ",0,VLOOKUP($B11,'SR G-Breakaway'!$B$5:$AL$100,36,FALSE)),0)+IFERROR(IF(VLOOKUP($B11,'SR-Team Roping-Header'!$B$5:$AL$100,12,FALSE)=" ",0,VLOOKUP($B11,'SR-Team Roping-Header'!$B$5:$AL$100,12,FALSE)),0)+IFERROR(IF(VLOOKUP($B11,'SR-Team Roping-Heeler'!$B$5:$AL$100,12,FALSE)=" ",0,VLOOKUP($B11,'SR-Team Roping-Heeler'!$B$5:$AL$100,12,FALSE)),0)+IFERROR(IF(VLOOKUP($B11,'JR G-Barrels'!$B$5:$AL$100,36,FALSE)=" ",0,VLOOKUP($B11,'JR G-Barrels'!$B$5:$AL$100,36,FALSE)),0)+IFERROR(IF(VLOOKUP($B11,'JR G-Poles'!$B$5:$AL$100,36,FALSE)=" ",0,VLOOKUP($B11,'JR G-Poles'!$B$5:$AL$100,36,FALSE)),0)+IFERROR(IF(VLOOKUP($B11,'JR G-Goats'!$B$5:$AL$100,36,FALSE)=" ",0,VLOOKUP($B11,'JR G-Goats'!$B$5:$AL$100,36,FALSE)),0)+IFERROR(IF(VLOOKUP($B11,'JR G-Breakaway'!$B$5:$AL$100,36,FALSE)=" ",0,VLOOKUP($B11,'JR G-Breakaway'!$B$5:$AL$100,36,FALSE)),0)+IFERROR(IF(VLOOKUP($B11,'JR-Team Roping-Header'!$B$5:$AL$100,12,FALSE)=" ",0,VLOOKUP($B11,'JR-Team Roping-Header'!$B$5:$AL$100,12,FALSE)),0)+IFERROR(IF(VLOOKUP($B11,'JR-Team Roping-Heeler'!$B$5:$AL$100,12,FALSE)=" ",0,VLOOKUP($B11,'JR-Team Roping-Heeler'!$B$5:$AL$100,12,FALSE)),0)+IFERROR(IF(VLOOKUP($B11,'PW G-Barrels'!$B$5:$AL$101,36,FALSE)=" ",0,VLOOKUP($B11,'PW G-Barrels'!$B$5:$AL$101,36,FALSE)),0)+IFERROR(IF(VLOOKUP($B11,'PW G-Poles'!$B$5:$AL$101,36,FALSE)=" ",0,VLOOKUP($B11,'PW G-Poles'!$B$5:$AL$101,36,FALSE)),0)+IFERROR(IF(VLOOKUP($B11,'PW G-Goats'!$B$5:$AL$100,36,FALSE)=" ",0,VLOOKUP($B11,'PW G-Goats'!$B$5:$AL$100,36,FALSE)),0)+IFERROR(IF(VLOOKUP($B11,'PW G-Breakaway'!$B$5:$AL$100,36,FALSE)=" ",0,VLOOKUP($B11,'PW G-Breakaway'!$B$5:$AL$100,36,FALSE)),0)+IFERROR(IF(VLOOKUP($B11,'MM G-Dummy Roping'!$B$5:$AL$100,36,FALSE)=" ",0,VLOOKUP($B11,'MM G-Dummy Roping'!$B$5:$AL$100,36,FALSE)),0)+IFERROR(IF(VLOOKUP($B11,'MM G-Barrels'!$B$5:$AL$100,36,FALSE)=" ",0,VLOOKUP($B11,'MM G-Barrels'!$B$5:$AL$100,36,FALSE)),0)+IFERROR(IF(VLOOKUP($B11,'MM G-Figure 8'!$B$5:$AL$100,36,FALSE)=" ",0,VLOOKUP($B11,'MM G-Figure 8'!$B$5:$AL$100,36,FALSE)),0)+IFERROR(IF(VLOOKUP($B11,'MM G-Goats'!$B$5:$AL$100,36,FALSE)=" ",0,VLOOKUP($B11,'MM G-Goats'!$B$5:$AL$100,36,FALSE)),0)</f>
        <v>40</v>
      </c>
      <c r="D11" s="95">
        <f>IF(C11&gt;0,C11," ")</f>
        <v>40</v>
      </c>
      <c r="E11" s="91">
        <f>IF(D11=" "," ",RANK(D11,D$5:D$32))</f>
        <v>7</v>
      </c>
    </row>
    <row r="12" spans="2:6" x14ac:dyDescent="0.25">
      <c r="B12" s="142" t="s">
        <v>199</v>
      </c>
      <c r="C12" s="95">
        <f>IFERROR(IF(VLOOKUP($B12,'SR G-Barrels'!$B$5:$AL$100,36,FALSE)=" ",0,VLOOKUP($B12,'SR G-Barrels'!$B$5:$AL$100,36,FALSE)),0)+IFERROR(IF(VLOOKUP($B12,'SR G-Poles'!$B$5:$AL$100,36,FALSE)=" ",0,VLOOKUP($B12,'SR G-Poles'!$B$5:$AL$100,36,FALSE)),0)+IFERROR(IF(VLOOKUP($B12,'SR G-Goats'!$B$5:$AL$100,36,FALSE)=" ",0,VLOOKUP($B12,'SR G-Goats'!$B$5:$AL$100,36,FALSE)),0)+IFERROR(IF(VLOOKUP($B12,'SR G-Breakaway'!$B$5:$AL$100,36,FALSE)=" ",0,VLOOKUP($B12,'SR G-Breakaway'!$B$5:$AL$100,36,FALSE)),0)+IFERROR(IF(VLOOKUP($B12,'SR-Team Roping-Header'!$B$5:$AL$100,12,FALSE)=" ",0,VLOOKUP($B12,'SR-Team Roping-Header'!$B$5:$AL$100,12,FALSE)),0)+IFERROR(IF(VLOOKUP($B12,'SR-Team Roping-Heeler'!$B$5:$AL$100,12,FALSE)=" ",0,VLOOKUP($B12,'SR-Team Roping-Heeler'!$B$5:$AL$100,12,FALSE)),0)+IFERROR(IF(VLOOKUP($B12,'JR G-Barrels'!$B$5:$AL$100,36,FALSE)=" ",0,VLOOKUP($B12,'JR G-Barrels'!$B$5:$AL$100,36,FALSE)),0)+IFERROR(IF(VLOOKUP($B12,'JR G-Poles'!$B$5:$AL$100,36,FALSE)=" ",0,VLOOKUP($B12,'JR G-Poles'!$B$5:$AL$100,36,FALSE)),0)+IFERROR(IF(VLOOKUP($B12,'JR G-Goats'!$B$5:$AL$100,36,FALSE)=" ",0,VLOOKUP($B12,'JR G-Goats'!$B$5:$AL$100,36,FALSE)),0)+IFERROR(IF(VLOOKUP($B12,'JR G-Breakaway'!$B$5:$AL$100,36,FALSE)=" ",0,VLOOKUP($B12,'JR G-Breakaway'!$B$5:$AL$100,36,FALSE)),0)+IFERROR(IF(VLOOKUP($B12,'JR-Team Roping-Header'!$B$5:$AL$100,12,FALSE)=" ",0,VLOOKUP($B12,'JR-Team Roping-Header'!$B$5:$AL$100,12,FALSE)),0)+IFERROR(IF(VLOOKUP($B12,'JR-Team Roping-Heeler'!$B$5:$AL$100,12,FALSE)=" ",0,VLOOKUP($B12,'JR-Team Roping-Heeler'!$B$5:$AL$100,12,FALSE)),0)+IFERROR(IF(VLOOKUP($B12,'PW G-Barrels'!$B$5:$AL$101,36,FALSE)=" ",0,VLOOKUP($B12,'PW G-Barrels'!$B$5:$AL$101,36,FALSE)),0)+IFERROR(IF(VLOOKUP($B12,'PW G-Poles'!$B$5:$AL$101,36,FALSE)=" ",0,VLOOKUP($B12,'PW G-Poles'!$B$5:$AL$101,36,FALSE)),0)+IFERROR(IF(VLOOKUP($B12,'PW G-Goats'!$B$5:$AL$100,36,FALSE)=" ",0,VLOOKUP($B12,'PW G-Goats'!$B$5:$AL$100,36,FALSE)),0)+IFERROR(IF(VLOOKUP($B12,'PW G-Breakaway'!$B$5:$AL$100,36,FALSE)=" ",0,VLOOKUP($B12,'PW G-Breakaway'!$B$5:$AL$100,36,FALSE)),0)+IFERROR(IF(VLOOKUP($B12,'MM G-Dummy Roping'!$B$5:$AL$100,36,FALSE)=" ",0,VLOOKUP($B12,'MM G-Dummy Roping'!$B$5:$AL$100,36,FALSE)),0)+IFERROR(IF(VLOOKUP($B12,'MM G-Barrels'!$B$5:$AL$100,36,FALSE)=" ",0,VLOOKUP($B12,'MM G-Barrels'!$B$5:$AL$100,36,FALSE)),0)+IFERROR(IF(VLOOKUP($B12,'MM G-Figure 8'!$B$5:$AL$100,36,FALSE)=" ",0,VLOOKUP($B12,'MM G-Figure 8'!$B$5:$AL$100,36,FALSE)),0)+IFERROR(IF(VLOOKUP($B12,'MM G-Goats'!$B$5:$AL$100,36,FALSE)=" ",0,VLOOKUP($B12,'MM G-Goats'!$B$5:$AL$100,36,FALSE)),0)</f>
        <v>36</v>
      </c>
      <c r="D12" s="95">
        <f>IF(C12&gt;0,C12," ")</f>
        <v>36</v>
      </c>
      <c r="E12" s="122">
        <f>IF(D12=" "," ",RANK(D12,D$5:D$32))</f>
        <v>8</v>
      </c>
    </row>
    <row r="13" spans="2:6" x14ac:dyDescent="0.25">
      <c r="B13" s="154" t="s">
        <v>227</v>
      </c>
      <c r="C13" s="95">
        <f>IFERROR(IF(VLOOKUP($B13,'SR G-Barrels'!$B$5:$AL$100,36,FALSE)=" ",0,VLOOKUP($B13,'SR G-Barrels'!$B$5:$AL$100,36,FALSE)),0)+IFERROR(IF(VLOOKUP($B13,'SR G-Poles'!$B$5:$AL$100,36,FALSE)=" ",0,VLOOKUP($B13,'SR G-Poles'!$B$5:$AL$100,36,FALSE)),0)+IFERROR(IF(VLOOKUP($B13,'SR G-Goats'!$B$5:$AL$100,36,FALSE)=" ",0,VLOOKUP($B13,'SR G-Goats'!$B$5:$AL$100,36,FALSE)),0)+IFERROR(IF(VLOOKUP($B13,'SR G-Breakaway'!$B$5:$AL$100,36,FALSE)=" ",0,VLOOKUP($B13,'SR G-Breakaway'!$B$5:$AL$100,36,FALSE)),0)+IFERROR(IF(VLOOKUP($B13,'SR-Team Roping-Header'!$B$5:$AL$100,12,FALSE)=" ",0,VLOOKUP($B13,'SR-Team Roping-Header'!$B$5:$AL$100,12,FALSE)),0)+IFERROR(IF(VLOOKUP($B13,'SR-Team Roping-Heeler'!$B$5:$AL$100,12,FALSE)=" ",0,VLOOKUP($B13,'SR-Team Roping-Heeler'!$B$5:$AL$100,12,FALSE)),0)+IFERROR(IF(VLOOKUP($B13,'JR G-Barrels'!$B$5:$AL$100,36,FALSE)=" ",0,VLOOKUP($B13,'JR G-Barrels'!$B$5:$AL$100,36,FALSE)),0)+IFERROR(IF(VLOOKUP($B13,'JR G-Poles'!$B$5:$AL$100,36,FALSE)=" ",0,VLOOKUP($B13,'JR G-Poles'!$B$5:$AL$100,36,FALSE)),0)+IFERROR(IF(VLOOKUP($B13,'JR G-Goats'!$B$5:$AL$100,36,FALSE)=" ",0,VLOOKUP($B13,'JR G-Goats'!$B$5:$AL$100,36,FALSE)),0)+IFERROR(IF(VLOOKUP($B13,'JR G-Breakaway'!$B$5:$AL$100,36,FALSE)=" ",0,VLOOKUP($B13,'JR G-Breakaway'!$B$5:$AL$100,36,FALSE)),0)+IFERROR(IF(VLOOKUP($B13,'JR-Team Roping-Header'!$B$5:$AL$100,12,FALSE)=" ",0,VLOOKUP($B13,'JR-Team Roping-Header'!$B$5:$AL$100,12,FALSE)),0)+IFERROR(IF(VLOOKUP($B13,'JR-Team Roping-Heeler'!$B$5:$AL$100,12,FALSE)=" ",0,VLOOKUP($B13,'JR-Team Roping-Heeler'!$B$5:$AL$100,12,FALSE)),0)+IFERROR(IF(VLOOKUP($B13,'PW G-Barrels'!$B$5:$AL$101,36,FALSE)=" ",0,VLOOKUP($B13,'PW G-Barrels'!$B$5:$AL$101,36,FALSE)),0)+IFERROR(IF(VLOOKUP($B13,'PW G-Poles'!$B$5:$AL$101,36,FALSE)=" ",0,VLOOKUP($B13,'PW G-Poles'!$B$5:$AL$101,36,FALSE)),0)+IFERROR(IF(VLOOKUP($B13,'PW G-Goats'!$B$5:$AL$100,36,FALSE)=" ",0,VLOOKUP($B13,'PW G-Goats'!$B$5:$AL$100,36,FALSE)),0)+IFERROR(IF(VLOOKUP($B13,'PW G-Breakaway'!$B$5:$AL$100,36,FALSE)=" ",0,VLOOKUP($B13,'PW G-Breakaway'!$B$5:$AL$100,36,FALSE)),0)+IFERROR(IF(VLOOKUP($B13,'MM G-Dummy Roping'!$B$5:$AL$100,36,FALSE)=" ",0,VLOOKUP($B13,'MM G-Dummy Roping'!$B$5:$AL$100,36,FALSE)),0)+IFERROR(IF(VLOOKUP($B13,'MM G-Barrels'!$B$5:$AL$100,36,FALSE)=" ",0,VLOOKUP($B13,'MM G-Barrels'!$B$5:$AL$100,36,FALSE)),0)+IFERROR(IF(VLOOKUP($B13,'MM G-Figure 8'!$B$5:$AL$100,36,FALSE)=" ",0,VLOOKUP($B13,'MM G-Figure 8'!$B$5:$AL$100,36,FALSE)),0)+IFERROR(IF(VLOOKUP($B13,'MM G-Goats'!$B$5:$AL$100,36,FALSE)=" ",0,VLOOKUP($B13,'MM G-Goats'!$B$5:$AL$100,36,FALSE)),0)</f>
        <v>28.8</v>
      </c>
      <c r="D13" s="95">
        <f>IF(C13&gt;0,C13," ")</f>
        <v>28.8</v>
      </c>
      <c r="E13" s="91">
        <f>IF(D13=" "," ",RANK(D13,D$5:D$32))</f>
        <v>9</v>
      </c>
    </row>
    <row r="14" spans="2:6" x14ac:dyDescent="0.25">
      <c r="B14" s="141" t="s">
        <v>217</v>
      </c>
      <c r="C14" s="95">
        <f>IFERROR(IF(VLOOKUP($B14,'SR G-Barrels'!$B$5:$AL$100,36,FALSE)=" ",0,VLOOKUP($B14,'SR G-Barrels'!$B$5:$AL$100,36,FALSE)),0)+IFERROR(IF(VLOOKUP($B14,'SR G-Poles'!$B$5:$AL$100,36,FALSE)=" ",0,VLOOKUP($B14,'SR G-Poles'!$B$5:$AL$100,36,FALSE)),0)+IFERROR(IF(VLOOKUP($B14,'SR G-Goats'!$B$5:$AL$100,36,FALSE)=" ",0,VLOOKUP($B14,'SR G-Goats'!$B$5:$AL$100,36,FALSE)),0)+IFERROR(IF(VLOOKUP($B14,'SR G-Breakaway'!$B$5:$AL$100,36,FALSE)=" ",0,VLOOKUP($B14,'SR G-Breakaway'!$B$5:$AL$100,36,FALSE)),0)+IFERROR(IF(VLOOKUP($B14,'SR-Team Roping-Header'!$B$5:$AL$100,12,FALSE)=" ",0,VLOOKUP($B14,'SR-Team Roping-Header'!$B$5:$AL$100,12,FALSE)),0)+IFERROR(IF(VLOOKUP($B14,'SR-Team Roping-Heeler'!$B$5:$AL$100,12,FALSE)=" ",0,VLOOKUP($B14,'SR-Team Roping-Heeler'!$B$5:$AL$100,12,FALSE)),0)+IFERROR(IF(VLOOKUP($B14,'JR G-Barrels'!$B$5:$AL$100,36,FALSE)=" ",0,VLOOKUP($B14,'JR G-Barrels'!$B$5:$AL$100,36,FALSE)),0)+IFERROR(IF(VLOOKUP($B14,'JR G-Poles'!$B$5:$AL$100,36,FALSE)=" ",0,VLOOKUP($B14,'JR G-Poles'!$B$5:$AL$100,36,FALSE)),0)+IFERROR(IF(VLOOKUP($B14,'JR G-Goats'!$B$5:$AL$100,36,FALSE)=" ",0,VLOOKUP($B14,'JR G-Goats'!$B$5:$AL$100,36,FALSE)),0)+IFERROR(IF(VLOOKUP($B14,'JR G-Breakaway'!$B$5:$AL$100,36,FALSE)=" ",0,VLOOKUP($B14,'JR G-Breakaway'!$B$5:$AL$100,36,FALSE)),0)+IFERROR(IF(VLOOKUP($B14,'JR-Team Roping-Header'!$B$5:$AL$100,12,FALSE)=" ",0,VLOOKUP($B14,'JR-Team Roping-Header'!$B$5:$AL$100,12,FALSE)),0)+IFERROR(IF(VLOOKUP($B14,'JR-Team Roping-Heeler'!$B$5:$AL$100,12,FALSE)=" ",0,VLOOKUP($B14,'JR-Team Roping-Heeler'!$B$5:$AL$100,12,FALSE)),0)+IFERROR(IF(VLOOKUP($B14,'PW G-Barrels'!$B$5:$AL$101,36,FALSE)=" ",0,VLOOKUP($B14,'PW G-Barrels'!$B$5:$AL$101,36,FALSE)),0)+IFERROR(IF(VLOOKUP($B14,'PW G-Poles'!$B$5:$AL$101,36,FALSE)=" ",0,VLOOKUP($B14,'PW G-Poles'!$B$5:$AL$101,36,FALSE)),0)+IFERROR(IF(VLOOKUP($B14,'PW G-Goats'!$B$5:$AL$100,36,FALSE)=" ",0,VLOOKUP($B14,'PW G-Goats'!$B$5:$AL$100,36,FALSE)),0)+IFERROR(IF(VLOOKUP($B14,'PW G-Breakaway'!$B$5:$AL$100,36,FALSE)=" ",0,VLOOKUP($B14,'PW G-Breakaway'!$B$5:$AL$100,36,FALSE)),0)+IFERROR(IF(VLOOKUP($B14,'MM G-Dummy Roping'!$B$5:$AL$100,36,FALSE)=" ",0,VLOOKUP($B14,'MM G-Dummy Roping'!$B$5:$AL$100,36,FALSE)),0)+IFERROR(IF(VLOOKUP($B14,'MM G-Barrels'!$B$5:$AL$100,36,FALSE)=" ",0,VLOOKUP($B14,'MM G-Barrels'!$B$5:$AL$100,36,FALSE)),0)+IFERROR(IF(VLOOKUP($B14,'MM G-Figure 8'!$B$5:$AL$100,36,FALSE)=" ",0,VLOOKUP($B14,'MM G-Figure 8'!$B$5:$AL$100,36,FALSE)),0)+IFERROR(IF(VLOOKUP($B14,'MM G-Goats'!$B$5:$AL$100,36,FALSE)=" ",0,VLOOKUP($B14,'MM G-Goats'!$B$5:$AL$100,36,FALSE)),0)</f>
        <v>18</v>
      </c>
      <c r="D14" s="95">
        <f>IF(C14&gt;0,C14," ")</f>
        <v>18</v>
      </c>
      <c r="E14" s="91">
        <f>IF(D14=" "," ",RANK(D14,D$5:D$32))</f>
        <v>10</v>
      </c>
    </row>
    <row r="15" spans="2:6" x14ac:dyDescent="0.25">
      <c r="B15" s="142" t="s">
        <v>221</v>
      </c>
      <c r="C15" s="95">
        <f>IFERROR(IF(VLOOKUP($B15,'SR G-Barrels'!$B$5:$AL$100,36,FALSE)=" ",0,VLOOKUP($B15,'SR G-Barrels'!$B$5:$AL$100,36,FALSE)),0)+IFERROR(IF(VLOOKUP($B15,'SR G-Poles'!$B$5:$AL$100,36,FALSE)=" ",0,VLOOKUP($B15,'SR G-Poles'!$B$5:$AL$100,36,FALSE)),0)+IFERROR(IF(VLOOKUP($B15,'SR G-Goats'!$B$5:$AL$100,36,FALSE)=" ",0,VLOOKUP($B15,'SR G-Goats'!$B$5:$AL$100,36,FALSE)),0)+IFERROR(IF(VLOOKUP($B15,'SR G-Breakaway'!$B$5:$AL$100,36,FALSE)=" ",0,VLOOKUP($B15,'SR G-Breakaway'!$B$5:$AL$100,36,FALSE)),0)+IFERROR(IF(VLOOKUP($B15,'SR-Team Roping-Header'!$B$5:$AL$100,12,FALSE)=" ",0,VLOOKUP($B15,'SR-Team Roping-Header'!$B$5:$AL$100,12,FALSE)),0)+IFERROR(IF(VLOOKUP($B15,'SR-Team Roping-Heeler'!$B$5:$AL$100,12,FALSE)=" ",0,VLOOKUP($B15,'SR-Team Roping-Heeler'!$B$5:$AL$100,12,FALSE)),0)+IFERROR(IF(VLOOKUP($B15,'JR G-Barrels'!$B$5:$AL$100,36,FALSE)=" ",0,VLOOKUP($B15,'JR G-Barrels'!$B$5:$AL$100,36,FALSE)),0)+IFERROR(IF(VLOOKUP($B15,'JR G-Poles'!$B$5:$AL$100,36,FALSE)=" ",0,VLOOKUP($B15,'JR G-Poles'!$B$5:$AL$100,36,FALSE)),0)+IFERROR(IF(VLOOKUP($B15,'JR G-Goats'!$B$5:$AL$100,36,FALSE)=" ",0,VLOOKUP($B15,'JR G-Goats'!$B$5:$AL$100,36,FALSE)),0)+IFERROR(IF(VLOOKUP($B15,'JR G-Breakaway'!$B$5:$AL$100,36,FALSE)=" ",0,VLOOKUP($B15,'JR G-Breakaway'!$B$5:$AL$100,36,FALSE)),0)+IFERROR(IF(VLOOKUP($B15,'JR-Team Roping-Header'!$B$5:$AL$100,12,FALSE)=" ",0,VLOOKUP($B15,'JR-Team Roping-Header'!$B$5:$AL$100,12,FALSE)),0)+IFERROR(IF(VLOOKUP($B15,'JR-Team Roping-Heeler'!$B$5:$AL$100,12,FALSE)=" ",0,VLOOKUP($B15,'JR-Team Roping-Heeler'!$B$5:$AL$100,12,FALSE)),0)+IFERROR(IF(VLOOKUP($B15,'PW G-Barrels'!$B$5:$AL$101,36,FALSE)=" ",0,VLOOKUP($B15,'PW G-Barrels'!$B$5:$AL$101,36,FALSE)),0)+IFERROR(IF(VLOOKUP($B15,'PW G-Poles'!$B$5:$AL$101,36,FALSE)=" ",0,VLOOKUP($B15,'PW G-Poles'!$B$5:$AL$101,36,FALSE)),0)+IFERROR(IF(VLOOKUP($B15,'PW G-Goats'!$B$5:$AL$100,36,FALSE)=" ",0,VLOOKUP($B15,'PW G-Goats'!$B$5:$AL$100,36,FALSE)),0)+IFERROR(IF(VLOOKUP($B15,'PW G-Breakaway'!$B$5:$AL$100,36,FALSE)=" ",0,VLOOKUP($B15,'PW G-Breakaway'!$B$5:$AL$100,36,FALSE)),0)+IFERROR(IF(VLOOKUP($B15,'MM G-Dummy Roping'!$B$5:$AL$100,36,FALSE)=" ",0,VLOOKUP($B15,'MM G-Dummy Roping'!$B$5:$AL$100,36,FALSE)),0)+IFERROR(IF(VLOOKUP($B15,'MM G-Barrels'!$B$5:$AL$100,36,FALSE)=" ",0,VLOOKUP($B15,'MM G-Barrels'!$B$5:$AL$100,36,FALSE)),0)+IFERROR(IF(VLOOKUP($B15,'MM G-Figure 8'!$B$5:$AL$100,36,FALSE)=" ",0,VLOOKUP($B15,'MM G-Figure 8'!$B$5:$AL$100,36,FALSE)),0)+IFERROR(IF(VLOOKUP($B15,'MM G-Goats'!$B$5:$AL$100,36,FALSE)=" ",0,VLOOKUP($B15,'MM G-Goats'!$B$5:$AL$100,36,FALSE)),0)</f>
        <v>16.5</v>
      </c>
      <c r="D15" s="95">
        <f>IF(C15&gt;0,C15," ")</f>
        <v>16.5</v>
      </c>
      <c r="E15" s="122">
        <f>IF(D15=" "," ",RANK(D15,D$5:D$32))</f>
        <v>11</v>
      </c>
    </row>
    <row r="16" spans="2:6" x14ac:dyDescent="0.25">
      <c r="B16" s="154" t="s">
        <v>202</v>
      </c>
      <c r="C16" s="95">
        <f>IFERROR(IF(VLOOKUP($B16,'SR G-Barrels'!$B$5:$AL$100,36,FALSE)=" ",0,VLOOKUP($B16,'SR G-Barrels'!$B$5:$AL$100,36,FALSE)),0)+IFERROR(IF(VLOOKUP($B16,'SR G-Poles'!$B$5:$AL$100,36,FALSE)=" ",0,VLOOKUP($B16,'SR G-Poles'!$B$5:$AL$100,36,FALSE)),0)+IFERROR(IF(VLOOKUP($B16,'SR G-Goats'!$B$5:$AL$100,36,FALSE)=" ",0,VLOOKUP($B16,'SR G-Goats'!$B$5:$AL$100,36,FALSE)),0)+IFERROR(IF(VLOOKUP($B16,'SR G-Breakaway'!$B$5:$AL$100,36,FALSE)=" ",0,VLOOKUP($B16,'SR G-Breakaway'!$B$5:$AL$100,36,FALSE)),0)+IFERROR(IF(VLOOKUP($B16,'SR-Team Roping-Header'!$B$5:$AL$100,12,FALSE)=" ",0,VLOOKUP($B16,'SR-Team Roping-Header'!$B$5:$AL$100,12,FALSE)),0)+IFERROR(IF(VLOOKUP($B16,'SR-Team Roping-Heeler'!$B$5:$AL$100,12,FALSE)=" ",0,VLOOKUP($B16,'SR-Team Roping-Heeler'!$B$5:$AL$100,12,FALSE)),0)+IFERROR(IF(VLOOKUP($B16,'JR G-Barrels'!$B$5:$AL$100,36,FALSE)=" ",0,VLOOKUP($B16,'JR G-Barrels'!$B$5:$AL$100,36,FALSE)),0)+IFERROR(IF(VLOOKUP($B16,'JR G-Poles'!$B$5:$AL$100,36,FALSE)=" ",0,VLOOKUP($B16,'JR G-Poles'!$B$5:$AL$100,36,FALSE)),0)+IFERROR(IF(VLOOKUP($B16,'JR G-Goats'!$B$5:$AL$100,36,FALSE)=" ",0,VLOOKUP($B16,'JR G-Goats'!$B$5:$AL$100,36,FALSE)),0)+IFERROR(IF(VLOOKUP($B16,'JR G-Breakaway'!$B$5:$AL$100,36,FALSE)=" ",0,VLOOKUP($B16,'JR G-Breakaway'!$B$5:$AL$100,36,FALSE)),0)+IFERROR(IF(VLOOKUP($B16,'JR-Team Roping-Header'!$B$5:$AL$100,12,FALSE)=" ",0,VLOOKUP($B16,'JR-Team Roping-Header'!$B$5:$AL$100,12,FALSE)),0)+IFERROR(IF(VLOOKUP($B16,'JR-Team Roping-Heeler'!$B$5:$AL$100,12,FALSE)=" ",0,VLOOKUP($B16,'JR-Team Roping-Heeler'!$B$5:$AL$100,12,FALSE)),0)+IFERROR(IF(VLOOKUP($B16,'PW G-Barrels'!$B$5:$AL$101,36,FALSE)=" ",0,VLOOKUP($B16,'PW G-Barrels'!$B$5:$AL$101,36,FALSE)),0)+IFERROR(IF(VLOOKUP($B16,'PW G-Poles'!$B$5:$AL$101,36,FALSE)=" ",0,VLOOKUP($B16,'PW G-Poles'!$B$5:$AL$101,36,FALSE)),0)+IFERROR(IF(VLOOKUP($B16,'PW G-Goats'!$B$5:$AL$100,36,FALSE)=" ",0,VLOOKUP($B16,'PW G-Goats'!$B$5:$AL$100,36,FALSE)),0)+IFERROR(IF(VLOOKUP($B16,'PW G-Breakaway'!$B$5:$AL$100,36,FALSE)=" ",0,VLOOKUP($B16,'PW G-Breakaway'!$B$5:$AL$100,36,FALSE)),0)+IFERROR(IF(VLOOKUP($B16,'MM G-Dummy Roping'!$B$5:$AL$100,36,FALSE)=" ",0,VLOOKUP($B16,'MM G-Dummy Roping'!$B$5:$AL$100,36,FALSE)),0)+IFERROR(IF(VLOOKUP($B16,'MM G-Barrels'!$B$5:$AL$100,36,FALSE)=" ",0,VLOOKUP($B16,'MM G-Barrels'!$B$5:$AL$100,36,FALSE)),0)+IFERROR(IF(VLOOKUP($B16,'MM G-Figure 8'!$B$5:$AL$100,36,FALSE)=" ",0,VLOOKUP($B16,'MM G-Figure 8'!$B$5:$AL$100,36,FALSE)),0)+IFERROR(IF(VLOOKUP($B16,'MM G-Goats'!$B$5:$AL$100,36,FALSE)=" ",0,VLOOKUP($B16,'MM G-Goats'!$B$5:$AL$100,36,FALSE)),0)</f>
        <v>15</v>
      </c>
      <c r="D16" s="95">
        <f>IF(C16&gt;0,C16," ")</f>
        <v>15</v>
      </c>
      <c r="E16" s="91">
        <f>IF(D16=" "," ",RANK(D16,D$5:D$32))</f>
        <v>12</v>
      </c>
    </row>
    <row r="17" spans="2:5" x14ac:dyDescent="0.25">
      <c r="B17" s="142" t="s">
        <v>224</v>
      </c>
      <c r="C17" s="95">
        <f>IFERROR(IF(VLOOKUP($B17,'SR G-Barrels'!$B$5:$AL$100,36,FALSE)=" ",0,VLOOKUP($B17,'SR G-Barrels'!$B$5:$AL$100,36,FALSE)),0)+IFERROR(IF(VLOOKUP($B17,'SR G-Poles'!$B$5:$AL$100,36,FALSE)=" ",0,VLOOKUP($B17,'SR G-Poles'!$B$5:$AL$100,36,FALSE)),0)+IFERROR(IF(VLOOKUP($B17,'SR G-Goats'!$B$5:$AL$100,36,FALSE)=" ",0,VLOOKUP($B17,'SR G-Goats'!$B$5:$AL$100,36,FALSE)),0)+IFERROR(IF(VLOOKUP($B17,'SR G-Breakaway'!$B$5:$AL$100,36,FALSE)=" ",0,VLOOKUP($B17,'SR G-Breakaway'!$B$5:$AL$100,36,FALSE)),0)+IFERROR(IF(VLOOKUP($B17,'SR-Team Roping-Header'!$B$5:$AL$100,12,FALSE)=" ",0,VLOOKUP($B17,'SR-Team Roping-Header'!$B$5:$AL$100,12,FALSE)),0)+IFERROR(IF(VLOOKUP($B17,'SR-Team Roping-Heeler'!$B$5:$AL$100,12,FALSE)=" ",0,VLOOKUP($B17,'SR-Team Roping-Heeler'!$B$5:$AL$100,12,FALSE)),0)+IFERROR(IF(VLOOKUP($B17,'JR G-Barrels'!$B$5:$AL$100,36,FALSE)=" ",0,VLOOKUP($B17,'JR G-Barrels'!$B$5:$AL$100,36,FALSE)),0)+IFERROR(IF(VLOOKUP($B17,'JR G-Poles'!$B$5:$AL$100,36,FALSE)=" ",0,VLOOKUP($B17,'JR G-Poles'!$B$5:$AL$100,36,FALSE)),0)+IFERROR(IF(VLOOKUP($B17,'JR G-Goats'!$B$5:$AL$100,36,FALSE)=" ",0,VLOOKUP($B17,'JR G-Goats'!$B$5:$AL$100,36,FALSE)),0)+IFERROR(IF(VLOOKUP($B17,'JR G-Breakaway'!$B$5:$AL$100,36,FALSE)=" ",0,VLOOKUP($B17,'JR G-Breakaway'!$B$5:$AL$100,36,FALSE)),0)+IFERROR(IF(VLOOKUP($B17,'JR-Team Roping-Header'!$B$5:$AL$100,12,FALSE)=" ",0,VLOOKUP($B17,'JR-Team Roping-Header'!$B$5:$AL$100,12,FALSE)),0)+IFERROR(IF(VLOOKUP($B17,'JR-Team Roping-Heeler'!$B$5:$AL$100,12,FALSE)=" ",0,VLOOKUP($B17,'JR-Team Roping-Heeler'!$B$5:$AL$100,12,FALSE)),0)+IFERROR(IF(VLOOKUP($B17,'PW G-Barrels'!$B$5:$AL$101,36,FALSE)=" ",0,VLOOKUP($B17,'PW G-Barrels'!$B$5:$AL$101,36,FALSE)),0)+IFERROR(IF(VLOOKUP($B17,'PW G-Poles'!$B$5:$AL$101,36,FALSE)=" ",0,VLOOKUP($B17,'PW G-Poles'!$B$5:$AL$101,36,FALSE)),0)+IFERROR(IF(VLOOKUP($B17,'PW G-Goats'!$B$5:$AL$100,36,FALSE)=" ",0,VLOOKUP($B17,'PW G-Goats'!$B$5:$AL$100,36,FALSE)),0)+IFERROR(IF(VLOOKUP($B17,'PW G-Breakaway'!$B$5:$AL$100,36,FALSE)=" ",0,VLOOKUP($B17,'PW G-Breakaway'!$B$5:$AL$100,36,FALSE)),0)+IFERROR(IF(VLOOKUP($B17,'MM G-Dummy Roping'!$B$5:$AL$100,36,FALSE)=" ",0,VLOOKUP($B17,'MM G-Dummy Roping'!$B$5:$AL$100,36,FALSE)),0)+IFERROR(IF(VLOOKUP($B17,'MM G-Barrels'!$B$5:$AL$100,36,FALSE)=" ",0,VLOOKUP($B17,'MM G-Barrels'!$B$5:$AL$100,36,FALSE)),0)+IFERROR(IF(VLOOKUP($B17,'MM G-Figure 8'!$B$5:$AL$100,36,FALSE)=" ",0,VLOOKUP($B17,'MM G-Figure 8'!$B$5:$AL$100,36,FALSE)),0)+IFERROR(IF(VLOOKUP($B17,'MM G-Goats'!$B$5:$AL$100,36,FALSE)=" ",0,VLOOKUP($B17,'MM G-Goats'!$B$5:$AL$100,36,FALSE)),0)</f>
        <v>13.5</v>
      </c>
      <c r="D17" s="95">
        <f>IF(C17&gt;0,C17," ")</f>
        <v>13.5</v>
      </c>
      <c r="E17" s="91">
        <f>IF(D17=" "," ",RANK(D17,D$5:D$32))</f>
        <v>13</v>
      </c>
    </row>
    <row r="18" spans="2:5" x14ac:dyDescent="0.25">
      <c r="B18" s="142" t="s">
        <v>228</v>
      </c>
      <c r="C18" s="95">
        <f>IFERROR(IF(VLOOKUP($B18,'SR G-Barrels'!$B$5:$AL$100,36,FALSE)=" ",0,VLOOKUP($B18,'SR G-Barrels'!$B$5:$AL$100,36,FALSE)),0)+IFERROR(IF(VLOOKUP($B18,'SR G-Poles'!$B$5:$AL$100,36,FALSE)=" ",0,VLOOKUP($B18,'SR G-Poles'!$B$5:$AL$100,36,FALSE)),0)+IFERROR(IF(VLOOKUP($B18,'SR G-Goats'!$B$5:$AL$100,36,FALSE)=" ",0,VLOOKUP($B18,'SR G-Goats'!$B$5:$AL$100,36,FALSE)),0)+IFERROR(IF(VLOOKUP($B18,'SR G-Breakaway'!$B$5:$AL$100,36,FALSE)=" ",0,VLOOKUP($B18,'SR G-Breakaway'!$B$5:$AL$100,36,FALSE)),0)+IFERROR(IF(VLOOKUP($B18,'SR-Team Roping-Header'!$B$5:$AL$100,12,FALSE)=" ",0,VLOOKUP($B18,'SR-Team Roping-Header'!$B$5:$AL$100,12,FALSE)),0)+IFERROR(IF(VLOOKUP($B18,'SR-Team Roping-Heeler'!$B$5:$AL$100,12,FALSE)=" ",0,VLOOKUP($B18,'SR-Team Roping-Heeler'!$B$5:$AL$100,12,FALSE)),0)+IFERROR(IF(VLOOKUP($B18,'JR G-Barrels'!$B$5:$AL$100,36,FALSE)=" ",0,VLOOKUP($B18,'JR G-Barrels'!$B$5:$AL$100,36,FALSE)),0)+IFERROR(IF(VLOOKUP($B18,'JR G-Poles'!$B$5:$AL$100,36,FALSE)=" ",0,VLOOKUP($B18,'JR G-Poles'!$B$5:$AL$100,36,FALSE)),0)+IFERROR(IF(VLOOKUP($B18,'JR G-Goats'!$B$5:$AL$100,36,FALSE)=" ",0,VLOOKUP($B18,'JR G-Goats'!$B$5:$AL$100,36,FALSE)),0)+IFERROR(IF(VLOOKUP($B18,'JR G-Breakaway'!$B$5:$AL$100,36,FALSE)=" ",0,VLOOKUP($B18,'JR G-Breakaway'!$B$5:$AL$100,36,FALSE)),0)+IFERROR(IF(VLOOKUP($B18,'JR-Team Roping-Header'!$B$5:$AL$100,12,FALSE)=" ",0,VLOOKUP($B18,'JR-Team Roping-Header'!$B$5:$AL$100,12,FALSE)),0)+IFERROR(IF(VLOOKUP($B18,'JR-Team Roping-Heeler'!$B$5:$AL$100,12,FALSE)=" ",0,VLOOKUP($B18,'JR-Team Roping-Heeler'!$B$5:$AL$100,12,FALSE)),0)+IFERROR(IF(VLOOKUP($B18,'PW G-Barrels'!$B$5:$AL$101,36,FALSE)=" ",0,VLOOKUP($B18,'PW G-Barrels'!$B$5:$AL$101,36,FALSE)),0)+IFERROR(IF(VLOOKUP($B18,'PW G-Poles'!$B$5:$AL$101,36,FALSE)=" ",0,VLOOKUP($B18,'PW G-Poles'!$B$5:$AL$101,36,FALSE)),0)+IFERROR(IF(VLOOKUP($B18,'PW G-Goats'!$B$5:$AL$100,36,FALSE)=" ",0,VLOOKUP($B18,'PW G-Goats'!$B$5:$AL$100,36,FALSE)),0)+IFERROR(IF(VLOOKUP($B18,'PW G-Breakaway'!$B$5:$AL$100,36,FALSE)=" ",0,VLOOKUP($B18,'PW G-Breakaway'!$B$5:$AL$100,36,FALSE)),0)+IFERROR(IF(VLOOKUP($B18,'MM G-Dummy Roping'!$B$5:$AL$100,36,FALSE)=" ",0,VLOOKUP($B18,'MM G-Dummy Roping'!$B$5:$AL$100,36,FALSE)),0)+IFERROR(IF(VLOOKUP($B18,'MM G-Barrels'!$B$5:$AL$100,36,FALSE)=" ",0,VLOOKUP($B18,'MM G-Barrels'!$B$5:$AL$100,36,FALSE)),0)+IFERROR(IF(VLOOKUP($B18,'MM G-Figure 8'!$B$5:$AL$100,36,FALSE)=" ",0,VLOOKUP($B18,'MM G-Figure 8'!$B$5:$AL$100,36,FALSE)),0)+IFERROR(IF(VLOOKUP($B18,'MM G-Goats'!$B$5:$AL$100,36,FALSE)=" ",0,VLOOKUP($B18,'MM G-Goats'!$B$5:$AL$100,36,FALSE)),0)</f>
        <v>10.5</v>
      </c>
      <c r="D18" s="95">
        <f>IF(C18&gt;0,C18," ")</f>
        <v>10.5</v>
      </c>
      <c r="E18" s="91">
        <f>IF(D18=" "," ",RANK(D18,D$5:D$32))</f>
        <v>14</v>
      </c>
    </row>
    <row r="19" spans="2:5" x14ac:dyDescent="0.25">
      <c r="B19" s="142" t="s">
        <v>242</v>
      </c>
      <c r="C19" s="95">
        <f>IFERROR(IF(VLOOKUP($B19,'SR G-Barrels'!$B$5:$AL$100,36,FALSE)=" ",0,VLOOKUP($B19,'SR G-Barrels'!$B$5:$AL$100,36,FALSE)),0)+IFERROR(IF(VLOOKUP($B19,'SR G-Poles'!$B$5:$AL$100,36,FALSE)=" ",0,VLOOKUP($B19,'SR G-Poles'!$B$5:$AL$100,36,FALSE)),0)+IFERROR(IF(VLOOKUP($B19,'SR G-Goats'!$B$5:$AL$100,36,FALSE)=" ",0,VLOOKUP($B19,'SR G-Goats'!$B$5:$AL$100,36,FALSE)),0)+IFERROR(IF(VLOOKUP($B19,'SR G-Breakaway'!$B$5:$AL$100,36,FALSE)=" ",0,VLOOKUP($B19,'SR G-Breakaway'!$B$5:$AL$100,36,FALSE)),0)+IFERROR(IF(VLOOKUP($B19,'SR-Team Roping-Header'!$B$5:$AL$100,12,FALSE)=" ",0,VLOOKUP($B19,'SR-Team Roping-Header'!$B$5:$AL$100,12,FALSE)),0)+IFERROR(IF(VLOOKUP($B19,'SR-Team Roping-Heeler'!$B$5:$AL$100,12,FALSE)=" ",0,VLOOKUP($B19,'SR-Team Roping-Heeler'!$B$5:$AL$100,12,FALSE)),0)+IFERROR(IF(VLOOKUP($B19,'JR G-Barrels'!$B$5:$AL$100,36,FALSE)=" ",0,VLOOKUP($B19,'JR G-Barrels'!$B$5:$AL$100,36,FALSE)),0)+IFERROR(IF(VLOOKUP($B19,'JR G-Poles'!$B$5:$AL$100,36,FALSE)=" ",0,VLOOKUP($B19,'JR G-Poles'!$B$5:$AL$100,36,FALSE)),0)+IFERROR(IF(VLOOKUP($B19,'JR G-Goats'!$B$5:$AL$100,36,FALSE)=" ",0,VLOOKUP($B19,'JR G-Goats'!$B$5:$AL$100,36,FALSE)),0)+IFERROR(IF(VLOOKUP($B19,'JR G-Breakaway'!$B$5:$AL$100,36,FALSE)=" ",0,VLOOKUP($B19,'JR G-Breakaway'!$B$5:$AL$100,36,FALSE)),0)+IFERROR(IF(VLOOKUP($B19,'JR-Team Roping-Header'!$B$5:$AL$100,12,FALSE)=" ",0,VLOOKUP($B19,'JR-Team Roping-Header'!$B$5:$AL$100,12,FALSE)),0)+IFERROR(IF(VLOOKUP($B19,'JR-Team Roping-Heeler'!$B$5:$AL$100,12,FALSE)=" ",0,VLOOKUP($B19,'JR-Team Roping-Heeler'!$B$5:$AL$100,12,FALSE)),0)+IFERROR(IF(VLOOKUP($B19,'PW G-Barrels'!$B$5:$AL$101,36,FALSE)=" ",0,VLOOKUP($B19,'PW G-Barrels'!$B$5:$AL$101,36,FALSE)),0)+IFERROR(IF(VLOOKUP($B19,'PW G-Poles'!$B$5:$AL$101,36,FALSE)=" ",0,VLOOKUP($B19,'PW G-Poles'!$B$5:$AL$101,36,FALSE)),0)+IFERROR(IF(VLOOKUP($B19,'PW G-Goats'!$B$5:$AL$100,36,FALSE)=" ",0,VLOOKUP($B19,'PW G-Goats'!$B$5:$AL$100,36,FALSE)),0)+IFERROR(IF(VLOOKUP($B19,'PW G-Breakaway'!$B$5:$AL$100,36,FALSE)=" ",0,VLOOKUP($B19,'PW G-Breakaway'!$B$5:$AL$100,36,FALSE)),0)+IFERROR(IF(VLOOKUP($B19,'MM G-Dummy Roping'!$B$5:$AL$100,36,FALSE)=" ",0,VLOOKUP($B19,'MM G-Dummy Roping'!$B$5:$AL$100,36,FALSE)),0)+IFERROR(IF(VLOOKUP($B19,'MM G-Barrels'!$B$5:$AL$100,36,FALSE)=" ",0,VLOOKUP($B19,'MM G-Barrels'!$B$5:$AL$100,36,FALSE)),0)+IFERROR(IF(VLOOKUP($B19,'MM G-Figure 8'!$B$5:$AL$100,36,FALSE)=" ",0,VLOOKUP($B19,'MM G-Figure 8'!$B$5:$AL$100,36,FALSE)),0)+IFERROR(IF(VLOOKUP($B19,'MM G-Goats'!$B$5:$AL$100,36,FALSE)=" ",0,VLOOKUP($B19,'MM G-Goats'!$B$5:$AL$100,36,FALSE)),0)</f>
        <v>3</v>
      </c>
      <c r="D19" s="95">
        <f>IF(C19&gt;0,C19," ")</f>
        <v>3</v>
      </c>
      <c r="E19" s="122">
        <f>IF(D19=" "," ",RANK(D19,D$5:D$32))</f>
        <v>15</v>
      </c>
    </row>
    <row r="20" spans="2:5" x14ac:dyDescent="0.25">
      <c r="B20" s="142" t="s">
        <v>204</v>
      </c>
      <c r="C20" s="95">
        <f>IFERROR(IF(VLOOKUP($B20,'SR G-Barrels'!$B$5:$AL$100,36,FALSE)=" ",0,VLOOKUP($B20,'SR G-Barrels'!$B$5:$AL$100,36,FALSE)),0)+IFERROR(IF(VLOOKUP($B20,'SR G-Poles'!$B$5:$AL$100,36,FALSE)=" ",0,VLOOKUP($B20,'SR G-Poles'!$B$5:$AL$100,36,FALSE)),0)+IFERROR(IF(VLOOKUP($B20,'SR G-Goats'!$B$5:$AL$100,36,FALSE)=" ",0,VLOOKUP($B20,'SR G-Goats'!$B$5:$AL$100,36,FALSE)),0)+IFERROR(IF(VLOOKUP($B20,'SR G-Breakaway'!$B$5:$AL$100,36,FALSE)=" ",0,VLOOKUP($B20,'SR G-Breakaway'!$B$5:$AL$100,36,FALSE)),0)+IFERROR(IF(VLOOKUP($B20,'SR-Team Roping-Header'!$B$5:$AL$100,12,FALSE)=" ",0,VLOOKUP($B20,'SR-Team Roping-Header'!$B$5:$AL$100,12,FALSE)),0)+IFERROR(IF(VLOOKUP($B20,'SR-Team Roping-Heeler'!$B$5:$AL$100,12,FALSE)=" ",0,VLOOKUP($B20,'SR-Team Roping-Heeler'!$B$5:$AL$100,12,FALSE)),0)+IFERROR(IF(VLOOKUP($B20,'JR G-Barrels'!$B$5:$AL$100,36,FALSE)=" ",0,VLOOKUP($B20,'JR G-Barrels'!$B$5:$AL$100,36,FALSE)),0)+IFERROR(IF(VLOOKUP($B20,'JR G-Poles'!$B$5:$AL$100,36,FALSE)=" ",0,VLOOKUP($B20,'JR G-Poles'!$B$5:$AL$100,36,FALSE)),0)+IFERROR(IF(VLOOKUP($B20,'JR G-Goats'!$B$5:$AL$100,36,FALSE)=" ",0,VLOOKUP($B20,'JR G-Goats'!$B$5:$AL$100,36,FALSE)),0)+IFERROR(IF(VLOOKUP($B20,'JR G-Breakaway'!$B$5:$AL$100,36,FALSE)=" ",0,VLOOKUP($B20,'JR G-Breakaway'!$B$5:$AL$100,36,FALSE)),0)+IFERROR(IF(VLOOKUP($B20,'JR-Team Roping-Header'!$B$5:$AL$100,12,FALSE)=" ",0,VLOOKUP($B20,'JR-Team Roping-Header'!$B$5:$AL$100,12,FALSE)),0)+IFERROR(IF(VLOOKUP($B20,'JR-Team Roping-Heeler'!$B$5:$AL$100,12,FALSE)=" ",0,VLOOKUP($B20,'JR-Team Roping-Heeler'!$B$5:$AL$100,12,FALSE)),0)+IFERROR(IF(VLOOKUP($B20,'PW G-Barrels'!$B$5:$AL$101,36,FALSE)=" ",0,VLOOKUP($B20,'PW G-Barrels'!$B$5:$AL$101,36,FALSE)),0)+IFERROR(IF(VLOOKUP($B20,'PW G-Poles'!$B$5:$AL$101,36,FALSE)=" ",0,VLOOKUP($B20,'PW G-Poles'!$B$5:$AL$101,36,FALSE)),0)+IFERROR(IF(VLOOKUP($B20,'PW G-Goats'!$B$5:$AL$100,36,FALSE)=" ",0,VLOOKUP($B20,'PW G-Goats'!$B$5:$AL$100,36,FALSE)),0)+IFERROR(IF(VLOOKUP($B20,'PW G-Breakaway'!$B$5:$AL$100,36,FALSE)=" ",0,VLOOKUP($B20,'PW G-Breakaway'!$B$5:$AL$100,36,FALSE)),0)+IFERROR(IF(VLOOKUP($B20,'MM G-Dummy Roping'!$B$5:$AL$100,36,FALSE)=" ",0,VLOOKUP($B20,'MM G-Dummy Roping'!$B$5:$AL$100,36,FALSE)),0)+IFERROR(IF(VLOOKUP($B20,'MM G-Barrels'!$B$5:$AL$100,36,FALSE)=" ",0,VLOOKUP($B20,'MM G-Barrels'!$B$5:$AL$100,36,FALSE)),0)+IFERROR(IF(VLOOKUP($B20,'MM G-Figure 8'!$B$5:$AL$100,36,FALSE)=" ",0,VLOOKUP($B20,'MM G-Figure 8'!$B$5:$AL$100,36,FALSE)),0)+IFERROR(IF(VLOOKUP($B20,'MM G-Goats'!$B$5:$AL$100,36,FALSE)=" ",0,VLOOKUP($B20,'MM G-Goats'!$B$5:$AL$100,36,FALSE)),0)</f>
        <v>3</v>
      </c>
      <c r="D20" s="95">
        <f>IF(C20&gt;0,C20," ")</f>
        <v>3</v>
      </c>
      <c r="E20" s="91">
        <f>IF(D20=" "," ",RANK(D20,D$5:D$32))</f>
        <v>15</v>
      </c>
    </row>
    <row r="21" spans="2:5" x14ac:dyDescent="0.25">
      <c r="B21" s="142" t="s">
        <v>216</v>
      </c>
      <c r="C21" s="95">
        <f>IFERROR(IF(VLOOKUP($B21,'SR G-Barrels'!$B$5:$AL$100,36,FALSE)=" ",0,VLOOKUP($B21,'SR G-Barrels'!$B$5:$AL$100,36,FALSE)),0)+IFERROR(IF(VLOOKUP($B21,'SR G-Poles'!$B$5:$AL$100,36,FALSE)=" ",0,VLOOKUP($B21,'SR G-Poles'!$B$5:$AL$100,36,FALSE)),0)+IFERROR(IF(VLOOKUP($B21,'SR G-Goats'!$B$5:$AL$100,36,FALSE)=" ",0,VLOOKUP($B21,'SR G-Goats'!$B$5:$AL$100,36,FALSE)),0)+IFERROR(IF(VLOOKUP($B21,'SR G-Breakaway'!$B$5:$AL$100,36,FALSE)=" ",0,VLOOKUP($B21,'SR G-Breakaway'!$B$5:$AL$100,36,FALSE)),0)+IFERROR(IF(VLOOKUP($B21,'SR-Team Roping-Header'!$B$5:$AL$100,12,FALSE)=" ",0,VLOOKUP($B21,'SR-Team Roping-Header'!$B$5:$AL$100,12,FALSE)),0)+IFERROR(IF(VLOOKUP($B21,'SR-Team Roping-Heeler'!$B$5:$AL$100,12,FALSE)=" ",0,VLOOKUP($B21,'SR-Team Roping-Heeler'!$B$5:$AL$100,12,FALSE)),0)+IFERROR(IF(VLOOKUP($B21,'JR G-Barrels'!$B$5:$AL$100,36,FALSE)=" ",0,VLOOKUP($B21,'JR G-Barrels'!$B$5:$AL$100,36,FALSE)),0)+IFERROR(IF(VLOOKUP($B21,'JR G-Poles'!$B$5:$AL$100,36,FALSE)=" ",0,VLOOKUP($B21,'JR G-Poles'!$B$5:$AL$100,36,FALSE)),0)+IFERROR(IF(VLOOKUP($B21,'JR G-Goats'!$B$5:$AL$100,36,FALSE)=" ",0,VLOOKUP($B21,'JR G-Goats'!$B$5:$AL$100,36,FALSE)),0)+IFERROR(IF(VLOOKUP($B21,'JR G-Breakaway'!$B$5:$AL$100,36,FALSE)=" ",0,VLOOKUP($B21,'JR G-Breakaway'!$B$5:$AL$100,36,FALSE)),0)+IFERROR(IF(VLOOKUP($B21,'JR-Team Roping-Header'!$B$5:$AL$100,12,FALSE)=" ",0,VLOOKUP($B21,'JR-Team Roping-Header'!$B$5:$AL$100,12,FALSE)),0)+IFERROR(IF(VLOOKUP($B21,'JR-Team Roping-Heeler'!$B$5:$AL$100,12,FALSE)=" ",0,VLOOKUP($B21,'JR-Team Roping-Heeler'!$B$5:$AL$100,12,FALSE)),0)+IFERROR(IF(VLOOKUP($B21,'PW G-Barrels'!$B$5:$AL$101,36,FALSE)=" ",0,VLOOKUP($B21,'PW G-Barrels'!$B$5:$AL$101,36,FALSE)),0)+IFERROR(IF(VLOOKUP($B21,'PW G-Poles'!$B$5:$AL$101,36,FALSE)=" ",0,VLOOKUP($B21,'PW G-Poles'!$B$5:$AL$101,36,FALSE)),0)+IFERROR(IF(VLOOKUP($B21,'PW G-Goats'!$B$5:$AL$100,36,FALSE)=" ",0,VLOOKUP($B21,'PW G-Goats'!$B$5:$AL$100,36,FALSE)),0)+IFERROR(IF(VLOOKUP($B21,'PW G-Breakaway'!$B$5:$AL$100,36,FALSE)=" ",0,VLOOKUP($B21,'PW G-Breakaway'!$B$5:$AL$100,36,FALSE)),0)+IFERROR(IF(VLOOKUP($B21,'MM G-Dummy Roping'!$B$5:$AL$100,36,FALSE)=" ",0,VLOOKUP($B21,'MM G-Dummy Roping'!$B$5:$AL$100,36,FALSE)),0)+IFERROR(IF(VLOOKUP($B21,'MM G-Barrels'!$B$5:$AL$100,36,FALSE)=" ",0,VLOOKUP($B21,'MM G-Barrels'!$B$5:$AL$100,36,FALSE)),0)+IFERROR(IF(VLOOKUP($B21,'MM G-Figure 8'!$B$5:$AL$100,36,FALSE)=" ",0,VLOOKUP($B21,'MM G-Figure 8'!$B$5:$AL$100,36,FALSE)),0)+IFERROR(IF(VLOOKUP($B21,'MM G-Goats'!$B$5:$AL$100,36,FALSE)=" ",0,VLOOKUP($B21,'MM G-Goats'!$B$5:$AL$100,36,FALSE)),0)</f>
        <v>3</v>
      </c>
      <c r="D21" s="95">
        <f>IF(C21&gt;0,C21," ")</f>
        <v>3</v>
      </c>
      <c r="E21" s="91">
        <f>IF(D21=" "," ",RANK(D21,D$5:D$32))</f>
        <v>15</v>
      </c>
    </row>
    <row r="22" spans="2:5" x14ac:dyDescent="0.25">
      <c r="B22" s="142" t="s">
        <v>206</v>
      </c>
      <c r="C22" s="95">
        <f>IFERROR(IF(VLOOKUP($B22,'SR G-Barrels'!$B$5:$AL$100,36,FALSE)=" ",0,VLOOKUP($B22,'SR G-Barrels'!$B$5:$AL$100,36,FALSE)),0)+IFERROR(IF(VLOOKUP($B22,'SR G-Poles'!$B$5:$AL$100,36,FALSE)=" ",0,VLOOKUP($B22,'SR G-Poles'!$B$5:$AL$100,36,FALSE)),0)+IFERROR(IF(VLOOKUP($B22,'SR G-Goats'!$B$5:$AL$100,36,FALSE)=" ",0,VLOOKUP($B22,'SR G-Goats'!$B$5:$AL$100,36,FALSE)),0)+IFERROR(IF(VLOOKUP($B22,'SR G-Breakaway'!$B$5:$AL$100,36,FALSE)=" ",0,VLOOKUP($B22,'SR G-Breakaway'!$B$5:$AL$100,36,FALSE)),0)+IFERROR(IF(VLOOKUP($B22,'SR-Team Roping-Header'!$B$5:$AL$100,12,FALSE)=" ",0,VLOOKUP($B22,'SR-Team Roping-Header'!$B$5:$AL$100,12,FALSE)),0)+IFERROR(IF(VLOOKUP($B22,'SR-Team Roping-Heeler'!$B$5:$AL$100,12,FALSE)=" ",0,VLOOKUP($B22,'SR-Team Roping-Heeler'!$B$5:$AL$100,12,FALSE)),0)+IFERROR(IF(VLOOKUP($B22,'JR G-Barrels'!$B$5:$AL$100,36,FALSE)=" ",0,VLOOKUP($B22,'JR G-Barrels'!$B$5:$AL$100,36,FALSE)),0)+IFERROR(IF(VLOOKUP($B22,'JR G-Poles'!$B$5:$AL$100,36,FALSE)=" ",0,VLOOKUP($B22,'JR G-Poles'!$B$5:$AL$100,36,FALSE)),0)+IFERROR(IF(VLOOKUP($B22,'JR G-Goats'!$B$5:$AL$100,36,FALSE)=" ",0,VLOOKUP($B22,'JR G-Goats'!$B$5:$AL$100,36,FALSE)),0)+IFERROR(IF(VLOOKUP($B22,'JR G-Breakaway'!$B$5:$AL$100,36,FALSE)=" ",0,VLOOKUP($B22,'JR G-Breakaway'!$B$5:$AL$100,36,FALSE)),0)+IFERROR(IF(VLOOKUP($B22,'JR-Team Roping-Header'!$B$5:$AL$100,12,FALSE)=" ",0,VLOOKUP($B22,'JR-Team Roping-Header'!$B$5:$AL$100,12,FALSE)),0)+IFERROR(IF(VLOOKUP($B22,'JR-Team Roping-Heeler'!$B$5:$AL$100,12,FALSE)=" ",0,VLOOKUP($B22,'JR-Team Roping-Heeler'!$B$5:$AL$100,12,FALSE)),0)+IFERROR(IF(VLOOKUP($B22,'PW G-Barrels'!$B$5:$AL$101,36,FALSE)=" ",0,VLOOKUP($B22,'PW G-Barrels'!$B$5:$AL$101,36,FALSE)),0)+IFERROR(IF(VLOOKUP($B22,'PW G-Poles'!$B$5:$AL$101,36,FALSE)=" ",0,VLOOKUP($B22,'PW G-Poles'!$B$5:$AL$101,36,FALSE)),0)+IFERROR(IF(VLOOKUP($B22,'PW G-Goats'!$B$5:$AL$100,36,FALSE)=" ",0,VLOOKUP($B22,'PW G-Goats'!$B$5:$AL$100,36,FALSE)),0)+IFERROR(IF(VLOOKUP($B22,'PW G-Breakaway'!$B$5:$AL$100,36,FALSE)=" ",0,VLOOKUP($B22,'PW G-Breakaway'!$B$5:$AL$100,36,FALSE)),0)+IFERROR(IF(VLOOKUP($B22,'MM G-Dummy Roping'!$B$5:$AL$100,36,FALSE)=" ",0,VLOOKUP($B22,'MM G-Dummy Roping'!$B$5:$AL$100,36,FALSE)),0)+IFERROR(IF(VLOOKUP($B22,'MM G-Barrels'!$B$5:$AL$100,36,FALSE)=" ",0,VLOOKUP($B22,'MM G-Barrels'!$B$5:$AL$100,36,FALSE)),0)+IFERROR(IF(VLOOKUP($B22,'MM G-Figure 8'!$B$5:$AL$100,36,FALSE)=" ",0,VLOOKUP($B22,'MM G-Figure 8'!$B$5:$AL$100,36,FALSE)),0)+IFERROR(IF(VLOOKUP($B22,'MM G-Goats'!$B$5:$AL$100,36,FALSE)=" ",0,VLOOKUP($B22,'MM G-Goats'!$B$5:$AL$100,36,FALSE)),0)</f>
        <v>1</v>
      </c>
      <c r="D22" s="95">
        <f>IF(C22&gt;0,C22," ")</f>
        <v>1</v>
      </c>
      <c r="E22" s="91">
        <f>IF(D22=" "," ",RANK(D22,D$5:D$32))</f>
        <v>18</v>
      </c>
    </row>
    <row r="23" spans="2:5" x14ac:dyDescent="0.25">
      <c r="B23" s="142" t="s">
        <v>187</v>
      </c>
      <c r="C23" s="95">
        <f>IFERROR(IF(VLOOKUP($B23,'SR G-Barrels'!$B$5:$AL$100,36,FALSE)=" ",0,VLOOKUP($B23,'SR G-Barrels'!$B$5:$AL$100,36,FALSE)),0)+IFERROR(IF(VLOOKUP($B23,'SR G-Poles'!$B$5:$AL$100,36,FALSE)=" ",0,VLOOKUP($B23,'SR G-Poles'!$B$5:$AL$100,36,FALSE)),0)+IFERROR(IF(VLOOKUP($B23,'SR G-Goats'!$B$5:$AL$100,36,FALSE)=" ",0,VLOOKUP($B23,'SR G-Goats'!$B$5:$AL$100,36,FALSE)),0)+IFERROR(IF(VLOOKUP($B23,'SR G-Breakaway'!$B$5:$AL$100,36,FALSE)=" ",0,VLOOKUP($B23,'SR G-Breakaway'!$B$5:$AL$100,36,FALSE)),0)+IFERROR(IF(VLOOKUP($B23,'SR-Team Roping-Header'!$B$5:$AL$100,12,FALSE)=" ",0,VLOOKUP($B23,'SR-Team Roping-Header'!$B$5:$AL$100,12,FALSE)),0)+IFERROR(IF(VLOOKUP($B23,'SR-Team Roping-Heeler'!$B$5:$AL$100,12,FALSE)=" ",0,VLOOKUP($B23,'SR-Team Roping-Heeler'!$B$5:$AL$100,12,FALSE)),0)+IFERROR(IF(VLOOKUP($B23,'JR G-Barrels'!$B$5:$AL$100,36,FALSE)=" ",0,VLOOKUP($B23,'JR G-Barrels'!$B$5:$AL$100,36,FALSE)),0)+IFERROR(IF(VLOOKUP($B23,'JR G-Poles'!$B$5:$AL$100,36,FALSE)=" ",0,VLOOKUP($B23,'JR G-Poles'!$B$5:$AL$100,36,FALSE)),0)+IFERROR(IF(VLOOKUP($B23,'JR G-Goats'!$B$5:$AL$100,36,FALSE)=" ",0,VLOOKUP($B23,'JR G-Goats'!$B$5:$AL$100,36,FALSE)),0)+IFERROR(IF(VLOOKUP($B23,'JR G-Breakaway'!$B$5:$AL$100,36,FALSE)=" ",0,VLOOKUP($B23,'JR G-Breakaway'!$B$5:$AL$100,36,FALSE)),0)+IFERROR(IF(VLOOKUP($B23,'JR-Team Roping-Header'!$B$5:$AL$100,12,FALSE)=" ",0,VLOOKUP($B23,'JR-Team Roping-Header'!$B$5:$AL$100,12,FALSE)),0)+IFERROR(IF(VLOOKUP($B23,'JR-Team Roping-Heeler'!$B$5:$AL$100,12,FALSE)=" ",0,VLOOKUP($B23,'JR-Team Roping-Heeler'!$B$5:$AL$100,12,FALSE)),0)+IFERROR(IF(VLOOKUP($B23,'PW G-Barrels'!$B$5:$AL$101,36,FALSE)=" ",0,VLOOKUP($B23,'PW G-Barrels'!$B$5:$AL$101,36,FALSE)),0)+IFERROR(IF(VLOOKUP($B23,'PW G-Poles'!$B$5:$AL$101,36,FALSE)=" ",0,VLOOKUP($B23,'PW G-Poles'!$B$5:$AL$101,36,FALSE)),0)+IFERROR(IF(VLOOKUP($B23,'PW G-Goats'!$B$5:$AL$100,36,FALSE)=" ",0,VLOOKUP($B23,'PW G-Goats'!$B$5:$AL$100,36,FALSE)),0)+IFERROR(IF(VLOOKUP($B23,'PW G-Breakaway'!$B$5:$AL$100,36,FALSE)=" ",0,VLOOKUP($B23,'PW G-Breakaway'!$B$5:$AL$100,36,FALSE)),0)+IFERROR(IF(VLOOKUP($B23,'MM G-Dummy Roping'!$B$5:$AL$100,36,FALSE)=" ",0,VLOOKUP($B23,'MM G-Dummy Roping'!$B$5:$AL$100,36,FALSE)),0)+IFERROR(IF(VLOOKUP($B23,'MM G-Barrels'!$B$5:$AL$100,36,FALSE)=" ",0,VLOOKUP($B23,'MM G-Barrels'!$B$5:$AL$100,36,FALSE)),0)+IFERROR(IF(VLOOKUP($B23,'MM G-Figure 8'!$B$5:$AL$100,36,FALSE)=" ",0,VLOOKUP($B23,'MM G-Figure 8'!$B$5:$AL$100,36,FALSE)),0)+IFERROR(IF(VLOOKUP($B23,'MM G-Goats'!$B$5:$AL$100,36,FALSE)=" ",0,VLOOKUP($B23,'MM G-Goats'!$B$5:$AL$100,36,FALSE)),0)</f>
        <v>0</v>
      </c>
      <c r="D23" s="95" t="str">
        <f>IF(C23&gt;0,C23," ")</f>
        <v xml:space="preserve"> </v>
      </c>
      <c r="E23" s="122" t="str">
        <f>IF(D23=" "," ",RANK(D23,D$5:D$32))</f>
        <v xml:space="preserve"> </v>
      </c>
    </row>
    <row r="24" spans="2:5" x14ac:dyDescent="0.25">
      <c r="B24" s="142" t="s">
        <v>215</v>
      </c>
      <c r="C24" s="95">
        <f>IFERROR(IF(VLOOKUP($B24,'SR G-Barrels'!$B$5:$AL$100,36,FALSE)=" ",0,VLOOKUP($B24,'SR G-Barrels'!$B$5:$AL$100,36,FALSE)),0)+IFERROR(IF(VLOOKUP($B24,'SR G-Poles'!$B$5:$AL$100,36,FALSE)=" ",0,VLOOKUP($B24,'SR G-Poles'!$B$5:$AL$100,36,FALSE)),0)+IFERROR(IF(VLOOKUP($B24,'SR G-Goats'!$B$5:$AL$100,36,FALSE)=" ",0,VLOOKUP($B24,'SR G-Goats'!$B$5:$AL$100,36,FALSE)),0)+IFERROR(IF(VLOOKUP($B24,'SR G-Breakaway'!$B$5:$AL$100,36,FALSE)=" ",0,VLOOKUP($B24,'SR G-Breakaway'!$B$5:$AL$100,36,FALSE)),0)+IFERROR(IF(VLOOKUP($B24,'SR-Team Roping-Header'!$B$5:$AL$100,12,FALSE)=" ",0,VLOOKUP($B24,'SR-Team Roping-Header'!$B$5:$AL$100,12,FALSE)),0)+IFERROR(IF(VLOOKUP($B24,'SR-Team Roping-Heeler'!$B$5:$AL$100,12,FALSE)=" ",0,VLOOKUP($B24,'SR-Team Roping-Heeler'!$B$5:$AL$100,12,FALSE)),0)+IFERROR(IF(VLOOKUP($B24,'JR G-Barrels'!$B$5:$AL$100,36,FALSE)=" ",0,VLOOKUP($B24,'JR G-Barrels'!$B$5:$AL$100,36,FALSE)),0)+IFERROR(IF(VLOOKUP($B24,'JR G-Poles'!$B$5:$AL$100,36,FALSE)=" ",0,VLOOKUP($B24,'JR G-Poles'!$B$5:$AL$100,36,FALSE)),0)+IFERROR(IF(VLOOKUP($B24,'JR G-Goats'!$B$5:$AL$100,36,FALSE)=" ",0,VLOOKUP($B24,'JR G-Goats'!$B$5:$AL$100,36,FALSE)),0)+IFERROR(IF(VLOOKUP($B24,'JR G-Breakaway'!$B$5:$AL$100,36,FALSE)=" ",0,VLOOKUP($B24,'JR G-Breakaway'!$B$5:$AL$100,36,FALSE)),0)+IFERROR(IF(VLOOKUP($B24,'JR-Team Roping-Header'!$B$5:$AL$100,12,FALSE)=" ",0,VLOOKUP($B24,'JR-Team Roping-Header'!$B$5:$AL$100,12,FALSE)),0)+IFERROR(IF(VLOOKUP($B24,'JR-Team Roping-Heeler'!$B$5:$AL$100,12,FALSE)=" ",0,VLOOKUP($B24,'JR-Team Roping-Heeler'!$B$5:$AL$100,12,FALSE)),0)+IFERROR(IF(VLOOKUP($B24,'PW G-Barrels'!$B$5:$AL$101,36,FALSE)=" ",0,VLOOKUP($B24,'PW G-Barrels'!$B$5:$AL$101,36,FALSE)),0)+IFERROR(IF(VLOOKUP($B24,'PW G-Poles'!$B$5:$AL$101,36,FALSE)=" ",0,VLOOKUP($B24,'PW G-Poles'!$B$5:$AL$101,36,FALSE)),0)+IFERROR(IF(VLOOKUP($B24,'PW G-Goats'!$B$5:$AL$100,36,FALSE)=" ",0,VLOOKUP($B24,'PW G-Goats'!$B$5:$AL$100,36,FALSE)),0)+IFERROR(IF(VLOOKUP($B24,'PW G-Breakaway'!$B$5:$AL$100,36,FALSE)=" ",0,VLOOKUP($B24,'PW G-Breakaway'!$B$5:$AL$100,36,FALSE)),0)+IFERROR(IF(VLOOKUP($B24,'MM G-Dummy Roping'!$B$5:$AL$100,36,FALSE)=" ",0,VLOOKUP($B24,'MM G-Dummy Roping'!$B$5:$AL$100,36,FALSE)),0)+IFERROR(IF(VLOOKUP($B24,'MM G-Barrels'!$B$5:$AL$100,36,FALSE)=" ",0,VLOOKUP($B24,'MM G-Barrels'!$B$5:$AL$100,36,FALSE)),0)+IFERROR(IF(VLOOKUP($B24,'MM G-Figure 8'!$B$5:$AL$100,36,FALSE)=" ",0,VLOOKUP($B24,'MM G-Figure 8'!$B$5:$AL$100,36,FALSE)),0)+IFERROR(IF(VLOOKUP($B24,'MM G-Goats'!$B$5:$AL$100,36,FALSE)=" ",0,VLOOKUP($B24,'MM G-Goats'!$B$5:$AL$100,36,FALSE)),0)</f>
        <v>0</v>
      </c>
      <c r="D24" s="95" t="str">
        <f>IF(C24&gt;0,C24," ")</f>
        <v xml:space="preserve"> </v>
      </c>
      <c r="E24" s="91" t="str">
        <f>IF(D24=" "," ",RANK(D24,D$5:D$32))</f>
        <v xml:space="preserve"> </v>
      </c>
    </row>
    <row r="25" spans="2:5" x14ac:dyDescent="0.25">
      <c r="B25" s="142" t="s">
        <v>226</v>
      </c>
      <c r="C25" s="95">
        <f>IFERROR(IF(VLOOKUP($B25,'SR G-Barrels'!$B$5:$AL$100,36,FALSE)=" ",0,VLOOKUP($B25,'SR G-Barrels'!$B$5:$AL$100,36,FALSE)),0)+IFERROR(IF(VLOOKUP($B25,'SR G-Poles'!$B$5:$AL$100,36,FALSE)=" ",0,VLOOKUP($B25,'SR G-Poles'!$B$5:$AL$100,36,FALSE)),0)+IFERROR(IF(VLOOKUP($B25,'SR G-Goats'!$B$5:$AL$100,36,FALSE)=" ",0,VLOOKUP($B25,'SR G-Goats'!$B$5:$AL$100,36,FALSE)),0)+IFERROR(IF(VLOOKUP($B25,'SR G-Breakaway'!$B$5:$AL$100,36,FALSE)=" ",0,VLOOKUP($B25,'SR G-Breakaway'!$B$5:$AL$100,36,FALSE)),0)+IFERROR(IF(VLOOKUP($B25,'SR-Team Roping-Header'!$B$5:$AL$100,12,FALSE)=" ",0,VLOOKUP($B25,'SR-Team Roping-Header'!$B$5:$AL$100,12,FALSE)),0)+IFERROR(IF(VLOOKUP($B25,'SR-Team Roping-Heeler'!$B$5:$AL$100,12,FALSE)=" ",0,VLOOKUP($B25,'SR-Team Roping-Heeler'!$B$5:$AL$100,12,FALSE)),0)+IFERROR(IF(VLOOKUP($B25,'JR G-Barrels'!$B$5:$AL$100,36,FALSE)=" ",0,VLOOKUP($B25,'JR G-Barrels'!$B$5:$AL$100,36,FALSE)),0)+IFERROR(IF(VLOOKUP($B25,'JR G-Poles'!$B$5:$AL$100,36,FALSE)=" ",0,VLOOKUP($B25,'JR G-Poles'!$B$5:$AL$100,36,FALSE)),0)+IFERROR(IF(VLOOKUP($B25,'JR G-Goats'!$B$5:$AL$100,36,FALSE)=" ",0,VLOOKUP($B25,'JR G-Goats'!$B$5:$AL$100,36,FALSE)),0)+IFERROR(IF(VLOOKUP($B25,'JR G-Breakaway'!$B$5:$AL$100,36,FALSE)=" ",0,VLOOKUP($B25,'JR G-Breakaway'!$B$5:$AL$100,36,FALSE)),0)+IFERROR(IF(VLOOKUP($B25,'JR-Team Roping-Header'!$B$5:$AL$100,12,FALSE)=" ",0,VLOOKUP($B25,'JR-Team Roping-Header'!$B$5:$AL$100,12,FALSE)),0)+IFERROR(IF(VLOOKUP($B25,'JR-Team Roping-Heeler'!$B$5:$AL$100,12,FALSE)=" ",0,VLOOKUP($B25,'JR-Team Roping-Heeler'!$B$5:$AL$100,12,FALSE)),0)+IFERROR(IF(VLOOKUP($B25,'PW G-Barrels'!$B$5:$AL$101,36,FALSE)=" ",0,VLOOKUP($B25,'PW G-Barrels'!$B$5:$AL$101,36,FALSE)),0)+IFERROR(IF(VLOOKUP($B25,'PW G-Poles'!$B$5:$AL$101,36,FALSE)=" ",0,VLOOKUP($B25,'PW G-Poles'!$B$5:$AL$101,36,FALSE)),0)+IFERROR(IF(VLOOKUP($B25,'PW G-Goats'!$B$5:$AL$100,36,FALSE)=" ",0,VLOOKUP($B25,'PW G-Goats'!$B$5:$AL$100,36,FALSE)),0)+IFERROR(IF(VLOOKUP($B25,'PW G-Breakaway'!$B$5:$AL$100,36,FALSE)=" ",0,VLOOKUP($B25,'PW G-Breakaway'!$B$5:$AL$100,36,FALSE)),0)+IFERROR(IF(VLOOKUP($B25,'MM G-Dummy Roping'!$B$5:$AL$100,36,FALSE)=" ",0,VLOOKUP($B25,'MM G-Dummy Roping'!$B$5:$AL$100,36,FALSE)),0)+IFERROR(IF(VLOOKUP($B25,'MM G-Barrels'!$B$5:$AL$100,36,FALSE)=" ",0,VLOOKUP($B25,'MM G-Barrels'!$B$5:$AL$100,36,FALSE)),0)+IFERROR(IF(VLOOKUP($B25,'MM G-Figure 8'!$B$5:$AL$100,36,FALSE)=" ",0,VLOOKUP($B25,'MM G-Figure 8'!$B$5:$AL$100,36,FALSE)),0)+IFERROR(IF(VLOOKUP($B25,'MM G-Goats'!$B$5:$AL$100,36,FALSE)=" ",0,VLOOKUP($B25,'MM G-Goats'!$B$5:$AL$100,36,FALSE)),0)</f>
        <v>0</v>
      </c>
      <c r="D25" s="95" t="str">
        <f>IF(C25&gt;0,C25," ")</f>
        <v xml:space="preserve"> </v>
      </c>
      <c r="E25" s="122" t="str">
        <f>IF(D25=" "," ",RANK(D25,D$5:D$32))</f>
        <v xml:space="preserve"> </v>
      </c>
    </row>
    <row r="26" spans="2:5" x14ac:dyDescent="0.25">
      <c r="B26" s="142" t="s">
        <v>203</v>
      </c>
      <c r="C26" s="95">
        <f>IFERROR(IF(VLOOKUP($B26,'SR G-Barrels'!$B$5:$AL$100,36,FALSE)=" ",0,VLOOKUP($B26,'SR G-Barrels'!$B$5:$AL$100,36,FALSE)),0)+IFERROR(IF(VLOOKUP($B26,'SR G-Poles'!$B$5:$AL$100,36,FALSE)=" ",0,VLOOKUP($B26,'SR G-Poles'!$B$5:$AL$100,36,FALSE)),0)+IFERROR(IF(VLOOKUP($B26,'SR G-Goats'!$B$5:$AL$100,36,FALSE)=" ",0,VLOOKUP($B26,'SR G-Goats'!$B$5:$AL$100,36,FALSE)),0)+IFERROR(IF(VLOOKUP($B26,'SR G-Breakaway'!$B$5:$AL$100,36,FALSE)=" ",0,VLOOKUP($B26,'SR G-Breakaway'!$B$5:$AL$100,36,FALSE)),0)+IFERROR(IF(VLOOKUP($B26,'SR-Team Roping-Header'!$B$5:$AL$100,12,FALSE)=" ",0,VLOOKUP($B26,'SR-Team Roping-Header'!$B$5:$AL$100,12,FALSE)),0)+IFERROR(IF(VLOOKUP($B26,'SR-Team Roping-Heeler'!$B$5:$AL$100,12,FALSE)=" ",0,VLOOKUP($B26,'SR-Team Roping-Heeler'!$B$5:$AL$100,12,FALSE)),0)+IFERROR(IF(VLOOKUP($B26,'JR G-Barrels'!$B$5:$AL$100,36,FALSE)=" ",0,VLOOKUP($B26,'JR G-Barrels'!$B$5:$AL$100,36,FALSE)),0)+IFERROR(IF(VLOOKUP($B26,'JR G-Poles'!$B$5:$AL$100,36,FALSE)=" ",0,VLOOKUP($B26,'JR G-Poles'!$B$5:$AL$100,36,FALSE)),0)+IFERROR(IF(VLOOKUP($B26,'JR G-Goats'!$B$5:$AL$100,36,FALSE)=" ",0,VLOOKUP($B26,'JR G-Goats'!$B$5:$AL$100,36,FALSE)),0)+IFERROR(IF(VLOOKUP($B26,'JR G-Breakaway'!$B$5:$AL$100,36,FALSE)=" ",0,VLOOKUP($B26,'JR G-Breakaway'!$B$5:$AL$100,36,FALSE)),0)+IFERROR(IF(VLOOKUP($B26,'JR-Team Roping-Header'!$B$5:$AL$100,12,FALSE)=" ",0,VLOOKUP($B26,'JR-Team Roping-Header'!$B$5:$AL$100,12,FALSE)),0)+IFERROR(IF(VLOOKUP($B26,'JR-Team Roping-Heeler'!$B$5:$AL$100,12,FALSE)=" ",0,VLOOKUP($B26,'JR-Team Roping-Heeler'!$B$5:$AL$100,12,FALSE)),0)+IFERROR(IF(VLOOKUP($B26,'PW G-Barrels'!$B$5:$AL$101,36,FALSE)=" ",0,VLOOKUP($B26,'PW G-Barrels'!$B$5:$AL$101,36,FALSE)),0)+IFERROR(IF(VLOOKUP($B26,'PW G-Poles'!$B$5:$AL$101,36,FALSE)=" ",0,VLOOKUP($B26,'PW G-Poles'!$B$5:$AL$101,36,FALSE)),0)+IFERROR(IF(VLOOKUP($B26,'PW G-Goats'!$B$5:$AL$100,36,FALSE)=" ",0,VLOOKUP($B26,'PW G-Goats'!$B$5:$AL$100,36,FALSE)),0)+IFERROR(IF(VLOOKUP($B26,'PW G-Breakaway'!$B$5:$AL$100,36,FALSE)=" ",0,VLOOKUP($B26,'PW G-Breakaway'!$B$5:$AL$100,36,FALSE)),0)+IFERROR(IF(VLOOKUP($B26,'MM G-Dummy Roping'!$B$5:$AL$100,36,FALSE)=" ",0,VLOOKUP($B26,'MM G-Dummy Roping'!$B$5:$AL$100,36,FALSE)),0)+IFERROR(IF(VLOOKUP($B26,'MM G-Barrels'!$B$5:$AL$100,36,FALSE)=" ",0,VLOOKUP($B26,'MM G-Barrels'!$B$5:$AL$100,36,FALSE)),0)+IFERROR(IF(VLOOKUP($B26,'MM G-Figure 8'!$B$5:$AL$100,36,FALSE)=" ",0,VLOOKUP($B26,'MM G-Figure 8'!$B$5:$AL$100,36,FALSE)),0)+IFERROR(IF(VLOOKUP($B26,'MM G-Goats'!$B$5:$AL$100,36,FALSE)=" ",0,VLOOKUP($B26,'MM G-Goats'!$B$5:$AL$100,36,FALSE)),0)</f>
        <v>0</v>
      </c>
      <c r="D26" s="95" t="str">
        <f>IF(C26&gt;0,C26," ")</f>
        <v xml:space="preserve"> </v>
      </c>
      <c r="E26" s="122" t="str">
        <f>IF(D26=" "," ",RANK(D26,D$5:D$32))</f>
        <v xml:space="preserve"> </v>
      </c>
    </row>
    <row r="27" spans="2:5" x14ac:dyDescent="0.25">
      <c r="B27" s="142" t="s">
        <v>246</v>
      </c>
      <c r="C27" s="95">
        <f>IFERROR(IF(VLOOKUP($B27,'SR G-Barrels'!$B$5:$AL$100,36,FALSE)=" ",0,VLOOKUP($B27,'SR G-Barrels'!$B$5:$AL$100,36,FALSE)),0)+IFERROR(IF(VLOOKUP($B27,'SR G-Poles'!$B$5:$AL$100,36,FALSE)=" ",0,VLOOKUP($B27,'SR G-Poles'!$B$5:$AL$100,36,FALSE)),0)+IFERROR(IF(VLOOKUP($B27,'SR G-Goats'!$B$5:$AL$100,36,FALSE)=" ",0,VLOOKUP($B27,'SR G-Goats'!$B$5:$AL$100,36,FALSE)),0)+IFERROR(IF(VLOOKUP($B27,'SR G-Breakaway'!$B$5:$AL$100,36,FALSE)=" ",0,VLOOKUP($B27,'SR G-Breakaway'!$B$5:$AL$100,36,FALSE)),0)+IFERROR(IF(VLOOKUP($B27,'SR-Team Roping-Header'!$B$5:$AL$100,12,FALSE)=" ",0,VLOOKUP($B27,'SR-Team Roping-Header'!$B$5:$AL$100,12,FALSE)),0)+IFERROR(IF(VLOOKUP($B27,'SR-Team Roping-Heeler'!$B$5:$AL$100,12,FALSE)=" ",0,VLOOKUP($B27,'SR-Team Roping-Heeler'!$B$5:$AL$100,12,FALSE)),0)+IFERROR(IF(VLOOKUP($B27,'JR G-Barrels'!$B$5:$AL$100,36,FALSE)=" ",0,VLOOKUP($B27,'JR G-Barrels'!$B$5:$AL$100,36,FALSE)),0)+IFERROR(IF(VLOOKUP($B27,'JR G-Poles'!$B$5:$AL$100,36,FALSE)=" ",0,VLOOKUP($B27,'JR G-Poles'!$B$5:$AL$100,36,FALSE)),0)+IFERROR(IF(VLOOKUP($B27,'JR G-Goats'!$B$5:$AL$100,36,FALSE)=" ",0,VLOOKUP($B27,'JR G-Goats'!$B$5:$AL$100,36,FALSE)),0)+IFERROR(IF(VLOOKUP($B27,'JR G-Breakaway'!$B$5:$AL$100,36,FALSE)=" ",0,VLOOKUP($B27,'JR G-Breakaway'!$B$5:$AL$100,36,FALSE)),0)+IFERROR(IF(VLOOKUP($B27,'JR-Team Roping-Header'!$B$5:$AL$100,12,FALSE)=" ",0,VLOOKUP($B27,'JR-Team Roping-Header'!$B$5:$AL$100,12,FALSE)),0)+IFERROR(IF(VLOOKUP($B27,'JR-Team Roping-Heeler'!$B$5:$AL$100,12,FALSE)=" ",0,VLOOKUP($B27,'JR-Team Roping-Heeler'!$B$5:$AL$100,12,FALSE)),0)+IFERROR(IF(VLOOKUP($B27,'PW G-Barrels'!$B$5:$AL$101,36,FALSE)=" ",0,VLOOKUP($B27,'PW G-Barrels'!$B$5:$AL$101,36,FALSE)),0)+IFERROR(IF(VLOOKUP($B27,'PW G-Poles'!$B$5:$AL$101,36,FALSE)=" ",0,VLOOKUP($B27,'PW G-Poles'!$B$5:$AL$101,36,FALSE)),0)+IFERROR(IF(VLOOKUP($B27,'PW G-Goats'!$B$5:$AL$100,36,FALSE)=" ",0,VLOOKUP($B27,'PW G-Goats'!$B$5:$AL$100,36,FALSE)),0)+IFERROR(IF(VLOOKUP($B27,'PW G-Breakaway'!$B$5:$AL$100,36,FALSE)=" ",0,VLOOKUP($B27,'PW G-Breakaway'!$B$5:$AL$100,36,FALSE)),0)+IFERROR(IF(VLOOKUP($B27,'MM G-Dummy Roping'!$B$5:$AL$100,36,FALSE)=" ",0,VLOOKUP($B27,'MM G-Dummy Roping'!$B$5:$AL$100,36,FALSE)),0)+IFERROR(IF(VLOOKUP($B27,'MM G-Barrels'!$B$5:$AL$100,36,FALSE)=" ",0,VLOOKUP($B27,'MM G-Barrels'!$B$5:$AL$100,36,FALSE)),0)+IFERROR(IF(VLOOKUP($B27,'MM G-Figure 8'!$B$5:$AL$100,36,FALSE)=" ",0,VLOOKUP($B27,'MM G-Figure 8'!$B$5:$AL$100,36,FALSE)),0)+IFERROR(IF(VLOOKUP($B27,'MM G-Goats'!$B$5:$AL$100,36,FALSE)=" ",0,VLOOKUP($B27,'MM G-Goats'!$B$5:$AL$100,36,FALSE)),0)</f>
        <v>0</v>
      </c>
      <c r="D27" s="95" t="str">
        <f>IF(C27&gt;0,C27," ")</f>
        <v xml:space="preserve"> </v>
      </c>
      <c r="E27" s="122" t="str">
        <f>IF(D27=" "," ",RANK(D27,D$5:D$32))</f>
        <v xml:space="preserve"> </v>
      </c>
    </row>
    <row r="28" spans="2:5" x14ac:dyDescent="0.25">
      <c r="B28" s="142" t="s">
        <v>245</v>
      </c>
      <c r="C28" s="95">
        <f>IFERROR(IF(VLOOKUP($B28,'SR G-Barrels'!$B$5:$AL$100,36,FALSE)=" ",0,VLOOKUP($B28,'SR G-Barrels'!$B$5:$AL$100,36,FALSE)),0)+IFERROR(IF(VLOOKUP($B28,'SR G-Poles'!$B$5:$AL$100,36,FALSE)=" ",0,VLOOKUP($B28,'SR G-Poles'!$B$5:$AL$100,36,FALSE)),0)+IFERROR(IF(VLOOKUP($B28,'SR G-Goats'!$B$5:$AL$100,36,FALSE)=" ",0,VLOOKUP($B28,'SR G-Goats'!$B$5:$AL$100,36,FALSE)),0)+IFERROR(IF(VLOOKUP($B28,'SR G-Breakaway'!$B$5:$AL$100,36,FALSE)=" ",0,VLOOKUP($B28,'SR G-Breakaway'!$B$5:$AL$100,36,FALSE)),0)+IFERROR(IF(VLOOKUP($B28,'SR-Team Roping-Header'!$B$5:$AL$100,12,FALSE)=" ",0,VLOOKUP($B28,'SR-Team Roping-Header'!$B$5:$AL$100,12,FALSE)),0)+IFERROR(IF(VLOOKUP($B28,'SR-Team Roping-Heeler'!$B$5:$AL$100,12,FALSE)=" ",0,VLOOKUP($B28,'SR-Team Roping-Heeler'!$B$5:$AL$100,12,FALSE)),0)+IFERROR(IF(VLOOKUP($B28,'JR G-Barrels'!$B$5:$AL$100,36,FALSE)=" ",0,VLOOKUP($B28,'JR G-Barrels'!$B$5:$AL$100,36,FALSE)),0)+IFERROR(IF(VLOOKUP($B28,'JR G-Poles'!$B$5:$AL$100,36,FALSE)=" ",0,VLOOKUP($B28,'JR G-Poles'!$B$5:$AL$100,36,FALSE)),0)+IFERROR(IF(VLOOKUP($B28,'JR G-Goats'!$B$5:$AL$100,36,FALSE)=" ",0,VLOOKUP($B28,'JR G-Goats'!$B$5:$AL$100,36,FALSE)),0)+IFERROR(IF(VLOOKUP($B28,'JR G-Breakaway'!$B$5:$AL$100,36,FALSE)=" ",0,VLOOKUP($B28,'JR G-Breakaway'!$B$5:$AL$100,36,FALSE)),0)+IFERROR(IF(VLOOKUP($B28,'JR-Team Roping-Header'!$B$5:$AL$100,12,FALSE)=" ",0,VLOOKUP($B28,'JR-Team Roping-Header'!$B$5:$AL$100,12,FALSE)),0)+IFERROR(IF(VLOOKUP($B28,'JR-Team Roping-Heeler'!$B$5:$AL$100,12,FALSE)=" ",0,VLOOKUP($B28,'JR-Team Roping-Heeler'!$B$5:$AL$100,12,FALSE)),0)+IFERROR(IF(VLOOKUP($B28,'PW G-Barrels'!$B$5:$AL$101,36,FALSE)=" ",0,VLOOKUP($B28,'PW G-Barrels'!$B$5:$AL$101,36,FALSE)),0)+IFERROR(IF(VLOOKUP($B28,'PW G-Poles'!$B$5:$AL$101,36,FALSE)=" ",0,VLOOKUP($B28,'PW G-Poles'!$B$5:$AL$101,36,FALSE)),0)+IFERROR(IF(VLOOKUP($B28,'PW G-Goats'!$B$5:$AL$100,36,FALSE)=" ",0,VLOOKUP($B28,'PW G-Goats'!$B$5:$AL$100,36,FALSE)),0)+IFERROR(IF(VLOOKUP($B28,'PW G-Breakaway'!$B$5:$AL$100,36,FALSE)=" ",0,VLOOKUP($B28,'PW G-Breakaway'!$B$5:$AL$100,36,FALSE)),0)+IFERROR(IF(VLOOKUP($B28,'MM G-Dummy Roping'!$B$5:$AL$100,36,FALSE)=" ",0,VLOOKUP($B28,'MM G-Dummy Roping'!$B$5:$AL$100,36,FALSE)),0)+IFERROR(IF(VLOOKUP($B28,'MM G-Barrels'!$B$5:$AL$100,36,FALSE)=" ",0,VLOOKUP($B28,'MM G-Barrels'!$B$5:$AL$100,36,FALSE)),0)+IFERROR(IF(VLOOKUP($B28,'MM G-Figure 8'!$B$5:$AL$100,36,FALSE)=" ",0,VLOOKUP($B28,'MM G-Figure 8'!$B$5:$AL$100,36,FALSE)),0)+IFERROR(IF(VLOOKUP($B28,'MM G-Goats'!$B$5:$AL$100,36,FALSE)=" ",0,VLOOKUP($B28,'MM G-Goats'!$B$5:$AL$100,36,FALSE)),0)</f>
        <v>0</v>
      </c>
      <c r="D28" s="95" t="str">
        <f>IF(C28&gt;0,C28," ")</f>
        <v xml:space="preserve"> </v>
      </c>
      <c r="E28" s="122" t="str">
        <f>IF(D28=" "," ",RANK(D28,D$5:D$32))</f>
        <v xml:space="preserve"> </v>
      </c>
    </row>
    <row r="29" spans="2:5" x14ac:dyDescent="0.25">
      <c r="B29" s="142" t="s">
        <v>200</v>
      </c>
      <c r="C29" s="95">
        <f>IFERROR(IF(VLOOKUP($B29,'SR G-Barrels'!$B$5:$AL$100,36,FALSE)=" ",0,VLOOKUP($B29,'SR G-Barrels'!$B$5:$AL$100,36,FALSE)),0)+IFERROR(IF(VLOOKUP($B29,'SR G-Poles'!$B$5:$AL$100,36,FALSE)=" ",0,VLOOKUP($B29,'SR G-Poles'!$B$5:$AL$100,36,FALSE)),0)+IFERROR(IF(VLOOKUP($B29,'SR G-Goats'!$B$5:$AL$100,36,FALSE)=" ",0,VLOOKUP($B29,'SR G-Goats'!$B$5:$AL$100,36,FALSE)),0)+IFERROR(IF(VLOOKUP($B29,'SR G-Breakaway'!$B$5:$AL$100,36,FALSE)=" ",0,VLOOKUP($B29,'SR G-Breakaway'!$B$5:$AL$100,36,FALSE)),0)+IFERROR(IF(VLOOKUP($B29,'SR-Team Roping-Header'!$B$5:$AL$100,12,FALSE)=" ",0,VLOOKUP($B29,'SR-Team Roping-Header'!$B$5:$AL$100,12,FALSE)),0)+IFERROR(IF(VLOOKUP($B29,'SR-Team Roping-Heeler'!$B$5:$AL$100,12,FALSE)=" ",0,VLOOKUP($B29,'SR-Team Roping-Heeler'!$B$5:$AL$100,12,FALSE)),0)+IFERROR(IF(VLOOKUP($B29,'JR G-Barrels'!$B$5:$AL$100,36,FALSE)=" ",0,VLOOKUP($B29,'JR G-Barrels'!$B$5:$AL$100,36,FALSE)),0)+IFERROR(IF(VLOOKUP($B29,'JR G-Poles'!$B$5:$AL$100,36,FALSE)=" ",0,VLOOKUP($B29,'JR G-Poles'!$B$5:$AL$100,36,FALSE)),0)+IFERROR(IF(VLOOKUP($B29,'JR G-Goats'!$B$5:$AL$100,36,FALSE)=" ",0,VLOOKUP($B29,'JR G-Goats'!$B$5:$AL$100,36,FALSE)),0)+IFERROR(IF(VLOOKUP($B29,'JR G-Breakaway'!$B$5:$AL$100,36,FALSE)=" ",0,VLOOKUP($B29,'JR G-Breakaway'!$B$5:$AL$100,36,FALSE)),0)+IFERROR(IF(VLOOKUP($B29,'JR-Team Roping-Header'!$B$5:$AL$100,12,FALSE)=" ",0,VLOOKUP($B29,'JR-Team Roping-Header'!$B$5:$AL$100,12,FALSE)),0)+IFERROR(IF(VLOOKUP($B29,'JR-Team Roping-Heeler'!$B$5:$AL$100,12,FALSE)=" ",0,VLOOKUP($B29,'JR-Team Roping-Heeler'!$B$5:$AL$100,12,FALSE)),0)+IFERROR(IF(VLOOKUP($B29,'PW G-Barrels'!$B$5:$AL$101,36,FALSE)=" ",0,VLOOKUP($B29,'PW G-Barrels'!$B$5:$AL$101,36,FALSE)),0)+IFERROR(IF(VLOOKUP($B29,'PW G-Poles'!$B$5:$AL$101,36,FALSE)=" ",0,VLOOKUP($B29,'PW G-Poles'!$B$5:$AL$101,36,FALSE)),0)+IFERROR(IF(VLOOKUP($B29,'PW G-Goats'!$B$5:$AL$100,36,FALSE)=" ",0,VLOOKUP($B29,'PW G-Goats'!$B$5:$AL$100,36,FALSE)),0)+IFERROR(IF(VLOOKUP($B29,'PW G-Breakaway'!$B$5:$AL$100,36,FALSE)=" ",0,VLOOKUP($B29,'PW G-Breakaway'!$B$5:$AL$100,36,FALSE)),0)+IFERROR(IF(VLOOKUP($B29,'MM G-Dummy Roping'!$B$5:$AL$100,36,FALSE)=" ",0,VLOOKUP($B29,'MM G-Dummy Roping'!$B$5:$AL$100,36,FALSE)),0)+IFERROR(IF(VLOOKUP($B29,'MM G-Barrels'!$B$5:$AL$100,36,FALSE)=" ",0,VLOOKUP($B29,'MM G-Barrels'!$B$5:$AL$100,36,FALSE)),0)+IFERROR(IF(VLOOKUP($B29,'MM G-Figure 8'!$B$5:$AL$100,36,FALSE)=" ",0,VLOOKUP($B29,'MM G-Figure 8'!$B$5:$AL$100,36,FALSE)),0)+IFERROR(IF(VLOOKUP($B29,'MM G-Goats'!$B$5:$AL$100,36,FALSE)=" ",0,VLOOKUP($B29,'MM G-Goats'!$B$5:$AL$100,36,FALSE)),0)</f>
        <v>0</v>
      </c>
      <c r="D29" s="95" t="str">
        <f>IF(C29&gt;0,C29," ")</f>
        <v xml:space="preserve"> </v>
      </c>
      <c r="E29" s="91" t="str">
        <f>IF(D29=" "," ",RANK(D29,D$5:D$32))</f>
        <v xml:space="preserve"> </v>
      </c>
    </row>
    <row r="30" spans="2:5" x14ac:dyDescent="0.25">
      <c r="B30" s="142" t="s">
        <v>238</v>
      </c>
      <c r="C30" s="95">
        <f>IFERROR(IF(VLOOKUP($B30,'SR G-Barrels'!$B$5:$AL$100,36,FALSE)=" ",0,VLOOKUP($B30,'SR G-Barrels'!$B$5:$AL$100,36,FALSE)),0)+IFERROR(IF(VLOOKUP($B30,'SR G-Poles'!$B$5:$AL$100,36,FALSE)=" ",0,VLOOKUP($B30,'SR G-Poles'!$B$5:$AL$100,36,FALSE)),0)+IFERROR(IF(VLOOKUP($B30,'SR G-Goats'!$B$5:$AL$100,36,FALSE)=" ",0,VLOOKUP($B30,'SR G-Goats'!$B$5:$AL$100,36,FALSE)),0)+IFERROR(IF(VLOOKUP($B30,'SR G-Breakaway'!$B$5:$AL$100,36,FALSE)=" ",0,VLOOKUP($B30,'SR G-Breakaway'!$B$5:$AL$100,36,FALSE)),0)+IFERROR(IF(VLOOKUP($B30,'SR-Team Roping-Header'!$B$5:$AL$100,12,FALSE)=" ",0,VLOOKUP($B30,'SR-Team Roping-Header'!$B$5:$AL$100,12,FALSE)),0)+IFERROR(IF(VLOOKUP($B30,'SR-Team Roping-Heeler'!$B$5:$AL$100,12,FALSE)=" ",0,VLOOKUP($B30,'SR-Team Roping-Heeler'!$B$5:$AL$100,12,FALSE)),0)+IFERROR(IF(VLOOKUP($B30,'JR G-Barrels'!$B$5:$AL$100,36,FALSE)=" ",0,VLOOKUP($B30,'JR G-Barrels'!$B$5:$AL$100,36,FALSE)),0)+IFERROR(IF(VLOOKUP($B30,'JR G-Poles'!$B$5:$AL$100,36,FALSE)=" ",0,VLOOKUP($B30,'JR G-Poles'!$B$5:$AL$100,36,FALSE)),0)+IFERROR(IF(VLOOKUP($B30,'JR G-Goats'!$B$5:$AL$100,36,FALSE)=" ",0,VLOOKUP($B30,'JR G-Goats'!$B$5:$AL$100,36,FALSE)),0)+IFERROR(IF(VLOOKUP($B30,'JR G-Breakaway'!$B$5:$AL$100,36,FALSE)=" ",0,VLOOKUP($B30,'JR G-Breakaway'!$B$5:$AL$100,36,FALSE)),0)+IFERROR(IF(VLOOKUP($B30,'JR-Team Roping-Header'!$B$5:$AL$100,12,FALSE)=" ",0,VLOOKUP($B30,'JR-Team Roping-Header'!$B$5:$AL$100,12,FALSE)),0)+IFERROR(IF(VLOOKUP($B30,'JR-Team Roping-Heeler'!$B$5:$AL$100,12,FALSE)=" ",0,VLOOKUP($B30,'JR-Team Roping-Heeler'!$B$5:$AL$100,12,FALSE)),0)+IFERROR(IF(VLOOKUP($B30,'PW G-Barrels'!$B$5:$AL$101,36,FALSE)=" ",0,VLOOKUP($B30,'PW G-Barrels'!$B$5:$AL$101,36,FALSE)),0)+IFERROR(IF(VLOOKUP($B30,'PW G-Poles'!$B$5:$AL$101,36,FALSE)=" ",0,VLOOKUP($B30,'PW G-Poles'!$B$5:$AL$101,36,FALSE)),0)+IFERROR(IF(VLOOKUP($B30,'PW G-Goats'!$B$5:$AL$100,36,FALSE)=" ",0,VLOOKUP($B30,'PW G-Goats'!$B$5:$AL$100,36,FALSE)),0)+IFERROR(IF(VLOOKUP($B30,'PW G-Breakaway'!$B$5:$AL$100,36,FALSE)=" ",0,VLOOKUP($B30,'PW G-Breakaway'!$B$5:$AL$100,36,FALSE)),0)+IFERROR(IF(VLOOKUP($B30,'MM G-Dummy Roping'!$B$5:$AL$100,36,FALSE)=" ",0,VLOOKUP($B30,'MM G-Dummy Roping'!$B$5:$AL$100,36,FALSE)),0)+IFERROR(IF(VLOOKUP($B30,'MM G-Barrels'!$B$5:$AL$100,36,FALSE)=" ",0,VLOOKUP($B30,'MM G-Barrels'!$B$5:$AL$100,36,FALSE)),0)+IFERROR(IF(VLOOKUP($B30,'MM G-Figure 8'!$B$5:$AL$100,36,FALSE)=" ",0,VLOOKUP($B30,'MM G-Figure 8'!$B$5:$AL$100,36,FALSE)),0)+IFERROR(IF(VLOOKUP($B30,'MM G-Goats'!$B$5:$AL$100,36,FALSE)=" ",0,VLOOKUP($B30,'MM G-Goats'!$B$5:$AL$100,36,FALSE)),0)</f>
        <v>0</v>
      </c>
      <c r="D30" s="95" t="str">
        <f>IF(C30&gt;0,C30," ")</f>
        <v xml:space="preserve"> </v>
      </c>
      <c r="E30" s="122" t="str">
        <f>IF(D30=" "," ",RANK(D30,D$5:D$32))</f>
        <v xml:space="preserve"> </v>
      </c>
    </row>
    <row r="31" spans="2:5" x14ac:dyDescent="0.25">
      <c r="B31" s="142" t="s">
        <v>229</v>
      </c>
      <c r="C31" s="95">
        <f>IFERROR(IF(VLOOKUP($B31,'SR G-Barrels'!$B$5:$AL$100,36,FALSE)=" ",0,VLOOKUP($B31,'SR G-Barrels'!$B$5:$AL$100,36,FALSE)),0)+IFERROR(IF(VLOOKUP($B31,'SR G-Poles'!$B$5:$AL$100,36,FALSE)=" ",0,VLOOKUP($B31,'SR G-Poles'!$B$5:$AL$100,36,FALSE)),0)+IFERROR(IF(VLOOKUP($B31,'SR G-Goats'!$B$5:$AL$100,36,FALSE)=" ",0,VLOOKUP($B31,'SR G-Goats'!$B$5:$AL$100,36,FALSE)),0)+IFERROR(IF(VLOOKUP($B31,'SR G-Breakaway'!$B$5:$AL$100,36,FALSE)=" ",0,VLOOKUP($B31,'SR G-Breakaway'!$B$5:$AL$100,36,FALSE)),0)+IFERROR(IF(VLOOKUP($B31,'SR-Team Roping-Header'!$B$5:$AL$100,12,FALSE)=" ",0,VLOOKUP($B31,'SR-Team Roping-Header'!$B$5:$AL$100,12,FALSE)),0)+IFERROR(IF(VLOOKUP($B31,'SR-Team Roping-Heeler'!$B$5:$AL$100,12,FALSE)=" ",0,VLOOKUP($B31,'SR-Team Roping-Heeler'!$B$5:$AL$100,12,FALSE)),0)+IFERROR(IF(VLOOKUP($B31,'JR G-Barrels'!$B$5:$AL$100,36,FALSE)=" ",0,VLOOKUP($B31,'JR G-Barrels'!$B$5:$AL$100,36,FALSE)),0)+IFERROR(IF(VLOOKUP($B31,'JR G-Poles'!$B$5:$AL$100,36,FALSE)=" ",0,VLOOKUP($B31,'JR G-Poles'!$B$5:$AL$100,36,FALSE)),0)+IFERROR(IF(VLOOKUP($B31,'JR G-Goats'!$B$5:$AL$100,36,FALSE)=" ",0,VLOOKUP($B31,'JR G-Goats'!$B$5:$AL$100,36,FALSE)),0)+IFERROR(IF(VLOOKUP($B31,'JR G-Breakaway'!$B$5:$AL$100,36,FALSE)=" ",0,VLOOKUP($B31,'JR G-Breakaway'!$B$5:$AL$100,36,FALSE)),0)+IFERROR(IF(VLOOKUP($B31,'JR-Team Roping-Header'!$B$5:$AL$100,12,FALSE)=" ",0,VLOOKUP($B31,'JR-Team Roping-Header'!$B$5:$AL$100,12,FALSE)),0)+IFERROR(IF(VLOOKUP($B31,'JR-Team Roping-Heeler'!$B$5:$AL$100,12,FALSE)=" ",0,VLOOKUP($B31,'JR-Team Roping-Heeler'!$B$5:$AL$100,12,FALSE)),0)+IFERROR(IF(VLOOKUP($B31,'PW G-Barrels'!$B$5:$AL$101,36,FALSE)=" ",0,VLOOKUP($B31,'PW G-Barrels'!$B$5:$AL$101,36,FALSE)),0)+IFERROR(IF(VLOOKUP($B31,'PW G-Poles'!$B$5:$AL$101,36,FALSE)=" ",0,VLOOKUP($B31,'PW G-Poles'!$B$5:$AL$101,36,FALSE)),0)+IFERROR(IF(VLOOKUP($B31,'PW G-Goats'!$B$5:$AL$100,36,FALSE)=" ",0,VLOOKUP($B31,'PW G-Goats'!$B$5:$AL$100,36,FALSE)),0)+IFERROR(IF(VLOOKUP($B31,'PW G-Breakaway'!$B$5:$AL$100,36,FALSE)=" ",0,VLOOKUP($B31,'PW G-Breakaway'!$B$5:$AL$100,36,FALSE)),0)+IFERROR(IF(VLOOKUP($B31,'MM G-Dummy Roping'!$B$5:$AL$100,36,FALSE)=" ",0,VLOOKUP($B31,'MM G-Dummy Roping'!$B$5:$AL$100,36,FALSE)),0)+IFERROR(IF(VLOOKUP($B31,'MM G-Barrels'!$B$5:$AL$100,36,FALSE)=" ",0,VLOOKUP($B31,'MM G-Barrels'!$B$5:$AL$100,36,FALSE)),0)+IFERROR(IF(VLOOKUP($B31,'MM G-Figure 8'!$B$5:$AL$100,36,FALSE)=" ",0,VLOOKUP($B31,'MM G-Figure 8'!$B$5:$AL$100,36,FALSE)),0)+IFERROR(IF(VLOOKUP($B31,'MM G-Goats'!$B$5:$AL$100,36,FALSE)=" ",0,VLOOKUP($B31,'MM G-Goats'!$B$5:$AL$100,36,FALSE)),0)</f>
        <v>0</v>
      </c>
      <c r="D31" s="95" t="str">
        <f>IF(C31&gt;0,C31," ")</f>
        <v xml:space="preserve"> </v>
      </c>
      <c r="E31" s="122" t="str">
        <f>IF(D31=" "," ",RANK(D31,D$5:D$32))</f>
        <v xml:space="preserve"> </v>
      </c>
    </row>
    <row r="32" spans="2:5" ht="14.4" thickBot="1" x14ac:dyDescent="0.3">
      <c r="B32" s="151" t="s">
        <v>214</v>
      </c>
      <c r="C32" s="105">
        <f>IFERROR(IF(VLOOKUP($B32,'SR G-Barrels'!$B$5:$AL$100,36,FALSE)=" ",0,VLOOKUP($B32,'SR G-Barrels'!$B$5:$AL$100,36,FALSE)),0)+IFERROR(IF(VLOOKUP($B32,'SR G-Poles'!$B$5:$AL$100,36,FALSE)=" ",0,VLOOKUP($B32,'SR G-Poles'!$B$5:$AL$100,36,FALSE)),0)+IFERROR(IF(VLOOKUP($B32,'SR G-Goats'!$B$5:$AL$100,36,FALSE)=" ",0,VLOOKUP($B32,'SR G-Goats'!$B$5:$AL$100,36,FALSE)),0)+IFERROR(IF(VLOOKUP($B32,'SR G-Breakaway'!$B$5:$AL$100,36,FALSE)=" ",0,VLOOKUP($B32,'SR G-Breakaway'!$B$5:$AL$100,36,FALSE)),0)+IFERROR(IF(VLOOKUP($B32,'SR-Team Roping-Header'!$B$5:$AL$100,12,FALSE)=" ",0,VLOOKUP($B32,'SR-Team Roping-Header'!$B$5:$AL$100,12,FALSE)),0)+IFERROR(IF(VLOOKUP($B32,'SR-Team Roping-Heeler'!$B$5:$AL$100,12,FALSE)=" ",0,VLOOKUP($B32,'SR-Team Roping-Heeler'!$B$5:$AL$100,12,FALSE)),0)+IFERROR(IF(VLOOKUP($B32,'JR G-Barrels'!$B$5:$AL$100,36,FALSE)=" ",0,VLOOKUP($B32,'JR G-Barrels'!$B$5:$AL$100,36,FALSE)),0)+IFERROR(IF(VLOOKUP($B32,'JR G-Poles'!$B$5:$AL$100,36,FALSE)=" ",0,VLOOKUP($B32,'JR G-Poles'!$B$5:$AL$100,36,FALSE)),0)+IFERROR(IF(VLOOKUP($B32,'JR G-Goats'!$B$5:$AL$100,36,FALSE)=" ",0,VLOOKUP($B32,'JR G-Goats'!$B$5:$AL$100,36,FALSE)),0)+IFERROR(IF(VLOOKUP($B32,'JR G-Breakaway'!$B$5:$AL$100,36,FALSE)=" ",0,VLOOKUP($B32,'JR G-Breakaway'!$B$5:$AL$100,36,FALSE)),0)+IFERROR(IF(VLOOKUP($B32,'JR-Team Roping-Header'!$B$5:$AL$100,12,FALSE)=" ",0,VLOOKUP($B32,'JR-Team Roping-Header'!$B$5:$AL$100,12,FALSE)),0)+IFERROR(IF(VLOOKUP($B32,'JR-Team Roping-Heeler'!$B$5:$AL$100,12,FALSE)=" ",0,VLOOKUP($B32,'JR-Team Roping-Heeler'!$B$5:$AL$100,12,FALSE)),0)+IFERROR(IF(VLOOKUP($B32,'PW G-Barrels'!$B$5:$AL$101,36,FALSE)=" ",0,VLOOKUP($B32,'PW G-Barrels'!$B$5:$AL$101,36,FALSE)),0)+IFERROR(IF(VLOOKUP($B32,'PW G-Poles'!$B$5:$AL$101,36,FALSE)=" ",0,VLOOKUP($B32,'PW G-Poles'!$B$5:$AL$101,36,FALSE)),0)+IFERROR(IF(VLOOKUP($B32,'PW G-Goats'!$B$5:$AL$100,36,FALSE)=" ",0,VLOOKUP($B32,'PW G-Goats'!$B$5:$AL$100,36,FALSE)),0)+IFERROR(IF(VLOOKUP($B32,'PW G-Breakaway'!$B$5:$AL$100,36,FALSE)=" ",0,VLOOKUP($B32,'PW G-Breakaway'!$B$5:$AL$100,36,FALSE)),0)+IFERROR(IF(VLOOKUP($B32,'MM G-Dummy Roping'!$B$5:$AL$100,36,FALSE)=" ",0,VLOOKUP($B32,'MM G-Dummy Roping'!$B$5:$AL$100,36,FALSE)),0)+IFERROR(IF(VLOOKUP($B32,'MM G-Barrels'!$B$5:$AL$100,36,FALSE)=" ",0,VLOOKUP($B32,'MM G-Barrels'!$B$5:$AL$100,36,FALSE)),0)+IFERROR(IF(VLOOKUP($B32,'MM G-Figure 8'!$B$5:$AL$100,36,FALSE)=" ",0,VLOOKUP($B32,'MM G-Figure 8'!$B$5:$AL$100,36,FALSE)),0)+IFERROR(IF(VLOOKUP($B32,'MM G-Goats'!$B$5:$AL$100,36,FALSE)=" ",0,VLOOKUP($B32,'MM G-Goats'!$B$5:$AL$100,36,FALSE)),0)</f>
        <v>0</v>
      </c>
      <c r="D32" s="105" t="str">
        <f>IF(C32&gt;0,C32," ")</f>
        <v xml:space="preserve"> </v>
      </c>
      <c r="E32" s="152" t="str">
        <f>IF(D32=" "," ",RANK(D32,D$5:D$32))</f>
        <v xml:space="preserve"> </v>
      </c>
    </row>
    <row r="33" spans="2:4" ht="14.4" thickBot="1" x14ac:dyDescent="0.3">
      <c r="B33" s="125" t="s">
        <v>236</v>
      </c>
    </row>
    <row r="35" spans="2:4" x14ac:dyDescent="0.25">
      <c r="C35" s="126"/>
      <c r="D35" s="126"/>
    </row>
    <row r="36" spans="2:4" x14ac:dyDescent="0.25">
      <c r="C36" s="126"/>
      <c r="D36" s="126"/>
    </row>
  </sheetData>
  <sheetProtection algorithmName="SHA-512" hashValue="PIpEK1pvLAeldZl00jEIbVLVSQa3ePyE7+BymrUrosOsi51dXKiuhDvgPgkGfX5vrgGrnX+Y5tVljSdy3UdZtA==" saltValue="GALTxCC6M8T3R7n3EO3FsA==" spinCount="100000" sheet="1" objects="1" scenarios="1"/>
  <mergeCells count="1">
    <mergeCell ref="C2:E2"/>
  </mergeCells>
  <pageMargins left="0.7" right="0.7" top="0.75" bottom="0.75" header="0.3" footer="0.3"/>
  <pageSetup scale="45" orientation="landscape" r:id="rId1"/>
  <ignoredErrors>
    <ignoredError sqref="E5:E31" calculatedColumn="1"/>
  </ignoredErrors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8266E-ED00-4ED9-8B88-74FEF28B1BE0}">
  <sheetPr codeName="Sheet96">
    <tabColor theme="2" tint="-0.249977111117893"/>
    <pageSetUpPr fitToPage="1"/>
  </sheetPr>
  <dimension ref="B1:F28"/>
  <sheetViews>
    <sheetView showGridLines="0" workbookViewId="0">
      <pane xSplit="2" topLeftCell="C1" activePane="topRight" state="frozen"/>
      <selection activeCell="I15" sqref="I15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47" style="62" customWidth="1"/>
    <col min="3" max="3" width="11.6640625" style="60" hidden="1" customWidth="1"/>
    <col min="4" max="4" width="11.6640625" style="60" customWidth="1"/>
    <col min="5" max="5" width="11.6640625" style="57" customWidth="1"/>
    <col min="6" max="6" width="9.109375" style="160"/>
    <col min="7" max="16384" width="9.109375" style="62"/>
  </cols>
  <sheetData>
    <row r="1" spans="2:6" ht="18" thickBot="1" x14ac:dyDescent="0.35">
      <c r="B1" s="54"/>
    </row>
    <row r="2" spans="2:6" s="64" customFormat="1" ht="17.399999999999999" x14ac:dyDescent="0.3">
      <c r="B2" s="139" t="s">
        <v>181</v>
      </c>
      <c r="C2" s="166"/>
      <c r="D2" s="166"/>
      <c r="E2" s="167"/>
      <c r="F2" s="161"/>
    </row>
    <row r="3" spans="2:6" s="74" customFormat="1" ht="14.4" thickBot="1" x14ac:dyDescent="0.3">
      <c r="B3" s="111" t="s">
        <v>38</v>
      </c>
      <c r="C3" s="113" t="s">
        <v>2</v>
      </c>
      <c r="D3" s="113" t="s">
        <v>2</v>
      </c>
      <c r="E3" s="73" t="s">
        <v>1</v>
      </c>
      <c r="F3" s="162"/>
    </row>
    <row r="4" spans="2:6" s="74" customFormat="1" ht="18.75" hidden="1" customHeight="1" thickBot="1" x14ac:dyDescent="0.35">
      <c r="B4" s="114" t="s">
        <v>38</v>
      </c>
      <c r="C4" s="116" t="s">
        <v>82</v>
      </c>
      <c r="D4" s="116" t="s">
        <v>234</v>
      </c>
      <c r="E4" s="117" t="s">
        <v>57</v>
      </c>
      <c r="F4" s="162"/>
    </row>
    <row r="5" spans="2:6" x14ac:dyDescent="0.25">
      <c r="B5" s="140" t="s">
        <v>72</v>
      </c>
      <c r="C5" s="88">
        <f>IFERROR(IF(VLOOKUP($B5,'SR B-Calf Roping'!$B$5:$AL$100,36,FALSE)=" ",0,VLOOKUP($B5,'SR B-Calf Roping'!$B$5:$AL$100,36,FALSE)),0)+IFERROR(IF(VLOOKUP($B5,'SR B-Steer Wrestling'!$B$5:$AL$100,36,FALSE)=" ",0,VLOOKUP($B5,'SR B-Steer Wrestling'!$B$5:$AL$100,36,FALSE)),0)+IFERROR(IF(VLOOKUP($B5,'SR B-Chute Dogging'!$B$5:$AL$100,36,FALSE)=" ",0,VLOOKUP($B5,'SR B-Chute Dogging'!$B$5:$AL$100,36,FALSE)),0)+IFERROR(IF(VLOOKUP($B5,'SR-Team Roping-Header'!$B$5:$AL$100,12,FALSE)=" ",0,VLOOKUP($B5,'SR-Team Roping-Header'!$B$5:$AL$100,12,FALSE)),0)+IFERROR(IF(VLOOKUP($B5,'SR-Team Roping-Heeler'!$B$5:$AL$100,12,FALSE)=" ",0,VLOOKUP($B5,'SR-Team Roping-Heeler'!$B$5:$AL$100,12,FALSE)),0)+IFERROR(IF(VLOOKUP($B5,'JR B-Steer Riding'!$B$5:$AL$100,36,FALSE)=" ",0,VLOOKUP($B5,'JR B-Steer Riding'!$B$5:$AL$100,36,FALSE)),0)+IFERROR(IF(VLOOKUP($B5,'JR B-Goats'!$B$5:$AL$100,36,FALSE)=" ",0,VLOOKUP($B5,'JR B-Goats'!$B$5:$AL$100,36,FALSE)),0)+IFERROR(IF(VLOOKUP($B5,'JR B-Calf Tying'!$B$5:$AL$100,36,FALSE)=" ",0,VLOOKUP($B5,'JR B-Calf Tying'!$B$5:$AL$100,36,FALSE)),0)+IFERROR(IF(VLOOKUP($B5,'JR B-Breakaway'!$B$5:$AL$100,36,FALSE)=" ",0,VLOOKUP($B5,'JR B-Breakaway'!$B$5:$AL$100,36,FALSE)),0)+IFERROR(IF(VLOOKUP($B5,'JR-Team Roping-Header'!$B$5:$AL$100,12,FALSE)=" ",0,VLOOKUP($B5,'JR-Team Roping-Header'!$B$5:$AL$100,12,FALSE)),0)+IFERROR(IF(VLOOKUP($B5,'JR-Team Roping-Heeler'!$B$5:$AL$100,12,FALSE)=" ",0,VLOOKUP($B5,'JR-Team Roping-Heeler'!$B$5:$AL$100,12,FALSE)),0)+IFERROR(IF(VLOOKUP($B5,'PW B-Calf Riding'!$B$5:$AL$100,36,FALSE)=" ",0,VLOOKUP($B5,'PW B-Calf Riding'!$B$5:$AL$100,36,FALSE)),0)+IFERROR(IF(VLOOKUP($B5,'PW B-Goats'!$B$5:$AL$100,36,FALSE)=" ",0,VLOOKUP($B5,'PW B-Goats'!$B$5:$AL$100,36,FALSE)),0)+IFERROR(IF(VLOOKUP($B5,'PW B-Flags'!$B$5:$AL$100,36,FALSE)=" ",0,VLOOKUP($B5,'PW B-Flags'!$B$5:$AL$100,36,FALSE)),0)+IFERROR(IF(VLOOKUP($B5,'PW B-Breakaway'!$B$5:$AL$100,36,FALSE)=" ",0,VLOOKUP($B5,'PW B-Breakaway'!$B$5:$AL$100,36,FALSE)),0)+IFERROR(IF(VLOOKUP($B5,'PW B-Steer Daubing'!$B$5:$AL$100,36,FALSE)=" ",0,VLOOKUP($B5,'PW B-Steer Daubing'!$B$5:$AL$100,36,FALSE)),0)+IFERROR(IF(VLOOKUP($B5,'MM B-Dummy Roping'!$B$5:$AL$100,36,FALSE)=" ",0,VLOOKUP($B5,'MM B-Dummy Roping'!$B$5:$AL$100,36,FALSE)),0)+IFERROR(IF(VLOOKUP($B5,'MM B-Goats'!$B$5:$AL$100,36,FALSE)=" ",0,VLOOKUP($B5,'MM B-Goats'!$B$5:$AL$100,36,FALSE)),0)+IFERROR(IF(VLOOKUP($B5,'MM B-Flags'!$B$5:$AL$100,36,FALSE)=" ",0,VLOOKUP($B5,'MM B-Flags'!$B$5:$AL$100,36,FALSE)),0)+IFERROR(IF(VLOOKUP($B5,'MM B-Figure 8'!$B$5:$AL$100,36,FALSE)=" ",0,VLOOKUP($B5,'MM B-Figure 8'!$B$5:$AL$100,36,FALSE)),0)</f>
        <v>168</v>
      </c>
      <c r="D5" s="88">
        <f>IF(C5&gt;0,C5," ")</f>
        <v>168</v>
      </c>
      <c r="E5" s="84">
        <f>IF(D5=" "," ",RANK(D5,D$5:D$24))</f>
        <v>1</v>
      </c>
    </row>
    <row r="6" spans="2:6" x14ac:dyDescent="0.25">
      <c r="B6" s="154" t="s">
        <v>231</v>
      </c>
      <c r="C6" s="95">
        <f>IFERROR(IF(VLOOKUP($B6,'SR B-Calf Roping'!$B$5:$AL$100,36,FALSE)=" ",0,VLOOKUP($B6,'SR B-Calf Roping'!$B$5:$AL$100,36,FALSE)),0)+IFERROR(IF(VLOOKUP($B6,'SR B-Steer Wrestling'!$B$5:$AL$100,36,FALSE)=" ",0,VLOOKUP($B6,'SR B-Steer Wrestling'!$B$5:$AL$100,36,FALSE)),0)+IFERROR(IF(VLOOKUP($B6,'SR B-Chute Dogging'!$B$5:$AL$100,36,FALSE)=" ",0,VLOOKUP($B6,'SR B-Chute Dogging'!$B$5:$AL$100,36,FALSE)),0)+IFERROR(IF(VLOOKUP($B6,'SR-Team Roping-Header'!$B$5:$AL$100,12,FALSE)=" ",0,VLOOKUP($B6,'SR-Team Roping-Header'!$B$5:$AL$100,12,FALSE)),0)+IFERROR(IF(VLOOKUP($B6,'SR-Team Roping-Heeler'!$B$5:$AL$100,12,FALSE)=" ",0,VLOOKUP($B6,'SR-Team Roping-Heeler'!$B$5:$AL$100,12,FALSE)),0)+IFERROR(IF(VLOOKUP($B6,'JR B-Steer Riding'!$B$5:$AL$100,36,FALSE)=" ",0,VLOOKUP($B6,'JR B-Steer Riding'!$B$5:$AL$100,36,FALSE)),0)+IFERROR(IF(VLOOKUP($B6,'JR B-Goats'!$B$5:$AL$100,36,FALSE)=" ",0,VLOOKUP($B6,'JR B-Goats'!$B$5:$AL$100,36,FALSE)),0)+IFERROR(IF(VLOOKUP($B6,'JR B-Calf Tying'!$B$5:$AL$100,36,FALSE)=" ",0,VLOOKUP($B6,'JR B-Calf Tying'!$B$5:$AL$100,36,FALSE)),0)+IFERROR(IF(VLOOKUP($B6,'JR B-Breakaway'!$B$5:$AL$100,36,FALSE)=" ",0,VLOOKUP($B6,'JR B-Breakaway'!$B$5:$AL$100,36,FALSE)),0)+IFERROR(IF(VLOOKUP($B6,'JR-Team Roping-Header'!$B$5:$AL$100,12,FALSE)=" ",0,VLOOKUP($B6,'JR-Team Roping-Header'!$B$5:$AL$100,12,FALSE)),0)+IFERROR(IF(VLOOKUP($B6,'JR-Team Roping-Heeler'!$B$5:$AL$100,12,FALSE)=" ",0,VLOOKUP($B6,'JR-Team Roping-Heeler'!$B$5:$AL$100,12,FALSE)),0)+IFERROR(IF(VLOOKUP($B6,'PW B-Calf Riding'!$B$5:$AL$100,36,FALSE)=" ",0,VLOOKUP($B6,'PW B-Calf Riding'!$B$5:$AL$100,36,FALSE)),0)+IFERROR(IF(VLOOKUP($B6,'PW B-Goats'!$B$5:$AL$100,36,FALSE)=" ",0,VLOOKUP($B6,'PW B-Goats'!$B$5:$AL$100,36,FALSE)),0)+IFERROR(IF(VLOOKUP($B6,'PW B-Flags'!$B$5:$AL$100,36,FALSE)=" ",0,VLOOKUP($B6,'PW B-Flags'!$B$5:$AL$100,36,FALSE)),0)+IFERROR(IF(VLOOKUP($B6,'PW B-Breakaway'!$B$5:$AL$100,36,FALSE)=" ",0,VLOOKUP($B6,'PW B-Breakaway'!$B$5:$AL$100,36,FALSE)),0)+IFERROR(IF(VLOOKUP($B6,'PW B-Steer Daubing'!$B$5:$AL$100,36,FALSE)=" ",0,VLOOKUP($B6,'PW B-Steer Daubing'!$B$5:$AL$100,36,FALSE)),0)+IFERROR(IF(VLOOKUP($B6,'MM B-Dummy Roping'!$B$5:$AL$100,36,FALSE)=" ",0,VLOOKUP($B6,'MM B-Dummy Roping'!$B$5:$AL$100,36,FALSE)),0)+IFERROR(IF(VLOOKUP($B6,'MM B-Goats'!$B$5:$AL$100,36,FALSE)=" ",0,VLOOKUP($B6,'MM B-Goats'!$B$5:$AL$100,36,FALSE)),0)+IFERROR(IF(VLOOKUP($B6,'MM B-Flags'!$B$5:$AL$100,36,FALSE)=" ",0,VLOOKUP($B6,'MM B-Flags'!$B$5:$AL$100,36,FALSE)),0)+IFERROR(IF(VLOOKUP($B6,'MM B-Figure 8'!$B$5:$AL$100,36,FALSE)=" ",0,VLOOKUP($B6,'MM B-Figure 8'!$B$5:$AL$100,36,FALSE)),0)</f>
        <v>153</v>
      </c>
      <c r="D6" s="95">
        <f>IF(C6&gt;0,C6," ")</f>
        <v>153</v>
      </c>
      <c r="E6" s="91">
        <f>IF(D6=" "," ",RANK(D6,D$5:D$24))</f>
        <v>2</v>
      </c>
    </row>
    <row r="7" spans="2:6" x14ac:dyDescent="0.25">
      <c r="B7" s="141" t="s">
        <v>232</v>
      </c>
      <c r="C7" s="95">
        <f>IFERROR(IF(VLOOKUP($B7,'SR B-Calf Roping'!$B$5:$AL$100,36,FALSE)=" ",0,VLOOKUP($B7,'SR B-Calf Roping'!$B$5:$AL$100,36,FALSE)),0)+IFERROR(IF(VLOOKUP($B7,'SR B-Steer Wrestling'!$B$5:$AL$100,36,FALSE)=" ",0,VLOOKUP($B7,'SR B-Steer Wrestling'!$B$5:$AL$100,36,FALSE)),0)+IFERROR(IF(VLOOKUP($B7,'SR B-Chute Dogging'!$B$5:$AL$100,36,FALSE)=" ",0,VLOOKUP($B7,'SR B-Chute Dogging'!$B$5:$AL$100,36,FALSE)),0)+IFERROR(IF(VLOOKUP($B7,'SR-Team Roping-Header'!$B$5:$AL$100,12,FALSE)=" ",0,VLOOKUP($B7,'SR-Team Roping-Header'!$B$5:$AL$100,12,FALSE)),0)+IFERROR(IF(VLOOKUP($B7,'SR-Team Roping-Heeler'!$B$5:$AL$100,12,FALSE)=" ",0,VLOOKUP($B7,'SR-Team Roping-Heeler'!$B$5:$AL$100,12,FALSE)),0)+IFERROR(IF(VLOOKUP($B7,'JR B-Steer Riding'!$B$5:$AL$100,36,FALSE)=" ",0,VLOOKUP($B7,'JR B-Steer Riding'!$B$5:$AL$100,36,FALSE)),0)+IFERROR(IF(VLOOKUP($B7,'JR B-Goats'!$B$5:$AL$100,36,FALSE)=" ",0,VLOOKUP($B7,'JR B-Goats'!$B$5:$AL$100,36,FALSE)),0)+IFERROR(IF(VLOOKUP($B7,'JR B-Calf Tying'!$B$5:$AL$100,36,FALSE)=" ",0,VLOOKUP($B7,'JR B-Calf Tying'!$B$5:$AL$100,36,FALSE)),0)+IFERROR(IF(VLOOKUP($B7,'JR B-Breakaway'!$B$5:$AL$100,36,FALSE)=" ",0,VLOOKUP($B7,'JR B-Breakaway'!$B$5:$AL$100,36,FALSE)),0)+IFERROR(IF(VLOOKUP($B7,'JR-Team Roping-Header'!$B$5:$AL$100,12,FALSE)=" ",0,VLOOKUP($B7,'JR-Team Roping-Header'!$B$5:$AL$100,12,FALSE)),0)+IFERROR(IF(VLOOKUP($B7,'JR-Team Roping-Heeler'!$B$5:$AL$100,12,FALSE)=" ",0,VLOOKUP($B7,'JR-Team Roping-Heeler'!$B$5:$AL$100,12,FALSE)),0)+IFERROR(IF(VLOOKUP($B7,'PW B-Calf Riding'!$B$5:$AL$100,36,FALSE)=" ",0,VLOOKUP($B7,'PW B-Calf Riding'!$B$5:$AL$100,36,FALSE)),0)+IFERROR(IF(VLOOKUP($B7,'PW B-Goats'!$B$5:$AL$100,36,FALSE)=" ",0,VLOOKUP($B7,'PW B-Goats'!$B$5:$AL$100,36,FALSE)),0)+IFERROR(IF(VLOOKUP($B7,'PW B-Flags'!$B$5:$AL$100,36,FALSE)=" ",0,VLOOKUP($B7,'PW B-Flags'!$B$5:$AL$100,36,FALSE)),0)+IFERROR(IF(VLOOKUP($B7,'PW B-Breakaway'!$B$5:$AL$100,36,FALSE)=" ",0,VLOOKUP($B7,'PW B-Breakaway'!$B$5:$AL$100,36,FALSE)),0)+IFERROR(IF(VLOOKUP($B7,'PW B-Steer Daubing'!$B$5:$AL$100,36,FALSE)=" ",0,VLOOKUP($B7,'PW B-Steer Daubing'!$B$5:$AL$100,36,FALSE)),0)+IFERROR(IF(VLOOKUP($B7,'MM B-Dummy Roping'!$B$5:$AL$100,36,FALSE)=" ",0,VLOOKUP($B7,'MM B-Dummy Roping'!$B$5:$AL$100,36,FALSE)),0)+IFERROR(IF(VLOOKUP($B7,'MM B-Goats'!$B$5:$AL$100,36,FALSE)=" ",0,VLOOKUP($B7,'MM B-Goats'!$B$5:$AL$100,36,FALSE)),0)+IFERROR(IF(VLOOKUP($B7,'MM B-Flags'!$B$5:$AL$100,36,FALSE)=" ",0,VLOOKUP($B7,'MM B-Flags'!$B$5:$AL$100,36,FALSE)),0)+IFERROR(IF(VLOOKUP($B7,'MM B-Figure 8'!$B$5:$AL$100,36,FALSE)=" ",0,VLOOKUP($B7,'MM B-Figure 8'!$B$5:$AL$100,36,FALSE)),0)</f>
        <v>135</v>
      </c>
      <c r="D7" s="95">
        <f>IF(C7&gt;0,C7," ")</f>
        <v>135</v>
      </c>
      <c r="E7" s="91">
        <f>IF(D7=" "," ",RANK(D7,D$5:D$24))</f>
        <v>3</v>
      </c>
    </row>
    <row r="8" spans="2:6" x14ac:dyDescent="0.25">
      <c r="B8" s="142" t="s">
        <v>256</v>
      </c>
      <c r="C8" s="95">
        <f>IFERROR(IF(VLOOKUP($B8,'SR B-Calf Roping'!$B$5:$AL$100,36,FALSE)=" ",0,VLOOKUP($B8,'SR B-Calf Roping'!$B$5:$AL$100,36,FALSE)),0)+IFERROR(IF(VLOOKUP($B8,'SR B-Steer Wrestling'!$B$5:$AL$100,36,FALSE)=" ",0,VLOOKUP($B8,'SR B-Steer Wrestling'!$B$5:$AL$100,36,FALSE)),0)+IFERROR(IF(VLOOKUP($B8,'SR B-Chute Dogging'!$B$5:$AL$100,36,FALSE)=" ",0,VLOOKUP($B8,'SR B-Chute Dogging'!$B$5:$AL$100,36,FALSE)),0)+IFERROR(IF(VLOOKUP($B8,'SR-Team Roping-Header'!$B$5:$AL$100,12,FALSE)=" ",0,VLOOKUP($B8,'SR-Team Roping-Header'!$B$5:$AL$100,12,FALSE)),0)+IFERROR(IF(VLOOKUP($B8,'SR-Team Roping-Heeler'!$B$5:$AL$100,12,FALSE)=" ",0,VLOOKUP($B8,'SR-Team Roping-Heeler'!$B$5:$AL$100,12,FALSE)),0)+IFERROR(IF(VLOOKUP($B8,'JR B-Steer Riding'!$B$5:$AL$100,36,FALSE)=" ",0,VLOOKUP($B8,'JR B-Steer Riding'!$B$5:$AL$100,36,FALSE)),0)+IFERROR(IF(VLOOKUP($B8,'JR B-Goats'!$B$5:$AL$100,36,FALSE)=" ",0,VLOOKUP($B8,'JR B-Goats'!$B$5:$AL$100,36,FALSE)),0)+IFERROR(IF(VLOOKUP($B8,'JR B-Calf Tying'!$B$5:$AL$100,36,FALSE)=" ",0,VLOOKUP($B8,'JR B-Calf Tying'!$B$5:$AL$100,36,FALSE)),0)+IFERROR(IF(VLOOKUP($B8,'JR B-Breakaway'!$B$5:$AL$100,36,FALSE)=" ",0,VLOOKUP($B8,'JR B-Breakaway'!$B$5:$AL$100,36,FALSE)),0)+IFERROR(IF(VLOOKUP($B8,'JR-Team Roping-Header'!$B$5:$AL$100,12,FALSE)=" ",0,VLOOKUP($B8,'JR-Team Roping-Header'!$B$5:$AL$100,12,FALSE)),0)+IFERROR(IF(VLOOKUP($B8,'JR-Team Roping-Heeler'!$B$5:$AL$100,12,FALSE)=" ",0,VLOOKUP($B8,'JR-Team Roping-Heeler'!$B$5:$AL$100,12,FALSE)),0)+IFERROR(IF(VLOOKUP($B8,'PW B-Calf Riding'!$B$5:$AL$100,36,FALSE)=" ",0,VLOOKUP($B8,'PW B-Calf Riding'!$B$5:$AL$100,36,FALSE)),0)+IFERROR(IF(VLOOKUP($B8,'PW B-Goats'!$B$5:$AL$100,36,FALSE)=" ",0,VLOOKUP($B8,'PW B-Goats'!$B$5:$AL$100,36,FALSE)),0)+IFERROR(IF(VLOOKUP($B8,'PW B-Flags'!$B$5:$AL$100,36,FALSE)=" ",0,VLOOKUP($B8,'PW B-Flags'!$B$5:$AL$100,36,FALSE)),0)+IFERROR(IF(VLOOKUP($B8,'PW B-Breakaway'!$B$5:$AL$100,36,FALSE)=" ",0,VLOOKUP($B8,'PW B-Breakaway'!$B$5:$AL$100,36,FALSE)),0)+IFERROR(IF(VLOOKUP($B8,'PW B-Steer Daubing'!$B$5:$AL$100,36,FALSE)=" ",0,VLOOKUP($B8,'PW B-Steer Daubing'!$B$5:$AL$100,36,FALSE)),0)+IFERROR(IF(VLOOKUP($B8,'MM B-Dummy Roping'!$B$5:$AL$100,36,FALSE)=" ",0,VLOOKUP($B8,'MM B-Dummy Roping'!$B$5:$AL$100,36,FALSE)),0)+IFERROR(IF(VLOOKUP($B8,'MM B-Goats'!$B$5:$AL$100,36,FALSE)=" ",0,VLOOKUP($B8,'MM B-Goats'!$B$5:$AL$100,36,FALSE)),0)+IFERROR(IF(VLOOKUP($B8,'MM B-Flags'!$B$5:$AL$100,36,FALSE)=" ",0,VLOOKUP($B8,'MM B-Flags'!$B$5:$AL$100,36,FALSE)),0)+IFERROR(IF(VLOOKUP($B8,'MM B-Figure 8'!$B$5:$AL$100,36,FALSE)=" ",0,VLOOKUP($B8,'MM B-Figure 8'!$B$5:$AL$100,36,FALSE)),0)</f>
        <v>81</v>
      </c>
      <c r="D8" s="95">
        <f>IF(C8&gt;0,C8," ")</f>
        <v>81</v>
      </c>
      <c r="E8" s="122">
        <f>IF(D8=" "," ",RANK(D8,D$5:D$24))</f>
        <v>4</v>
      </c>
    </row>
    <row r="9" spans="2:6" x14ac:dyDescent="0.25">
      <c r="B9" s="142" t="s">
        <v>263</v>
      </c>
      <c r="C9" s="95">
        <f>IFERROR(IF(VLOOKUP($B9,'SR B-Calf Roping'!$B$5:$AL$100,36,FALSE)=" ",0,VLOOKUP($B9,'SR B-Calf Roping'!$B$5:$AL$100,36,FALSE)),0)+IFERROR(IF(VLOOKUP($B9,'SR B-Steer Wrestling'!$B$5:$AL$100,36,FALSE)=" ",0,VLOOKUP($B9,'SR B-Steer Wrestling'!$B$5:$AL$100,36,FALSE)),0)+IFERROR(IF(VLOOKUP($B9,'SR B-Chute Dogging'!$B$5:$AL$100,36,FALSE)=" ",0,VLOOKUP($B9,'SR B-Chute Dogging'!$B$5:$AL$100,36,FALSE)),0)+IFERROR(IF(VLOOKUP($B9,'SR-Team Roping-Header'!$B$5:$AL$100,12,FALSE)=" ",0,VLOOKUP($B9,'SR-Team Roping-Header'!$B$5:$AL$100,12,FALSE)),0)+IFERROR(IF(VLOOKUP($B9,'SR-Team Roping-Heeler'!$B$5:$AL$100,12,FALSE)=" ",0,VLOOKUP($B9,'SR-Team Roping-Heeler'!$B$5:$AL$100,12,FALSE)),0)+IFERROR(IF(VLOOKUP($B9,'JR B-Steer Riding'!$B$5:$AL$100,36,FALSE)=" ",0,VLOOKUP($B9,'JR B-Steer Riding'!$B$5:$AL$100,36,FALSE)),0)+IFERROR(IF(VLOOKUP($B9,'JR B-Goats'!$B$5:$AL$100,36,FALSE)=" ",0,VLOOKUP($B9,'JR B-Goats'!$B$5:$AL$100,36,FALSE)),0)+IFERROR(IF(VLOOKUP($B9,'JR B-Calf Tying'!$B$5:$AL$100,36,FALSE)=" ",0,VLOOKUP($B9,'JR B-Calf Tying'!$B$5:$AL$100,36,FALSE)),0)+IFERROR(IF(VLOOKUP($B9,'JR B-Breakaway'!$B$5:$AL$100,36,FALSE)=" ",0,VLOOKUP($B9,'JR B-Breakaway'!$B$5:$AL$100,36,FALSE)),0)+IFERROR(IF(VLOOKUP($B9,'JR-Team Roping-Header'!$B$5:$AL$100,12,FALSE)=" ",0,VLOOKUP($B9,'JR-Team Roping-Header'!$B$5:$AL$100,12,FALSE)),0)+IFERROR(IF(VLOOKUP($B9,'JR-Team Roping-Heeler'!$B$5:$AL$100,12,FALSE)=" ",0,VLOOKUP($B9,'JR-Team Roping-Heeler'!$B$5:$AL$100,12,FALSE)),0)+IFERROR(IF(VLOOKUP($B9,'PW B-Calf Riding'!$B$5:$AL$100,36,FALSE)=" ",0,VLOOKUP($B9,'PW B-Calf Riding'!$B$5:$AL$100,36,FALSE)),0)+IFERROR(IF(VLOOKUP($B9,'PW B-Goats'!$B$5:$AL$100,36,FALSE)=" ",0,VLOOKUP($B9,'PW B-Goats'!$B$5:$AL$100,36,FALSE)),0)+IFERROR(IF(VLOOKUP($B9,'PW B-Flags'!$B$5:$AL$100,36,FALSE)=" ",0,VLOOKUP($B9,'PW B-Flags'!$B$5:$AL$100,36,FALSE)),0)+IFERROR(IF(VLOOKUP($B9,'PW B-Breakaway'!$B$5:$AL$100,36,FALSE)=" ",0,VLOOKUP($B9,'PW B-Breakaway'!$B$5:$AL$100,36,FALSE)),0)+IFERROR(IF(VLOOKUP($B9,'PW B-Steer Daubing'!$B$5:$AL$100,36,FALSE)=" ",0,VLOOKUP($B9,'PW B-Steer Daubing'!$B$5:$AL$100,36,FALSE)),0)+IFERROR(IF(VLOOKUP($B9,'MM B-Dummy Roping'!$B$5:$AL$100,36,FALSE)=" ",0,VLOOKUP($B9,'MM B-Dummy Roping'!$B$5:$AL$100,36,FALSE)),0)+IFERROR(IF(VLOOKUP($B9,'MM B-Goats'!$B$5:$AL$100,36,FALSE)=" ",0,VLOOKUP($B9,'MM B-Goats'!$B$5:$AL$100,36,FALSE)),0)+IFERROR(IF(VLOOKUP($B9,'MM B-Flags'!$B$5:$AL$100,36,FALSE)=" ",0,VLOOKUP($B9,'MM B-Flags'!$B$5:$AL$100,36,FALSE)),0)+IFERROR(IF(VLOOKUP($B9,'MM B-Figure 8'!$B$5:$AL$100,36,FALSE)=" ",0,VLOOKUP($B9,'MM B-Figure 8'!$B$5:$AL$100,36,FALSE)),0)</f>
        <v>78</v>
      </c>
      <c r="D9" s="95">
        <f>IF(C9&gt;0,C9," ")</f>
        <v>78</v>
      </c>
      <c r="E9" s="91">
        <f>IF(D9=" "," ",RANK(D9,D$5:D$24))</f>
        <v>5</v>
      </c>
    </row>
    <row r="10" spans="2:6" x14ac:dyDescent="0.25">
      <c r="B10" s="154" t="s">
        <v>218</v>
      </c>
      <c r="C10" s="95">
        <f>IFERROR(IF(VLOOKUP($B10,'SR B-Calf Roping'!$B$5:$AL$100,36,FALSE)=" ",0,VLOOKUP($B10,'SR B-Calf Roping'!$B$5:$AL$100,36,FALSE)),0)+IFERROR(IF(VLOOKUP($B10,'SR B-Steer Wrestling'!$B$5:$AL$100,36,FALSE)=" ",0,VLOOKUP($B10,'SR B-Steer Wrestling'!$B$5:$AL$100,36,FALSE)),0)+IFERROR(IF(VLOOKUP($B10,'SR B-Chute Dogging'!$B$5:$AL$100,36,FALSE)=" ",0,VLOOKUP($B10,'SR B-Chute Dogging'!$B$5:$AL$100,36,FALSE)),0)+IFERROR(IF(VLOOKUP($B10,'SR-Team Roping-Header'!$B$5:$AL$100,12,FALSE)=" ",0,VLOOKUP($B10,'SR-Team Roping-Header'!$B$5:$AL$100,12,FALSE)),0)+IFERROR(IF(VLOOKUP($B10,'SR-Team Roping-Heeler'!$B$5:$AL$100,12,FALSE)=" ",0,VLOOKUP($B10,'SR-Team Roping-Heeler'!$B$5:$AL$100,12,FALSE)),0)+IFERROR(IF(VLOOKUP($B10,'JR B-Steer Riding'!$B$5:$AL$100,36,FALSE)=" ",0,VLOOKUP($B10,'JR B-Steer Riding'!$B$5:$AL$100,36,FALSE)),0)+IFERROR(IF(VLOOKUP($B10,'JR B-Goats'!$B$5:$AL$100,36,FALSE)=" ",0,VLOOKUP($B10,'JR B-Goats'!$B$5:$AL$100,36,FALSE)),0)+IFERROR(IF(VLOOKUP($B10,'JR B-Calf Tying'!$B$5:$AL$100,36,FALSE)=" ",0,VLOOKUP($B10,'JR B-Calf Tying'!$B$5:$AL$100,36,FALSE)),0)+IFERROR(IF(VLOOKUP($B10,'JR B-Breakaway'!$B$5:$AL$100,36,FALSE)=" ",0,VLOOKUP($B10,'JR B-Breakaway'!$B$5:$AL$100,36,FALSE)),0)+IFERROR(IF(VLOOKUP($B10,'JR-Team Roping-Header'!$B$5:$AL$100,12,FALSE)=" ",0,VLOOKUP($B10,'JR-Team Roping-Header'!$B$5:$AL$100,12,FALSE)),0)+IFERROR(IF(VLOOKUP($B10,'JR-Team Roping-Heeler'!$B$5:$AL$100,12,FALSE)=" ",0,VLOOKUP($B10,'JR-Team Roping-Heeler'!$B$5:$AL$100,12,FALSE)),0)+IFERROR(IF(VLOOKUP($B10,'PW B-Calf Riding'!$B$5:$AL$100,36,FALSE)=" ",0,VLOOKUP($B10,'PW B-Calf Riding'!$B$5:$AL$100,36,FALSE)),0)+IFERROR(IF(VLOOKUP($B10,'PW B-Goats'!$B$5:$AL$100,36,FALSE)=" ",0,VLOOKUP($B10,'PW B-Goats'!$B$5:$AL$100,36,FALSE)),0)+IFERROR(IF(VLOOKUP($B10,'PW B-Flags'!$B$5:$AL$100,36,FALSE)=" ",0,VLOOKUP($B10,'PW B-Flags'!$B$5:$AL$100,36,FALSE)),0)+IFERROR(IF(VLOOKUP($B10,'PW B-Breakaway'!$B$5:$AL$100,36,FALSE)=" ",0,VLOOKUP($B10,'PW B-Breakaway'!$B$5:$AL$100,36,FALSE)),0)+IFERROR(IF(VLOOKUP($B10,'PW B-Steer Daubing'!$B$5:$AL$100,36,FALSE)=" ",0,VLOOKUP($B10,'PW B-Steer Daubing'!$B$5:$AL$100,36,FALSE)),0)+IFERROR(IF(VLOOKUP($B10,'MM B-Dummy Roping'!$B$5:$AL$100,36,FALSE)=" ",0,VLOOKUP($B10,'MM B-Dummy Roping'!$B$5:$AL$100,36,FALSE)),0)+IFERROR(IF(VLOOKUP($B10,'MM B-Goats'!$B$5:$AL$100,36,FALSE)=" ",0,VLOOKUP($B10,'MM B-Goats'!$B$5:$AL$100,36,FALSE)),0)+IFERROR(IF(VLOOKUP($B10,'MM B-Flags'!$B$5:$AL$100,36,FALSE)=" ",0,VLOOKUP($B10,'MM B-Flags'!$B$5:$AL$100,36,FALSE)),0)+IFERROR(IF(VLOOKUP($B10,'MM B-Figure 8'!$B$5:$AL$100,36,FALSE)=" ",0,VLOOKUP($B10,'MM B-Figure 8'!$B$5:$AL$100,36,FALSE)),0)</f>
        <v>63</v>
      </c>
      <c r="D10" s="95">
        <f>IF(C10&gt;0,C10," ")</f>
        <v>63</v>
      </c>
      <c r="E10" s="91">
        <f>IF(D10=" "," ",RANK(D10,D$5:D$24))</f>
        <v>6</v>
      </c>
    </row>
    <row r="11" spans="2:6" x14ac:dyDescent="0.25">
      <c r="B11" s="142" t="s">
        <v>230</v>
      </c>
      <c r="C11" s="95">
        <f>IFERROR(IF(VLOOKUP($B11,'SR B-Calf Roping'!$B$5:$AL$100,36,FALSE)=" ",0,VLOOKUP($B11,'SR B-Calf Roping'!$B$5:$AL$100,36,FALSE)),0)+IFERROR(IF(VLOOKUP($B11,'SR B-Steer Wrestling'!$B$5:$AL$100,36,FALSE)=" ",0,VLOOKUP($B11,'SR B-Steer Wrestling'!$B$5:$AL$100,36,FALSE)),0)+IFERROR(IF(VLOOKUP($B11,'SR B-Chute Dogging'!$B$5:$AL$100,36,FALSE)=" ",0,VLOOKUP($B11,'SR B-Chute Dogging'!$B$5:$AL$100,36,FALSE)),0)+IFERROR(IF(VLOOKUP($B11,'SR-Team Roping-Header'!$B$5:$AL$100,12,FALSE)=" ",0,VLOOKUP($B11,'SR-Team Roping-Header'!$B$5:$AL$100,12,FALSE)),0)+IFERROR(IF(VLOOKUP($B11,'SR-Team Roping-Heeler'!$B$5:$AL$100,12,FALSE)=" ",0,VLOOKUP($B11,'SR-Team Roping-Heeler'!$B$5:$AL$100,12,FALSE)),0)+IFERROR(IF(VLOOKUP($B11,'JR B-Steer Riding'!$B$5:$AL$100,36,FALSE)=" ",0,VLOOKUP($B11,'JR B-Steer Riding'!$B$5:$AL$100,36,FALSE)),0)+IFERROR(IF(VLOOKUP($B11,'JR B-Goats'!$B$5:$AL$100,36,FALSE)=" ",0,VLOOKUP($B11,'JR B-Goats'!$B$5:$AL$100,36,FALSE)),0)+IFERROR(IF(VLOOKUP($B11,'JR B-Calf Tying'!$B$5:$AL$100,36,FALSE)=" ",0,VLOOKUP($B11,'JR B-Calf Tying'!$B$5:$AL$100,36,FALSE)),0)+IFERROR(IF(VLOOKUP($B11,'JR B-Breakaway'!$B$5:$AL$100,36,FALSE)=" ",0,VLOOKUP($B11,'JR B-Breakaway'!$B$5:$AL$100,36,FALSE)),0)+IFERROR(IF(VLOOKUP($B11,'JR-Team Roping-Header'!$B$5:$AL$100,12,FALSE)=" ",0,VLOOKUP($B11,'JR-Team Roping-Header'!$B$5:$AL$100,12,FALSE)),0)+IFERROR(IF(VLOOKUP($B11,'JR-Team Roping-Heeler'!$B$5:$AL$100,12,FALSE)=" ",0,VLOOKUP($B11,'JR-Team Roping-Heeler'!$B$5:$AL$100,12,FALSE)),0)+IFERROR(IF(VLOOKUP($B11,'PW B-Calf Riding'!$B$5:$AL$100,36,FALSE)=" ",0,VLOOKUP($B11,'PW B-Calf Riding'!$B$5:$AL$100,36,FALSE)),0)+IFERROR(IF(VLOOKUP($B11,'PW B-Goats'!$B$5:$AL$100,36,FALSE)=" ",0,VLOOKUP($B11,'PW B-Goats'!$B$5:$AL$100,36,FALSE)),0)+IFERROR(IF(VLOOKUP($B11,'PW B-Flags'!$B$5:$AL$100,36,FALSE)=" ",0,VLOOKUP($B11,'PW B-Flags'!$B$5:$AL$100,36,FALSE)),0)+IFERROR(IF(VLOOKUP($B11,'PW B-Breakaway'!$B$5:$AL$100,36,FALSE)=" ",0,VLOOKUP($B11,'PW B-Breakaway'!$B$5:$AL$100,36,FALSE)),0)+IFERROR(IF(VLOOKUP($B11,'PW B-Steer Daubing'!$B$5:$AL$100,36,FALSE)=" ",0,VLOOKUP($B11,'PW B-Steer Daubing'!$B$5:$AL$100,36,FALSE)),0)+IFERROR(IF(VLOOKUP($B11,'MM B-Dummy Roping'!$B$5:$AL$100,36,FALSE)=" ",0,VLOOKUP($B11,'MM B-Dummy Roping'!$B$5:$AL$100,36,FALSE)),0)+IFERROR(IF(VLOOKUP($B11,'MM B-Goats'!$B$5:$AL$100,36,FALSE)=" ",0,VLOOKUP($B11,'MM B-Goats'!$B$5:$AL$100,36,FALSE)),0)+IFERROR(IF(VLOOKUP($B11,'MM B-Flags'!$B$5:$AL$100,36,FALSE)=" ",0,VLOOKUP($B11,'MM B-Flags'!$B$5:$AL$100,36,FALSE)),0)+IFERROR(IF(VLOOKUP($B11,'MM B-Figure 8'!$B$5:$AL$100,36,FALSE)=" ",0,VLOOKUP($B11,'MM B-Figure 8'!$B$5:$AL$100,36,FALSE)),0)</f>
        <v>28.5</v>
      </c>
      <c r="D11" s="95">
        <f>IF(C11&gt;0,C11," ")</f>
        <v>28.5</v>
      </c>
      <c r="E11" s="91">
        <f>IF(D11=" "," ",RANK(D11,D$5:D$24))</f>
        <v>7</v>
      </c>
    </row>
    <row r="12" spans="2:6" x14ac:dyDescent="0.25">
      <c r="B12" s="142" t="s">
        <v>219</v>
      </c>
      <c r="C12" s="95">
        <f>IFERROR(IF(VLOOKUP($B12,'SR B-Calf Roping'!$B$5:$AL$100,36,FALSE)=" ",0,VLOOKUP($B12,'SR B-Calf Roping'!$B$5:$AL$100,36,FALSE)),0)+IFERROR(IF(VLOOKUP($B12,'SR B-Steer Wrestling'!$B$5:$AL$100,36,FALSE)=" ",0,VLOOKUP($B12,'SR B-Steer Wrestling'!$B$5:$AL$100,36,FALSE)),0)+IFERROR(IF(VLOOKUP($B12,'SR B-Chute Dogging'!$B$5:$AL$100,36,FALSE)=" ",0,VLOOKUP($B12,'SR B-Chute Dogging'!$B$5:$AL$100,36,FALSE)),0)+IFERROR(IF(VLOOKUP($B12,'SR-Team Roping-Header'!$B$5:$AL$100,12,FALSE)=" ",0,VLOOKUP($B12,'SR-Team Roping-Header'!$B$5:$AL$100,12,FALSE)),0)+IFERROR(IF(VLOOKUP($B12,'SR-Team Roping-Heeler'!$B$5:$AL$100,12,FALSE)=" ",0,VLOOKUP($B12,'SR-Team Roping-Heeler'!$B$5:$AL$100,12,FALSE)),0)+IFERROR(IF(VLOOKUP($B12,'JR B-Steer Riding'!$B$5:$AL$100,36,FALSE)=" ",0,VLOOKUP($B12,'JR B-Steer Riding'!$B$5:$AL$100,36,FALSE)),0)+IFERROR(IF(VLOOKUP($B12,'JR B-Goats'!$B$5:$AL$100,36,FALSE)=" ",0,VLOOKUP($B12,'JR B-Goats'!$B$5:$AL$100,36,FALSE)),0)+IFERROR(IF(VLOOKUP($B12,'JR B-Calf Tying'!$B$5:$AL$100,36,FALSE)=" ",0,VLOOKUP($B12,'JR B-Calf Tying'!$B$5:$AL$100,36,FALSE)),0)+IFERROR(IF(VLOOKUP($B12,'JR B-Breakaway'!$B$5:$AL$100,36,FALSE)=" ",0,VLOOKUP($B12,'JR B-Breakaway'!$B$5:$AL$100,36,FALSE)),0)+IFERROR(IF(VLOOKUP($B12,'JR-Team Roping-Header'!$B$5:$AL$100,12,FALSE)=" ",0,VLOOKUP($B12,'JR-Team Roping-Header'!$B$5:$AL$100,12,FALSE)),0)+IFERROR(IF(VLOOKUP($B12,'JR-Team Roping-Heeler'!$B$5:$AL$100,12,FALSE)=" ",0,VLOOKUP($B12,'JR-Team Roping-Heeler'!$B$5:$AL$100,12,FALSE)),0)+IFERROR(IF(VLOOKUP($B12,'PW B-Calf Riding'!$B$5:$AL$100,36,FALSE)=" ",0,VLOOKUP($B12,'PW B-Calf Riding'!$B$5:$AL$100,36,FALSE)),0)+IFERROR(IF(VLOOKUP($B12,'PW B-Goats'!$B$5:$AL$100,36,FALSE)=" ",0,VLOOKUP($B12,'PW B-Goats'!$B$5:$AL$100,36,FALSE)),0)+IFERROR(IF(VLOOKUP($B12,'PW B-Flags'!$B$5:$AL$100,36,FALSE)=" ",0,VLOOKUP($B12,'PW B-Flags'!$B$5:$AL$100,36,FALSE)),0)+IFERROR(IF(VLOOKUP($B12,'PW B-Breakaway'!$B$5:$AL$100,36,FALSE)=" ",0,VLOOKUP($B12,'PW B-Breakaway'!$B$5:$AL$100,36,FALSE)),0)+IFERROR(IF(VLOOKUP($B12,'PW B-Steer Daubing'!$B$5:$AL$100,36,FALSE)=" ",0,VLOOKUP($B12,'PW B-Steer Daubing'!$B$5:$AL$100,36,FALSE)),0)+IFERROR(IF(VLOOKUP($B12,'MM B-Dummy Roping'!$B$5:$AL$100,36,FALSE)=" ",0,VLOOKUP($B12,'MM B-Dummy Roping'!$B$5:$AL$100,36,FALSE)),0)+IFERROR(IF(VLOOKUP($B12,'MM B-Goats'!$B$5:$AL$100,36,FALSE)=" ",0,VLOOKUP($B12,'MM B-Goats'!$B$5:$AL$100,36,FALSE)),0)+IFERROR(IF(VLOOKUP($B12,'MM B-Flags'!$B$5:$AL$100,36,FALSE)=" ",0,VLOOKUP($B12,'MM B-Flags'!$B$5:$AL$100,36,FALSE)),0)+IFERROR(IF(VLOOKUP($B12,'MM B-Figure 8'!$B$5:$AL$100,36,FALSE)=" ",0,VLOOKUP($B12,'MM B-Figure 8'!$B$5:$AL$100,36,FALSE)),0)</f>
        <v>6</v>
      </c>
      <c r="D12" s="95">
        <f>IF(C12&gt;0,C12," ")</f>
        <v>6</v>
      </c>
      <c r="E12" s="91">
        <f>IF(D12=" "," ",RANK(D12,D$5:D$24))</f>
        <v>8</v>
      </c>
    </row>
    <row r="13" spans="2:6" x14ac:dyDescent="0.25">
      <c r="B13" s="142" t="s">
        <v>255</v>
      </c>
      <c r="C13" s="95">
        <f>IFERROR(IF(VLOOKUP($B13,'SR B-Calf Roping'!$B$5:$AL$100,36,FALSE)=" ",0,VLOOKUP($B13,'SR B-Calf Roping'!$B$5:$AL$100,36,FALSE)),0)+IFERROR(IF(VLOOKUP($B13,'SR B-Steer Wrestling'!$B$5:$AL$100,36,FALSE)=" ",0,VLOOKUP($B13,'SR B-Steer Wrestling'!$B$5:$AL$100,36,FALSE)),0)+IFERROR(IF(VLOOKUP($B13,'SR B-Chute Dogging'!$B$5:$AL$100,36,FALSE)=" ",0,VLOOKUP($B13,'SR B-Chute Dogging'!$B$5:$AL$100,36,FALSE)),0)+IFERROR(IF(VLOOKUP($B13,'SR-Team Roping-Header'!$B$5:$AL$100,12,FALSE)=" ",0,VLOOKUP($B13,'SR-Team Roping-Header'!$B$5:$AL$100,12,FALSE)),0)+IFERROR(IF(VLOOKUP($B13,'SR-Team Roping-Heeler'!$B$5:$AL$100,12,FALSE)=" ",0,VLOOKUP($B13,'SR-Team Roping-Heeler'!$B$5:$AL$100,12,FALSE)),0)+IFERROR(IF(VLOOKUP($B13,'JR B-Steer Riding'!$B$5:$AL$100,36,FALSE)=" ",0,VLOOKUP($B13,'JR B-Steer Riding'!$B$5:$AL$100,36,FALSE)),0)+IFERROR(IF(VLOOKUP($B13,'JR B-Goats'!$B$5:$AL$100,36,FALSE)=" ",0,VLOOKUP($B13,'JR B-Goats'!$B$5:$AL$100,36,FALSE)),0)+IFERROR(IF(VLOOKUP($B13,'JR B-Calf Tying'!$B$5:$AL$100,36,FALSE)=" ",0,VLOOKUP($B13,'JR B-Calf Tying'!$B$5:$AL$100,36,FALSE)),0)+IFERROR(IF(VLOOKUP($B13,'JR B-Breakaway'!$B$5:$AL$100,36,FALSE)=" ",0,VLOOKUP($B13,'JR B-Breakaway'!$B$5:$AL$100,36,FALSE)),0)+IFERROR(IF(VLOOKUP($B13,'JR-Team Roping-Header'!$B$5:$AL$100,12,FALSE)=" ",0,VLOOKUP($B13,'JR-Team Roping-Header'!$B$5:$AL$100,12,FALSE)),0)+IFERROR(IF(VLOOKUP($B13,'JR-Team Roping-Heeler'!$B$5:$AL$100,12,FALSE)=" ",0,VLOOKUP($B13,'JR-Team Roping-Heeler'!$B$5:$AL$100,12,FALSE)),0)+IFERROR(IF(VLOOKUP($B13,'PW B-Calf Riding'!$B$5:$AL$100,36,FALSE)=" ",0,VLOOKUP($B13,'PW B-Calf Riding'!$B$5:$AL$100,36,FALSE)),0)+IFERROR(IF(VLOOKUP($B13,'PW B-Goats'!$B$5:$AL$100,36,FALSE)=" ",0,VLOOKUP($B13,'PW B-Goats'!$B$5:$AL$100,36,FALSE)),0)+IFERROR(IF(VLOOKUP($B13,'PW B-Flags'!$B$5:$AL$100,36,FALSE)=" ",0,VLOOKUP($B13,'PW B-Flags'!$B$5:$AL$100,36,FALSE)),0)+IFERROR(IF(VLOOKUP($B13,'PW B-Breakaway'!$B$5:$AL$100,36,FALSE)=" ",0,VLOOKUP($B13,'PW B-Breakaway'!$B$5:$AL$100,36,FALSE)),0)+IFERROR(IF(VLOOKUP($B13,'PW B-Steer Daubing'!$B$5:$AL$100,36,FALSE)=" ",0,VLOOKUP($B13,'PW B-Steer Daubing'!$B$5:$AL$100,36,FALSE)),0)+IFERROR(IF(VLOOKUP($B13,'MM B-Dummy Roping'!$B$5:$AL$100,36,FALSE)=" ",0,VLOOKUP($B13,'MM B-Dummy Roping'!$B$5:$AL$100,36,FALSE)),0)+IFERROR(IF(VLOOKUP($B13,'MM B-Goats'!$B$5:$AL$100,36,FALSE)=" ",0,VLOOKUP($B13,'MM B-Goats'!$B$5:$AL$100,36,FALSE)),0)+IFERROR(IF(VLOOKUP($B13,'MM B-Flags'!$B$5:$AL$100,36,FALSE)=" ",0,VLOOKUP($B13,'MM B-Flags'!$B$5:$AL$100,36,FALSE)),0)+IFERROR(IF(VLOOKUP($B13,'MM B-Figure 8'!$B$5:$AL$100,36,FALSE)=" ",0,VLOOKUP($B13,'MM B-Figure 8'!$B$5:$AL$100,36,FALSE)),0)</f>
        <v>0</v>
      </c>
      <c r="D13" s="95" t="str">
        <f>IF(C13&gt;0,C13," ")</f>
        <v xml:space="preserve"> </v>
      </c>
      <c r="E13" s="91" t="str">
        <f>IF(D13=" "," ",RANK(D13,D$5:D$24))</f>
        <v xml:space="preserve"> </v>
      </c>
    </row>
    <row r="14" spans="2:6" x14ac:dyDescent="0.25">
      <c r="B14" s="142" t="s">
        <v>244</v>
      </c>
      <c r="C14" s="95">
        <f>IFERROR(IF(VLOOKUP($B14,'SR B-Calf Roping'!$B$5:$AL$100,36,FALSE)=" ",0,VLOOKUP($B14,'SR B-Calf Roping'!$B$5:$AL$100,36,FALSE)),0)+IFERROR(IF(VLOOKUP($B14,'SR B-Steer Wrestling'!$B$5:$AL$100,36,FALSE)=" ",0,VLOOKUP($B14,'SR B-Steer Wrestling'!$B$5:$AL$100,36,FALSE)),0)+IFERROR(IF(VLOOKUP($B14,'SR B-Chute Dogging'!$B$5:$AL$100,36,FALSE)=" ",0,VLOOKUP($B14,'SR B-Chute Dogging'!$B$5:$AL$100,36,FALSE)),0)+IFERROR(IF(VLOOKUP($B14,'SR-Team Roping-Header'!$B$5:$AL$100,12,FALSE)=" ",0,VLOOKUP($B14,'SR-Team Roping-Header'!$B$5:$AL$100,12,FALSE)),0)+IFERROR(IF(VLOOKUP($B14,'SR-Team Roping-Heeler'!$B$5:$AL$100,12,FALSE)=" ",0,VLOOKUP($B14,'SR-Team Roping-Heeler'!$B$5:$AL$100,12,FALSE)),0)+IFERROR(IF(VLOOKUP($B14,'JR B-Steer Riding'!$B$5:$AL$100,36,FALSE)=" ",0,VLOOKUP($B14,'JR B-Steer Riding'!$B$5:$AL$100,36,FALSE)),0)+IFERROR(IF(VLOOKUP($B14,'JR B-Goats'!$B$5:$AL$100,36,FALSE)=" ",0,VLOOKUP($B14,'JR B-Goats'!$B$5:$AL$100,36,FALSE)),0)+IFERROR(IF(VLOOKUP($B14,'JR B-Calf Tying'!$B$5:$AL$100,36,FALSE)=" ",0,VLOOKUP($B14,'JR B-Calf Tying'!$B$5:$AL$100,36,FALSE)),0)+IFERROR(IF(VLOOKUP($B14,'JR B-Breakaway'!$B$5:$AL$100,36,FALSE)=" ",0,VLOOKUP($B14,'JR B-Breakaway'!$B$5:$AL$100,36,FALSE)),0)+IFERROR(IF(VLOOKUP($B14,'JR-Team Roping-Header'!$B$5:$AL$100,12,FALSE)=" ",0,VLOOKUP($B14,'JR-Team Roping-Header'!$B$5:$AL$100,12,FALSE)),0)+IFERROR(IF(VLOOKUP($B14,'JR-Team Roping-Heeler'!$B$5:$AL$100,12,FALSE)=" ",0,VLOOKUP($B14,'JR-Team Roping-Heeler'!$B$5:$AL$100,12,FALSE)),0)+IFERROR(IF(VLOOKUP($B14,'PW B-Calf Riding'!$B$5:$AL$100,36,FALSE)=" ",0,VLOOKUP($B14,'PW B-Calf Riding'!$B$5:$AL$100,36,FALSE)),0)+IFERROR(IF(VLOOKUP($B14,'PW B-Goats'!$B$5:$AL$100,36,FALSE)=" ",0,VLOOKUP($B14,'PW B-Goats'!$B$5:$AL$100,36,FALSE)),0)+IFERROR(IF(VLOOKUP($B14,'PW B-Flags'!$B$5:$AL$100,36,FALSE)=" ",0,VLOOKUP($B14,'PW B-Flags'!$B$5:$AL$100,36,FALSE)),0)+IFERROR(IF(VLOOKUP($B14,'PW B-Breakaway'!$B$5:$AL$100,36,FALSE)=" ",0,VLOOKUP($B14,'PW B-Breakaway'!$B$5:$AL$100,36,FALSE)),0)+IFERROR(IF(VLOOKUP($B14,'PW B-Steer Daubing'!$B$5:$AL$100,36,FALSE)=" ",0,VLOOKUP($B14,'PW B-Steer Daubing'!$B$5:$AL$100,36,FALSE)),0)+IFERROR(IF(VLOOKUP($B14,'MM B-Dummy Roping'!$B$5:$AL$100,36,FALSE)=" ",0,VLOOKUP($B14,'MM B-Dummy Roping'!$B$5:$AL$100,36,FALSE)),0)+IFERROR(IF(VLOOKUP($B14,'MM B-Goats'!$B$5:$AL$100,36,FALSE)=" ",0,VLOOKUP($B14,'MM B-Goats'!$B$5:$AL$100,36,FALSE)),0)+IFERROR(IF(VLOOKUP($B14,'MM B-Flags'!$B$5:$AL$100,36,FALSE)=" ",0,VLOOKUP($B14,'MM B-Flags'!$B$5:$AL$100,36,FALSE)),0)+IFERROR(IF(VLOOKUP($B14,'MM B-Figure 8'!$B$5:$AL$100,36,FALSE)=" ",0,VLOOKUP($B14,'MM B-Figure 8'!$B$5:$AL$100,36,FALSE)),0)</f>
        <v>0</v>
      </c>
      <c r="D14" s="95" t="str">
        <f>IF(C14&gt;0,C14," ")</f>
        <v xml:space="preserve"> </v>
      </c>
      <c r="E14" s="122" t="str">
        <f>IF(D14=" "," ",RANK(D14,D$5:D$24))</f>
        <v xml:space="preserve"> </v>
      </c>
    </row>
    <row r="15" spans="2:6" x14ac:dyDescent="0.25">
      <c r="B15" s="142" t="s">
        <v>248</v>
      </c>
      <c r="C15" s="95">
        <f>IFERROR(IF(VLOOKUP($B15,'SR B-Calf Roping'!$B$5:$AL$100,36,FALSE)=" ",0,VLOOKUP($B15,'SR B-Calf Roping'!$B$5:$AL$100,36,FALSE)),0)+IFERROR(IF(VLOOKUP($B15,'SR B-Steer Wrestling'!$B$5:$AL$100,36,FALSE)=" ",0,VLOOKUP($B15,'SR B-Steer Wrestling'!$B$5:$AL$100,36,FALSE)),0)+IFERROR(IF(VLOOKUP($B15,'SR B-Chute Dogging'!$B$5:$AL$100,36,FALSE)=" ",0,VLOOKUP($B15,'SR B-Chute Dogging'!$B$5:$AL$100,36,FALSE)),0)+IFERROR(IF(VLOOKUP($B15,'SR-Team Roping-Header'!$B$5:$AL$100,12,FALSE)=" ",0,VLOOKUP($B15,'SR-Team Roping-Header'!$B$5:$AL$100,12,FALSE)),0)+IFERROR(IF(VLOOKUP($B15,'SR-Team Roping-Heeler'!$B$5:$AL$100,12,FALSE)=" ",0,VLOOKUP($B15,'SR-Team Roping-Heeler'!$B$5:$AL$100,12,FALSE)),0)+IFERROR(IF(VLOOKUP($B15,'JR B-Steer Riding'!$B$5:$AL$100,36,FALSE)=" ",0,VLOOKUP($B15,'JR B-Steer Riding'!$B$5:$AL$100,36,FALSE)),0)+IFERROR(IF(VLOOKUP($B15,'JR B-Goats'!$B$5:$AL$100,36,FALSE)=" ",0,VLOOKUP($B15,'JR B-Goats'!$B$5:$AL$100,36,FALSE)),0)+IFERROR(IF(VLOOKUP($B15,'JR B-Calf Tying'!$B$5:$AL$100,36,FALSE)=" ",0,VLOOKUP($B15,'JR B-Calf Tying'!$B$5:$AL$100,36,FALSE)),0)+IFERROR(IF(VLOOKUP($B15,'JR B-Breakaway'!$B$5:$AL$100,36,FALSE)=" ",0,VLOOKUP($B15,'JR B-Breakaway'!$B$5:$AL$100,36,FALSE)),0)+IFERROR(IF(VLOOKUP($B15,'JR-Team Roping-Header'!$B$5:$AL$100,12,FALSE)=" ",0,VLOOKUP($B15,'JR-Team Roping-Header'!$B$5:$AL$100,12,FALSE)),0)+IFERROR(IF(VLOOKUP($B15,'JR-Team Roping-Heeler'!$B$5:$AL$100,12,FALSE)=" ",0,VLOOKUP($B15,'JR-Team Roping-Heeler'!$B$5:$AL$100,12,FALSE)),0)+IFERROR(IF(VLOOKUP($B15,'PW B-Calf Riding'!$B$5:$AL$100,36,FALSE)=" ",0,VLOOKUP($B15,'PW B-Calf Riding'!$B$5:$AL$100,36,FALSE)),0)+IFERROR(IF(VLOOKUP($B15,'PW B-Goats'!$B$5:$AL$100,36,FALSE)=" ",0,VLOOKUP($B15,'PW B-Goats'!$B$5:$AL$100,36,FALSE)),0)+IFERROR(IF(VLOOKUP($B15,'PW B-Flags'!$B$5:$AL$100,36,FALSE)=" ",0,VLOOKUP($B15,'PW B-Flags'!$B$5:$AL$100,36,FALSE)),0)+IFERROR(IF(VLOOKUP($B15,'PW B-Breakaway'!$B$5:$AL$100,36,FALSE)=" ",0,VLOOKUP($B15,'PW B-Breakaway'!$B$5:$AL$100,36,FALSE)),0)+IFERROR(IF(VLOOKUP($B15,'PW B-Steer Daubing'!$B$5:$AL$100,36,FALSE)=" ",0,VLOOKUP($B15,'PW B-Steer Daubing'!$B$5:$AL$100,36,FALSE)),0)+IFERROR(IF(VLOOKUP($B15,'MM B-Dummy Roping'!$B$5:$AL$100,36,FALSE)=" ",0,VLOOKUP($B15,'MM B-Dummy Roping'!$B$5:$AL$100,36,FALSE)),0)+IFERROR(IF(VLOOKUP($B15,'MM B-Goats'!$B$5:$AL$100,36,FALSE)=" ",0,VLOOKUP($B15,'MM B-Goats'!$B$5:$AL$100,36,FALSE)),0)+IFERROR(IF(VLOOKUP($B15,'MM B-Flags'!$B$5:$AL$100,36,FALSE)=" ",0,VLOOKUP($B15,'MM B-Flags'!$B$5:$AL$100,36,FALSE)),0)+IFERROR(IF(VLOOKUP($B15,'MM B-Figure 8'!$B$5:$AL$100,36,FALSE)=" ",0,VLOOKUP($B15,'MM B-Figure 8'!$B$5:$AL$100,36,FALSE)),0)</f>
        <v>0</v>
      </c>
      <c r="D15" s="95" t="str">
        <f>IF(C15&gt;0,C15," ")</f>
        <v xml:space="preserve"> </v>
      </c>
      <c r="E15" s="91" t="str">
        <f>IF(D15=" "," ",RANK(D15,D$5:D$24))</f>
        <v xml:space="preserve"> </v>
      </c>
    </row>
    <row r="16" spans="2:6" x14ac:dyDescent="0.25">
      <c r="B16" s="141"/>
      <c r="C16" s="95">
        <f>IFERROR(IF(VLOOKUP($B16,'SR B-Calf Roping'!$B$5:$AL$100,36,FALSE)=" ",0,VLOOKUP($B16,'SR B-Calf Roping'!$B$5:$AL$100,36,FALSE)),0)+IFERROR(IF(VLOOKUP($B16,'SR B-Steer Wrestling'!$B$5:$AL$100,36,FALSE)=" ",0,VLOOKUP($B16,'SR B-Steer Wrestling'!$B$5:$AL$100,36,FALSE)),0)+IFERROR(IF(VLOOKUP($B16,'SR B-Chute Dogging'!$B$5:$AL$100,36,FALSE)=" ",0,VLOOKUP($B16,'SR B-Chute Dogging'!$B$5:$AL$100,36,FALSE)),0)+IFERROR(IF(VLOOKUP($B16,'SR-Team Roping-Header'!$B$5:$AL$100,12,FALSE)=" ",0,VLOOKUP($B16,'SR-Team Roping-Header'!$B$5:$AL$100,12,FALSE)),0)+IFERROR(IF(VLOOKUP($B16,'SR-Team Roping-Heeler'!$B$5:$AL$100,12,FALSE)=" ",0,VLOOKUP($B16,'SR-Team Roping-Heeler'!$B$5:$AL$100,12,FALSE)),0)+IFERROR(IF(VLOOKUP($B16,'JR B-Steer Riding'!$B$5:$AL$100,36,FALSE)=" ",0,VLOOKUP($B16,'JR B-Steer Riding'!$B$5:$AL$100,36,FALSE)),0)+IFERROR(IF(VLOOKUP($B16,'JR B-Goats'!$B$5:$AL$100,36,FALSE)=" ",0,VLOOKUP($B16,'JR B-Goats'!$B$5:$AL$100,36,FALSE)),0)+IFERROR(IF(VLOOKUP($B16,'JR B-Calf Tying'!$B$5:$AL$100,36,FALSE)=" ",0,VLOOKUP($B16,'JR B-Calf Tying'!$B$5:$AL$100,36,FALSE)),0)+IFERROR(IF(VLOOKUP($B16,'JR B-Breakaway'!$B$5:$AL$100,36,FALSE)=" ",0,VLOOKUP($B16,'JR B-Breakaway'!$B$5:$AL$100,36,FALSE)),0)+IFERROR(IF(VLOOKUP($B16,'JR-Team Roping-Header'!$B$5:$AL$100,12,FALSE)=" ",0,VLOOKUP($B16,'JR-Team Roping-Header'!$B$5:$AL$100,12,FALSE)),0)+IFERROR(IF(VLOOKUP($B16,'JR-Team Roping-Heeler'!$B$5:$AL$100,12,FALSE)=" ",0,VLOOKUP($B16,'JR-Team Roping-Heeler'!$B$5:$AL$100,12,FALSE)),0)+IFERROR(IF(VLOOKUP($B16,'PW B-Calf Riding'!$B$5:$AL$100,36,FALSE)=" ",0,VLOOKUP($B16,'PW B-Calf Riding'!$B$5:$AL$100,36,FALSE)),0)+IFERROR(IF(VLOOKUP($B16,'PW B-Goats'!$B$5:$AL$100,36,FALSE)=" ",0,VLOOKUP($B16,'PW B-Goats'!$B$5:$AL$100,36,FALSE)),0)+IFERROR(IF(VLOOKUP($B16,'PW B-Flags'!$B$5:$AL$100,36,FALSE)=" ",0,VLOOKUP($B16,'PW B-Flags'!$B$5:$AL$100,36,FALSE)),0)+IFERROR(IF(VLOOKUP($B16,'PW B-Breakaway'!$B$5:$AL$100,36,FALSE)=" ",0,VLOOKUP($B16,'PW B-Breakaway'!$B$5:$AL$100,36,FALSE)),0)+IFERROR(IF(VLOOKUP($B16,'PW B-Steer Daubing'!$B$5:$AL$100,36,FALSE)=" ",0,VLOOKUP($B16,'PW B-Steer Daubing'!$B$5:$AL$100,36,FALSE)),0)+IFERROR(IF(VLOOKUP($B16,'MM B-Dummy Roping'!$B$5:$AL$100,36,FALSE)=" ",0,VLOOKUP($B16,'MM B-Dummy Roping'!$B$5:$AL$100,36,FALSE)),0)+IFERROR(IF(VLOOKUP($B16,'MM B-Goats'!$B$5:$AL$100,36,FALSE)=" ",0,VLOOKUP($B16,'MM B-Goats'!$B$5:$AL$100,36,FALSE)),0)+IFERROR(IF(VLOOKUP($B16,'MM B-Flags'!$B$5:$AL$100,36,FALSE)=" ",0,VLOOKUP($B16,'MM B-Flags'!$B$5:$AL$100,36,FALSE)),0)+IFERROR(IF(VLOOKUP($B16,'MM B-Figure 8'!$B$5:$AL$100,36,FALSE)=" ",0,VLOOKUP($B16,'MM B-Figure 8'!$B$5:$AL$100,36,FALSE)),0)</f>
        <v>0</v>
      </c>
      <c r="D16" s="95" t="str">
        <f>IF(C16&gt;0,C16," ")</f>
        <v xml:space="preserve"> </v>
      </c>
      <c r="E16" s="91" t="str">
        <f>IF(D16=" "," ",RANK(D16,D$5:D$24))</f>
        <v xml:space="preserve"> </v>
      </c>
    </row>
    <row r="17" spans="2:5" x14ac:dyDescent="0.25">
      <c r="B17" s="141"/>
      <c r="C17" s="95">
        <f>IFERROR(IF(VLOOKUP($B17,'SR B-Calf Roping'!$B$5:$AL$100,36,FALSE)=" ",0,VLOOKUP($B17,'SR B-Calf Roping'!$B$5:$AL$100,36,FALSE)),0)+IFERROR(IF(VLOOKUP($B17,'SR B-Steer Wrestling'!$B$5:$AL$100,36,FALSE)=" ",0,VLOOKUP($B17,'SR B-Steer Wrestling'!$B$5:$AL$100,36,FALSE)),0)+IFERROR(IF(VLOOKUP($B17,'SR B-Chute Dogging'!$B$5:$AL$100,36,FALSE)=" ",0,VLOOKUP($B17,'SR B-Chute Dogging'!$B$5:$AL$100,36,FALSE)),0)+IFERROR(IF(VLOOKUP($B17,'SR-Team Roping-Header'!$B$5:$AL$100,12,FALSE)=" ",0,VLOOKUP($B17,'SR-Team Roping-Header'!$B$5:$AL$100,12,FALSE)),0)+IFERROR(IF(VLOOKUP($B17,'SR-Team Roping-Heeler'!$B$5:$AL$100,12,FALSE)=" ",0,VLOOKUP($B17,'SR-Team Roping-Heeler'!$B$5:$AL$100,12,FALSE)),0)+IFERROR(IF(VLOOKUP($B17,'JR B-Steer Riding'!$B$5:$AL$100,36,FALSE)=" ",0,VLOOKUP($B17,'JR B-Steer Riding'!$B$5:$AL$100,36,FALSE)),0)+IFERROR(IF(VLOOKUP($B17,'JR B-Goats'!$B$5:$AL$100,36,FALSE)=" ",0,VLOOKUP($B17,'JR B-Goats'!$B$5:$AL$100,36,FALSE)),0)+IFERROR(IF(VLOOKUP($B17,'JR B-Calf Tying'!$B$5:$AL$100,36,FALSE)=" ",0,VLOOKUP($B17,'JR B-Calf Tying'!$B$5:$AL$100,36,FALSE)),0)+IFERROR(IF(VLOOKUP($B17,'JR B-Breakaway'!$B$5:$AL$100,36,FALSE)=" ",0,VLOOKUP($B17,'JR B-Breakaway'!$B$5:$AL$100,36,FALSE)),0)+IFERROR(IF(VLOOKUP($B17,'JR-Team Roping-Header'!$B$5:$AL$100,12,FALSE)=" ",0,VLOOKUP($B17,'JR-Team Roping-Header'!$B$5:$AL$100,12,FALSE)),0)+IFERROR(IF(VLOOKUP($B17,'JR-Team Roping-Heeler'!$B$5:$AL$100,12,FALSE)=" ",0,VLOOKUP($B17,'JR-Team Roping-Heeler'!$B$5:$AL$100,12,FALSE)),0)+IFERROR(IF(VLOOKUP($B17,'PW B-Calf Riding'!$B$5:$AL$100,36,FALSE)=" ",0,VLOOKUP($B17,'PW B-Calf Riding'!$B$5:$AL$100,36,FALSE)),0)+IFERROR(IF(VLOOKUP($B17,'PW B-Goats'!$B$5:$AL$100,36,FALSE)=" ",0,VLOOKUP($B17,'PW B-Goats'!$B$5:$AL$100,36,FALSE)),0)+IFERROR(IF(VLOOKUP($B17,'PW B-Flags'!$B$5:$AL$100,36,FALSE)=" ",0,VLOOKUP($B17,'PW B-Flags'!$B$5:$AL$100,36,FALSE)),0)+IFERROR(IF(VLOOKUP($B17,'PW B-Breakaway'!$B$5:$AL$100,36,FALSE)=" ",0,VLOOKUP($B17,'PW B-Breakaway'!$B$5:$AL$100,36,FALSE)),0)+IFERROR(IF(VLOOKUP($B17,'PW B-Steer Daubing'!$B$5:$AL$100,36,FALSE)=" ",0,VLOOKUP($B17,'PW B-Steer Daubing'!$B$5:$AL$100,36,FALSE)),0)+IFERROR(IF(VLOOKUP($B17,'MM B-Dummy Roping'!$B$5:$AL$100,36,FALSE)=" ",0,VLOOKUP($B17,'MM B-Dummy Roping'!$B$5:$AL$100,36,FALSE)),0)+IFERROR(IF(VLOOKUP($B17,'MM B-Goats'!$B$5:$AL$100,36,FALSE)=" ",0,VLOOKUP($B17,'MM B-Goats'!$B$5:$AL$100,36,FALSE)),0)+IFERROR(IF(VLOOKUP($B17,'MM B-Flags'!$B$5:$AL$100,36,FALSE)=" ",0,VLOOKUP($B17,'MM B-Flags'!$B$5:$AL$100,36,FALSE)),0)+IFERROR(IF(VLOOKUP($B17,'MM B-Figure 8'!$B$5:$AL$100,36,FALSE)=" ",0,VLOOKUP($B17,'MM B-Figure 8'!$B$5:$AL$100,36,FALSE)),0)</f>
        <v>0</v>
      </c>
      <c r="D17" s="95" t="str">
        <f>IF(C17&gt;0,C17," ")</f>
        <v xml:space="preserve"> </v>
      </c>
      <c r="E17" s="122" t="str">
        <f>IF(D17=" "," ",RANK(D17,D$5:D$24))</f>
        <v xml:space="preserve"> </v>
      </c>
    </row>
    <row r="18" spans="2:5" x14ac:dyDescent="0.25">
      <c r="B18" s="141"/>
      <c r="C18" s="95">
        <f>IFERROR(IF(VLOOKUP($B18,'SR B-Calf Roping'!$B$5:$AL$100,36,FALSE)=" ",0,VLOOKUP($B18,'SR B-Calf Roping'!$B$5:$AL$100,36,FALSE)),0)+IFERROR(IF(VLOOKUP($B18,'SR B-Steer Wrestling'!$B$5:$AL$100,36,FALSE)=" ",0,VLOOKUP($B18,'SR B-Steer Wrestling'!$B$5:$AL$100,36,FALSE)),0)+IFERROR(IF(VLOOKUP($B18,'SR B-Chute Dogging'!$B$5:$AL$100,36,FALSE)=" ",0,VLOOKUP($B18,'SR B-Chute Dogging'!$B$5:$AL$100,36,FALSE)),0)+IFERROR(IF(VLOOKUP($B18,'SR-Team Roping-Header'!$B$5:$AL$100,12,FALSE)=" ",0,VLOOKUP($B18,'SR-Team Roping-Header'!$B$5:$AL$100,12,FALSE)),0)+IFERROR(IF(VLOOKUP($B18,'SR-Team Roping-Heeler'!$B$5:$AL$100,12,FALSE)=" ",0,VLOOKUP($B18,'SR-Team Roping-Heeler'!$B$5:$AL$100,12,FALSE)),0)+IFERROR(IF(VLOOKUP($B18,'JR B-Steer Riding'!$B$5:$AL$100,36,FALSE)=" ",0,VLOOKUP($B18,'JR B-Steer Riding'!$B$5:$AL$100,36,FALSE)),0)+IFERROR(IF(VLOOKUP($B18,'JR B-Goats'!$B$5:$AL$100,36,FALSE)=" ",0,VLOOKUP($B18,'JR B-Goats'!$B$5:$AL$100,36,FALSE)),0)+IFERROR(IF(VLOOKUP($B18,'JR B-Calf Tying'!$B$5:$AL$100,36,FALSE)=" ",0,VLOOKUP($B18,'JR B-Calf Tying'!$B$5:$AL$100,36,FALSE)),0)+IFERROR(IF(VLOOKUP($B18,'JR B-Breakaway'!$B$5:$AL$100,36,FALSE)=" ",0,VLOOKUP($B18,'JR B-Breakaway'!$B$5:$AL$100,36,FALSE)),0)+IFERROR(IF(VLOOKUP($B18,'JR-Team Roping-Header'!$B$5:$AL$100,12,FALSE)=" ",0,VLOOKUP($B18,'JR-Team Roping-Header'!$B$5:$AL$100,12,FALSE)),0)+IFERROR(IF(VLOOKUP($B18,'JR-Team Roping-Heeler'!$B$5:$AL$100,12,FALSE)=" ",0,VLOOKUP($B18,'JR-Team Roping-Heeler'!$B$5:$AL$100,12,FALSE)),0)+IFERROR(IF(VLOOKUP($B18,'PW B-Calf Riding'!$B$5:$AL$100,36,FALSE)=" ",0,VLOOKUP($B18,'PW B-Calf Riding'!$B$5:$AL$100,36,FALSE)),0)+IFERROR(IF(VLOOKUP($B18,'PW B-Goats'!$B$5:$AL$100,36,FALSE)=" ",0,VLOOKUP($B18,'PW B-Goats'!$B$5:$AL$100,36,FALSE)),0)+IFERROR(IF(VLOOKUP($B18,'PW B-Flags'!$B$5:$AL$100,36,FALSE)=" ",0,VLOOKUP($B18,'PW B-Flags'!$B$5:$AL$100,36,FALSE)),0)+IFERROR(IF(VLOOKUP($B18,'PW B-Breakaway'!$B$5:$AL$100,36,FALSE)=" ",0,VLOOKUP($B18,'PW B-Breakaway'!$B$5:$AL$100,36,FALSE)),0)+IFERROR(IF(VLOOKUP($B18,'PW B-Steer Daubing'!$B$5:$AL$100,36,FALSE)=" ",0,VLOOKUP($B18,'PW B-Steer Daubing'!$B$5:$AL$100,36,FALSE)),0)+IFERROR(IF(VLOOKUP($B18,'MM B-Dummy Roping'!$B$5:$AL$100,36,FALSE)=" ",0,VLOOKUP($B18,'MM B-Dummy Roping'!$B$5:$AL$100,36,FALSE)),0)+IFERROR(IF(VLOOKUP($B18,'MM B-Goats'!$B$5:$AL$100,36,FALSE)=" ",0,VLOOKUP($B18,'MM B-Goats'!$B$5:$AL$100,36,FALSE)),0)+IFERROR(IF(VLOOKUP($B18,'MM B-Flags'!$B$5:$AL$100,36,FALSE)=" ",0,VLOOKUP($B18,'MM B-Flags'!$B$5:$AL$100,36,FALSE)),0)+IFERROR(IF(VLOOKUP($B18,'MM B-Figure 8'!$B$5:$AL$100,36,FALSE)=" ",0,VLOOKUP($B18,'MM B-Figure 8'!$B$5:$AL$100,36,FALSE)),0)</f>
        <v>0</v>
      </c>
      <c r="D18" s="95" t="str">
        <f>IF(C18&gt;0,C18," ")</f>
        <v xml:space="preserve"> </v>
      </c>
      <c r="E18" s="122" t="str">
        <f>IF(D18=" "," ",RANK(D18,D$5:D$24))</f>
        <v xml:space="preserve"> </v>
      </c>
    </row>
    <row r="19" spans="2:5" x14ac:dyDescent="0.25">
      <c r="B19" s="141"/>
      <c r="C19" s="95">
        <f>IFERROR(IF(VLOOKUP($B19,'SR B-Calf Roping'!$B$5:$AL$100,36,FALSE)=" ",0,VLOOKUP($B19,'SR B-Calf Roping'!$B$5:$AL$100,36,FALSE)),0)+IFERROR(IF(VLOOKUP($B19,'SR B-Steer Wrestling'!$B$5:$AL$100,36,FALSE)=" ",0,VLOOKUP($B19,'SR B-Steer Wrestling'!$B$5:$AL$100,36,FALSE)),0)+IFERROR(IF(VLOOKUP($B19,'SR B-Chute Dogging'!$B$5:$AL$100,36,FALSE)=" ",0,VLOOKUP($B19,'SR B-Chute Dogging'!$B$5:$AL$100,36,FALSE)),0)+IFERROR(IF(VLOOKUP($B19,'SR-Team Roping-Header'!$B$5:$AL$100,12,FALSE)=" ",0,VLOOKUP($B19,'SR-Team Roping-Header'!$B$5:$AL$100,12,FALSE)),0)+IFERROR(IF(VLOOKUP($B19,'SR-Team Roping-Heeler'!$B$5:$AL$100,12,FALSE)=" ",0,VLOOKUP($B19,'SR-Team Roping-Heeler'!$B$5:$AL$100,12,FALSE)),0)+IFERROR(IF(VLOOKUP($B19,'JR B-Steer Riding'!$B$5:$AL$100,36,FALSE)=" ",0,VLOOKUP($B19,'JR B-Steer Riding'!$B$5:$AL$100,36,FALSE)),0)+IFERROR(IF(VLOOKUP($B19,'JR B-Goats'!$B$5:$AL$100,36,FALSE)=" ",0,VLOOKUP($B19,'JR B-Goats'!$B$5:$AL$100,36,FALSE)),0)+IFERROR(IF(VLOOKUP($B19,'JR B-Calf Tying'!$B$5:$AL$100,36,FALSE)=" ",0,VLOOKUP($B19,'JR B-Calf Tying'!$B$5:$AL$100,36,FALSE)),0)+IFERROR(IF(VLOOKUP($B19,'JR B-Breakaway'!$B$5:$AL$100,36,FALSE)=" ",0,VLOOKUP($B19,'JR B-Breakaway'!$B$5:$AL$100,36,FALSE)),0)+IFERROR(IF(VLOOKUP($B19,'JR-Team Roping-Header'!$B$5:$AL$100,12,FALSE)=" ",0,VLOOKUP($B19,'JR-Team Roping-Header'!$B$5:$AL$100,12,FALSE)),0)+IFERROR(IF(VLOOKUP($B19,'JR-Team Roping-Heeler'!$B$5:$AL$100,12,FALSE)=" ",0,VLOOKUP($B19,'JR-Team Roping-Heeler'!$B$5:$AL$100,12,FALSE)),0)+IFERROR(IF(VLOOKUP($B19,'PW B-Calf Riding'!$B$5:$AL$100,36,FALSE)=" ",0,VLOOKUP($B19,'PW B-Calf Riding'!$B$5:$AL$100,36,FALSE)),0)+IFERROR(IF(VLOOKUP($B19,'PW B-Goats'!$B$5:$AL$100,36,FALSE)=" ",0,VLOOKUP($B19,'PW B-Goats'!$B$5:$AL$100,36,FALSE)),0)+IFERROR(IF(VLOOKUP($B19,'PW B-Flags'!$B$5:$AL$100,36,FALSE)=" ",0,VLOOKUP($B19,'PW B-Flags'!$B$5:$AL$100,36,FALSE)),0)+IFERROR(IF(VLOOKUP($B19,'PW B-Breakaway'!$B$5:$AL$100,36,FALSE)=" ",0,VLOOKUP($B19,'PW B-Breakaway'!$B$5:$AL$100,36,FALSE)),0)+IFERROR(IF(VLOOKUP($B19,'PW B-Steer Daubing'!$B$5:$AL$100,36,FALSE)=" ",0,VLOOKUP($B19,'PW B-Steer Daubing'!$B$5:$AL$100,36,FALSE)),0)+IFERROR(IF(VLOOKUP($B19,'MM B-Dummy Roping'!$B$5:$AL$100,36,FALSE)=" ",0,VLOOKUP($B19,'MM B-Dummy Roping'!$B$5:$AL$100,36,FALSE)),0)+IFERROR(IF(VLOOKUP($B19,'MM B-Goats'!$B$5:$AL$100,36,FALSE)=" ",0,VLOOKUP($B19,'MM B-Goats'!$B$5:$AL$100,36,FALSE)),0)+IFERROR(IF(VLOOKUP($B19,'MM B-Flags'!$B$5:$AL$100,36,FALSE)=" ",0,VLOOKUP($B19,'MM B-Flags'!$B$5:$AL$100,36,FALSE)),0)+IFERROR(IF(VLOOKUP($B19,'MM B-Figure 8'!$B$5:$AL$100,36,FALSE)=" ",0,VLOOKUP($B19,'MM B-Figure 8'!$B$5:$AL$100,36,FALSE)),0)</f>
        <v>0</v>
      </c>
      <c r="D19" s="95" t="str">
        <f>IF(C19&gt;0,C19," ")</f>
        <v xml:space="preserve"> </v>
      </c>
      <c r="E19" s="91" t="str">
        <f>IF(D19=" "," ",RANK(D19,D$5:D$24))</f>
        <v xml:space="preserve"> </v>
      </c>
    </row>
    <row r="20" spans="2:5" x14ac:dyDescent="0.25">
      <c r="B20" s="141"/>
      <c r="C20" s="95">
        <f>IFERROR(IF(VLOOKUP($B20,'SR B-Calf Roping'!$B$5:$AL$100,36,FALSE)=" ",0,VLOOKUP($B20,'SR B-Calf Roping'!$B$5:$AL$100,36,FALSE)),0)+IFERROR(IF(VLOOKUP($B20,'SR B-Steer Wrestling'!$B$5:$AL$100,36,FALSE)=" ",0,VLOOKUP($B20,'SR B-Steer Wrestling'!$B$5:$AL$100,36,FALSE)),0)+IFERROR(IF(VLOOKUP($B20,'SR B-Chute Dogging'!$B$5:$AL$100,36,FALSE)=" ",0,VLOOKUP($B20,'SR B-Chute Dogging'!$B$5:$AL$100,36,FALSE)),0)+IFERROR(IF(VLOOKUP($B20,'SR-Team Roping-Header'!$B$5:$AL$100,12,FALSE)=" ",0,VLOOKUP($B20,'SR-Team Roping-Header'!$B$5:$AL$100,12,FALSE)),0)+IFERROR(IF(VLOOKUP($B20,'SR-Team Roping-Heeler'!$B$5:$AL$100,12,FALSE)=" ",0,VLOOKUP($B20,'SR-Team Roping-Heeler'!$B$5:$AL$100,12,FALSE)),0)+IFERROR(IF(VLOOKUP($B20,'JR B-Steer Riding'!$B$5:$AL$100,36,FALSE)=" ",0,VLOOKUP($B20,'JR B-Steer Riding'!$B$5:$AL$100,36,FALSE)),0)+IFERROR(IF(VLOOKUP($B20,'JR B-Goats'!$B$5:$AL$100,36,FALSE)=" ",0,VLOOKUP($B20,'JR B-Goats'!$B$5:$AL$100,36,FALSE)),0)+IFERROR(IF(VLOOKUP($B20,'JR B-Calf Tying'!$B$5:$AL$100,36,FALSE)=" ",0,VLOOKUP($B20,'JR B-Calf Tying'!$B$5:$AL$100,36,FALSE)),0)+IFERROR(IF(VLOOKUP($B20,'JR B-Breakaway'!$B$5:$AL$100,36,FALSE)=" ",0,VLOOKUP($B20,'JR B-Breakaway'!$B$5:$AL$100,36,FALSE)),0)+IFERROR(IF(VLOOKUP($B20,'JR-Team Roping-Header'!$B$5:$AL$100,12,FALSE)=" ",0,VLOOKUP($B20,'JR-Team Roping-Header'!$B$5:$AL$100,12,FALSE)),0)+IFERROR(IF(VLOOKUP($B20,'JR-Team Roping-Heeler'!$B$5:$AL$100,12,FALSE)=" ",0,VLOOKUP($B20,'JR-Team Roping-Heeler'!$B$5:$AL$100,12,FALSE)),0)+IFERROR(IF(VLOOKUP($B20,'PW B-Calf Riding'!$B$5:$AL$100,36,FALSE)=" ",0,VLOOKUP($B20,'PW B-Calf Riding'!$B$5:$AL$100,36,FALSE)),0)+IFERROR(IF(VLOOKUP($B20,'PW B-Goats'!$B$5:$AL$100,36,FALSE)=" ",0,VLOOKUP($B20,'PW B-Goats'!$B$5:$AL$100,36,FALSE)),0)+IFERROR(IF(VLOOKUP($B20,'PW B-Flags'!$B$5:$AL$100,36,FALSE)=" ",0,VLOOKUP($B20,'PW B-Flags'!$B$5:$AL$100,36,FALSE)),0)+IFERROR(IF(VLOOKUP($B20,'PW B-Breakaway'!$B$5:$AL$100,36,FALSE)=" ",0,VLOOKUP($B20,'PW B-Breakaway'!$B$5:$AL$100,36,FALSE)),0)+IFERROR(IF(VLOOKUP($B20,'PW B-Steer Daubing'!$B$5:$AL$100,36,FALSE)=" ",0,VLOOKUP($B20,'PW B-Steer Daubing'!$B$5:$AL$100,36,FALSE)),0)+IFERROR(IF(VLOOKUP($B20,'MM B-Dummy Roping'!$B$5:$AL$100,36,FALSE)=" ",0,VLOOKUP($B20,'MM B-Dummy Roping'!$B$5:$AL$100,36,FALSE)),0)+IFERROR(IF(VLOOKUP($B20,'MM B-Goats'!$B$5:$AL$100,36,FALSE)=" ",0,VLOOKUP($B20,'MM B-Goats'!$B$5:$AL$100,36,FALSE)),0)+IFERROR(IF(VLOOKUP($B20,'MM B-Flags'!$B$5:$AL$100,36,FALSE)=" ",0,VLOOKUP($B20,'MM B-Flags'!$B$5:$AL$100,36,FALSE)),0)+IFERROR(IF(VLOOKUP($B20,'MM B-Figure 8'!$B$5:$AL$100,36,FALSE)=" ",0,VLOOKUP($B20,'MM B-Figure 8'!$B$5:$AL$100,36,FALSE)),0)</f>
        <v>0</v>
      </c>
      <c r="D20" s="95" t="str">
        <f>IF(C20&gt;0,C20," ")</f>
        <v xml:space="preserve"> </v>
      </c>
      <c r="E20" s="91" t="str">
        <f>IF(D20=" "," ",RANK(D20,D$5:D$24))</f>
        <v xml:space="preserve"> </v>
      </c>
    </row>
    <row r="21" spans="2:5" x14ac:dyDescent="0.25">
      <c r="B21" s="141"/>
      <c r="C21" s="95">
        <f>IFERROR(IF(VLOOKUP($B21,'SR B-Calf Roping'!$B$5:$AL$100,36,FALSE)=" ",0,VLOOKUP($B21,'SR B-Calf Roping'!$B$5:$AL$100,36,FALSE)),0)+IFERROR(IF(VLOOKUP($B21,'SR B-Steer Wrestling'!$B$5:$AL$100,36,FALSE)=" ",0,VLOOKUP($B21,'SR B-Steer Wrestling'!$B$5:$AL$100,36,FALSE)),0)+IFERROR(IF(VLOOKUP($B21,'SR B-Chute Dogging'!$B$5:$AL$100,36,FALSE)=" ",0,VLOOKUP($B21,'SR B-Chute Dogging'!$B$5:$AL$100,36,FALSE)),0)+IFERROR(IF(VLOOKUP($B21,'SR-Team Roping-Header'!$B$5:$AL$100,12,FALSE)=" ",0,VLOOKUP($B21,'SR-Team Roping-Header'!$B$5:$AL$100,12,FALSE)),0)+IFERROR(IF(VLOOKUP($B21,'SR-Team Roping-Heeler'!$B$5:$AL$100,12,FALSE)=" ",0,VLOOKUP($B21,'SR-Team Roping-Heeler'!$B$5:$AL$100,12,FALSE)),0)+IFERROR(IF(VLOOKUP($B21,'JR B-Steer Riding'!$B$5:$AL$100,36,FALSE)=" ",0,VLOOKUP($B21,'JR B-Steer Riding'!$B$5:$AL$100,36,FALSE)),0)+IFERROR(IF(VLOOKUP($B21,'JR B-Goats'!$B$5:$AL$100,36,FALSE)=" ",0,VLOOKUP($B21,'JR B-Goats'!$B$5:$AL$100,36,FALSE)),0)+IFERROR(IF(VLOOKUP($B21,'JR B-Calf Tying'!$B$5:$AL$100,36,FALSE)=" ",0,VLOOKUP($B21,'JR B-Calf Tying'!$B$5:$AL$100,36,FALSE)),0)+IFERROR(IF(VLOOKUP($B21,'JR B-Breakaway'!$B$5:$AL$100,36,FALSE)=" ",0,VLOOKUP($B21,'JR B-Breakaway'!$B$5:$AL$100,36,FALSE)),0)+IFERROR(IF(VLOOKUP($B21,'JR-Team Roping-Header'!$B$5:$AL$100,12,FALSE)=" ",0,VLOOKUP($B21,'JR-Team Roping-Header'!$B$5:$AL$100,12,FALSE)),0)+IFERROR(IF(VLOOKUP($B21,'JR-Team Roping-Heeler'!$B$5:$AL$100,12,FALSE)=" ",0,VLOOKUP($B21,'JR-Team Roping-Heeler'!$B$5:$AL$100,12,FALSE)),0)+IFERROR(IF(VLOOKUP($B21,'PW B-Calf Riding'!$B$5:$AL$100,36,FALSE)=" ",0,VLOOKUP($B21,'PW B-Calf Riding'!$B$5:$AL$100,36,FALSE)),0)+IFERROR(IF(VLOOKUP($B21,'PW B-Goats'!$B$5:$AL$100,36,FALSE)=" ",0,VLOOKUP($B21,'PW B-Goats'!$B$5:$AL$100,36,FALSE)),0)+IFERROR(IF(VLOOKUP($B21,'PW B-Flags'!$B$5:$AL$100,36,FALSE)=" ",0,VLOOKUP($B21,'PW B-Flags'!$B$5:$AL$100,36,FALSE)),0)+IFERROR(IF(VLOOKUP($B21,'PW B-Breakaway'!$B$5:$AL$100,36,FALSE)=" ",0,VLOOKUP($B21,'PW B-Breakaway'!$B$5:$AL$100,36,FALSE)),0)+IFERROR(IF(VLOOKUP($B21,'PW B-Steer Daubing'!$B$5:$AL$100,36,FALSE)=" ",0,VLOOKUP($B21,'PW B-Steer Daubing'!$B$5:$AL$100,36,FALSE)),0)+IFERROR(IF(VLOOKUP($B21,'MM B-Dummy Roping'!$B$5:$AL$100,36,FALSE)=" ",0,VLOOKUP($B21,'MM B-Dummy Roping'!$B$5:$AL$100,36,FALSE)),0)+IFERROR(IF(VLOOKUP($B21,'MM B-Goats'!$B$5:$AL$100,36,FALSE)=" ",0,VLOOKUP($B21,'MM B-Goats'!$B$5:$AL$100,36,FALSE)),0)+IFERROR(IF(VLOOKUP($B21,'MM B-Flags'!$B$5:$AL$100,36,FALSE)=" ",0,VLOOKUP($B21,'MM B-Flags'!$B$5:$AL$100,36,FALSE)),0)+IFERROR(IF(VLOOKUP($B21,'MM B-Figure 8'!$B$5:$AL$100,36,FALSE)=" ",0,VLOOKUP($B21,'MM B-Figure 8'!$B$5:$AL$100,36,FALSE)),0)</f>
        <v>0</v>
      </c>
      <c r="D21" s="95" t="str">
        <f>IF(C21&gt;0,C21," ")</f>
        <v xml:space="preserve"> </v>
      </c>
      <c r="E21" s="91" t="str">
        <f>IF(D21=" "," ",RANK(D21,D$5:D$24))</f>
        <v xml:space="preserve"> </v>
      </c>
    </row>
    <row r="22" spans="2:5" x14ac:dyDescent="0.25">
      <c r="B22" s="141"/>
      <c r="C22" s="95">
        <f>IFERROR(IF(VLOOKUP($B22,'SR B-Calf Roping'!$B$5:$AL$100,36,FALSE)=" ",0,VLOOKUP($B22,'SR B-Calf Roping'!$B$5:$AL$100,36,FALSE)),0)+IFERROR(IF(VLOOKUP($B22,'SR B-Steer Wrestling'!$B$5:$AL$100,36,FALSE)=" ",0,VLOOKUP($B22,'SR B-Steer Wrestling'!$B$5:$AL$100,36,FALSE)),0)+IFERROR(IF(VLOOKUP($B22,'SR B-Chute Dogging'!$B$5:$AL$100,36,FALSE)=" ",0,VLOOKUP($B22,'SR B-Chute Dogging'!$B$5:$AL$100,36,FALSE)),0)+IFERROR(IF(VLOOKUP($B22,'SR-Team Roping-Header'!$B$5:$AL$100,12,FALSE)=" ",0,VLOOKUP($B22,'SR-Team Roping-Header'!$B$5:$AL$100,12,FALSE)),0)+IFERROR(IF(VLOOKUP($B22,'SR-Team Roping-Heeler'!$B$5:$AL$100,12,FALSE)=" ",0,VLOOKUP($B22,'SR-Team Roping-Heeler'!$B$5:$AL$100,12,FALSE)),0)+IFERROR(IF(VLOOKUP($B22,'JR B-Steer Riding'!$B$5:$AL$100,36,FALSE)=" ",0,VLOOKUP($B22,'JR B-Steer Riding'!$B$5:$AL$100,36,FALSE)),0)+IFERROR(IF(VLOOKUP($B22,'JR B-Goats'!$B$5:$AL$100,36,FALSE)=" ",0,VLOOKUP($B22,'JR B-Goats'!$B$5:$AL$100,36,FALSE)),0)+IFERROR(IF(VLOOKUP($B22,'JR B-Calf Tying'!$B$5:$AL$100,36,FALSE)=" ",0,VLOOKUP($B22,'JR B-Calf Tying'!$B$5:$AL$100,36,FALSE)),0)+IFERROR(IF(VLOOKUP($B22,'JR B-Breakaway'!$B$5:$AL$100,36,FALSE)=" ",0,VLOOKUP($B22,'JR B-Breakaway'!$B$5:$AL$100,36,FALSE)),0)+IFERROR(IF(VLOOKUP($B22,'JR-Team Roping-Header'!$B$5:$AL$100,12,FALSE)=" ",0,VLOOKUP($B22,'JR-Team Roping-Header'!$B$5:$AL$100,12,FALSE)),0)+IFERROR(IF(VLOOKUP($B22,'JR-Team Roping-Heeler'!$B$5:$AL$100,12,FALSE)=" ",0,VLOOKUP($B22,'JR-Team Roping-Heeler'!$B$5:$AL$100,12,FALSE)),0)+IFERROR(IF(VLOOKUP($B22,'PW B-Calf Riding'!$B$5:$AL$100,36,FALSE)=" ",0,VLOOKUP($B22,'PW B-Calf Riding'!$B$5:$AL$100,36,FALSE)),0)+IFERROR(IF(VLOOKUP($B22,'PW B-Goats'!$B$5:$AL$100,36,FALSE)=" ",0,VLOOKUP($B22,'PW B-Goats'!$B$5:$AL$100,36,FALSE)),0)+IFERROR(IF(VLOOKUP($B22,'PW B-Flags'!$B$5:$AL$100,36,FALSE)=" ",0,VLOOKUP($B22,'PW B-Flags'!$B$5:$AL$100,36,FALSE)),0)+IFERROR(IF(VLOOKUP($B22,'PW B-Breakaway'!$B$5:$AL$100,36,FALSE)=" ",0,VLOOKUP($B22,'PW B-Breakaway'!$B$5:$AL$100,36,FALSE)),0)+IFERROR(IF(VLOOKUP($B22,'PW B-Steer Daubing'!$B$5:$AL$100,36,FALSE)=" ",0,VLOOKUP($B22,'PW B-Steer Daubing'!$B$5:$AL$100,36,FALSE)),0)+IFERROR(IF(VLOOKUP($B22,'MM B-Dummy Roping'!$B$5:$AL$100,36,FALSE)=" ",0,VLOOKUP($B22,'MM B-Dummy Roping'!$B$5:$AL$100,36,FALSE)),0)+IFERROR(IF(VLOOKUP($B22,'MM B-Goats'!$B$5:$AL$100,36,FALSE)=" ",0,VLOOKUP($B22,'MM B-Goats'!$B$5:$AL$100,36,FALSE)),0)+IFERROR(IF(VLOOKUP($B22,'MM B-Flags'!$B$5:$AL$100,36,FALSE)=" ",0,VLOOKUP($B22,'MM B-Flags'!$B$5:$AL$100,36,FALSE)),0)+IFERROR(IF(VLOOKUP($B22,'MM B-Figure 8'!$B$5:$AL$100,36,FALSE)=" ",0,VLOOKUP($B22,'MM B-Figure 8'!$B$5:$AL$100,36,FALSE)),0)</f>
        <v>0</v>
      </c>
      <c r="D22" s="95" t="str">
        <f>IF(C22&gt;0,C22," ")</f>
        <v xml:space="preserve"> </v>
      </c>
      <c r="E22" s="91" t="str">
        <f>IF(D22=" "," ",RANK(D22,D$5:D$24))</f>
        <v xml:space="preserve"> </v>
      </c>
    </row>
    <row r="23" spans="2:5" x14ac:dyDescent="0.25">
      <c r="B23" s="141"/>
      <c r="C23" s="95">
        <f>IFERROR(IF(VLOOKUP($B23,'SR B-Calf Roping'!$B$5:$AL$100,36,FALSE)=" ",0,VLOOKUP($B23,'SR B-Calf Roping'!$B$5:$AL$100,36,FALSE)),0)+IFERROR(IF(VLOOKUP($B23,'SR B-Steer Wrestling'!$B$5:$AL$100,36,FALSE)=" ",0,VLOOKUP($B23,'SR B-Steer Wrestling'!$B$5:$AL$100,36,FALSE)),0)+IFERROR(IF(VLOOKUP($B23,'SR B-Chute Dogging'!$B$5:$AL$100,36,FALSE)=" ",0,VLOOKUP($B23,'SR B-Chute Dogging'!$B$5:$AL$100,36,FALSE)),0)+IFERROR(IF(VLOOKUP($B23,'SR-Team Roping-Header'!$B$5:$AL$100,12,FALSE)=" ",0,VLOOKUP($B23,'SR-Team Roping-Header'!$B$5:$AL$100,12,FALSE)),0)+IFERROR(IF(VLOOKUP($B23,'SR-Team Roping-Heeler'!$B$5:$AL$100,12,FALSE)=" ",0,VLOOKUP($B23,'SR-Team Roping-Heeler'!$B$5:$AL$100,12,FALSE)),0)+IFERROR(IF(VLOOKUP($B23,'JR B-Steer Riding'!$B$5:$AL$100,36,FALSE)=" ",0,VLOOKUP($B23,'JR B-Steer Riding'!$B$5:$AL$100,36,FALSE)),0)+IFERROR(IF(VLOOKUP($B23,'JR B-Goats'!$B$5:$AL$100,36,FALSE)=" ",0,VLOOKUP($B23,'JR B-Goats'!$B$5:$AL$100,36,FALSE)),0)+IFERROR(IF(VLOOKUP($B23,'JR B-Calf Tying'!$B$5:$AL$100,36,FALSE)=" ",0,VLOOKUP($B23,'JR B-Calf Tying'!$B$5:$AL$100,36,FALSE)),0)+IFERROR(IF(VLOOKUP($B23,'JR B-Breakaway'!$B$5:$AL$100,36,FALSE)=" ",0,VLOOKUP($B23,'JR B-Breakaway'!$B$5:$AL$100,36,FALSE)),0)+IFERROR(IF(VLOOKUP($B23,'JR-Team Roping-Header'!$B$5:$AL$100,12,FALSE)=" ",0,VLOOKUP($B23,'JR-Team Roping-Header'!$B$5:$AL$100,12,FALSE)),0)+IFERROR(IF(VLOOKUP($B23,'JR-Team Roping-Heeler'!$B$5:$AL$100,12,FALSE)=" ",0,VLOOKUP($B23,'JR-Team Roping-Heeler'!$B$5:$AL$100,12,FALSE)),0)+IFERROR(IF(VLOOKUP($B23,'PW B-Calf Riding'!$B$5:$AL$100,36,FALSE)=" ",0,VLOOKUP($B23,'PW B-Calf Riding'!$B$5:$AL$100,36,FALSE)),0)+IFERROR(IF(VLOOKUP($B23,'PW B-Goats'!$B$5:$AL$100,36,FALSE)=" ",0,VLOOKUP($B23,'PW B-Goats'!$B$5:$AL$100,36,FALSE)),0)+IFERROR(IF(VLOOKUP($B23,'PW B-Flags'!$B$5:$AL$100,36,FALSE)=" ",0,VLOOKUP($B23,'PW B-Flags'!$B$5:$AL$100,36,FALSE)),0)+IFERROR(IF(VLOOKUP($B23,'PW B-Breakaway'!$B$5:$AL$100,36,FALSE)=" ",0,VLOOKUP($B23,'PW B-Breakaway'!$B$5:$AL$100,36,FALSE)),0)+IFERROR(IF(VLOOKUP($B23,'PW B-Steer Daubing'!$B$5:$AL$100,36,FALSE)=" ",0,VLOOKUP($B23,'PW B-Steer Daubing'!$B$5:$AL$100,36,FALSE)),0)+IFERROR(IF(VLOOKUP($B23,'MM B-Dummy Roping'!$B$5:$AL$100,36,FALSE)=" ",0,VLOOKUP($B23,'MM B-Dummy Roping'!$B$5:$AL$100,36,FALSE)),0)+IFERROR(IF(VLOOKUP($B23,'MM B-Goats'!$B$5:$AL$100,36,FALSE)=" ",0,VLOOKUP($B23,'MM B-Goats'!$B$5:$AL$100,36,FALSE)),0)+IFERROR(IF(VLOOKUP($B23,'MM B-Flags'!$B$5:$AL$100,36,FALSE)=" ",0,VLOOKUP($B23,'MM B-Flags'!$B$5:$AL$100,36,FALSE)),0)+IFERROR(IF(VLOOKUP($B23,'MM B-Figure 8'!$B$5:$AL$100,36,FALSE)=" ",0,VLOOKUP($B23,'MM B-Figure 8'!$B$5:$AL$100,36,FALSE)),0)</f>
        <v>0</v>
      </c>
      <c r="D23" s="95" t="str">
        <f>IF(C23&gt;0,C23," ")</f>
        <v xml:space="preserve"> </v>
      </c>
      <c r="E23" s="91" t="str">
        <f>IF(D23=" "," ",RANK(D23,D$5:D$24))</f>
        <v xml:space="preserve"> </v>
      </c>
    </row>
    <row r="24" spans="2:5" ht="14.4" thickBot="1" x14ac:dyDescent="0.3">
      <c r="B24" s="143"/>
      <c r="C24" s="105">
        <f>IFERROR(IF(VLOOKUP($B24,'SR B-Calf Roping'!$B$5:$AL$100,36,FALSE)=" ",0,VLOOKUP($B24,'SR B-Calf Roping'!$B$5:$AL$100,36,FALSE)),0)+IFERROR(IF(VLOOKUP($B24,'SR B-Steer Wrestling'!$B$5:$AL$100,36,FALSE)=" ",0,VLOOKUP($B24,'SR B-Steer Wrestling'!$B$5:$AL$100,36,FALSE)),0)+IFERROR(IF(VLOOKUP($B24,'SR B-Chute Dogging'!$B$5:$AL$100,36,FALSE)=" ",0,VLOOKUP($B24,'SR B-Chute Dogging'!$B$5:$AL$100,36,FALSE)),0)+IFERROR(IF(VLOOKUP($B24,'SR-Team Roping-Header'!$B$5:$AL$100,12,FALSE)=" ",0,VLOOKUP($B24,'SR-Team Roping-Header'!$B$5:$AL$100,12,FALSE)),0)+IFERROR(IF(VLOOKUP($B24,'SR-Team Roping-Heeler'!$B$5:$AL$100,12,FALSE)=" ",0,VLOOKUP($B24,'SR-Team Roping-Heeler'!$B$5:$AL$100,12,FALSE)),0)+IFERROR(IF(VLOOKUP($B24,'JR B-Steer Riding'!$B$5:$AL$100,36,FALSE)=" ",0,VLOOKUP($B24,'JR B-Steer Riding'!$B$5:$AL$100,36,FALSE)),0)+IFERROR(IF(VLOOKUP($B24,'JR B-Goats'!$B$5:$AL$100,36,FALSE)=" ",0,VLOOKUP($B24,'JR B-Goats'!$B$5:$AL$100,36,FALSE)),0)+IFERROR(IF(VLOOKUP($B24,'JR B-Calf Tying'!$B$5:$AL$100,36,FALSE)=" ",0,VLOOKUP($B24,'JR B-Calf Tying'!$B$5:$AL$100,36,FALSE)),0)+IFERROR(IF(VLOOKUP($B24,'JR B-Breakaway'!$B$5:$AL$100,36,FALSE)=" ",0,VLOOKUP($B24,'JR B-Breakaway'!$B$5:$AL$100,36,FALSE)),0)+IFERROR(IF(VLOOKUP($B24,'JR-Team Roping-Header'!$B$5:$AL$100,12,FALSE)=" ",0,VLOOKUP($B24,'JR-Team Roping-Header'!$B$5:$AL$100,12,FALSE)),0)+IFERROR(IF(VLOOKUP($B24,'JR-Team Roping-Heeler'!$B$5:$AL$100,12,FALSE)=" ",0,VLOOKUP($B24,'JR-Team Roping-Heeler'!$B$5:$AL$100,12,FALSE)),0)+IFERROR(IF(VLOOKUP($B24,'PW B-Calf Riding'!$B$5:$AL$100,36,FALSE)=" ",0,VLOOKUP($B24,'PW B-Calf Riding'!$B$5:$AL$100,36,FALSE)),0)+IFERROR(IF(VLOOKUP($B24,'PW B-Goats'!$B$5:$AL$100,36,FALSE)=" ",0,VLOOKUP($B24,'PW B-Goats'!$B$5:$AL$100,36,FALSE)),0)+IFERROR(IF(VLOOKUP($B24,'PW B-Flags'!$B$5:$AL$100,36,FALSE)=" ",0,VLOOKUP($B24,'PW B-Flags'!$B$5:$AL$100,36,FALSE)),0)+IFERROR(IF(VLOOKUP($B24,'PW B-Breakaway'!$B$5:$AL$100,36,FALSE)=" ",0,VLOOKUP($B24,'PW B-Breakaway'!$B$5:$AL$100,36,FALSE)),0)+IFERROR(IF(VLOOKUP($B24,'PW B-Steer Daubing'!$B$5:$AL$100,36,FALSE)=" ",0,VLOOKUP($B24,'PW B-Steer Daubing'!$B$5:$AL$100,36,FALSE)),0)+IFERROR(IF(VLOOKUP($B24,'MM B-Dummy Roping'!$B$5:$AL$100,36,FALSE)=" ",0,VLOOKUP($B24,'MM B-Dummy Roping'!$B$5:$AL$100,36,FALSE)),0)+IFERROR(IF(VLOOKUP($B24,'MM B-Goats'!$B$5:$AL$100,36,FALSE)=" ",0,VLOOKUP($B24,'MM B-Goats'!$B$5:$AL$100,36,FALSE)),0)+IFERROR(IF(VLOOKUP($B24,'MM B-Flags'!$B$5:$AL$100,36,FALSE)=" ",0,VLOOKUP($B24,'MM B-Flags'!$B$5:$AL$100,36,FALSE)),0)+IFERROR(IF(VLOOKUP($B24,'MM B-Figure 8'!$B$5:$AL$100,36,FALSE)=" ",0,VLOOKUP($B24,'MM B-Figure 8'!$B$5:$AL$100,36,FALSE)),0)</f>
        <v>0</v>
      </c>
      <c r="D24" s="105" t="str">
        <f>IF(C24&gt;0,C24," ")</f>
        <v xml:space="preserve"> </v>
      </c>
      <c r="E24" s="101" t="str">
        <f>IF(D24=" "," ",RANK(D24,D$5:D$24))</f>
        <v xml:space="preserve"> </v>
      </c>
    </row>
    <row r="25" spans="2:5" ht="14.4" thickBot="1" x14ac:dyDescent="0.3">
      <c r="B25" s="125" t="s">
        <v>236</v>
      </c>
    </row>
    <row r="27" spans="2:5" x14ac:dyDescent="0.25">
      <c r="C27" s="126"/>
      <c r="D27" s="126"/>
    </row>
    <row r="28" spans="2:5" x14ac:dyDescent="0.25">
      <c r="C28" s="126"/>
      <c r="D28" s="126"/>
    </row>
  </sheetData>
  <sheetProtection algorithmName="SHA-512" hashValue="vqPd/Wa6VY5MnZ5Eub3NpIAO66sPtYzd66+jDX2k2v/jdOxojONlk9JxwoVnw1UQjOmNS4RtOsjWVscGJrn9RA==" saltValue="8ROQEfC69sxhn76zamyFww==" spinCount="100000" sheet="1" objects="1" scenarios="1"/>
  <mergeCells count="1">
    <mergeCell ref="C2:E2"/>
  </mergeCells>
  <pageMargins left="0.7" right="0.7" top="0.75" bottom="0.75" header="0.3" footer="0.3"/>
  <pageSetup scale="45" orientation="landscape" r:id="rId1"/>
  <ignoredErrors>
    <ignoredError sqref="E5:E24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8E66-C38A-486B-974F-92EFEF8A3069}">
  <sheetPr codeName="Sheet87">
    <tabColor theme="9" tint="0.79998168889431442"/>
    <pageSetUpPr fitToPage="1"/>
  </sheetPr>
  <dimension ref="B1:AC28"/>
  <sheetViews>
    <sheetView showGridLines="0" workbookViewId="0">
      <pane xSplit="2" topLeftCell="D1" activePane="topRight" state="frozen"/>
      <selection activeCell="F34" sqref="F34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47" style="62" customWidth="1"/>
    <col min="3" max="3" width="11.6640625" style="60" hidden="1" customWidth="1"/>
    <col min="4" max="4" width="11.6640625" style="60" customWidth="1"/>
    <col min="5" max="5" width="11.6640625" style="57" customWidth="1"/>
    <col min="6" max="6" width="11.6640625" style="60" hidden="1" customWidth="1"/>
    <col min="7" max="7" width="11.6640625" style="60" customWidth="1"/>
    <col min="8" max="8" width="11.6640625" style="57" customWidth="1"/>
    <col min="9" max="9" width="11.6640625" style="60" hidden="1" customWidth="1"/>
    <col min="10" max="10" width="11.6640625" style="60" customWidth="1"/>
    <col min="11" max="11" width="11.6640625" style="57" customWidth="1"/>
    <col min="12" max="12" width="11.6640625" style="60" hidden="1" customWidth="1"/>
    <col min="13" max="13" width="11.6640625" style="60" customWidth="1"/>
    <col min="14" max="14" width="11.6640625" style="57" customWidth="1"/>
    <col min="15" max="15" width="11.6640625" style="60" hidden="1" customWidth="1"/>
    <col min="16" max="16" width="11.6640625" style="60" customWidth="1"/>
    <col min="17" max="17" width="11.6640625" style="57" customWidth="1"/>
    <col min="18" max="18" width="11.6640625" style="60" hidden="1" customWidth="1"/>
    <col min="19" max="19" width="11.6640625" style="60" customWidth="1"/>
    <col min="20" max="20" width="11.6640625" style="57" customWidth="1"/>
    <col min="21" max="21" width="11.6640625" style="60" hidden="1" customWidth="1"/>
    <col min="22" max="22" width="11.6640625" style="60" customWidth="1"/>
    <col min="23" max="23" width="11.6640625" style="57" customWidth="1"/>
    <col min="24" max="24" width="11.6640625" style="60" hidden="1" customWidth="1"/>
    <col min="25" max="25" width="11.6640625" style="60" customWidth="1"/>
    <col min="26" max="26" width="11.6640625" style="57" customWidth="1"/>
    <col min="27" max="27" width="11.6640625" style="60" hidden="1" customWidth="1"/>
    <col min="28" max="28" width="11.6640625" style="60" customWidth="1"/>
    <col min="29" max="29" width="11.6640625" style="57" customWidth="1"/>
    <col min="30" max="16384" width="9.109375" style="62"/>
  </cols>
  <sheetData>
    <row r="1" spans="2:29" ht="18" thickBot="1" x14ac:dyDescent="0.35">
      <c r="B1" s="54"/>
    </row>
    <row r="2" spans="2:29" s="64" customFormat="1" ht="17.399999999999999" x14ac:dyDescent="0.3">
      <c r="B2" s="139" t="s">
        <v>128</v>
      </c>
      <c r="C2" s="165">
        <v>43590</v>
      </c>
      <c r="D2" s="166"/>
      <c r="E2" s="167"/>
      <c r="F2" s="165">
        <v>43632</v>
      </c>
      <c r="G2" s="166"/>
      <c r="H2" s="167"/>
      <c r="I2" s="165">
        <v>43659</v>
      </c>
      <c r="J2" s="166"/>
      <c r="K2" s="167"/>
      <c r="L2" s="165">
        <v>43660</v>
      </c>
      <c r="M2" s="166"/>
      <c r="N2" s="167"/>
      <c r="O2" s="165">
        <v>43681</v>
      </c>
      <c r="P2" s="166"/>
      <c r="Q2" s="167"/>
      <c r="R2" s="165" t="s">
        <v>183</v>
      </c>
      <c r="S2" s="166"/>
      <c r="T2" s="167"/>
      <c r="U2" s="165" t="s">
        <v>184</v>
      </c>
      <c r="V2" s="166"/>
      <c r="W2" s="167"/>
      <c r="X2" s="165" t="s">
        <v>3</v>
      </c>
      <c r="Y2" s="166"/>
      <c r="Z2" s="167"/>
      <c r="AA2" s="165" t="s">
        <v>4</v>
      </c>
      <c r="AB2" s="166"/>
      <c r="AC2" s="167"/>
    </row>
    <row r="3" spans="2:29" s="74" customFormat="1" ht="14.4" thickBot="1" x14ac:dyDescent="0.3">
      <c r="B3" s="111" t="s">
        <v>38</v>
      </c>
      <c r="C3" s="112" t="s">
        <v>2</v>
      </c>
      <c r="D3" s="113" t="s">
        <v>2</v>
      </c>
      <c r="E3" s="73" t="s">
        <v>1</v>
      </c>
      <c r="F3" s="112" t="s">
        <v>2</v>
      </c>
      <c r="G3" s="113" t="s">
        <v>2</v>
      </c>
      <c r="H3" s="73" t="s">
        <v>1</v>
      </c>
      <c r="I3" s="112" t="s">
        <v>2</v>
      </c>
      <c r="J3" s="113" t="s">
        <v>2</v>
      </c>
      <c r="K3" s="73" t="s">
        <v>1</v>
      </c>
      <c r="L3" s="112" t="s">
        <v>2</v>
      </c>
      <c r="M3" s="113" t="s">
        <v>2</v>
      </c>
      <c r="N3" s="73" t="s">
        <v>1</v>
      </c>
      <c r="O3" s="112" t="s">
        <v>2</v>
      </c>
      <c r="P3" s="113" t="s">
        <v>2</v>
      </c>
      <c r="Q3" s="73" t="s">
        <v>1</v>
      </c>
      <c r="R3" s="112" t="s">
        <v>2</v>
      </c>
      <c r="S3" s="113" t="s">
        <v>2</v>
      </c>
      <c r="T3" s="73" t="s">
        <v>1</v>
      </c>
      <c r="U3" s="112" t="s">
        <v>2</v>
      </c>
      <c r="V3" s="113" t="s">
        <v>2</v>
      </c>
      <c r="W3" s="73" t="s">
        <v>1</v>
      </c>
      <c r="X3" s="112" t="s">
        <v>2</v>
      </c>
      <c r="Y3" s="113" t="s">
        <v>2</v>
      </c>
      <c r="Z3" s="73" t="s">
        <v>1</v>
      </c>
      <c r="AA3" s="112" t="s">
        <v>2</v>
      </c>
      <c r="AB3" s="113" t="s">
        <v>2</v>
      </c>
      <c r="AC3" s="73" t="s">
        <v>1</v>
      </c>
    </row>
    <row r="4" spans="2:29" s="74" customFormat="1" ht="18.75" hidden="1" customHeight="1" thickBot="1" x14ac:dyDescent="0.35">
      <c r="B4" s="114" t="s">
        <v>38</v>
      </c>
      <c r="C4" s="115" t="s">
        <v>2</v>
      </c>
      <c r="D4" s="116" t="s">
        <v>75</v>
      </c>
      <c r="E4" s="117" t="s">
        <v>1</v>
      </c>
      <c r="F4" s="116" t="s">
        <v>42</v>
      </c>
      <c r="G4" s="116" t="s">
        <v>9</v>
      </c>
      <c r="H4" s="117" t="s">
        <v>43</v>
      </c>
      <c r="I4" s="116" t="s">
        <v>44</v>
      </c>
      <c r="J4" s="116" t="s">
        <v>76</v>
      </c>
      <c r="K4" s="117" t="s">
        <v>45</v>
      </c>
      <c r="L4" s="116" t="s">
        <v>49</v>
      </c>
      <c r="M4" s="116" t="s">
        <v>77</v>
      </c>
      <c r="N4" s="117" t="s">
        <v>46</v>
      </c>
      <c r="O4" s="116" t="s">
        <v>51</v>
      </c>
      <c r="P4" s="116" t="s">
        <v>78</v>
      </c>
      <c r="Q4" s="117" t="s">
        <v>47</v>
      </c>
      <c r="R4" s="116" t="s">
        <v>53</v>
      </c>
      <c r="S4" s="116" t="s">
        <v>79</v>
      </c>
      <c r="T4" s="117" t="s">
        <v>48</v>
      </c>
      <c r="U4" s="116" t="s">
        <v>54</v>
      </c>
      <c r="V4" s="116" t="s">
        <v>80</v>
      </c>
      <c r="W4" s="117" t="s">
        <v>50</v>
      </c>
      <c r="X4" s="116" t="s">
        <v>55</v>
      </c>
      <c r="Y4" s="116" t="s">
        <v>81</v>
      </c>
      <c r="Z4" s="117" t="s">
        <v>52</v>
      </c>
      <c r="AA4" s="116" t="s">
        <v>56</v>
      </c>
      <c r="AB4" s="116" t="s">
        <v>82</v>
      </c>
      <c r="AC4" s="117" t="s">
        <v>57</v>
      </c>
    </row>
    <row r="5" spans="2:29" x14ac:dyDescent="0.25">
      <c r="B5" s="140" t="s">
        <v>164</v>
      </c>
      <c r="C5" s="118">
        <f>IFERROR(IF(VLOOKUP($B5,'SR G-Breakaway'!$B$5:$AI$24,6,FALSE)=" ",0,VLOOKUP($B5,'SR G-Breakaway'!$B$5:$AI$24,6,FALSE)),0)+IFERROR(IF(VLOOKUP($B5,'SR G-Barrels'!$B$5:$AI$24,6,FALSE)=" ",0,VLOOKUP($B5,'SR G-Barrels'!$B$5:$AI$24,6,FALSE)),0)+IFERROR(IF(VLOOKUP($B5,'SR G-Poles'!$B$5:$AI$24,6,FALSE)=" ",0,VLOOKUP($B5,'SR G-Poles'!$B$5:$AI$24,6,FALSE)),0)+IFERROR(IF(VLOOKUP($B5,'SR G-Goats'!$B$5:$AI$24,6,FALSE)=" ",0,VLOOKUP($B5,'SR G-Goats'!$B$5:$AI$24,6,FALSE)),0)+IFERROR(IF(VLOOKUP($B5,'SR-Team Roping-Header'!$B$5:$N$24,3,FALSE)=" ",0,VLOOKUP($B5,'SR-Team Roping-Header'!$B$5:$N$24,3,FALSE)),0)+IFERROR(IF(VLOOKUP($B5,'SR-Team Roping-Heeler'!$B$5:$N$24,3,FALSE)=" ",0,VLOOKUP($B5,'SR-Team Roping-Heeler'!$B$5:$N$24,3,FALSE)),0)</f>
        <v>54</v>
      </c>
      <c r="D5" s="88">
        <f t="shared" ref="D5:D24" si="0">IF(C5&gt;0,C5," ")</f>
        <v>54</v>
      </c>
      <c r="E5" s="84">
        <f t="shared" ref="E5:E24" si="1">IF(C5=0," ",RANK(C5,C$5:C$24,0))</f>
        <v>1</v>
      </c>
      <c r="F5" s="119">
        <f>IFERROR(IF(VLOOKUP($B5,'SR G-Breakaway'!$B$5:$AI$24,10,FALSE)=" ",0,VLOOKUP($B5,'SR G-Breakaway'!$B$5:$AI$24,10,FALSE)),0)+IFERROR(IF(VLOOKUP($B5,'SR G-Barrels'!$B$5:$AI$24,10,FALSE)=" ",0,VLOOKUP($B5,'SR G-Barrels'!$B$5:$AI$24,10,FALSE)),0)+IFERROR(IF(VLOOKUP($B5,'SR G-Poles'!$B$5:$AI$24,10,FALSE)=" ",0,VLOOKUP($B5,'SR G-Poles'!$B$5:$AI$24,10,FALSE)),0)+IFERROR(IF(VLOOKUP($B5,'SR G-Goats'!$B$5:$AI$24,10,FALSE)=" ",0,VLOOKUP($B5,'SR G-Goats'!$B$5:$AI$24,10,FALSE)),0)+IFERROR(IF(VLOOKUP($B5,'SR-Team Roping-Header'!$B$5:$N$24,4,FALSE)=" ",0,VLOOKUP($B5,'SR-Team Roping-Header'!$B$5:$N$24,4,FALSE)),0)+IFERROR(IF(VLOOKUP($B5,'SR-Team Roping-Heeler'!$B$5:$N$24,4,FALSE)=" ",0,VLOOKUP($B5,'SR-Team Roping-Heeler'!$B$5:$N$24,4,FALSE)),0)</f>
        <v>33</v>
      </c>
      <c r="G5" s="88">
        <f t="shared" ref="G5:G24" si="2">IF(F5&gt;0,F5," ")</f>
        <v>33</v>
      </c>
      <c r="H5" s="84">
        <f t="shared" ref="H5:H24" si="3">IF(F5=0," ",RANK(F5,F$5:F$24,0))</f>
        <v>3</v>
      </c>
      <c r="I5" s="119">
        <f>IFERROR(IF(VLOOKUP($B5,'SR G-Breakaway'!$B$5:$AI$24,14,FALSE)=" ",0,VLOOKUP($B5,'SR G-Breakaway'!$B$5:$AI$24,14,FALSE)),0)+IFERROR(IF(VLOOKUP($B5,'SR G-Barrels'!$B$5:$AI$24,14,FALSE)=" ",0,VLOOKUP($B5,'SR G-Barrels'!$B$5:$AI$24,14,FALSE)),0)+IFERROR(IF(VLOOKUP($B5,'SR G-Poles'!$B$5:$AI$24,14,FALSE)=" ",0,VLOOKUP($B5,'SR G-Poles'!$B$5:$AI$24,14,FALSE)),0)+IFERROR(IF(VLOOKUP($B5,'SR G-Goats'!$B$5:$AI$24,14,FALSE)=" ",0,VLOOKUP($B5,'SR G-Goats'!$B$5:$AI$24,14,FALSE)),0)+IFERROR(IF(VLOOKUP($B5,'SR-Team Roping-Header'!$B$5:$N$24,5,FALSE)=" ",0,VLOOKUP($B5,'SR-Team Roping-Header'!$B$5:$N$24,5,FALSE)),0)+IFERROR(IF(VLOOKUP($B5,'SR-Team Roping-Heeler'!$B$5:$N$24,5,FALSE)=" ",0,VLOOKUP($B5,'SR-Team Roping-Heeler'!$B$5:$N$24,5,FALSE)),0)</f>
        <v>48</v>
      </c>
      <c r="J5" s="88">
        <f t="shared" ref="J5:J24" si="4">IF(I5&gt;0,I5," ")</f>
        <v>48</v>
      </c>
      <c r="K5" s="84">
        <f t="shared" ref="K5:K24" si="5">IF(I5=0," ",RANK(I5,I$5:I$24,0))</f>
        <v>2</v>
      </c>
      <c r="L5" s="119">
        <f>IFERROR(IF(VLOOKUP($B5,'SR G-Breakaway'!$B$5:$AI$24,18,FALSE)=" ",0,VLOOKUP($B5,'SR G-Breakaway'!$B$5:$AI$24,18,FALSE)),0)+IFERROR(IF(VLOOKUP($B5,'SR G-Barrels'!$B$5:$AI$24,18,FALSE)=" ",0,VLOOKUP($B5,'SR G-Barrels'!$B$5:$AI$24,18,FALSE)),0)+IFERROR(IF(VLOOKUP($B5,'SR G-Poles'!$B$5:$AI$24,18,FALSE)=" ",0,VLOOKUP($B5,'SR G-Poles'!$B$5:$AI$24,18,FALSE)),0)+IFERROR(IF(VLOOKUP($B5,'SR G-Goats'!$B$5:$AI$24,18,FALSE)=" ",0,VLOOKUP($B5,'SR G-Goats'!$B$5:$AI$24,18,FALSE)),0)+IFERROR(IF(VLOOKUP($B5,'SR-Team Roping-Header'!$B$5:$N$24,6,FALSE)=" ",0,VLOOKUP($B5,'SR-Team Roping-Header'!$B$5:$N$24,6,FALSE)),0)+IFERROR(IF(VLOOKUP($B5,'SR-Team Roping-Heeler'!$B$5:$N$24,6,FALSE)=" ",0,VLOOKUP($B5,'SR-Team Roping-Heeler'!$B$5:$N$24,6,FALSE)),0)</f>
        <v>51</v>
      </c>
      <c r="M5" s="88">
        <f t="shared" ref="M5:M24" si="6">IF(L5&gt;0,L5," ")</f>
        <v>51</v>
      </c>
      <c r="N5" s="84">
        <f t="shared" ref="N5:N24" si="7">IF(L5=0," ",RANK(L5,L$5:L$24,0))</f>
        <v>1</v>
      </c>
      <c r="O5" s="119">
        <f>IFERROR(IF(VLOOKUP($B5,'SR G-Breakaway'!$B$5:$AI$24,22,FALSE)=" ",0,VLOOKUP($B5,'SR G-Breakaway'!$B$5:$AI$24,22,FALSE)),0)+IFERROR(IF(VLOOKUP($B5,'SR G-Barrels'!$B$5:$AI$24,22,FALSE)=" ",0,VLOOKUP($B5,'SR G-Barrels'!$B$5:$AI$24,22,FALSE)),0)+IFERROR(IF(VLOOKUP($B5,'SR G-Poles'!$B$5:$AI$24,22,FALSE)=" ",0,VLOOKUP($B5,'SR G-Poles'!$B$5:$AI$24,22,FALSE)),0)+IFERROR(IF(VLOOKUP($B5,'SR G-Goats'!$B$5:$AI$24,22,FALSE)=" ",0,VLOOKUP($B5,'SR G-Goats'!$B$5:$AI$24,22,FALSE)),0)+IFERROR(IF(VLOOKUP($B5,'SR-Team Roping-Header'!$B$5:$N$24,7,FALSE)=" ",0,VLOOKUP($B5,'SR-Team Roping-Header'!$B$5:$N$24,7,FALSE)),0)+IFERROR(IF(VLOOKUP($B5,'SR-Team Roping-Heeler'!$B$5:$N$24,7,FALSE)=" ",0,VLOOKUP($B5,'SR-Team Roping-Heeler'!$B$5:$N$24,7,FALSE)),0)</f>
        <v>63</v>
      </c>
      <c r="P5" s="88">
        <f t="shared" ref="P5:P24" si="8">IF(O5&gt;0,O5," ")</f>
        <v>63</v>
      </c>
      <c r="Q5" s="84">
        <f t="shared" ref="Q5:Q24" si="9">IF(O5=0," ",RANK(O5,O$5:O$24,0))</f>
        <v>1</v>
      </c>
      <c r="R5" s="118">
        <f>IFERROR(IF(VLOOKUP($B5,'SR G-Breakaway'!$B$5:$AI$24,26,FALSE)=" ",0,VLOOKUP($B5,'SR G-Breakaway'!$B$5:$AI$24,26,FALSE)),0)+IFERROR(IF(VLOOKUP($B5,'SR G-Barrels'!$B$5:$AI$24,26,FALSE)=" ",0,VLOOKUP($B5,'SR G-Barrels'!$B$5:$AI$24,26,FALSE)),0)+IFERROR(IF(VLOOKUP($B5,'SR G-Poles'!$B$5:$AI$24,26,FALSE)=" ",0,VLOOKUP($B5,'SR G-Poles'!$B$5:$AI$24,26,FALSE)),0)+IFERROR(IF(VLOOKUP($B5,'SR G-Goats'!$B$5:$AI$24,26,FALSE)=" ",0,VLOOKUP($B5,'SR G-Goats'!$B$5:$AI$24,26,FALSE)),0)+IFERROR(IF(VLOOKUP($B5,'SR-Team Roping-Header'!$B$5:$N$24,8,FALSE)=" ",0,VLOOKUP($B5,'SR-Team Roping-Header'!$B$5:$N$24,8,FALSE)),0)+IFERROR(IF(VLOOKUP($B5,'SR-Team Roping-Heeler'!$B$5:$N$24,8,FALSE)=" ",0,VLOOKUP($B5,'SR-Team Roping-Heeler'!$B$5:$N$24,8,FALSE)),0)</f>
        <v>57</v>
      </c>
      <c r="S5" s="88">
        <f t="shared" ref="S5:S24" si="10">IF(R5&gt;0,R5," ")</f>
        <v>57</v>
      </c>
      <c r="T5" s="84">
        <f t="shared" ref="T5:T24" si="11">IF(R5=0," ",RANK(R5,R$5:R$24,0))</f>
        <v>2</v>
      </c>
      <c r="U5" s="119">
        <f>IFERROR(IF(VLOOKUP($B5,'SR G-Breakaway'!$B$5:$AI$24,30,FALSE)=" ",0,VLOOKUP($B5,'SR G-Breakaway'!$B$5:$AI$24,30,FALSE)),0)+IFERROR(IF(VLOOKUP($B5,'SR G-Barrels'!$B$5:$AI$24,30,FALSE)=" ",0,VLOOKUP($B5,'SR G-Barrels'!$B$5:$AI$24,30,FALSE)),0)+IFERROR(IF(VLOOKUP($B5,'SR G-Poles'!$B$5:$AI$24,30,FALSE)=" ",0,VLOOKUP($B5,'SR G-Poles'!$B$5:$AI$24,30,FALSE)),0)+IFERROR(IF(VLOOKUP($B5,'SR G-Goats'!$B$5:$AI$24,30,FALSE)=" ",0,VLOOKUP($B5,'SR G-Goats'!$B$5:$AI$24,30,FALSE)),0)+IFERROR(IF(VLOOKUP($B5,'SR-Team Roping-Header'!$B$5:$N$24,9,FALSE)=" ",0,VLOOKUP($B5,'SR-Team Roping-Header'!$B$5:$N$24,9,FALSE)),0)+IFERROR(IF(VLOOKUP($B5,'SR-Team Roping-Heeler'!$B$5:$N$24,9,FALSE)=" ",0,VLOOKUP($B5,'SR-Team Roping-Heeler'!$B$5:$N$24,9,FALSE)),0)</f>
        <v>54</v>
      </c>
      <c r="V5" s="88">
        <f t="shared" ref="V5:V24" si="12">IF(U5&gt;0,U5," ")</f>
        <v>54</v>
      </c>
      <c r="W5" s="84">
        <f t="shared" ref="W5:W24" si="13">IF(U5=0," ",RANK(U5,U$5:U$24,0))</f>
        <v>1</v>
      </c>
      <c r="X5" s="119">
        <f>IFERROR(IF(VLOOKUP($B5,'SR G-Breakaway'!$B$5:$AI$24,34,FALSE)=" ",0,VLOOKUP($B5,'SR G-Breakaway'!$B$5:$AI$24,34,FALSE)),0)+IFERROR(IF(VLOOKUP($B5,'SR G-Barrels'!$B$5:$AI$24,34,FALSE)=" ",0,VLOOKUP($B5,'SR G-Barrels'!$B$5:$AI$24,34,FALSE)),0)+IFERROR(IF(VLOOKUP($B5,'SR G-Poles'!$B$5:$AI$24,34,FALSE)=" ",0,VLOOKUP($B5,'SR G-Poles'!$B$5:$AI$24,34,FALSE)),0)+IFERROR(IF(VLOOKUP($B5,'SR G-Goats'!$B$5:$AI$24,34,FALSE)=" ",0,VLOOKUP($B5,'SR G-Goats'!$B$5:$AI$24,34,FALSE)),0)+IFERROR(IF(VLOOKUP($B5,'SR-Team Roping-Header'!$B$5:$N$24,10,FALSE)=" ",0,VLOOKUP($B5,'SR-Team Roping-Header'!$B$5:$N$24,10,FALSE)),0)+IFERROR(IF(VLOOKUP($B5,'SR-Team Roping-Heeler'!$B$5:$N$24,10,FALSE)=" ",0,VLOOKUP($B5,'SR-Team Roping-Heeler'!$B$5:$N$24,10,FALSE)),0)</f>
        <v>66</v>
      </c>
      <c r="Y5" s="88">
        <f t="shared" ref="Y5:Y24" si="14">IF(X5&gt;0,X5," ")</f>
        <v>66</v>
      </c>
      <c r="Z5" s="84">
        <f t="shared" ref="Z5:Z24" si="15">IF(X5=0," ",RANK(X5,X$5:X$24,0))</f>
        <v>1</v>
      </c>
      <c r="AA5" s="119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426</v>
      </c>
      <c r="AB5" s="88">
        <f t="shared" ref="AB5:AB24" si="16">IF(AA5&gt;0,AA5," ")</f>
        <v>426</v>
      </c>
      <c r="AC5" s="84">
        <f t="shared" ref="AC5:AC24" si="17">IF(AB5=" "," ",RANK(AB5,AB$5:AB$24))</f>
        <v>1</v>
      </c>
    </row>
    <row r="6" spans="2:29" x14ac:dyDescent="0.25">
      <c r="B6" s="154" t="s">
        <v>259</v>
      </c>
      <c r="C6" s="120">
        <f>IFERROR(IF(VLOOKUP($B6,'SR G-Breakaway'!$B$5:$AI$24,6,FALSE)=" ",0,VLOOKUP($B6,'SR G-Breakaway'!$B$5:$AI$24,6,FALSE)),0)+IFERROR(IF(VLOOKUP($B6,'SR G-Barrels'!$B$5:$AI$24,6,FALSE)=" ",0,VLOOKUP($B6,'SR G-Barrels'!$B$5:$AI$24,6,FALSE)),0)+IFERROR(IF(VLOOKUP($B6,'SR G-Poles'!$B$5:$AI$24,6,FALSE)=" ",0,VLOOKUP($B6,'SR G-Poles'!$B$5:$AI$24,6,FALSE)),0)+IFERROR(IF(VLOOKUP($B6,'SR G-Goats'!$B$5:$AI$24,6,FALSE)=" ",0,VLOOKUP($B6,'SR G-Goats'!$B$5:$AI$24,6,FALSE)),0)+IFERROR(IF(VLOOKUP($B6,'SR-Team Roping-Header'!$B$5:$N$24,3,FALSE)=" ",0,VLOOKUP($B6,'SR-Team Roping-Header'!$B$5:$N$24,3,FALSE)),0)+IFERROR(IF(VLOOKUP($B6,'SR-Team Roping-Heeler'!$B$5:$N$24,3,FALSE)=" ",0,VLOOKUP($B6,'SR-Team Roping-Heeler'!$B$5:$N$24,3,FALSE)),0)</f>
        <v>0</v>
      </c>
      <c r="D6" s="95" t="str">
        <f t="shared" si="0"/>
        <v xml:space="preserve"> </v>
      </c>
      <c r="E6" s="122" t="str">
        <f t="shared" si="1"/>
        <v xml:space="preserve"> </v>
      </c>
      <c r="F6" s="121">
        <f>IFERROR(IF(VLOOKUP($B6,'SR G-Breakaway'!$B$5:$AI$24,10,FALSE)=" ",0,VLOOKUP($B6,'SR G-Breakaway'!$B$5:$AI$24,10,FALSE)),0)+IFERROR(IF(VLOOKUP($B6,'SR G-Barrels'!$B$5:$AI$24,10,FALSE)=" ",0,VLOOKUP($B6,'SR G-Barrels'!$B$5:$AI$24,10,FALSE)),0)+IFERROR(IF(VLOOKUP($B6,'SR G-Poles'!$B$5:$AI$24,10,FALSE)=" ",0,VLOOKUP($B6,'SR G-Poles'!$B$5:$AI$24,10,FALSE)),0)+IFERROR(IF(VLOOKUP($B6,'SR G-Goats'!$B$5:$AI$24,10,FALSE)=" ",0,VLOOKUP($B6,'SR G-Goats'!$B$5:$AI$24,10,FALSE)),0)+IFERROR(IF(VLOOKUP($B6,'SR-Team Roping-Header'!$B$5:$N$24,4,FALSE)=" ",0,VLOOKUP($B6,'SR-Team Roping-Header'!$B$5:$N$24,4,FALSE)),0)+IFERROR(IF(VLOOKUP($B6,'SR-Team Roping-Heeler'!$B$5:$N$24,4,FALSE)=" ",0,VLOOKUP($B6,'SR-Team Roping-Heeler'!$B$5:$N$24,4,FALSE)),0)</f>
        <v>18</v>
      </c>
      <c r="G6" s="95">
        <f t="shared" si="2"/>
        <v>18</v>
      </c>
      <c r="H6" s="122">
        <f t="shared" si="3"/>
        <v>7</v>
      </c>
      <c r="I6" s="121">
        <f>IFERROR(IF(VLOOKUP($B6,'SR G-Breakaway'!$B$5:$AI$24,14,FALSE)=" ",0,VLOOKUP($B6,'SR G-Breakaway'!$B$5:$AI$24,14,FALSE)),0)+IFERROR(IF(VLOOKUP($B6,'SR G-Barrels'!$B$5:$AI$24,14,FALSE)=" ",0,VLOOKUP($B6,'SR G-Barrels'!$B$5:$AI$24,14,FALSE)),0)+IFERROR(IF(VLOOKUP($B6,'SR G-Poles'!$B$5:$AI$24,14,FALSE)=" ",0,VLOOKUP($B6,'SR G-Poles'!$B$5:$AI$24,14,FALSE)),0)+IFERROR(IF(VLOOKUP($B6,'SR G-Goats'!$B$5:$AI$24,14,FALSE)=" ",0,VLOOKUP($B6,'SR G-Goats'!$B$5:$AI$24,14,FALSE)),0)+IFERROR(IF(VLOOKUP($B6,'SR-Team Roping-Header'!$B$5:$N$24,5,FALSE)=" ",0,VLOOKUP($B6,'SR-Team Roping-Header'!$B$5:$N$24,5,FALSE)),0)+IFERROR(IF(VLOOKUP($B6,'SR-Team Roping-Heeler'!$B$5:$N$24,5,FALSE)=" ",0,VLOOKUP($B6,'SR-Team Roping-Heeler'!$B$5:$N$24,5,FALSE)),0)</f>
        <v>39</v>
      </c>
      <c r="J6" s="95">
        <f t="shared" si="4"/>
        <v>39</v>
      </c>
      <c r="K6" s="122">
        <f t="shared" si="5"/>
        <v>4</v>
      </c>
      <c r="L6" s="121">
        <f>IFERROR(IF(VLOOKUP($B6,'SR G-Breakaway'!$B$5:$AI$24,18,FALSE)=" ",0,VLOOKUP($B6,'SR G-Breakaway'!$B$5:$AI$24,18,FALSE)),0)+IFERROR(IF(VLOOKUP($B6,'SR G-Barrels'!$B$5:$AI$24,18,FALSE)=" ",0,VLOOKUP($B6,'SR G-Barrels'!$B$5:$AI$24,18,FALSE)),0)+IFERROR(IF(VLOOKUP($B6,'SR G-Poles'!$B$5:$AI$24,18,FALSE)=" ",0,VLOOKUP($B6,'SR G-Poles'!$B$5:$AI$24,18,FALSE)),0)+IFERROR(IF(VLOOKUP($B6,'SR G-Goats'!$B$5:$AI$24,18,FALSE)=" ",0,VLOOKUP($B6,'SR G-Goats'!$B$5:$AI$24,18,FALSE)),0)+IFERROR(IF(VLOOKUP($B6,'SR-Team Roping-Header'!$B$5:$N$24,6,FALSE)=" ",0,VLOOKUP($B6,'SR-Team Roping-Header'!$B$5:$N$24,6,FALSE)),0)+IFERROR(IF(VLOOKUP($B6,'SR-Team Roping-Heeler'!$B$5:$N$24,6,FALSE)=" ",0,VLOOKUP($B6,'SR-Team Roping-Heeler'!$B$5:$N$24,6,FALSE)),0)</f>
        <v>51</v>
      </c>
      <c r="M6" s="95">
        <f t="shared" si="6"/>
        <v>51</v>
      </c>
      <c r="N6" s="122">
        <f t="shared" si="7"/>
        <v>1</v>
      </c>
      <c r="O6" s="121">
        <f>IFERROR(IF(VLOOKUP($B6,'SR G-Breakaway'!$B$5:$AI$24,22,FALSE)=" ",0,VLOOKUP($B6,'SR G-Breakaway'!$B$5:$AI$24,22,FALSE)),0)+IFERROR(IF(VLOOKUP($B6,'SR G-Barrels'!$B$5:$AI$24,22,FALSE)=" ",0,VLOOKUP($B6,'SR G-Barrels'!$B$5:$AI$24,22,FALSE)),0)+IFERROR(IF(VLOOKUP($B6,'SR G-Poles'!$B$5:$AI$24,22,FALSE)=" ",0,VLOOKUP($B6,'SR G-Poles'!$B$5:$AI$24,22,FALSE)),0)+IFERROR(IF(VLOOKUP($B6,'SR G-Goats'!$B$5:$AI$24,22,FALSE)=" ",0,VLOOKUP($B6,'SR G-Goats'!$B$5:$AI$24,22,FALSE)),0)+IFERROR(IF(VLOOKUP($B6,'SR-Team Roping-Header'!$B$5:$N$24,7,FALSE)=" ",0,VLOOKUP($B6,'SR-Team Roping-Header'!$B$5:$N$24,7,FALSE)),0)+IFERROR(IF(VLOOKUP($B6,'SR-Team Roping-Heeler'!$B$5:$N$24,7,FALSE)=" ",0,VLOOKUP($B6,'SR-Team Roping-Heeler'!$B$5:$N$24,7,FALSE)),0)</f>
        <v>24</v>
      </c>
      <c r="P6" s="95">
        <f t="shared" si="8"/>
        <v>24</v>
      </c>
      <c r="Q6" s="122">
        <f t="shared" si="9"/>
        <v>4</v>
      </c>
      <c r="R6" s="121">
        <f>IFERROR(IF(VLOOKUP($B6,'SR G-Breakaway'!$B$5:$AI$24,26,FALSE)=" ",0,VLOOKUP($B6,'SR G-Breakaway'!$B$5:$AI$24,26,FALSE)),0)+IFERROR(IF(VLOOKUP($B6,'SR G-Barrels'!$B$5:$AI$24,26,FALSE)=" ",0,VLOOKUP($B6,'SR G-Barrels'!$B$5:$AI$24,26,FALSE)),0)+IFERROR(IF(VLOOKUP($B6,'SR G-Poles'!$B$5:$AI$24,26,FALSE)=" ",0,VLOOKUP($B6,'SR G-Poles'!$B$5:$AI$24,26,FALSE)),0)+IFERROR(IF(VLOOKUP($B6,'SR G-Goats'!$B$5:$AI$24,26,FALSE)=" ",0,VLOOKUP($B6,'SR G-Goats'!$B$5:$AI$24,26,FALSE)),0)+IFERROR(IF(VLOOKUP($B6,'SR-Team Roping-Header'!$B$5:$N$24,8,FALSE)=" ",0,VLOOKUP($B6,'SR-Team Roping-Header'!$B$5:$N$24,8,FALSE)),0)+IFERROR(IF(VLOOKUP($B6,'SR-Team Roping-Heeler'!$B$5:$N$24,8,FALSE)=" ",0,VLOOKUP($B6,'SR-Team Roping-Heeler'!$B$5:$N$24,8,FALSE)),0)</f>
        <v>60</v>
      </c>
      <c r="S6" s="95">
        <f t="shared" si="10"/>
        <v>60</v>
      </c>
      <c r="T6" s="122">
        <f t="shared" si="11"/>
        <v>1</v>
      </c>
      <c r="U6" s="121">
        <f>IFERROR(IF(VLOOKUP($B6,'SR G-Breakaway'!$B$5:$AI$24,30,FALSE)=" ",0,VLOOKUP($B6,'SR G-Breakaway'!$B$5:$AI$24,30,FALSE)),0)+IFERROR(IF(VLOOKUP($B6,'SR G-Barrels'!$B$5:$AI$24,30,FALSE)=" ",0,VLOOKUP($B6,'SR G-Barrels'!$B$5:$AI$24,30,FALSE)),0)+IFERROR(IF(VLOOKUP($B6,'SR G-Poles'!$B$5:$AI$24,30,FALSE)=" ",0,VLOOKUP($B6,'SR G-Poles'!$B$5:$AI$24,30,FALSE)),0)+IFERROR(IF(VLOOKUP($B6,'SR G-Goats'!$B$5:$AI$24,30,FALSE)=" ",0,VLOOKUP($B6,'SR G-Goats'!$B$5:$AI$24,30,FALSE)),0)+IFERROR(IF(VLOOKUP($B6,'SR-Team Roping-Header'!$B$5:$N$24,9,FALSE)=" ",0,VLOOKUP($B6,'SR-Team Roping-Header'!$B$5:$N$24,9,FALSE)),0)+IFERROR(IF(VLOOKUP($B6,'SR-Team Roping-Heeler'!$B$5:$N$24,9,FALSE)=" ",0,VLOOKUP($B6,'SR-Team Roping-Heeler'!$B$5:$N$24,9,FALSE)),0)</f>
        <v>39</v>
      </c>
      <c r="V6" s="95">
        <f t="shared" si="12"/>
        <v>39</v>
      </c>
      <c r="W6" s="122">
        <f t="shared" si="13"/>
        <v>3</v>
      </c>
      <c r="X6" s="121">
        <f>IFERROR(IF(VLOOKUP($B6,'SR G-Breakaway'!$B$5:$AI$24,34,FALSE)=" ",0,VLOOKUP($B6,'SR G-Breakaway'!$B$5:$AI$24,34,FALSE)),0)+IFERROR(IF(VLOOKUP($B6,'SR G-Barrels'!$B$5:$AI$24,34,FALSE)=" ",0,VLOOKUP($B6,'SR G-Barrels'!$B$5:$AI$24,34,FALSE)),0)+IFERROR(IF(VLOOKUP($B6,'SR G-Poles'!$B$5:$AI$24,34,FALSE)=" ",0,VLOOKUP($B6,'SR G-Poles'!$B$5:$AI$24,34,FALSE)),0)+IFERROR(IF(VLOOKUP($B6,'SR G-Goats'!$B$5:$AI$24,34,FALSE)=" ",0,VLOOKUP($B6,'SR G-Goats'!$B$5:$AI$24,34,FALSE)),0)+IFERROR(IF(VLOOKUP($B6,'SR-Team Roping-Header'!$B$5:$N$24,10,FALSE)=" ",0,VLOOKUP($B6,'SR-Team Roping-Header'!$B$5:$N$24,10,FALSE)),0)+IFERROR(IF(VLOOKUP($B6,'SR-Team Roping-Heeler'!$B$5:$N$24,10,FALSE)=" ",0,VLOOKUP($B6,'SR-Team Roping-Heeler'!$B$5:$N$24,10,FALSE)),0)</f>
        <v>48</v>
      </c>
      <c r="Y6" s="95">
        <f t="shared" si="14"/>
        <v>48</v>
      </c>
      <c r="Z6" s="122">
        <f t="shared" si="15"/>
        <v>2</v>
      </c>
      <c r="AA6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279</v>
      </c>
      <c r="AB6" s="95">
        <f t="shared" si="16"/>
        <v>279</v>
      </c>
      <c r="AC6" s="122">
        <f t="shared" si="17"/>
        <v>2</v>
      </c>
    </row>
    <row r="7" spans="2:29" x14ac:dyDescent="0.25">
      <c r="B7" s="154" t="s">
        <v>161</v>
      </c>
      <c r="C7" s="120">
        <f>IFERROR(IF(VLOOKUP($B7,'SR G-Breakaway'!$B$5:$AI$24,6,FALSE)=" ",0,VLOOKUP($B7,'SR G-Breakaway'!$B$5:$AI$24,6,FALSE)),0)+IFERROR(IF(VLOOKUP($B7,'SR G-Barrels'!$B$5:$AI$24,6,FALSE)=" ",0,VLOOKUP($B7,'SR G-Barrels'!$B$5:$AI$24,6,FALSE)),0)+IFERROR(IF(VLOOKUP($B7,'SR G-Poles'!$B$5:$AI$24,6,FALSE)=" ",0,VLOOKUP($B7,'SR G-Poles'!$B$5:$AI$24,6,FALSE)),0)+IFERROR(IF(VLOOKUP($B7,'SR G-Goats'!$B$5:$AI$24,6,FALSE)=" ",0,VLOOKUP($B7,'SR G-Goats'!$B$5:$AI$24,6,FALSE)),0)+IFERROR(IF(VLOOKUP($B7,'SR-Team Roping-Header'!$B$5:$N$24,3,FALSE)=" ",0,VLOOKUP($B7,'SR-Team Roping-Header'!$B$5:$N$24,3,FALSE)),0)+IFERROR(IF(VLOOKUP($B7,'SR-Team Roping-Heeler'!$B$5:$N$24,3,FALSE)=" ",0,VLOOKUP($B7,'SR-Team Roping-Heeler'!$B$5:$N$24,3,FALSE)),0)</f>
        <v>0</v>
      </c>
      <c r="D7" s="95" t="str">
        <f t="shared" si="0"/>
        <v xml:space="preserve"> </v>
      </c>
      <c r="E7" s="91" t="str">
        <f t="shared" si="1"/>
        <v xml:space="preserve"> </v>
      </c>
      <c r="F7" s="121">
        <f>IFERROR(IF(VLOOKUP($B7,'SR G-Breakaway'!$B$5:$AI$24,10,FALSE)=" ",0,VLOOKUP($B7,'SR G-Breakaway'!$B$5:$AI$24,10,FALSE)),0)+IFERROR(IF(VLOOKUP($B7,'SR G-Barrels'!$B$5:$AI$24,10,FALSE)=" ",0,VLOOKUP($B7,'SR G-Barrels'!$B$5:$AI$24,10,FALSE)),0)+IFERROR(IF(VLOOKUP($B7,'SR G-Poles'!$B$5:$AI$24,10,FALSE)=" ",0,VLOOKUP($B7,'SR G-Poles'!$B$5:$AI$24,10,FALSE)),0)+IFERROR(IF(VLOOKUP($B7,'SR G-Goats'!$B$5:$AI$24,10,FALSE)=" ",0,VLOOKUP($B7,'SR G-Goats'!$B$5:$AI$24,10,FALSE)),0)+IFERROR(IF(VLOOKUP($B7,'SR-Team Roping-Header'!$B$5:$N$24,4,FALSE)=" ",0,VLOOKUP($B7,'SR-Team Roping-Header'!$B$5:$N$24,4,FALSE)),0)+IFERROR(IF(VLOOKUP($B7,'SR-Team Roping-Heeler'!$B$5:$N$24,4,FALSE)=" ",0,VLOOKUP($B7,'SR-Team Roping-Heeler'!$B$5:$N$24,4,FALSE)),0)</f>
        <v>36</v>
      </c>
      <c r="G7" s="95">
        <f t="shared" si="2"/>
        <v>36</v>
      </c>
      <c r="H7" s="91">
        <f t="shared" si="3"/>
        <v>2</v>
      </c>
      <c r="I7" s="121">
        <f>IFERROR(IF(VLOOKUP($B7,'SR G-Breakaway'!$B$5:$AI$24,14,FALSE)=" ",0,VLOOKUP($B7,'SR G-Breakaway'!$B$5:$AI$24,14,FALSE)),0)+IFERROR(IF(VLOOKUP($B7,'SR G-Barrels'!$B$5:$AI$24,14,FALSE)=" ",0,VLOOKUP($B7,'SR G-Barrels'!$B$5:$AI$24,14,FALSE)),0)+IFERROR(IF(VLOOKUP($B7,'SR G-Poles'!$B$5:$AI$24,14,FALSE)=" ",0,VLOOKUP($B7,'SR G-Poles'!$B$5:$AI$24,14,FALSE)),0)+IFERROR(IF(VLOOKUP($B7,'SR G-Goats'!$B$5:$AI$24,14,FALSE)=" ",0,VLOOKUP($B7,'SR G-Goats'!$B$5:$AI$24,14,FALSE)),0)+IFERROR(IF(VLOOKUP($B7,'SR-Team Roping-Header'!$B$5:$N$24,5,FALSE)=" ",0,VLOOKUP($B7,'SR-Team Roping-Header'!$B$5:$N$24,5,FALSE)),0)+IFERROR(IF(VLOOKUP($B7,'SR-Team Roping-Heeler'!$B$5:$N$24,5,FALSE)=" ",0,VLOOKUP($B7,'SR-Team Roping-Heeler'!$B$5:$N$24,5,FALSE)),0)</f>
        <v>18</v>
      </c>
      <c r="J7" s="95">
        <f t="shared" si="4"/>
        <v>18</v>
      </c>
      <c r="K7" s="91">
        <f t="shared" si="5"/>
        <v>7</v>
      </c>
      <c r="L7" s="121">
        <f>IFERROR(IF(VLOOKUP($B7,'SR G-Breakaway'!$B$5:$AI$24,18,FALSE)=" ",0,VLOOKUP($B7,'SR G-Breakaway'!$B$5:$AI$24,18,FALSE)),0)+IFERROR(IF(VLOOKUP($B7,'SR G-Barrels'!$B$5:$AI$24,18,FALSE)=" ",0,VLOOKUP($B7,'SR G-Barrels'!$B$5:$AI$24,18,FALSE)),0)+IFERROR(IF(VLOOKUP($B7,'SR G-Poles'!$B$5:$AI$24,18,FALSE)=" ",0,VLOOKUP($B7,'SR G-Poles'!$B$5:$AI$24,18,FALSE)),0)+IFERROR(IF(VLOOKUP($B7,'SR G-Goats'!$B$5:$AI$24,18,FALSE)=" ",0,VLOOKUP($B7,'SR G-Goats'!$B$5:$AI$24,18,FALSE)),0)+IFERROR(IF(VLOOKUP($B7,'SR-Team Roping-Header'!$B$5:$N$24,6,FALSE)=" ",0,VLOOKUP($B7,'SR-Team Roping-Header'!$B$5:$N$24,6,FALSE)),0)+IFERROR(IF(VLOOKUP($B7,'SR-Team Roping-Heeler'!$B$5:$N$24,6,FALSE)=" ",0,VLOOKUP($B7,'SR-Team Roping-Heeler'!$B$5:$N$24,6,FALSE)),0)</f>
        <v>21</v>
      </c>
      <c r="M7" s="95">
        <f t="shared" si="6"/>
        <v>21</v>
      </c>
      <c r="N7" s="91">
        <f t="shared" si="7"/>
        <v>6</v>
      </c>
      <c r="O7" s="121">
        <f>IFERROR(IF(VLOOKUP($B7,'SR G-Breakaway'!$B$5:$AI$24,22,FALSE)=" ",0,VLOOKUP($B7,'SR G-Breakaway'!$B$5:$AI$24,22,FALSE)),0)+IFERROR(IF(VLOOKUP($B7,'SR G-Barrels'!$B$5:$AI$24,22,FALSE)=" ",0,VLOOKUP($B7,'SR G-Barrels'!$B$5:$AI$24,22,FALSE)),0)+IFERROR(IF(VLOOKUP($B7,'SR G-Poles'!$B$5:$AI$24,22,FALSE)=" ",0,VLOOKUP($B7,'SR G-Poles'!$B$5:$AI$24,22,FALSE)),0)+IFERROR(IF(VLOOKUP($B7,'SR G-Goats'!$B$5:$AI$24,22,FALSE)=" ",0,VLOOKUP($B7,'SR G-Goats'!$B$5:$AI$24,22,FALSE)),0)+IFERROR(IF(VLOOKUP($B7,'SR-Team Roping-Header'!$B$5:$N$24,7,FALSE)=" ",0,VLOOKUP($B7,'SR-Team Roping-Header'!$B$5:$N$24,7,FALSE)),0)+IFERROR(IF(VLOOKUP($B7,'SR-Team Roping-Heeler'!$B$5:$N$24,7,FALSE)=" ",0,VLOOKUP($B7,'SR-Team Roping-Heeler'!$B$5:$N$24,7,FALSE)),0)</f>
        <v>12</v>
      </c>
      <c r="P7" s="95">
        <f t="shared" si="8"/>
        <v>12</v>
      </c>
      <c r="Q7" s="91">
        <f t="shared" si="9"/>
        <v>8</v>
      </c>
      <c r="R7" s="121">
        <f>IFERROR(IF(VLOOKUP($B7,'SR G-Breakaway'!$B$5:$AI$24,26,FALSE)=" ",0,VLOOKUP($B7,'SR G-Breakaway'!$B$5:$AI$24,26,FALSE)),0)+IFERROR(IF(VLOOKUP($B7,'SR G-Barrels'!$B$5:$AI$24,26,FALSE)=" ",0,VLOOKUP($B7,'SR G-Barrels'!$B$5:$AI$24,26,FALSE)),0)+IFERROR(IF(VLOOKUP($B7,'SR G-Poles'!$B$5:$AI$24,26,FALSE)=" ",0,VLOOKUP($B7,'SR G-Poles'!$B$5:$AI$24,26,FALSE)),0)+IFERROR(IF(VLOOKUP($B7,'SR G-Goats'!$B$5:$AI$24,26,FALSE)=" ",0,VLOOKUP($B7,'SR G-Goats'!$B$5:$AI$24,26,FALSE)),0)+IFERROR(IF(VLOOKUP($B7,'SR-Team Roping-Header'!$B$5:$N$24,8,FALSE)=" ",0,VLOOKUP($B7,'SR-Team Roping-Header'!$B$5:$N$24,8,FALSE)),0)+IFERROR(IF(VLOOKUP($B7,'SR-Team Roping-Heeler'!$B$5:$N$24,8,FALSE)=" ",0,VLOOKUP($B7,'SR-Team Roping-Heeler'!$B$5:$N$24,8,FALSE)),0)</f>
        <v>18</v>
      </c>
      <c r="S7" s="95">
        <f t="shared" si="10"/>
        <v>18</v>
      </c>
      <c r="T7" s="91">
        <f t="shared" si="11"/>
        <v>5</v>
      </c>
      <c r="U7" s="121">
        <f>IFERROR(IF(VLOOKUP($B7,'SR G-Breakaway'!$B$5:$AI$24,30,FALSE)=" ",0,VLOOKUP($B7,'SR G-Breakaway'!$B$5:$AI$24,30,FALSE)),0)+IFERROR(IF(VLOOKUP($B7,'SR G-Barrels'!$B$5:$AI$24,30,FALSE)=" ",0,VLOOKUP($B7,'SR G-Barrels'!$B$5:$AI$24,30,FALSE)),0)+IFERROR(IF(VLOOKUP($B7,'SR G-Poles'!$B$5:$AI$24,30,FALSE)=" ",0,VLOOKUP($B7,'SR G-Poles'!$B$5:$AI$24,30,FALSE)),0)+IFERROR(IF(VLOOKUP($B7,'SR G-Goats'!$B$5:$AI$24,30,FALSE)=" ",0,VLOOKUP($B7,'SR G-Goats'!$B$5:$AI$24,30,FALSE)),0)+IFERROR(IF(VLOOKUP($B7,'SR-Team Roping-Header'!$B$5:$N$24,9,FALSE)=" ",0,VLOOKUP($B7,'SR-Team Roping-Header'!$B$5:$N$24,9,FALSE)),0)+IFERROR(IF(VLOOKUP($B7,'SR-Team Roping-Heeler'!$B$5:$N$24,9,FALSE)=" ",0,VLOOKUP($B7,'SR-Team Roping-Heeler'!$B$5:$N$24,9,FALSE)),0)</f>
        <v>45</v>
      </c>
      <c r="V7" s="95">
        <f t="shared" si="12"/>
        <v>45</v>
      </c>
      <c r="W7" s="91">
        <f t="shared" si="13"/>
        <v>2</v>
      </c>
      <c r="X7" s="121">
        <f>IFERROR(IF(VLOOKUP($B7,'SR G-Breakaway'!$B$5:$AI$24,34,FALSE)=" ",0,VLOOKUP($B7,'SR G-Breakaway'!$B$5:$AI$24,34,FALSE)),0)+IFERROR(IF(VLOOKUP($B7,'SR G-Barrels'!$B$5:$AI$24,34,FALSE)=" ",0,VLOOKUP($B7,'SR G-Barrels'!$B$5:$AI$24,34,FALSE)),0)+IFERROR(IF(VLOOKUP($B7,'SR G-Poles'!$B$5:$AI$24,34,FALSE)=" ",0,VLOOKUP($B7,'SR G-Poles'!$B$5:$AI$24,34,FALSE)),0)+IFERROR(IF(VLOOKUP($B7,'SR G-Goats'!$B$5:$AI$24,34,FALSE)=" ",0,VLOOKUP($B7,'SR G-Goats'!$B$5:$AI$24,34,FALSE)),0)+IFERROR(IF(VLOOKUP($B7,'SR-Team Roping-Header'!$B$5:$N$24,10,FALSE)=" ",0,VLOOKUP($B7,'SR-Team Roping-Header'!$B$5:$N$24,10,FALSE)),0)+IFERROR(IF(VLOOKUP($B7,'SR-Team Roping-Heeler'!$B$5:$N$24,10,FALSE)=" ",0,VLOOKUP($B7,'SR-Team Roping-Heeler'!$B$5:$N$24,10,FALSE)),0)</f>
        <v>39</v>
      </c>
      <c r="Y7" s="95">
        <f t="shared" si="14"/>
        <v>39</v>
      </c>
      <c r="Z7" s="91">
        <f t="shared" si="15"/>
        <v>3</v>
      </c>
      <c r="AA7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189</v>
      </c>
      <c r="AB7" s="95">
        <f t="shared" si="16"/>
        <v>189</v>
      </c>
      <c r="AC7" s="91">
        <f t="shared" si="17"/>
        <v>3</v>
      </c>
    </row>
    <row r="8" spans="2:29" x14ac:dyDescent="0.25">
      <c r="B8" s="154" t="s">
        <v>167</v>
      </c>
      <c r="C8" s="120">
        <f>IFERROR(IF(VLOOKUP($B8,'SR G-Breakaway'!$B$5:$AI$24,6,FALSE)=" ",0,VLOOKUP($B8,'SR G-Breakaway'!$B$5:$AI$24,6,FALSE)),0)+IFERROR(IF(VLOOKUP($B8,'SR G-Barrels'!$B$5:$AI$24,6,FALSE)=" ",0,VLOOKUP($B8,'SR G-Barrels'!$B$5:$AI$24,6,FALSE)),0)+IFERROR(IF(VLOOKUP($B8,'SR G-Poles'!$B$5:$AI$24,6,FALSE)=" ",0,VLOOKUP($B8,'SR G-Poles'!$B$5:$AI$24,6,FALSE)),0)+IFERROR(IF(VLOOKUP($B8,'SR G-Goats'!$B$5:$AI$24,6,FALSE)=" ",0,VLOOKUP($B8,'SR G-Goats'!$B$5:$AI$24,6,FALSE)),0)+IFERROR(IF(VLOOKUP($B8,'SR-Team Roping-Header'!$B$5:$N$24,3,FALSE)=" ",0,VLOOKUP($B8,'SR-Team Roping-Header'!$B$5:$N$24,3,FALSE)),0)+IFERROR(IF(VLOOKUP($B8,'SR-Team Roping-Heeler'!$B$5:$N$24,3,FALSE)=" ",0,VLOOKUP($B8,'SR-Team Roping-Heeler'!$B$5:$N$24,3,FALSE)),0)</f>
        <v>0</v>
      </c>
      <c r="D8" s="95" t="str">
        <f t="shared" si="0"/>
        <v xml:space="preserve"> </v>
      </c>
      <c r="E8" s="91" t="str">
        <f t="shared" si="1"/>
        <v xml:space="preserve"> </v>
      </c>
      <c r="F8" s="121">
        <f>IFERROR(IF(VLOOKUP($B8,'SR G-Breakaway'!$B$5:$AI$24,10,FALSE)=" ",0,VLOOKUP($B8,'SR G-Breakaway'!$B$5:$AI$24,10,FALSE)),0)+IFERROR(IF(VLOOKUP($B8,'SR G-Barrels'!$B$5:$AI$24,10,FALSE)=" ",0,VLOOKUP($B8,'SR G-Barrels'!$B$5:$AI$24,10,FALSE)),0)+IFERROR(IF(VLOOKUP($B8,'SR G-Poles'!$B$5:$AI$24,10,FALSE)=" ",0,VLOOKUP($B8,'SR G-Poles'!$B$5:$AI$24,10,FALSE)),0)+IFERROR(IF(VLOOKUP($B8,'SR G-Goats'!$B$5:$AI$24,10,FALSE)=" ",0,VLOOKUP($B8,'SR G-Goats'!$B$5:$AI$24,10,FALSE)),0)+IFERROR(IF(VLOOKUP($B8,'SR-Team Roping-Header'!$B$5:$N$24,4,FALSE)=" ",0,VLOOKUP($B8,'SR-Team Roping-Header'!$B$5:$N$24,4,FALSE)),0)+IFERROR(IF(VLOOKUP($B8,'SR-Team Roping-Heeler'!$B$5:$N$24,4,FALSE)=" ",0,VLOOKUP($B8,'SR-Team Roping-Heeler'!$B$5:$N$24,4,FALSE)),0)</f>
        <v>0</v>
      </c>
      <c r="G8" s="95" t="str">
        <f t="shared" si="2"/>
        <v xml:space="preserve"> </v>
      </c>
      <c r="H8" s="91" t="str">
        <f t="shared" si="3"/>
        <v xml:space="preserve"> </v>
      </c>
      <c r="I8" s="121">
        <f>IFERROR(IF(VLOOKUP($B8,'SR G-Breakaway'!$B$5:$AI$24,14,FALSE)=" ",0,VLOOKUP($B8,'SR G-Breakaway'!$B$5:$AI$24,14,FALSE)),0)+IFERROR(IF(VLOOKUP($B8,'SR G-Barrels'!$B$5:$AI$24,14,FALSE)=" ",0,VLOOKUP($B8,'SR G-Barrels'!$B$5:$AI$24,14,FALSE)),0)+IFERROR(IF(VLOOKUP($B8,'SR G-Poles'!$B$5:$AI$24,14,FALSE)=" ",0,VLOOKUP($B8,'SR G-Poles'!$B$5:$AI$24,14,FALSE)),0)+IFERROR(IF(VLOOKUP($B8,'SR G-Goats'!$B$5:$AI$24,14,FALSE)=" ",0,VLOOKUP($B8,'SR G-Goats'!$B$5:$AI$24,14,FALSE)),0)+IFERROR(IF(VLOOKUP($B8,'SR-Team Roping-Header'!$B$5:$N$24,5,FALSE)=" ",0,VLOOKUP($B8,'SR-Team Roping-Header'!$B$5:$N$24,5,FALSE)),0)+IFERROR(IF(VLOOKUP($B8,'SR-Team Roping-Heeler'!$B$5:$N$24,5,FALSE)=" ",0,VLOOKUP($B8,'SR-Team Roping-Heeler'!$B$5:$N$24,5,FALSE)),0)</f>
        <v>42</v>
      </c>
      <c r="J8" s="95">
        <f t="shared" si="4"/>
        <v>42</v>
      </c>
      <c r="K8" s="91">
        <f t="shared" si="5"/>
        <v>3</v>
      </c>
      <c r="L8" s="121">
        <f>IFERROR(IF(VLOOKUP($B8,'SR G-Breakaway'!$B$5:$AI$24,18,FALSE)=" ",0,VLOOKUP($B8,'SR G-Breakaway'!$B$5:$AI$24,18,FALSE)),0)+IFERROR(IF(VLOOKUP($B8,'SR G-Barrels'!$B$5:$AI$24,18,FALSE)=" ",0,VLOOKUP($B8,'SR G-Barrels'!$B$5:$AI$24,18,FALSE)),0)+IFERROR(IF(VLOOKUP($B8,'SR G-Poles'!$B$5:$AI$24,18,FALSE)=" ",0,VLOOKUP($B8,'SR G-Poles'!$B$5:$AI$24,18,FALSE)),0)+IFERROR(IF(VLOOKUP($B8,'SR G-Goats'!$B$5:$AI$24,18,FALSE)=" ",0,VLOOKUP($B8,'SR G-Goats'!$B$5:$AI$24,18,FALSE)),0)+IFERROR(IF(VLOOKUP($B8,'SR-Team Roping-Header'!$B$5:$N$24,6,FALSE)=" ",0,VLOOKUP($B8,'SR-Team Roping-Header'!$B$5:$N$24,6,FALSE)),0)+IFERROR(IF(VLOOKUP($B8,'SR-Team Roping-Heeler'!$B$5:$N$24,6,FALSE)=" ",0,VLOOKUP($B8,'SR-Team Roping-Heeler'!$B$5:$N$24,6,FALSE)),0)</f>
        <v>33</v>
      </c>
      <c r="M8" s="95">
        <f t="shared" si="6"/>
        <v>33</v>
      </c>
      <c r="N8" s="91">
        <f t="shared" si="7"/>
        <v>3</v>
      </c>
      <c r="O8" s="121">
        <f>IFERROR(IF(VLOOKUP($B8,'SR G-Breakaway'!$B$5:$AI$24,22,FALSE)=" ",0,VLOOKUP($B8,'SR G-Breakaway'!$B$5:$AI$24,22,FALSE)),0)+IFERROR(IF(VLOOKUP($B8,'SR G-Barrels'!$B$5:$AI$24,22,FALSE)=" ",0,VLOOKUP($B8,'SR G-Barrels'!$B$5:$AI$24,22,FALSE)),0)+IFERROR(IF(VLOOKUP($B8,'SR G-Poles'!$B$5:$AI$24,22,FALSE)=" ",0,VLOOKUP($B8,'SR G-Poles'!$B$5:$AI$24,22,FALSE)),0)+IFERROR(IF(VLOOKUP($B8,'SR G-Goats'!$B$5:$AI$24,22,FALSE)=" ",0,VLOOKUP($B8,'SR G-Goats'!$B$5:$AI$24,22,FALSE)),0)+IFERROR(IF(VLOOKUP($B8,'SR-Team Roping-Header'!$B$5:$N$24,7,FALSE)=" ",0,VLOOKUP($B8,'SR-Team Roping-Header'!$B$5:$N$24,7,FALSE)),0)+IFERROR(IF(VLOOKUP($B8,'SR-Team Roping-Heeler'!$B$5:$N$24,7,FALSE)=" ",0,VLOOKUP($B8,'SR-Team Roping-Heeler'!$B$5:$N$24,7,FALSE)),0)</f>
        <v>9</v>
      </c>
      <c r="P8" s="95">
        <f t="shared" si="8"/>
        <v>9</v>
      </c>
      <c r="Q8" s="91">
        <f t="shared" si="9"/>
        <v>9</v>
      </c>
      <c r="R8" s="121">
        <f>IFERROR(IF(VLOOKUP($B8,'SR G-Breakaway'!$B$5:$AI$24,26,FALSE)=" ",0,VLOOKUP($B8,'SR G-Breakaway'!$B$5:$AI$24,26,FALSE)),0)+IFERROR(IF(VLOOKUP($B8,'SR G-Barrels'!$B$5:$AI$24,26,FALSE)=" ",0,VLOOKUP($B8,'SR G-Barrels'!$B$5:$AI$24,26,FALSE)),0)+IFERROR(IF(VLOOKUP($B8,'SR G-Poles'!$B$5:$AI$24,26,FALSE)=" ",0,VLOOKUP($B8,'SR G-Poles'!$B$5:$AI$24,26,FALSE)),0)+IFERROR(IF(VLOOKUP($B8,'SR G-Goats'!$B$5:$AI$24,26,FALSE)=" ",0,VLOOKUP($B8,'SR G-Goats'!$B$5:$AI$24,26,FALSE)),0)+IFERROR(IF(VLOOKUP($B8,'SR-Team Roping-Header'!$B$5:$N$24,8,FALSE)=" ",0,VLOOKUP($B8,'SR-Team Roping-Header'!$B$5:$N$24,8,FALSE)),0)+IFERROR(IF(VLOOKUP($B8,'SR-Team Roping-Heeler'!$B$5:$N$24,8,FALSE)=" ",0,VLOOKUP($B8,'SR-Team Roping-Heeler'!$B$5:$N$24,8,FALSE)),0)</f>
        <v>9</v>
      </c>
      <c r="S8" s="95">
        <f t="shared" si="10"/>
        <v>9</v>
      </c>
      <c r="T8" s="91">
        <f t="shared" si="11"/>
        <v>6</v>
      </c>
      <c r="U8" s="121">
        <f>IFERROR(IF(VLOOKUP($B8,'SR G-Breakaway'!$B$5:$AI$24,30,FALSE)=" ",0,VLOOKUP($B8,'SR G-Breakaway'!$B$5:$AI$24,30,FALSE)),0)+IFERROR(IF(VLOOKUP($B8,'SR G-Barrels'!$B$5:$AI$24,30,FALSE)=" ",0,VLOOKUP($B8,'SR G-Barrels'!$B$5:$AI$24,30,FALSE)),0)+IFERROR(IF(VLOOKUP($B8,'SR G-Poles'!$B$5:$AI$24,30,FALSE)=" ",0,VLOOKUP($B8,'SR G-Poles'!$B$5:$AI$24,30,FALSE)),0)+IFERROR(IF(VLOOKUP($B8,'SR G-Goats'!$B$5:$AI$24,30,FALSE)=" ",0,VLOOKUP($B8,'SR G-Goats'!$B$5:$AI$24,30,FALSE)),0)+IFERROR(IF(VLOOKUP($B8,'SR-Team Roping-Header'!$B$5:$N$24,9,FALSE)=" ",0,VLOOKUP($B8,'SR-Team Roping-Header'!$B$5:$N$24,9,FALSE)),0)+IFERROR(IF(VLOOKUP($B8,'SR-Team Roping-Heeler'!$B$5:$N$24,9,FALSE)=" ",0,VLOOKUP($B8,'SR-Team Roping-Heeler'!$B$5:$N$24,9,FALSE)),0)</f>
        <v>39</v>
      </c>
      <c r="V8" s="95">
        <f t="shared" si="12"/>
        <v>39</v>
      </c>
      <c r="W8" s="91">
        <f t="shared" si="13"/>
        <v>3</v>
      </c>
      <c r="X8" s="121">
        <f>IFERROR(IF(VLOOKUP($B8,'SR G-Breakaway'!$B$5:$AI$24,34,FALSE)=" ",0,VLOOKUP($B8,'SR G-Breakaway'!$B$5:$AI$24,34,FALSE)),0)+IFERROR(IF(VLOOKUP($B8,'SR G-Barrels'!$B$5:$AI$24,34,FALSE)=" ",0,VLOOKUP($B8,'SR G-Barrels'!$B$5:$AI$24,34,FALSE)),0)+IFERROR(IF(VLOOKUP($B8,'SR G-Poles'!$B$5:$AI$24,34,FALSE)=" ",0,VLOOKUP($B8,'SR G-Poles'!$B$5:$AI$24,34,FALSE)),0)+IFERROR(IF(VLOOKUP($B8,'SR G-Goats'!$B$5:$AI$24,34,FALSE)=" ",0,VLOOKUP($B8,'SR G-Goats'!$B$5:$AI$24,34,FALSE)),0)+IFERROR(IF(VLOOKUP($B8,'SR-Team Roping-Header'!$B$5:$N$24,10,FALSE)=" ",0,VLOOKUP($B8,'SR-Team Roping-Header'!$B$5:$N$24,10,FALSE)),0)+IFERROR(IF(VLOOKUP($B8,'SR-Team Roping-Heeler'!$B$5:$N$24,10,FALSE)=" ",0,VLOOKUP($B8,'SR-Team Roping-Heeler'!$B$5:$N$24,10,FALSE)),0)</f>
        <v>36</v>
      </c>
      <c r="Y8" s="95">
        <f t="shared" si="14"/>
        <v>36</v>
      </c>
      <c r="Z8" s="91">
        <f t="shared" si="15"/>
        <v>4</v>
      </c>
      <c r="AA8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168</v>
      </c>
      <c r="AB8" s="95">
        <f t="shared" si="16"/>
        <v>168</v>
      </c>
      <c r="AC8" s="91">
        <f t="shared" si="17"/>
        <v>4</v>
      </c>
    </row>
    <row r="9" spans="2:29" x14ac:dyDescent="0.25">
      <c r="B9" s="154" t="s">
        <v>169</v>
      </c>
      <c r="C9" s="120">
        <f>IFERROR(IF(VLOOKUP($B9,'SR G-Breakaway'!$B$5:$AI$24,6,FALSE)=" ",0,VLOOKUP($B9,'SR G-Breakaway'!$B$5:$AI$24,6,FALSE)),0)+IFERROR(IF(VLOOKUP($B9,'SR G-Barrels'!$B$5:$AI$24,6,FALSE)=" ",0,VLOOKUP($B9,'SR G-Barrels'!$B$5:$AI$24,6,FALSE)),0)+IFERROR(IF(VLOOKUP($B9,'SR G-Poles'!$B$5:$AI$24,6,FALSE)=" ",0,VLOOKUP($B9,'SR G-Poles'!$B$5:$AI$24,6,FALSE)),0)+IFERROR(IF(VLOOKUP($B9,'SR G-Goats'!$B$5:$AI$24,6,FALSE)=" ",0,VLOOKUP($B9,'SR G-Goats'!$B$5:$AI$24,6,FALSE)),0)+IFERROR(IF(VLOOKUP($B9,'SR-Team Roping-Header'!$B$5:$N$24,3,FALSE)=" ",0,VLOOKUP($B9,'SR-Team Roping-Header'!$B$5:$N$24,3,FALSE)),0)+IFERROR(IF(VLOOKUP($B9,'SR-Team Roping-Heeler'!$B$5:$N$24,3,FALSE)=" ",0,VLOOKUP($B9,'SR-Team Roping-Heeler'!$B$5:$N$24,3,FALSE)),0)</f>
        <v>18</v>
      </c>
      <c r="D9" s="95">
        <f t="shared" si="0"/>
        <v>18</v>
      </c>
      <c r="E9" s="91">
        <f t="shared" si="1"/>
        <v>6</v>
      </c>
      <c r="F9" s="121">
        <f>IFERROR(IF(VLOOKUP($B9,'SR G-Breakaway'!$B$5:$AI$24,10,FALSE)=" ",0,VLOOKUP($B9,'SR G-Breakaway'!$B$5:$AI$24,10,FALSE)),0)+IFERROR(IF(VLOOKUP($B9,'SR G-Barrels'!$B$5:$AI$24,10,FALSE)=" ",0,VLOOKUP($B9,'SR G-Barrels'!$B$5:$AI$24,10,FALSE)),0)+IFERROR(IF(VLOOKUP($B9,'SR G-Poles'!$B$5:$AI$24,10,FALSE)=" ",0,VLOOKUP($B9,'SR G-Poles'!$B$5:$AI$24,10,FALSE)),0)+IFERROR(IF(VLOOKUP($B9,'SR G-Goats'!$B$5:$AI$24,10,FALSE)=" ",0,VLOOKUP($B9,'SR G-Goats'!$B$5:$AI$24,10,FALSE)),0)+IFERROR(IF(VLOOKUP($B9,'SR-Team Roping-Header'!$B$5:$N$24,4,FALSE)=" ",0,VLOOKUP($B9,'SR-Team Roping-Header'!$B$5:$N$24,4,FALSE)),0)+IFERROR(IF(VLOOKUP($B9,'SR-Team Roping-Heeler'!$B$5:$N$24,4,FALSE)=" ",0,VLOOKUP($B9,'SR-Team Roping-Heeler'!$B$5:$N$24,4,FALSE)),0)</f>
        <v>60</v>
      </c>
      <c r="G9" s="95">
        <f t="shared" si="2"/>
        <v>60</v>
      </c>
      <c r="H9" s="91">
        <f t="shared" si="3"/>
        <v>1</v>
      </c>
      <c r="I9" s="121">
        <f>IFERROR(IF(VLOOKUP($B9,'SR G-Breakaway'!$B$5:$AI$24,14,FALSE)=" ",0,VLOOKUP($B9,'SR G-Breakaway'!$B$5:$AI$24,14,FALSE)),0)+IFERROR(IF(VLOOKUP($B9,'SR G-Barrels'!$B$5:$AI$24,14,FALSE)=" ",0,VLOOKUP($B9,'SR G-Barrels'!$B$5:$AI$24,14,FALSE)),0)+IFERROR(IF(VLOOKUP($B9,'SR G-Poles'!$B$5:$AI$24,14,FALSE)=" ",0,VLOOKUP($B9,'SR G-Poles'!$B$5:$AI$24,14,FALSE)),0)+IFERROR(IF(VLOOKUP($B9,'SR G-Goats'!$B$5:$AI$24,14,FALSE)=" ",0,VLOOKUP($B9,'SR G-Goats'!$B$5:$AI$24,14,FALSE)),0)+IFERROR(IF(VLOOKUP($B9,'SR-Team Roping-Header'!$B$5:$N$24,5,FALSE)=" ",0,VLOOKUP($B9,'SR-Team Roping-Header'!$B$5:$N$24,5,FALSE)),0)+IFERROR(IF(VLOOKUP($B9,'SR-Team Roping-Heeler'!$B$5:$N$24,5,FALSE)=" ",0,VLOOKUP($B9,'SR-Team Roping-Heeler'!$B$5:$N$24,5,FALSE)),0)</f>
        <v>18</v>
      </c>
      <c r="J9" s="95">
        <f t="shared" si="4"/>
        <v>18</v>
      </c>
      <c r="K9" s="91">
        <f t="shared" si="5"/>
        <v>7</v>
      </c>
      <c r="L9" s="121">
        <f>IFERROR(IF(VLOOKUP($B9,'SR G-Breakaway'!$B$5:$AI$24,18,FALSE)=" ",0,VLOOKUP($B9,'SR G-Breakaway'!$B$5:$AI$24,18,FALSE)),0)+IFERROR(IF(VLOOKUP($B9,'SR G-Barrels'!$B$5:$AI$24,18,FALSE)=" ",0,VLOOKUP($B9,'SR G-Barrels'!$B$5:$AI$24,18,FALSE)),0)+IFERROR(IF(VLOOKUP($B9,'SR G-Poles'!$B$5:$AI$24,18,FALSE)=" ",0,VLOOKUP($B9,'SR G-Poles'!$B$5:$AI$24,18,FALSE)),0)+IFERROR(IF(VLOOKUP($B9,'SR G-Goats'!$B$5:$AI$24,18,FALSE)=" ",0,VLOOKUP($B9,'SR G-Goats'!$B$5:$AI$24,18,FALSE)),0)+IFERROR(IF(VLOOKUP($B9,'SR-Team Roping-Header'!$B$5:$N$24,6,FALSE)=" ",0,VLOOKUP($B9,'SR-Team Roping-Header'!$B$5:$N$24,6,FALSE)),0)+IFERROR(IF(VLOOKUP($B9,'SR-Team Roping-Heeler'!$B$5:$N$24,6,FALSE)=" ",0,VLOOKUP($B9,'SR-Team Roping-Heeler'!$B$5:$N$24,6,FALSE)),0)</f>
        <v>21</v>
      </c>
      <c r="M9" s="95">
        <f t="shared" si="6"/>
        <v>21</v>
      </c>
      <c r="N9" s="91">
        <f t="shared" si="7"/>
        <v>6</v>
      </c>
      <c r="O9" s="121">
        <f>IFERROR(IF(VLOOKUP($B9,'SR G-Breakaway'!$B$5:$AI$24,22,FALSE)=" ",0,VLOOKUP($B9,'SR G-Breakaway'!$B$5:$AI$24,22,FALSE)),0)+IFERROR(IF(VLOOKUP($B9,'SR G-Barrels'!$B$5:$AI$24,22,FALSE)=" ",0,VLOOKUP($B9,'SR G-Barrels'!$B$5:$AI$24,22,FALSE)),0)+IFERROR(IF(VLOOKUP($B9,'SR G-Poles'!$B$5:$AI$24,22,FALSE)=" ",0,VLOOKUP($B9,'SR G-Poles'!$B$5:$AI$24,22,FALSE)),0)+IFERROR(IF(VLOOKUP($B9,'SR G-Goats'!$B$5:$AI$24,22,FALSE)=" ",0,VLOOKUP($B9,'SR G-Goats'!$B$5:$AI$24,22,FALSE)),0)+IFERROR(IF(VLOOKUP($B9,'SR-Team Roping-Header'!$B$5:$N$24,7,FALSE)=" ",0,VLOOKUP($B9,'SR-Team Roping-Header'!$B$5:$N$24,7,FALSE)),0)+IFERROR(IF(VLOOKUP($B9,'SR-Team Roping-Heeler'!$B$5:$N$24,7,FALSE)=" ",0,VLOOKUP($B9,'SR-Team Roping-Heeler'!$B$5:$N$24,7,FALSE)),0)</f>
        <v>42</v>
      </c>
      <c r="P9" s="95">
        <f t="shared" si="8"/>
        <v>42</v>
      </c>
      <c r="Q9" s="91">
        <f t="shared" si="9"/>
        <v>2</v>
      </c>
      <c r="R9" s="121">
        <f>IFERROR(IF(VLOOKUP($B9,'SR G-Breakaway'!$B$5:$AI$24,26,FALSE)=" ",0,VLOOKUP($B9,'SR G-Breakaway'!$B$5:$AI$24,26,FALSE)),0)+IFERROR(IF(VLOOKUP($B9,'SR G-Barrels'!$B$5:$AI$24,26,FALSE)=" ",0,VLOOKUP($B9,'SR G-Barrels'!$B$5:$AI$24,26,FALSE)),0)+IFERROR(IF(VLOOKUP($B9,'SR G-Poles'!$B$5:$AI$24,26,FALSE)=" ",0,VLOOKUP($B9,'SR G-Poles'!$B$5:$AI$24,26,FALSE)),0)+IFERROR(IF(VLOOKUP($B9,'SR G-Goats'!$B$5:$AI$24,26,FALSE)=" ",0,VLOOKUP($B9,'SR G-Goats'!$B$5:$AI$24,26,FALSE)),0)+IFERROR(IF(VLOOKUP($B9,'SR-Team Roping-Header'!$B$5:$N$24,8,FALSE)=" ",0,VLOOKUP($B9,'SR-Team Roping-Header'!$B$5:$N$24,8,FALSE)),0)+IFERROR(IF(VLOOKUP($B9,'SR-Team Roping-Heeler'!$B$5:$N$24,8,FALSE)=" ",0,VLOOKUP($B9,'SR-Team Roping-Heeler'!$B$5:$N$24,8,FALSE)),0)</f>
        <v>0</v>
      </c>
      <c r="S9" s="95" t="str">
        <f t="shared" si="10"/>
        <v xml:space="preserve"> </v>
      </c>
      <c r="T9" s="91" t="str">
        <f t="shared" si="11"/>
        <v xml:space="preserve"> </v>
      </c>
      <c r="U9" s="121">
        <f>IFERROR(IF(VLOOKUP($B9,'SR G-Breakaway'!$B$5:$AI$24,30,FALSE)=" ",0,VLOOKUP($B9,'SR G-Breakaway'!$B$5:$AI$24,30,FALSE)),0)+IFERROR(IF(VLOOKUP($B9,'SR G-Barrels'!$B$5:$AI$24,30,FALSE)=" ",0,VLOOKUP($B9,'SR G-Barrels'!$B$5:$AI$24,30,FALSE)),0)+IFERROR(IF(VLOOKUP($B9,'SR G-Poles'!$B$5:$AI$24,30,FALSE)=" ",0,VLOOKUP($B9,'SR G-Poles'!$B$5:$AI$24,30,FALSE)),0)+IFERROR(IF(VLOOKUP($B9,'SR G-Goats'!$B$5:$AI$24,30,FALSE)=" ",0,VLOOKUP($B9,'SR G-Goats'!$B$5:$AI$24,30,FALSE)),0)+IFERROR(IF(VLOOKUP($B9,'SR-Team Roping-Header'!$B$5:$N$24,9,FALSE)=" ",0,VLOOKUP($B9,'SR-Team Roping-Header'!$B$5:$N$24,9,FALSE)),0)+IFERROR(IF(VLOOKUP($B9,'SR-Team Roping-Heeler'!$B$5:$N$24,9,FALSE)=" ",0,VLOOKUP($B9,'SR-Team Roping-Heeler'!$B$5:$N$24,9,FALSE)),0)</f>
        <v>0</v>
      </c>
      <c r="V9" s="95" t="str">
        <f t="shared" si="12"/>
        <v xml:space="preserve"> </v>
      </c>
      <c r="W9" s="91" t="str">
        <f t="shared" si="13"/>
        <v xml:space="preserve"> </v>
      </c>
      <c r="X9" s="121">
        <f>IFERROR(IF(VLOOKUP($B9,'SR G-Breakaway'!$B$5:$AI$24,34,FALSE)=" ",0,VLOOKUP($B9,'SR G-Breakaway'!$B$5:$AI$24,34,FALSE)),0)+IFERROR(IF(VLOOKUP($B9,'SR G-Barrels'!$B$5:$AI$24,34,FALSE)=" ",0,VLOOKUP($B9,'SR G-Barrels'!$B$5:$AI$24,34,FALSE)),0)+IFERROR(IF(VLOOKUP($B9,'SR G-Poles'!$B$5:$AI$24,34,FALSE)=" ",0,VLOOKUP($B9,'SR G-Poles'!$B$5:$AI$24,34,FALSE)),0)+IFERROR(IF(VLOOKUP($B9,'SR G-Goats'!$B$5:$AI$24,34,FALSE)=" ",0,VLOOKUP($B9,'SR G-Goats'!$B$5:$AI$24,34,FALSE)),0)+IFERROR(IF(VLOOKUP($B9,'SR-Team Roping-Header'!$B$5:$N$24,10,FALSE)=" ",0,VLOOKUP($B9,'SR-Team Roping-Header'!$B$5:$N$24,10,FALSE)),0)+IFERROR(IF(VLOOKUP($B9,'SR-Team Roping-Heeler'!$B$5:$N$24,10,FALSE)=" ",0,VLOOKUP($B9,'SR-Team Roping-Heeler'!$B$5:$N$24,10,FALSE)),0)</f>
        <v>0</v>
      </c>
      <c r="Y9" s="95" t="str">
        <f t="shared" si="14"/>
        <v xml:space="preserve"> </v>
      </c>
      <c r="Z9" s="91" t="str">
        <f t="shared" si="15"/>
        <v xml:space="preserve"> </v>
      </c>
      <c r="AA9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159</v>
      </c>
      <c r="AB9" s="95">
        <f t="shared" si="16"/>
        <v>159</v>
      </c>
      <c r="AC9" s="91">
        <f t="shared" si="17"/>
        <v>5</v>
      </c>
    </row>
    <row r="10" spans="2:29" x14ac:dyDescent="0.25">
      <c r="B10" s="141" t="s">
        <v>166</v>
      </c>
      <c r="C10" s="120">
        <f>IFERROR(IF(VLOOKUP($B10,'SR G-Breakaway'!$B$5:$AI$24,6,FALSE)=" ",0,VLOOKUP($B10,'SR G-Breakaway'!$B$5:$AI$24,6,FALSE)),0)+IFERROR(IF(VLOOKUP($B10,'SR G-Barrels'!$B$5:$AI$24,6,FALSE)=" ",0,VLOOKUP($B10,'SR G-Barrels'!$B$5:$AI$24,6,FALSE)),0)+IFERROR(IF(VLOOKUP($B10,'SR G-Poles'!$B$5:$AI$24,6,FALSE)=" ",0,VLOOKUP($B10,'SR G-Poles'!$B$5:$AI$24,6,FALSE)),0)+IFERROR(IF(VLOOKUP($B10,'SR G-Goats'!$B$5:$AI$24,6,FALSE)=" ",0,VLOOKUP($B10,'SR G-Goats'!$B$5:$AI$24,6,FALSE)),0)+IFERROR(IF(VLOOKUP($B10,'SR-Team Roping-Header'!$B$5:$N$24,3,FALSE)=" ",0,VLOOKUP($B10,'SR-Team Roping-Header'!$B$5:$N$24,3,FALSE)),0)+IFERROR(IF(VLOOKUP($B10,'SR-Team Roping-Heeler'!$B$5:$N$24,3,FALSE)=" ",0,VLOOKUP($B10,'SR-Team Roping-Heeler'!$B$5:$N$24,3,FALSE)),0)</f>
        <v>24</v>
      </c>
      <c r="D10" s="95">
        <f t="shared" si="0"/>
        <v>24</v>
      </c>
      <c r="E10" s="91">
        <f t="shared" si="1"/>
        <v>4</v>
      </c>
      <c r="F10" s="121">
        <f>IFERROR(IF(VLOOKUP($B10,'SR G-Breakaway'!$B$5:$AI$24,10,FALSE)=" ",0,VLOOKUP($B10,'SR G-Breakaway'!$B$5:$AI$24,10,FALSE)),0)+IFERROR(IF(VLOOKUP($B10,'SR G-Barrels'!$B$5:$AI$24,10,FALSE)=" ",0,VLOOKUP($B10,'SR G-Barrels'!$B$5:$AI$24,10,FALSE)),0)+IFERROR(IF(VLOOKUP($B10,'SR G-Poles'!$B$5:$AI$24,10,FALSE)=" ",0,VLOOKUP($B10,'SR G-Poles'!$B$5:$AI$24,10,FALSE)),0)+IFERROR(IF(VLOOKUP($B10,'SR G-Goats'!$B$5:$AI$24,10,FALSE)=" ",0,VLOOKUP($B10,'SR G-Goats'!$B$5:$AI$24,10,FALSE)),0)+IFERROR(IF(VLOOKUP($B10,'SR-Team Roping-Header'!$B$5:$N$24,4,FALSE)=" ",0,VLOOKUP($B10,'SR-Team Roping-Header'!$B$5:$N$24,4,FALSE)),0)+IFERROR(IF(VLOOKUP($B10,'SR-Team Roping-Heeler'!$B$5:$N$24,4,FALSE)=" ",0,VLOOKUP($B10,'SR-Team Roping-Heeler'!$B$5:$N$24,4,FALSE)),0)</f>
        <v>0</v>
      </c>
      <c r="G10" s="95" t="str">
        <f t="shared" si="2"/>
        <v xml:space="preserve"> </v>
      </c>
      <c r="H10" s="91" t="str">
        <f t="shared" si="3"/>
        <v xml:space="preserve"> </v>
      </c>
      <c r="I10" s="121">
        <f>IFERROR(IF(VLOOKUP($B10,'SR G-Breakaway'!$B$5:$AI$24,14,FALSE)=" ",0,VLOOKUP($B10,'SR G-Breakaway'!$B$5:$AI$24,14,FALSE)),0)+IFERROR(IF(VLOOKUP($B10,'SR G-Barrels'!$B$5:$AI$24,14,FALSE)=" ",0,VLOOKUP($B10,'SR G-Barrels'!$B$5:$AI$24,14,FALSE)),0)+IFERROR(IF(VLOOKUP($B10,'SR G-Poles'!$B$5:$AI$24,14,FALSE)=" ",0,VLOOKUP($B10,'SR G-Poles'!$B$5:$AI$24,14,FALSE)),0)+IFERROR(IF(VLOOKUP($B10,'SR G-Goats'!$B$5:$AI$24,14,FALSE)=" ",0,VLOOKUP($B10,'SR G-Goats'!$B$5:$AI$24,14,FALSE)),0)+IFERROR(IF(VLOOKUP($B10,'SR-Team Roping-Header'!$B$5:$N$24,5,FALSE)=" ",0,VLOOKUP($B10,'SR-Team Roping-Header'!$B$5:$N$24,5,FALSE)),0)+IFERROR(IF(VLOOKUP($B10,'SR-Team Roping-Heeler'!$B$5:$N$24,5,FALSE)=" ",0,VLOOKUP($B10,'SR-Team Roping-Heeler'!$B$5:$N$24,5,FALSE)),0)</f>
        <v>0</v>
      </c>
      <c r="J10" s="95" t="str">
        <f t="shared" si="4"/>
        <v xml:space="preserve"> </v>
      </c>
      <c r="K10" s="91" t="str">
        <f t="shared" si="5"/>
        <v xml:space="preserve"> </v>
      </c>
      <c r="L10" s="121">
        <f>IFERROR(IF(VLOOKUP($B10,'SR G-Breakaway'!$B$5:$AI$24,18,FALSE)=" ",0,VLOOKUP($B10,'SR G-Breakaway'!$B$5:$AI$24,18,FALSE)),0)+IFERROR(IF(VLOOKUP($B10,'SR G-Barrels'!$B$5:$AI$24,18,FALSE)=" ",0,VLOOKUP($B10,'SR G-Barrels'!$B$5:$AI$24,18,FALSE)),0)+IFERROR(IF(VLOOKUP($B10,'SR G-Poles'!$B$5:$AI$24,18,FALSE)=" ",0,VLOOKUP($B10,'SR G-Poles'!$B$5:$AI$24,18,FALSE)),0)+IFERROR(IF(VLOOKUP($B10,'SR G-Goats'!$B$5:$AI$24,18,FALSE)=" ",0,VLOOKUP($B10,'SR G-Goats'!$B$5:$AI$24,18,FALSE)),0)+IFERROR(IF(VLOOKUP($B10,'SR-Team Roping-Header'!$B$5:$N$24,6,FALSE)=" ",0,VLOOKUP($B10,'SR-Team Roping-Header'!$B$5:$N$24,6,FALSE)),0)+IFERROR(IF(VLOOKUP($B10,'SR-Team Roping-Heeler'!$B$5:$N$24,6,FALSE)=" ",0,VLOOKUP($B10,'SR-Team Roping-Heeler'!$B$5:$N$24,6,FALSE)),0)</f>
        <v>30</v>
      </c>
      <c r="M10" s="95">
        <f t="shared" si="6"/>
        <v>30</v>
      </c>
      <c r="N10" s="91">
        <f t="shared" si="7"/>
        <v>4</v>
      </c>
      <c r="O10" s="121">
        <f>IFERROR(IF(VLOOKUP($B10,'SR G-Breakaway'!$B$5:$AI$24,22,FALSE)=" ",0,VLOOKUP($B10,'SR G-Breakaway'!$B$5:$AI$24,22,FALSE)),0)+IFERROR(IF(VLOOKUP($B10,'SR G-Barrels'!$B$5:$AI$24,22,FALSE)=" ",0,VLOOKUP($B10,'SR G-Barrels'!$B$5:$AI$24,22,FALSE)),0)+IFERROR(IF(VLOOKUP($B10,'SR G-Poles'!$B$5:$AI$24,22,FALSE)=" ",0,VLOOKUP($B10,'SR G-Poles'!$B$5:$AI$24,22,FALSE)),0)+IFERROR(IF(VLOOKUP($B10,'SR G-Goats'!$B$5:$AI$24,22,FALSE)=" ",0,VLOOKUP($B10,'SR G-Goats'!$B$5:$AI$24,22,FALSE)),0)+IFERROR(IF(VLOOKUP($B10,'SR-Team Roping-Header'!$B$5:$N$24,7,FALSE)=" ",0,VLOOKUP($B10,'SR-Team Roping-Header'!$B$5:$N$24,7,FALSE)),0)+IFERROR(IF(VLOOKUP($B10,'SR-Team Roping-Heeler'!$B$5:$N$24,7,FALSE)=" ",0,VLOOKUP($B10,'SR-Team Roping-Heeler'!$B$5:$N$24,7,FALSE)),0)</f>
        <v>33</v>
      </c>
      <c r="P10" s="95">
        <f t="shared" si="8"/>
        <v>33</v>
      </c>
      <c r="Q10" s="91">
        <f t="shared" si="9"/>
        <v>3</v>
      </c>
      <c r="R10" s="121">
        <f>IFERROR(IF(VLOOKUP($B10,'SR G-Breakaway'!$B$5:$AI$24,26,FALSE)=" ",0,VLOOKUP($B10,'SR G-Breakaway'!$B$5:$AI$24,26,FALSE)),0)+IFERROR(IF(VLOOKUP($B10,'SR G-Barrels'!$B$5:$AI$24,26,FALSE)=" ",0,VLOOKUP($B10,'SR G-Barrels'!$B$5:$AI$24,26,FALSE)),0)+IFERROR(IF(VLOOKUP($B10,'SR G-Poles'!$B$5:$AI$24,26,FALSE)=" ",0,VLOOKUP($B10,'SR G-Poles'!$B$5:$AI$24,26,FALSE)),0)+IFERROR(IF(VLOOKUP($B10,'SR G-Goats'!$B$5:$AI$24,26,FALSE)=" ",0,VLOOKUP($B10,'SR G-Goats'!$B$5:$AI$24,26,FALSE)),0)+IFERROR(IF(VLOOKUP($B10,'SR-Team Roping-Header'!$B$5:$N$24,8,FALSE)=" ",0,VLOOKUP($B10,'SR-Team Roping-Header'!$B$5:$N$24,8,FALSE)),0)+IFERROR(IF(VLOOKUP($B10,'SR-Team Roping-Heeler'!$B$5:$N$24,8,FALSE)=" ",0,VLOOKUP($B10,'SR-Team Roping-Heeler'!$B$5:$N$24,8,FALSE)),0)</f>
        <v>27</v>
      </c>
      <c r="S10" s="95">
        <f t="shared" si="10"/>
        <v>27</v>
      </c>
      <c r="T10" s="91">
        <f t="shared" si="11"/>
        <v>3</v>
      </c>
      <c r="U10" s="121">
        <f>IFERROR(IF(VLOOKUP($B10,'SR G-Breakaway'!$B$5:$AI$24,30,FALSE)=" ",0,VLOOKUP($B10,'SR G-Breakaway'!$B$5:$AI$24,30,FALSE)),0)+IFERROR(IF(VLOOKUP($B10,'SR G-Barrels'!$B$5:$AI$24,30,FALSE)=" ",0,VLOOKUP($B10,'SR G-Barrels'!$B$5:$AI$24,30,FALSE)),0)+IFERROR(IF(VLOOKUP($B10,'SR G-Poles'!$B$5:$AI$24,30,FALSE)=" ",0,VLOOKUP($B10,'SR G-Poles'!$B$5:$AI$24,30,FALSE)),0)+IFERROR(IF(VLOOKUP($B10,'SR G-Goats'!$B$5:$AI$24,30,FALSE)=" ",0,VLOOKUP($B10,'SR G-Goats'!$B$5:$AI$24,30,FALSE)),0)+IFERROR(IF(VLOOKUP($B10,'SR-Team Roping-Header'!$B$5:$N$24,9,FALSE)=" ",0,VLOOKUP($B10,'SR-Team Roping-Header'!$B$5:$N$24,9,FALSE)),0)+IFERROR(IF(VLOOKUP($B10,'SR-Team Roping-Heeler'!$B$5:$N$24,9,FALSE)=" ",0,VLOOKUP($B10,'SR-Team Roping-Heeler'!$B$5:$N$24,9,FALSE)),0)</f>
        <v>21</v>
      </c>
      <c r="V10" s="95">
        <f t="shared" si="12"/>
        <v>21</v>
      </c>
      <c r="W10" s="91">
        <f t="shared" si="13"/>
        <v>6</v>
      </c>
      <c r="X10" s="121">
        <f>IFERROR(IF(VLOOKUP($B10,'SR G-Breakaway'!$B$5:$AI$24,34,FALSE)=" ",0,VLOOKUP($B10,'SR G-Breakaway'!$B$5:$AI$24,34,FALSE)),0)+IFERROR(IF(VLOOKUP($B10,'SR G-Barrels'!$B$5:$AI$24,34,FALSE)=" ",0,VLOOKUP($B10,'SR G-Barrels'!$B$5:$AI$24,34,FALSE)),0)+IFERROR(IF(VLOOKUP($B10,'SR G-Poles'!$B$5:$AI$24,34,FALSE)=" ",0,VLOOKUP($B10,'SR G-Poles'!$B$5:$AI$24,34,FALSE)),0)+IFERROR(IF(VLOOKUP($B10,'SR G-Goats'!$B$5:$AI$24,34,FALSE)=" ",0,VLOOKUP($B10,'SR G-Goats'!$B$5:$AI$24,34,FALSE)),0)+IFERROR(IF(VLOOKUP($B10,'SR-Team Roping-Header'!$B$5:$N$24,10,FALSE)=" ",0,VLOOKUP($B10,'SR-Team Roping-Header'!$B$5:$N$24,10,FALSE)),0)+IFERROR(IF(VLOOKUP($B10,'SR-Team Roping-Heeler'!$B$5:$N$24,10,FALSE)=" ",0,VLOOKUP($B10,'SR-Team Roping-Heeler'!$B$5:$N$24,10,FALSE)),0)</f>
        <v>21</v>
      </c>
      <c r="Y10" s="95">
        <f t="shared" si="14"/>
        <v>21</v>
      </c>
      <c r="Z10" s="91">
        <f t="shared" si="15"/>
        <v>5</v>
      </c>
      <c r="AA10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156</v>
      </c>
      <c r="AB10" s="95">
        <f t="shared" si="16"/>
        <v>156</v>
      </c>
      <c r="AC10" s="91">
        <f t="shared" si="17"/>
        <v>6</v>
      </c>
    </row>
    <row r="11" spans="2:29" x14ac:dyDescent="0.25">
      <c r="B11" s="141" t="s">
        <v>185</v>
      </c>
      <c r="C11" s="120">
        <f>IFERROR(IF(VLOOKUP($B11,'SR G-Breakaway'!$B$5:$AI$24,6,FALSE)=" ",0,VLOOKUP($B11,'SR G-Breakaway'!$B$5:$AI$24,6,FALSE)),0)+IFERROR(IF(VLOOKUP($B11,'SR G-Barrels'!$B$5:$AI$24,6,FALSE)=" ",0,VLOOKUP($B11,'SR G-Barrels'!$B$5:$AI$24,6,FALSE)),0)+IFERROR(IF(VLOOKUP($B11,'SR G-Poles'!$B$5:$AI$24,6,FALSE)=" ",0,VLOOKUP($B11,'SR G-Poles'!$B$5:$AI$24,6,FALSE)),0)+IFERROR(IF(VLOOKUP($B11,'SR G-Goats'!$B$5:$AI$24,6,FALSE)=" ",0,VLOOKUP($B11,'SR G-Goats'!$B$5:$AI$24,6,FALSE)),0)+IFERROR(IF(VLOOKUP($B11,'SR-Team Roping-Header'!$B$5:$N$24,3,FALSE)=" ",0,VLOOKUP($B11,'SR-Team Roping-Header'!$B$5:$N$24,3,FALSE)),0)+IFERROR(IF(VLOOKUP($B11,'SR-Team Roping-Heeler'!$B$5:$N$24,3,FALSE)=" ",0,VLOOKUP($B11,'SR-Team Roping-Heeler'!$B$5:$N$24,3,FALSE)),0)</f>
        <v>24</v>
      </c>
      <c r="D11" s="95">
        <f t="shared" si="0"/>
        <v>24</v>
      </c>
      <c r="E11" s="91">
        <f t="shared" si="1"/>
        <v>4</v>
      </c>
      <c r="F11" s="121">
        <f>IFERROR(IF(VLOOKUP($B11,'SR G-Breakaway'!$B$5:$AI$24,10,FALSE)=" ",0,VLOOKUP($B11,'SR G-Breakaway'!$B$5:$AI$24,10,FALSE)),0)+IFERROR(IF(VLOOKUP($B11,'SR G-Barrels'!$B$5:$AI$24,10,FALSE)=" ",0,VLOOKUP($B11,'SR G-Barrels'!$B$5:$AI$24,10,FALSE)),0)+IFERROR(IF(VLOOKUP($B11,'SR G-Poles'!$B$5:$AI$24,10,FALSE)=" ",0,VLOOKUP($B11,'SR G-Poles'!$B$5:$AI$24,10,FALSE)),0)+IFERROR(IF(VLOOKUP($B11,'SR G-Goats'!$B$5:$AI$24,10,FALSE)=" ",0,VLOOKUP($B11,'SR G-Goats'!$B$5:$AI$24,10,FALSE)),0)+IFERROR(IF(VLOOKUP($B11,'SR-Team Roping-Header'!$B$5:$N$24,4,FALSE)=" ",0,VLOOKUP($B11,'SR-Team Roping-Header'!$B$5:$N$24,4,FALSE)),0)+IFERROR(IF(VLOOKUP($B11,'SR-Team Roping-Heeler'!$B$5:$N$24,4,FALSE)=" ",0,VLOOKUP($B11,'SR-Team Roping-Heeler'!$B$5:$N$24,4,FALSE)),0)</f>
        <v>21</v>
      </c>
      <c r="G11" s="95">
        <f t="shared" si="2"/>
        <v>21</v>
      </c>
      <c r="H11" s="91">
        <f t="shared" si="3"/>
        <v>5</v>
      </c>
      <c r="I11" s="121">
        <f>IFERROR(IF(VLOOKUP($B11,'SR G-Breakaway'!$B$5:$AI$24,14,FALSE)=" ",0,VLOOKUP($B11,'SR G-Breakaway'!$B$5:$AI$24,14,FALSE)),0)+IFERROR(IF(VLOOKUP($B11,'SR G-Barrels'!$B$5:$AI$24,14,FALSE)=" ",0,VLOOKUP($B11,'SR G-Barrels'!$B$5:$AI$24,14,FALSE)),0)+IFERROR(IF(VLOOKUP($B11,'SR G-Poles'!$B$5:$AI$24,14,FALSE)=" ",0,VLOOKUP($B11,'SR G-Poles'!$B$5:$AI$24,14,FALSE)),0)+IFERROR(IF(VLOOKUP($B11,'SR G-Goats'!$B$5:$AI$24,14,FALSE)=" ",0,VLOOKUP($B11,'SR G-Goats'!$B$5:$AI$24,14,FALSE)),0)+IFERROR(IF(VLOOKUP($B11,'SR-Team Roping-Header'!$B$5:$N$24,5,FALSE)=" ",0,VLOOKUP($B11,'SR-Team Roping-Header'!$B$5:$N$24,5,FALSE)),0)+IFERROR(IF(VLOOKUP($B11,'SR-Team Roping-Heeler'!$B$5:$N$24,5,FALSE)=" ",0,VLOOKUP($B11,'SR-Team Roping-Heeler'!$B$5:$N$24,5,FALSE)),0)</f>
        <v>24</v>
      </c>
      <c r="J11" s="95">
        <f t="shared" si="4"/>
        <v>24</v>
      </c>
      <c r="K11" s="91">
        <f t="shared" si="5"/>
        <v>5</v>
      </c>
      <c r="L11" s="121">
        <f>IFERROR(IF(VLOOKUP($B11,'SR G-Breakaway'!$B$5:$AI$24,18,FALSE)=" ",0,VLOOKUP($B11,'SR G-Breakaway'!$B$5:$AI$24,18,FALSE)),0)+IFERROR(IF(VLOOKUP($B11,'SR G-Barrels'!$B$5:$AI$24,18,FALSE)=" ",0,VLOOKUP($B11,'SR G-Barrels'!$B$5:$AI$24,18,FALSE)),0)+IFERROR(IF(VLOOKUP($B11,'SR G-Poles'!$B$5:$AI$24,18,FALSE)=" ",0,VLOOKUP($B11,'SR G-Poles'!$B$5:$AI$24,18,FALSE)),0)+IFERROR(IF(VLOOKUP($B11,'SR G-Goats'!$B$5:$AI$24,18,FALSE)=" ",0,VLOOKUP($B11,'SR G-Goats'!$B$5:$AI$24,18,FALSE)),0)+IFERROR(IF(VLOOKUP($B11,'SR-Team Roping-Header'!$B$5:$N$24,6,FALSE)=" ",0,VLOOKUP($B11,'SR-Team Roping-Header'!$B$5:$N$24,6,FALSE)),0)+IFERROR(IF(VLOOKUP($B11,'SR-Team Roping-Heeler'!$B$5:$N$24,6,FALSE)=" ",0,VLOOKUP($B11,'SR-Team Roping-Heeler'!$B$5:$N$24,6,FALSE)),0)</f>
        <v>21</v>
      </c>
      <c r="M11" s="95">
        <f t="shared" si="6"/>
        <v>21</v>
      </c>
      <c r="N11" s="91">
        <f t="shared" si="7"/>
        <v>6</v>
      </c>
      <c r="O11" s="121">
        <f>IFERROR(IF(VLOOKUP($B11,'SR G-Breakaway'!$B$5:$AI$24,22,FALSE)=" ",0,VLOOKUP($B11,'SR G-Breakaway'!$B$5:$AI$24,22,FALSE)),0)+IFERROR(IF(VLOOKUP($B11,'SR G-Barrels'!$B$5:$AI$24,22,FALSE)=" ",0,VLOOKUP($B11,'SR G-Barrels'!$B$5:$AI$24,22,FALSE)),0)+IFERROR(IF(VLOOKUP($B11,'SR G-Poles'!$B$5:$AI$24,22,FALSE)=" ",0,VLOOKUP($B11,'SR G-Poles'!$B$5:$AI$24,22,FALSE)),0)+IFERROR(IF(VLOOKUP($B11,'SR G-Goats'!$B$5:$AI$24,22,FALSE)=" ",0,VLOOKUP($B11,'SR G-Goats'!$B$5:$AI$24,22,FALSE)),0)+IFERROR(IF(VLOOKUP($B11,'SR-Team Roping-Header'!$B$5:$N$24,7,FALSE)=" ",0,VLOOKUP($B11,'SR-Team Roping-Header'!$B$5:$N$24,7,FALSE)),0)+IFERROR(IF(VLOOKUP($B11,'SR-Team Roping-Heeler'!$B$5:$N$24,7,FALSE)=" ",0,VLOOKUP($B11,'SR-Team Roping-Heeler'!$B$5:$N$24,7,FALSE)),0)</f>
        <v>24</v>
      </c>
      <c r="P11" s="95">
        <f t="shared" si="8"/>
        <v>24</v>
      </c>
      <c r="Q11" s="91">
        <f t="shared" si="9"/>
        <v>4</v>
      </c>
      <c r="R11" s="121">
        <f>IFERROR(IF(VLOOKUP($B11,'SR G-Breakaway'!$B$5:$AI$24,26,FALSE)=" ",0,VLOOKUP($B11,'SR G-Breakaway'!$B$5:$AI$24,26,FALSE)),0)+IFERROR(IF(VLOOKUP($B11,'SR G-Barrels'!$B$5:$AI$24,26,FALSE)=" ",0,VLOOKUP($B11,'SR G-Barrels'!$B$5:$AI$24,26,FALSE)),0)+IFERROR(IF(VLOOKUP($B11,'SR G-Poles'!$B$5:$AI$24,26,FALSE)=" ",0,VLOOKUP($B11,'SR G-Poles'!$B$5:$AI$24,26,FALSE)),0)+IFERROR(IF(VLOOKUP($B11,'SR G-Goats'!$B$5:$AI$24,26,FALSE)=" ",0,VLOOKUP($B11,'SR G-Goats'!$B$5:$AI$24,26,FALSE)),0)+IFERROR(IF(VLOOKUP($B11,'SR-Team Roping-Header'!$B$5:$N$24,8,FALSE)=" ",0,VLOOKUP($B11,'SR-Team Roping-Header'!$B$5:$N$24,8,FALSE)),0)+IFERROR(IF(VLOOKUP($B11,'SR-Team Roping-Heeler'!$B$5:$N$24,8,FALSE)=" ",0,VLOOKUP($B11,'SR-Team Roping-Heeler'!$B$5:$N$24,8,FALSE)),0)</f>
        <v>9</v>
      </c>
      <c r="S11" s="95">
        <f t="shared" si="10"/>
        <v>9</v>
      </c>
      <c r="T11" s="91">
        <f t="shared" si="11"/>
        <v>6</v>
      </c>
      <c r="U11" s="121">
        <f>IFERROR(IF(VLOOKUP($B11,'SR G-Breakaway'!$B$5:$AI$24,30,FALSE)=" ",0,VLOOKUP($B11,'SR G-Breakaway'!$B$5:$AI$24,30,FALSE)),0)+IFERROR(IF(VLOOKUP($B11,'SR G-Barrels'!$B$5:$AI$24,30,FALSE)=" ",0,VLOOKUP($B11,'SR G-Barrels'!$B$5:$AI$24,30,FALSE)),0)+IFERROR(IF(VLOOKUP($B11,'SR G-Poles'!$B$5:$AI$24,30,FALSE)=" ",0,VLOOKUP($B11,'SR G-Poles'!$B$5:$AI$24,30,FALSE)),0)+IFERROR(IF(VLOOKUP($B11,'SR G-Goats'!$B$5:$AI$24,30,FALSE)=" ",0,VLOOKUP($B11,'SR G-Goats'!$B$5:$AI$24,30,FALSE)),0)+IFERROR(IF(VLOOKUP($B11,'SR-Team Roping-Header'!$B$5:$N$24,9,FALSE)=" ",0,VLOOKUP($B11,'SR-Team Roping-Header'!$B$5:$N$24,9,FALSE)),0)+IFERROR(IF(VLOOKUP($B11,'SR-Team Roping-Heeler'!$B$5:$N$24,9,FALSE)=" ",0,VLOOKUP($B11,'SR-Team Roping-Heeler'!$B$5:$N$24,9,FALSE)),0)</f>
        <v>15</v>
      </c>
      <c r="V11" s="95">
        <f t="shared" si="12"/>
        <v>15</v>
      </c>
      <c r="W11" s="91">
        <f t="shared" si="13"/>
        <v>7</v>
      </c>
      <c r="X11" s="121">
        <f>IFERROR(IF(VLOOKUP($B11,'SR G-Breakaway'!$B$5:$AI$24,34,FALSE)=" ",0,VLOOKUP($B11,'SR G-Breakaway'!$B$5:$AI$24,34,FALSE)),0)+IFERROR(IF(VLOOKUP($B11,'SR G-Barrels'!$B$5:$AI$24,34,FALSE)=" ",0,VLOOKUP($B11,'SR G-Barrels'!$B$5:$AI$24,34,FALSE)),0)+IFERROR(IF(VLOOKUP($B11,'SR G-Poles'!$B$5:$AI$24,34,FALSE)=" ",0,VLOOKUP($B11,'SR G-Poles'!$B$5:$AI$24,34,FALSE)),0)+IFERROR(IF(VLOOKUP($B11,'SR G-Goats'!$B$5:$AI$24,34,FALSE)=" ",0,VLOOKUP($B11,'SR G-Goats'!$B$5:$AI$24,34,FALSE)),0)+IFERROR(IF(VLOOKUP($B11,'SR-Team Roping-Header'!$B$5:$N$24,10,FALSE)=" ",0,VLOOKUP($B11,'SR-Team Roping-Header'!$B$5:$N$24,10,FALSE)),0)+IFERROR(IF(VLOOKUP($B11,'SR-Team Roping-Heeler'!$B$5:$N$24,10,FALSE)=" ",0,VLOOKUP($B11,'SR-Team Roping-Heeler'!$B$5:$N$24,10,FALSE)),0)</f>
        <v>15</v>
      </c>
      <c r="Y11" s="95">
        <f t="shared" si="14"/>
        <v>15</v>
      </c>
      <c r="Z11" s="91">
        <f t="shared" si="15"/>
        <v>7</v>
      </c>
      <c r="AA11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153</v>
      </c>
      <c r="AB11" s="95">
        <f t="shared" si="16"/>
        <v>153</v>
      </c>
      <c r="AC11" s="91">
        <f t="shared" si="17"/>
        <v>7</v>
      </c>
    </row>
    <row r="12" spans="2:29" x14ac:dyDescent="0.25">
      <c r="B12" s="141" t="s">
        <v>168</v>
      </c>
      <c r="C12" s="120">
        <f>IFERROR(IF(VLOOKUP($B12,'SR G-Breakaway'!$B$5:$AI$24,6,FALSE)=" ",0,VLOOKUP($B12,'SR G-Breakaway'!$B$5:$AI$24,6,FALSE)),0)+IFERROR(IF(VLOOKUP($B12,'SR G-Barrels'!$B$5:$AI$24,6,FALSE)=" ",0,VLOOKUP($B12,'SR G-Barrels'!$B$5:$AI$24,6,FALSE)),0)+IFERROR(IF(VLOOKUP($B12,'SR G-Poles'!$B$5:$AI$24,6,FALSE)=" ",0,VLOOKUP($B12,'SR G-Poles'!$B$5:$AI$24,6,FALSE)),0)+IFERROR(IF(VLOOKUP($B12,'SR G-Goats'!$B$5:$AI$24,6,FALSE)=" ",0,VLOOKUP($B12,'SR G-Goats'!$B$5:$AI$24,6,FALSE)),0)+IFERROR(IF(VLOOKUP($B12,'SR-Team Roping-Header'!$B$5:$N$24,3,FALSE)=" ",0,VLOOKUP($B12,'SR-Team Roping-Header'!$B$5:$N$24,3,FALSE)),0)+IFERROR(IF(VLOOKUP($B12,'SR-Team Roping-Heeler'!$B$5:$N$24,3,FALSE)=" ",0,VLOOKUP($B12,'SR-Team Roping-Heeler'!$B$5:$N$24,3,FALSE)),0)</f>
        <v>33</v>
      </c>
      <c r="D12" s="95">
        <f t="shared" si="0"/>
        <v>33</v>
      </c>
      <c r="E12" s="122">
        <f t="shared" si="1"/>
        <v>3</v>
      </c>
      <c r="F12" s="121">
        <f>IFERROR(IF(VLOOKUP($B12,'SR G-Breakaway'!$B$5:$AI$24,10,FALSE)=" ",0,VLOOKUP($B12,'SR G-Breakaway'!$B$5:$AI$24,10,FALSE)),0)+IFERROR(IF(VLOOKUP($B12,'SR G-Barrels'!$B$5:$AI$24,10,FALSE)=" ",0,VLOOKUP($B12,'SR G-Barrels'!$B$5:$AI$24,10,FALSE)),0)+IFERROR(IF(VLOOKUP($B12,'SR G-Poles'!$B$5:$AI$24,10,FALSE)=" ",0,VLOOKUP($B12,'SR G-Poles'!$B$5:$AI$24,10,FALSE)),0)+IFERROR(IF(VLOOKUP($B12,'SR G-Goats'!$B$5:$AI$24,10,FALSE)=" ",0,VLOOKUP($B12,'SR G-Goats'!$B$5:$AI$24,10,FALSE)),0)+IFERROR(IF(VLOOKUP($B12,'SR-Team Roping-Header'!$B$5:$N$24,4,FALSE)=" ",0,VLOOKUP($B12,'SR-Team Roping-Header'!$B$5:$N$24,4,FALSE)),0)+IFERROR(IF(VLOOKUP($B12,'SR-Team Roping-Heeler'!$B$5:$N$24,4,FALSE)=" ",0,VLOOKUP($B12,'SR-Team Roping-Heeler'!$B$5:$N$24,4,FALSE)),0)</f>
        <v>21</v>
      </c>
      <c r="G12" s="95">
        <f t="shared" si="2"/>
        <v>21</v>
      </c>
      <c r="H12" s="122">
        <f t="shared" si="3"/>
        <v>5</v>
      </c>
      <c r="I12" s="121">
        <f>IFERROR(IF(VLOOKUP($B12,'SR G-Breakaway'!$B$5:$AI$24,14,FALSE)=" ",0,VLOOKUP($B12,'SR G-Breakaway'!$B$5:$AI$24,14,FALSE)),0)+IFERROR(IF(VLOOKUP($B12,'SR G-Barrels'!$B$5:$AI$24,14,FALSE)=" ",0,VLOOKUP($B12,'SR G-Barrels'!$B$5:$AI$24,14,FALSE)),0)+IFERROR(IF(VLOOKUP($B12,'SR G-Poles'!$B$5:$AI$24,14,FALSE)=" ",0,VLOOKUP($B12,'SR G-Poles'!$B$5:$AI$24,14,FALSE)),0)+IFERROR(IF(VLOOKUP($B12,'SR G-Goats'!$B$5:$AI$24,14,FALSE)=" ",0,VLOOKUP($B12,'SR G-Goats'!$B$5:$AI$24,14,FALSE)),0)+IFERROR(IF(VLOOKUP($B12,'SR-Team Roping-Header'!$B$5:$N$24,5,FALSE)=" ",0,VLOOKUP($B12,'SR-Team Roping-Header'!$B$5:$N$24,5,FALSE)),0)+IFERROR(IF(VLOOKUP($B12,'SR-Team Roping-Heeler'!$B$5:$N$24,5,FALSE)=" ",0,VLOOKUP($B12,'SR-Team Roping-Heeler'!$B$5:$N$24,5,FALSE)),0)</f>
        <v>9</v>
      </c>
      <c r="J12" s="95">
        <f t="shared" si="4"/>
        <v>9</v>
      </c>
      <c r="K12" s="122">
        <f t="shared" si="5"/>
        <v>10</v>
      </c>
      <c r="L12" s="121">
        <f>IFERROR(IF(VLOOKUP($B12,'SR G-Breakaway'!$B$5:$AI$24,18,FALSE)=" ",0,VLOOKUP($B12,'SR G-Breakaway'!$B$5:$AI$24,18,FALSE)),0)+IFERROR(IF(VLOOKUP($B12,'SR G-Barrels'!$B$5:$AI$24,18,FALSE)=" ",0,VLOOKUP($B12,'SR G-Barrels'!$B$5:$AI$24,18,FALSE)),0)+IFERROR(IF(VLOOKUP($B12,'SR G-Poles'!$B$5:$AI$24,18,FALSE)=" ",0,VLOOKUP($B12,'SR G-Poles'!$B$5:$AI$24,18,FALSE)),0)+IFERROR(IF(VLOOKUP($B12,'SR G-Goats'!$B$5:$AI$24,18,FALSE)=" ",0,VLOOKUP($B12,'SR G-Goats'!$B$5:$AI$24,18,FALSE)),0)+IFERROR(IF(VLOOKUP($B12,'SR-Team Roping-Header'!$B$5:$N$24,6,FALSE)=" ",0,VLOOKUP($B12,'SR-Team Roping-Header'!$B$5:$N$24,6,FALSE)),0)+IFERROR(IF(VLOOKUP($B12,'SR-Team Roping-Heeler'!$B$5:$N$24,6,FALSE)=" ",0,VLOOKUP($B12,'SR-Team Roping-Heeler'!$B$5:$N$24,6,FALSE)),0)</f>
        <v>6</v>
      </c>
      <c r="M12" s="95">
        <f t="shared" si="6"/>
        <v>6</v>
      </c>
      <c r="N12" s="122">
        <f t="shared" si="7"/>
        <v>11</v>
      </c>
      <c r="O12" s="121">
        <f>IFERROR(IF(VLOOKUP($B12,'SR G-Breakaway'!$B$5:$AI$24,22,FALSE)=" ",0,VLOOKUP($B12,'SR G-Breakaway'!$B$5:$AI$24,22,FALSE)),0)+IFERROR(IF(VLOOKUP($B12,'SR G-Barrels'!$B$5:$AI$24,22,FALSE)=" ",0,VLOOKUP($B12,'SR G-Barrels'!$B$5:$AI$24,22,FALSE)),0)+IFERROR(IF(VLOOKUP($B12,'SR G-Poles'!$B$5:$AI$24,22,FALSE)=" ",0,VLOOKUP($B12,'SR G-Poles'!$B$5:$AI$24,22,FALSE)),0)+IFERROR(IF(VLOOKUP($B12,'SR G-Goats'!$B$5:$AI$24,22,FALSE)=" ",0,VLOOKUP($B12,'SR G-Goats'!$B$5:$AI$24,22,FALSE)),0)+IFERROR(IF(VLOOKUP($B12,'SR-Team Roping-Header'!$B$5:$N$24,7,FALSE)=" ",0,VLOOKUP($B12,'SR-Team Roping-Header'!$B$5:$N$24,7,FALSE)),0)+IFERROR(IF(VLOOKUP($B12,'SR-Team Roping-Heeler'!$B$5:$N$24,7,FALSE)=" ",0,VLOOKUP($B12,'SR-Team Roping-Heeler'!$B$5:$N$24,7,FALSE)),0)</f>
        <v>0</v>
      </c>
      <c r="P12" s="95" t="str">
        <f t="shared" si="8"/>
        <v xml:space="preserve"> </v>
      </c>
      <c r="Q12" s="122" t="str">
        <f t="shared" si="9"/>
        <v xml:space="preserve"> </v>
      </c>
      <c r="R12" s="121">
        <f>IFERROR(IF(VLOOKUP($B12,'SR G-Breakaway'!$B$5:$AI$24,26,FALSE)=" ",0,VLOOKUP($B12,'SR G-Breakaway'!$B$5:$AI$24,26,FALSE)),0)+IFERROR(IF(VLOOKUP($B12,'SR G-Barrels'!$B$5:$AI$24,26,FALSE)=" ",0,VLOOKUP($B12,'SR G-Barrels'!$B$5:$AI$24,26,FALSE)),0)+IFERROR(IF(VLOOKUP($B12,'SR G-Poles'!$B$5:$AI$24,26,FALSE)=" ",0,VLOOKUP($B12,'SR G-Poles'!$B$5:$AI$24,26,FALSE)),0)+IFERROR(IF(VLOOKUP($B12,'SR G-Goats'!$B$5:$AI$24,26,FALSE)=" ",0,VLOOKUP($B12,'SR G-Goats'!$B$5:$AI$24,26,FALSE)),0)+IFERROR(IF(VLOOKUP($B12,'SR-Team Roping-Header'!$B$5:$N$24,8,FALSE)=" ",0,VLOOKUP($B12,'SR-Team Roping-Header'!$B$5:$N$24,8,FALSE)),0)+IFERROR(IF(VLOOKUP($B12,'SR-Team Roping-Heeler'!$B$5:$N$24,8,FALSE)=" ",0,VLOOKUP($B12,'SR-Team Roping-Heeler'!$B$5:$N$24,8,FALSE)),0)</f>
        <v>0</v>
      </c>
      <c r="S12" s="95" t="str">
        <f t="shared" si="10"/>
        <v xml:space="preserve"> </v>
      </c>
      <c r="T12" s="122" t="str">
        <f t="shared" si="11"/>
        <v xml:space="preserve"> </v>
      </c>
      <c r="U12" s="121">
        <f>IFERROR(IF(VLOOKUP($B12,'SR G-Breakaway'!$B$5:$AI$24,30,FALSE)=" ",0,VLOOKUP($B12,'SR G-Breakaway'!$B$5:$AI$24,30,FALSE)),0)+IFERROR(IF(VLOOKUP($B12,'SR G-Barrels'!$B$5:$AI$24,30,FALSE)=" ",0,VLOOKUP($B12,'SR G-Barrels'!$B$5:$AI$24,30,FALSE)),0)+IFERROR(IF(VLOOKUP($B12,'SR G-Poles'!$B$5:$AI$24,30,FALSE)=" ",0,VLOOKUP($B12,'SR G-Poles'!$B$5:$AI$24,30,FALSE)),0)+IFERROR(IF(VLOOKUP($B12,'SR G-Goats'!$B$5:$AI$24,30,FALSE)=" ",0,VLOOKUP($B12,'SR G-Goats'!$B$5:$AI$24,30,FALSE)),0)+IFERROR(IF(VLOOKUP($B12,'SR-Team Roping-Header'!$B$5:$N$24,9,FALSE)=" ",0,VLOOKUP($B12,'SR-Team Roping-Header'!$B$5:$N$24,9,FALSE)),0)+IFERROR(IF(VLOOKUP($B12,'SR-Team Roping-Heeler'!$B$5:$N$24,9,FALSE)=" ",0,VLOOKUP($B12,'SR-Team Roping-Heeler'!$B$5:$N$24,9,FALSE)),0)</f>
        <v>24</v>
      </c>
      <c r="V12" s="95">
        <f t="shared" si="12"/>
        <v>24</v>
      </c>
      <c r="W12" s="122">
        <f t="shared" si="13"/>
        <v>5</v>
      </c>
      <c r="X12" s="121">
        <f>IFERROR(IF(VLOOKUP($B12,'SR G-Breakaway'!$B$5:$AI$24,34,FALSE)=" ",0,VLOOKUP($B12,'SR G-Breakaway'!$B$5:$AI$24,34,FALSE)),0)+IFERROR(IF(VLOOKUP($B12,'SR G-Barrels'!$B$5:$AI$24,34,FALSE)=" ",0,VLOOKUP($B12,'SR G-Barrels'!$B$5:$AI$24,34,FALSE)),0)+IFERROR(IF(VLOOKUP($B12,'SR G-Poles'!$B$5:$AI$24,34,FALSE)=" ",0,VLOOKUP($B12,'SR G-Poles'!$B$5:$AI$24,34,FALSE)),0)+IFERROR(IF(VLOOKUP($B12,'SR G-Goats'!$B$5:$AI$24,34,FALSE)=" ",0,VLOOKUP($B12,'SR G-Goats'!$B$5:$AI$24,34,FALSE)),0)+IFERROR(IF(VLOOKUP($B12,'SR-Team Roping-Header'!$B$5:$N$24,10,FALSE)=" ",0,VLOOKUP($B12,'SR-Team Roping-Header'!$B$5:$N$24,10,FALSE)),0)+IFERROR(IF(VLOOKUP($B12,'SR-Team Roping-Heeler'!$B$5:$N$24,10,FALSE)=" ",0,VLOOKUP($B12,'SR-Team Roping-Heeler'!$B$5:$N$24,10,FALSE)),0)</f>
        <v>21</v>
      </c>
      <c r="Y12" s="95">
        <f t="shared" si="14"/>
        <v>21</v>
      </c>
      <c r="Z12" s="122">
        <f t="shared" si="15"/>
        <v>5</v>
      </c>
      <c r="AA12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114</v>
      </c>
      <c r="AB12" s="95">
        <f t="shared" si="16"/>
        <v>114</v>
      </c>
      <c r="AC12" s="122">
        <f t="shared" si="17"/>
        <v>8</v>
      </c>
    </row>
    <row r="13" spans="2:29" x14ac:dyDescent="0.25">
      <c r="B13" s="141" t="s">
        <v>188</v>
      </c>
      <c r="C13" s="120">
        <f>IFERROR(IF(VLOOKUP($B13,'SR G-Breakaway'!$B$5:$AI$24,6,FALSE)=" ",0,VLOOKUP($B13,'SR G-Breakaway'!$B$5:$AI$24,6,FALSE)),0)+IFERROR(IF(VLOOKUP($B13,'SR G-Barrels'!$B$5:$AI$24,6,FALSE)=" ",0,VLOOKUP($B13,'SR G-Barrels'!$B$5:$AI$24,6,FALSE)),0)+IFERROR(IF(VLOOKUP($B13,'SR G-Poles'!$B$5:$AI$24,6,FALSE)=" ",0,VLOOKUP($B13,'SR G-Poles'!$B$5:$AI$24,6,FALSE)),0)+IFERROR(IF(VLOOKUP($B13,'SR G-Goats'!$B$5:$AI$24,6,FALSE)=" ",0,VLOOKUP($B13,'SR G-Goats'!$B$5:$AI$24,6,FALSE)),0)+IFERROR(IF(VLOOKUP($B13,'SR-Team Roping-Header'!$B$5:$N$24,3,FALSE)=" ",0,VLOOKUP($B13,'SR-Team Roping-Header'!$B$5:$N$24,3,FALSE)),0)+IFERROR(IF(VLOOKUP($B13,'SR-Team Roping-Heeler'!$B$5:$N$24,3,FALSE)=" ",0,VLOOKUP($B13,'SR-Team Roping-Heeler'!$B$5:$N$24,3,FALSE)),0)</f>
        <v>42</v>
      </c>
      <c r="D13" s="95">
        <f t="shared" si="0"/>
        <v>42</v>
      </c>
      <c r="E13" s="91">
        <f t="shared" si="1"/>
        <v>2</v>
      </c>
      <c r="F13" s="121">
        <f>IFERROR(IF(VLOOKUP($B13,'SR G-Breakaway'!$B$5:$AI$24,10,FALSE)=" ",0,VLOOKUP($B13,'SR G-Breakaway'!$B$5:$AI$24,10,FALSE)),0)+IFERROR(IF(VLOOKUP($B13,'SR G-Barrels'!$B$5:$AI$24,10,FALSE)=" ",0,VLOOKUP($B13,'SR G-Barrels'!$B$5:$AI$24,10,FALSE)),0)+IFERROR(IF(VLOOKUP($B13,'SR G-Poles'!$B$5:$AI$24,10,FALSE)=" ",0,VLOOKUP($B13,'SR G-Poles'!$B$5:$AI$24,10,FALSE)),0)+IFERROR(IF(VLOOKUP($B13,'SR G-Goats'!$B$5:$AI$24,10,FALSE)=" ",0,VLOOKUP($B13,'SR G-Goats'!$B$5:$AI$24,10,FALSE)),0)+IFERROR(IF(VLOOKUP($B13,'SR-Team Roping-Header'!$B$5:$N$24,4,FALSE)=" ",0,VLOOKUP($B13,'SR-Team Roping-Header'!$B$5:$N$24,4,FALSE)),0)+IFERROR(IF(VLOOKUP($B13,'SR-Team Roping-Heeler'!$B$5:$N$24,4,FALSE)=" ",0,VLOOKUP($B13,'SR-Team Roping-Heeler'!$B$5:$N$24,4,FALSE)),0)</f>
        <v>0</v>
      </c>
      <c r="G13" s="95" t="str">
        <f t="shared" si="2"/>
        <v xml:space="preserve"> </v>
      </c>
      <c r="H13" s="91" t="str">
        <f t="shared" si="3"/>
        <v xml:space="preserve"> </v>
      </c>
      <c r="I13" s="121">
        <f>IFERROR(IF(VLOOKUP($B13,'SR G-Breakaway'!$B$5:$AI$24,14,FALSE)=" ",0,VLOOKUP($B13,'SR G-Breakaway'!$B$5:$AI$24,14,FALSE)),0)+IFERROR(IF(VLOOKUP($B13,'SR G-Barrels'!$B$5:$AI$24,14,FALSE)=" ",0,VLOOKUP($B13,'SR G-Barrels'!$B$5:$AI$24,14,FALSE)),0)+IFERROR(IF(VLOOKUP($B13,'SR G-Poles'!$B$5:$AI$24,14,FALSE)=" ",0,VLOOKUP($B13,'SR G-Poles'!$B$5:$AI$24,14,FALSE)),0)+IFERROR(IF(VLOOKUP($B13,'SR G-Goats'!$B$5:$AI$24,14,FALSE)=" ",0,VLOOKUP($B13,'SR G-Goats'!$B$5:$AI$24,14,FALSE)),0)+IFERROR(IF(VLOOKUP($B13,'SR-Team Roping-Header'!$B$5:$N$24,5,FALSE)=" ",0,VLOOKUP($B13,'SR-Team Roping-Header'!$B$5:$N$24,5,FALSE)),0)+IFERROR(IF(VLOOKUP($B13,'SR-Team Roping-Heeler'!$B$5:$N$24,5,FALSE)=" ",0,VLOOKUP($B13,'SR-Team Roping-Heeler'!$B$5:$N$24,5,FALSE)),0)</f>
        <v>0</v>
      </c>
      <c r="J13" s="95" t="str">
        <f t="shared" si="4"/>
        <v xml:space="preserve"> </v>
      </c>
      <c r="K13" s="91" t="str">
        <f t="shared" si="5"/>
        <v xml:space="preserve"> </v>
      </c>
      <c r="L13" s="121">
        <f>IFERROR(IF(VLOOKUP($B13,'SR G-Breakaway'!$B$5:$AI$24,18,FALSE)=" ",0,VLOOKUP($B13,'SR G-Breakaway'!$B$5:$AI$24,18,FALSE)),0)+IFERROR(IF(VLOOKUP($B13,'SR G-Barrels'!$B$5:$AI$24,18,FALSE)=" ",0,VLOOKUP($B13,'SR G-Barrels'!$B$5:$AI$24,18,FALSE)),0)+IFERROR(IF(VLOOKUP($B13,'SR G-Poles'!$B$5:$AI$24,18,FALSE)=" ",0,VLOOKUP($B13,'SR G-Poles'!$B$5:$AI$24,18,FALSE)),0)+IFERROR(IF(VLOOKUP($B13,'SR G-Goats'!$B$5:$AI$24,18,FALSE)=" ",0,VLOOKUP($B13,'SR G-Goats'!$B$5:$AI$24,18,FALSE)),0)+IFERROR(IF(VLOOKUP($B13,'SR-Team Roping-Header'!$B$5:$N$24,6,FALSE)=" ",0,VLOOKUP($B13,'SR-Team Roping-Header'!$B$5:$N$24,6,FALSE)),0)+IFERROR(IF(VLOOKUP($B13,'SR-Team Roping-Heeler'!$B$5:$N$24,6,FALSE)=" ",0,VLOOKUP($B13,'SR-Team Roping-Heeler'!$B$5:$N$24,6,FALSE)),0)</f>
        <v>0</v>
      </c>
      <c r="M13" s="95" t="str">
        <f t="shared" si="6"/>
        <v xml:space="preserve"> </v>
      </c>
      <c r="N13" s="91" t="str">
        <f t="shared" si="7"/>
        <v xml:space="preserve"> </v>
      </c>
      <c r="O13" s="121">
        <f>IFERROR(IF(VLOOKUP($B13,'SR G-Breakaway'!$B$5:$AI$24,22,FALSE)=" ",0,VLOOKUP($B13,'SR G-Breakaway'!$B$5:$AI$24,22,FALSE)),0)+IFERROR(IF(VLOOKUP($B13,'SR G-Barrels'!$B$5:$AI$24,22,FALSE)=" ",0,VLOOKUP($B13,'SR G-Barrels'!$B$5:$AI$24,22,FALSE)),0)+IFERROR(IF(VLOOKUP($B13,'SR G-Poles'!$B$5:$AI$24,22,FALSE)=" ",0,VLOOKUP($B13,'SR G-Poles'!$B$5:$AI$24,22,FALSE)),0)+IFERROR(IF(VLOOKUP($B13,'SR G-Goats'!$B$5:$AI$24,22,FALSE)=" ",0,VLOOKUP($B13,'SR G-Goats'!$B$5:$AI$24,22,FALSE)),0)+IFERROR(IF(VLOOKUP($B13,'SR-Team Roping-Header'!$B$5:$N$24,7,FALSE)=" ",0,VLOOKUP($B13,'SR-Team Roping-Header'!$B$5:$N$24,7,FALSE)),0)+IFERROR(IF(VLOOKUP($B13,'SR-Team Roping-Heeler'!$B$5:$N$24,7,FALSE)=" ",0,VLOOKUP($B13,'SR-Team Roping-Heeler'!$B$5:$N$24,7,FALSE)),0)</f>
        <v>18</v>
      </c>
      <c r="P13" s="95">
        <f t="shared" si="8"/>
        <v>18</v>
      </c>
      <c r="Q13" s="91">
        <f t="shared" si="9"/>
        <v>6</v>
      </c>
      <c r="R13" s="121">
        <f>IFERROR(IF(VLOOKUP($B13,'SR G-Breakaway'!$B$5:$AI$24,26,FALSE)=" ",0,VLOOKUP($B13,'SR G-Breakaway'!$B$5:$AI$24,26,FALSE)),0)+IFERROR(IF(VLOOKUP($B13,'SR G-Barrels'!$B$5:$AI$24,26,FALSE)=" ",0,VLOOKUP($B13,'SR G-Barrels'!$B$5:$AI$24,26,FALSE)),0)+IFERROR(IF(VLOOKUP($B13,'SR G-Poles'!$B$5:$AI$24,26,FALSE)=" ",0,VLOOKUP($B13,'SR G-Poles'!$B$5:$AI$24,26,FALSE)),0)+IFERROR(IF(VLOOKUP($B13,'SR G-Goats'!$B$5:$AI$24,26,FALSE)=" ",0,VLOOKUP($B13,'SR G-Goats'!$B$5:$AI$24,26,FALSE)),0)+IFERROR(IF(VLOOKUP($B13,'SR-Team Roping-Header'!$B$5:$N$24,8,FALSE)=" ",0,VLOOKUP($B13,'SR-Team Roping-Header'!$B$5:$N$24,8,FALSE)),0)+IFERROR(IF(VLOOKUP($B13,'SR-Team Roping-Heeler'!$B$5:$N$24,8,FALSE)=" ",0,VLOOKUP($B13,'SR-Team Roping-Heeler'!$B$5:$N$24,8,FALSE)),0)</f>
        <v>21</v>
      </c>
      <c r="S13" s="95">
        <f t="shared" si="10"/>
        <v>21</v>
      </c>
      <c r="T13" s="91">
        <f t="shared" si="11"/>
        <v>4</v>
      </c>
      <c r="U13" s="121">
        <f>IFERROR(IF(VLOOKUP($B13,'SR G-Breakaway'!$B$5:$AI$24,30,FALSE)=" ",0,VLOOKUP($B13,'SR G-Breakaway'!$B$5:$AI$24,30,FALSE)),0)+IFERROR(IF(VLOOKUP($B13,'SR G-Barrels'!$B$5:$AI$24,30,FALSE)=" ",0,VLOOKUP($B13,'SR G-Barrels'!$B$5:$AI$24,30,FALSE)),0)+IFERROR(IF(VLOOKUP($B13,'SR G-Poles'!$B$5:$AI$24,30,FALSE)=" ",0,VLOOKUP($B13,'SR G-Poles'!$B$5:$AI$24,30,FALSE)),0)+IFERROR(IF(VLOOKUP($B13,'SR G-Goats'!$B$5:$AI$24,30,FALSE)=" ",0,VLOOKUP($B13,'SR G-Goats'!$B$5:$AI$24,30,FALSE)),0)+IFERROR(IF(VLOOKUP($B13,'SR-Team Roping-Header'!$B$5:$N$24,9,FALSE)=" ",0,VLOOKUP($B13,'SR-Team Roping-Header'!$B$5:$N$24,9,FALSE)),0)+IFERROR(IF(VLOOKUP($B13,'SR-Team Roping-Heeler'!$B$5:$N$24,9,FALSE)=" ",0,VLOOKUP($B13,'SR-Team Roping-Heeler'!$B$5:$N$24,9,FALSE)),0)</f>
        <v>12</v>
      </c>
      <c r="V13" s="95">
        <f t="shared" si="12"/>
        <v>12</v>
      </c>
      <c r="W13" s="91">
        <f t="shared" si="13"/>
        <v>8</v>
      </c>
      <c r="X13" s="121">
        <f>IFERROR(IF(VLOOKUP($B13,'SR G-Breakaway'!$B$5:$AI$24,34,FALSE)=" ",0,VLOOKUP($B13,'SR G-Breakaway'!$B$5:$AI$24,34,FALSE)),0)+IFERROR(IF(VLOOKUP($B13,'SR G-Barrels'!$B$5:$AI$24,34,FALSE)=" ",0,VLOOKUP($B13,'SR G-Barrels'!$B$5:$AI$24,34,FALSE)),0)+IFERROR(IF(VLOOKUP($B13,'SR G-Poles'!$B$5:$AI$24,34,FALSE)=" ",0,VLOOKUP($B13,'SR G-Poles'!$B$5:$AI$24,34,FALSE)),0)+IFERROR(IF(VLOOKUP($B13,'SR G-Goats'!$B$5:$AI$24,34,FALSE)=" ",0,VLOOKUP($B13,'SR G-Goats'!$B$5:$AI$24,34,FALSE)),0)+IFERROR(IF(VLOOKUP($B13,'SR-Team Roping-Header'!$B$5:$N$24,10,FALSE)=" ",0,VLOOKUP($B13,'SR-Team Roping-Header'!$B$5:$N$24,10,FALSE)),0)+IFERROR(IF(VLOOKUP($B13,'SR-Team Roping-Heeler'!$B$5:$N$24,10,FALSE)=" ",0,VLOOKUP($B13,'SR-Team Roping-Heeler'!$B$5:$N$24,10,FALSE)),0)</f>
        <v>15</v>
      </c>
      <c r="Y13" s="95">
        <f t="shared" si="14"/>
        <v>15</v>
      </c>
      <c r="Z13" s="91">
        <f t="shared" si="15"/>
        <v>7</v>
      </c>
      <c r="AA13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108</v>
      </c>
      <c r="AB13" s="95">
        <f t="shared" si="16"/>
        <v>108</v>
      </c>
      <c r="AC13" s="91">
        <f t="shared" si="17"/>
        <v>9</v>
      </c>
    </row>
    <row r="14" spans="2:29" x14ac:dyDescent="0.25">
      <c r="B14" s="141" t="s">
        <v>186</v>
      </c>
      <c r="C14" s="120">
        <f>IFERROR(IF(VLOOKUP($B14,'SR G-Breakaway'!$B$5:$AI$24,6,FALSE)=" ",0,VLOOKUP($B14,'SR G-Breakaway'!$B$5:$AI$24,6,FALSE)),0)+IFERROR(IF(VLOOKUP($B14,'SR G-Barrels'!$B$5:$AI$24,6,FALSE)=" ",0,VLOOKUP($B14,'SR G-Barrels'!$B$5:$AI$24,6,FALSE)),0)+IFERROR(IF(VLOOKUP($B14,'SR G-Poles'!$B$5:$AI$24,6,FALSE)=" ",0,VLOOKUP($B14,'SR G-Poles'!$B$5:$AI$24,6,FALSE)),0)+IFERROR(IF(VLOOKUP($B14,'SR G-Goats'!$B$5:$AI$24,6,FALSE)=" ",0,VLOOKUP($B14,'SR G-Goats'!$B$5:$AI$24,6,FALSE)),0)+IFERROR(IF(VLOOKUP($B14,'SR-Team Roping-Header'!$B$5:$N$24,3,FALSE)=" ",0,VLOOKUP($B14,'SR-Team Roping-Header'!$B$5:$N$24,3,FALSE)),0)+IFERROR(IF(VLOOKUP($B14,'SR-Team Roping-Heeler'!$B$5:$N$24,3,FALSE)=" ",0,VLOOKUP($B14,'SR-Team Roping-Heeler'!$B$5:$N$24,3,FALSE)),0)</f>
        <v>6</v>
      </c>
      <c r="D14" s="95">
        <f t="shared" si="0"/>
        <v>6</v>
      </c>
      <c r="E14" s="91">
        <f t="shared" si="1"/>
        <v>7</v>
      </c>
      <c r="F14" s="121">
        <f>IFERROR(IF(VLOOKUP($B14,'SR G-Breakaway'!$B$5:$AI$24,10,FALSE)=" ",0,VLOOKUP($B14,'SR G-Breakaway'!$B$5:$AI$24,10,FALSE)),0)+IFERROR(IF(VLOOKUP($B14,'SR G-Barrels'!$B$5:$AI$24,10,FALSE)=" ",0,VLOOKUP($B14,'SR G-Barrels'!$B$5:$AI$24,10,FALSE)),0)+IFERROR(IF(VLOOKUP($B14,'SR G-Poles'!$B$5:$AI$24,10,FALSE)=" ",0,VLOOKUP($B14,'SR G-Poles'!$B$5:$AI$24,10,FALSE)),0)+IFERROR(IF(VLOOKUP($B14,'SR G-Goats'!$B$5:$AI$24,10,FALSE)=" ",0,VLOOKUP($B14,'SR G-Goats'!$B$5:$AI$24,10,FALSE)),0)+IFERROR(IF(VLOOKUP($B14,'SR-Team Roping-Header'!$B$5:$N$24,4,FALSE)=" ",0,VLOOKUP($B14,'SR-Team Roping-Header'!$B$5:$N$24,4,FALSE)),0)+IFERROR(IF(VLOOKUP($B14,'SR-Team Roping-Heeler'!$B$5:$N$24,4,FALSE)=" ",0,VLOOKUP($B14,'SR-Team Roping-Heeler'!$B$5:$N$24,4,FALSE)),0)</f>
        <v>0</v>
      </c>
      <c r="G14" s="95" t="str">
        <f t="shared" si="2"/>
        <v xml:space="preserve"> </v>
      </c>
      <c r="H14" s="91" t="str">
        <f t="shared" si="3"/>
        <v xml:space="preserve"> </v>
      </c>
      <c r="I14" s="121">
        <f>IFERROR(IF(VLOOKUP($B14,'SR G-Breakaway'!$B$5:$AI$24,14,FALSE)=" ",0,VLOOKUP($B14,'SR G-Breakaway'!$B$5:$AI$24,14,FALSE)),0)+IFERROR(IF(VLOOKUP($B14,'SR G-Barrels'!$B$5:$AI$24,14,FALSE)=" ",0,VLOOKUP($B14,'SR G-Barrels'!$B$5:$AI$24,14,FALSE)),0)+IFERROR(IF(VLOOKUP($B14,'SR G-Poles'!$B$5:$AI$24,14,FALSE)=" ",0,VLOOKUP($B14,'SR G-Poles'!$B$5:$AI$24,14,FALSE)),0)+IFERROR(IF(VLOOKUP($B14,'SR G-Goats'!$B$5:$AI$24,14,FALSE)=" ",0,VLOOKUP($B14,'SR G-Goats'!$B$5:$AI$24,14,FALSE)),0)+IFERROR(IF(VLOOKUP($B14,'SR-Team Roping-Header'!$B$5:$N$24,5,FALSE)=" ",0,VLOOKUP($B14,'SR-Team Roping-Header'!$B$5:$N$24,5,FALSE)),0)+IFERROR(IF(VLOOKUP($B14,'SR-Team Roping-Heeler'!$B$5:$N$24,5,FALSE)=" ",0,VLOOKUP($B14,'SR-Team Roping-Heeler'!$B$5:$N$24,5,FALSE)),0)</f>
        <v>18</v>
      </c>
      <c r="J14" s="95">
        <f t="shared" si="4"/>
        <v>18</v>
      </c>
      <c r="K14" s="91">
        <f t="shared" si="5"/>
        <v>7</v>
      </c>
      <c r="L14" s="121">
        <f>IFERROR(IF(VLOOKUP($B14,'SR G-Breakaway'!$B$5:$AI$24,18,FALSE)=" ",0,VLOOKUP($B14,'SR G-Breakaway'!$B$5:$AI$24,18,FALSE)),0)+IFERROR(IF(VLOOKUP($B14,'SR G-Barrels'!$B$5:$AI$24,18,FALSE)=" ",0,VLOOKUP($B14,'SR G-Barrels'!$B$5:$AI$24,18,FALSE)),0)+IFERROR(IF(VLOOKUP($B14,'SR G-Poles'!$B$5:$AI$24,18,FALSE)=" ",0,VLOOKUP($B14,'SR G-Poles'!$B$5:$AI$24,18,FALSE)),0)+IFERROR(IF(VLOOKUP($B14,'SR G-Goats'!$B$5:$AI$24,18,FALSE)=" ",0,VLOOKUP($B14,'SR G-Goats'!$B$5:$AI$24,18,FALSE)),0)+IFERROR(IF(VLOOKUP($B14,'SR-Team Roping-Header'!$B$5:$N$24,6,FALSE)=" ",0,VLOOKUP($B14,'SR-Team Roping-Header'!$B$5:$N$24,6,FALSE)),0)+IFERROR(IF(VLOOKUP($B14,'SR-Team Roping-Heeler'!$B$5:$N$24,6,FALSE)=" ",0,VLOOKUP($B14,'SR-Team Roping-Heeler'!$B$5:$N$24,6,FALSE)),0)</f>
        <v>12</v>
      </c>
      <c r="M14" s="95">
        <f t="shared" si="6"/>
        <v>12</v>
      </c>
      <c r="N14" s="91">
        <f t="shared" si="7"/>
        <v>9</v>
      </c>
      <c r="O14" s="121">
        <f>IFERROR(IF(VLOOKUP($B14,'SR G-Breakaway'!$B$5:$AI$24,22,FALSE)=" ",0,VLOOKUP($B14,'SR G-Breakaway'!$B$5:$AI$24,22,FALSE)),0)+IFERROR(IF(VLOOKUP($B14,'SR G-Barrels'!$B$5:$AI$24,22,FALSE)=" ",0,VLOOKUP($B14,'SR G-Barrels'!$B$5:$AI$24,22,FALSE)),0)+IFERROR(IF(VLOOKUP($B14,'SR G-Poles'!$B$5:$AI$24,22,FALSE)=" ",0,VLOOKUP($B14,'SR G-Poles'!$B$5:$AI$24,22,FALSE)),0)+IFERROR(IF(VLOOKUP($B14,'SR G-Goats'!$B$5:$AI$24,22,FALSE)=" ",0,VLOOKUP($B14,'SR G-Goats'!$B$5:$AI$24,22,FALSE)),0)+IFERROR(IF(VLOOKUP($B14,'SR-Team Roping-Header'!$B$5:$N$24,7,FALSE)=" ",0,VLOOKUP($B14,'SR-Team Roping-Header'!$B$5:$N$24,7,FALSE)),0)+IFERROR(IF(VLOOKUP($B14,'SR-Team Roping-Heeler'!$B$5:$N$24,7,FALSE)=" ",0,VLOOKUP($B14,'SR-Team Roping-Heeler'!$B$5:$N$24,7,FALSE)),0)</f>
        <v>18</v>
      </c>
      <c r="P14" s="95">
        <f t="shared" si="8"/>
        <v>18</v>
      </c>
      <c r="Q14" s="91">
        <f t="shared" si="9"/>
        <v>6</v>
      </c>
      <c r="R14" s="121">
        <f>IFERROR(IF(VLOOKUP($B14,'SR G-Breakaway'!$B$5:$AI$24,26,FALSE)=" ",0,VLOOKUP($B14,'SR G-Breakaway'!$B$5:$AI$24,26,FALSE)),0)+IFERROR(IF(VLOOKUP($B14,'SR G-Barrels'!$B$5:$AI$24,26,FALSE)=" ",0,VLOOKUP($B14,'SR G-Barrels'!$B$5:$AI$24,26,FALSE)),0)+IFERROR(IF(VLOOKUP($B14,'SR G-Poles'!$B$5:$AI$24,26,FALSE)=" ",0,VLOOKUP($B14,'SR G-Poles'!$B$5:$AI$24,26,FALSE)),0)+IFERROR(IF(VLOOKUP($B14,'SR G-Goats'!$B$5:$AI$24,26,FALSE)=" ",0,VLOOKUP($B14,'SR G-Goats'!$B$5:$AI$24,26,FALSE)),0)+IFERROR(IF(VLOOKUP($B14,'SR-Team Roping-Header'!$B$5:$N$24,8,FALSE)=" ",0,VLOOKUP($B14,'SR-Team Roping-Header'!$B$5:$N$24,8,FALSE)),0)+IFERROR(IF(VLOOKUP($B14,'SR-Team Roping-Heeler'!$B$5:$N$24,8,FALSE)=" ",0,VLOOKUP($B14,'SR-Team Roping-Heeler'!$B$5:$N$24,8,FALSE)),0)</f>
        <v>9</v>
      </c>
      <c r="S14" s="95">
        <f t="shared" si="10"/>
        <v>9</v>
      </c>
      <c r="T14" s="91">
        <f t="shared" si="11"/>
        <v>6</v>
      </c>
      <c r="U14" s="121">
        <f>IFERROR(IF(VLOOKUP($B14,'SR G-Breakaway'!$B$5:$AI$24,30,FALSE)=" ",0,VLOOKUP($B14,'SR G-Breakaway'!$B$5:$AI$24,30,FALSE)),0)+IFERROR(IF(VLOOKUP($B14,'SR G-Barrels'!$B$5:$AI$24,30,FALSE)=" ",0,VLOOKUP($B14,'SR G-Barrels'!$B$5:$AI$24,30,FALSE)),0)+IFERROR(IF(VLOOKUP($B14,'SR G-Poles'!$B$5:$AI$24,30,FALSE)=" ",0,VLOOKUP($B14,'SR G-Poles'!$B$5:$AI$24,30,FALSE)),0)+IFERROR(IF(VLOOKUP($B14,'SR G-Goats'!$B$5:$AI$24,30,FALSE)=" ",0,VLOOKUP($B14,'SR G-Goats'!$B$5:$AI$24,30,FALSE)),0)+IFERROR(IF(VLOOKUP($B14,'SR-Team Roping-Header'!$B$5:$N$24,9,FALSE)=" ",0,VLOOKUP($B14,'SR-Team Roping-Header'!$B$5:$N$24,9,FALSE)),0)+IFERROR(IF(VLOOKUP($B14,'SR-Team Roping-Heeler'!$B$5:$N$24,9,FALSE)=" ",0,VLOOKUP($B14,'SR-Team Roping-Heeler'!$B$5:$N$24,9,FALSE)),0)</f>
        <v>12</v>
      </c>
      <c r="V14" s="95">
        <f t="shared" si="12"/>
        <v>12</v>
      </c>
      <c r="W14" s="91">
        <f t="shared" si="13"/>
        <v>8</v>
      </c>
      <c r="X14" s="121">
        <f>IFERROR(IF(VLOOKUP($B14,'SR G-Breakaway'!$B$5:$AI$24,34,FALSE)=" ",0,VLOOKUP($B14,'SR G-Breakaway'!$B$5:$AI$24,34,FALSE)),0)+IFERROR(IF(VLOOKUP($B14,'SR G-Barrels'!$B$5:$AI$24,34,FALSE)=" ",0,VLOOKUP($B14,'SR G-Barrels'!$B$5:$AI$24,34,FALSE)),0)+IFERROR(IF(VLOOKUP($B14,'SR G-Poles'!$B$5:$AI$24,34,FALSE)=" ",0,VLOOKUP($B14,'SR G-Poles'!$B$5:$AI$24,34,FALSE)),0)+IFERROR(IF(VLOOKUP($B14,'SR G-Goats'!$B$5:$AI$24,34,FALSE)=" ",0,VLOOKUP($B14,'SR G-Goats'!$B$5:$AI$24,34,FALSE)),0)+IFERROR(IF(VLOOKUP($B14,'SR-Team Roping-Header'!$B$5:$N$24,10,FALSE)=" ",0,VLOOKUP($B14,'SR-Team Roping-Header'!$B$5:$N$24,10,FALSE)),0)+IFERROR(IF(VLOOKUP($B14,'SR-Team Roping-Heeler'!$B$5:$N$24,10,FALSE)=" ",0,VLOOKUP($B14,'SR-Team Roping-Heeler'!$B$5:$N$24,10,FALSE)),0)</f>
        <v>12</v>
      </c>
      <c r="Y14" s="95">
        <f t="shared" si="14"/>
        <v>12</v>
      </c>
      <c r="Z14" s="91">
        <f t="shared" si="15"/>
        <v>9</v>
      </c>
      <c r="AA14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87</v>
      </c>
      <c r="AB14" s="95">
        <f t="shared" si="16"/>
        <v>87</v>
      </c>
      <c r="AC14" s="91">
        <f t="shared" si="17"/>
        <v>10</v>
      </c>
    </row>
    <row r="15" spans="2:29" x14ac:dyDescent="0.25">
      <c r="B15" s="154" t="s">
        <v>257</v>
      </c>
      <c r="C15" s="120">
        <f>IFERROR(IF(VLOOKUP($B15,'SR G-Breakaway'!$B$5:$AI$24,6,FALSE)=" ",0,VLOOKUP($B15,'SR G-Breakaway'!$B$5:$AI$24,6,FALSE)),0)+IFERROR(IF(VLOOKUP($B15,'SR G-Barrels'!$B$5:$AI$24,6,FALSE)=" ",0,VLOOKUP($B15,'SR G-Barrels'!$B$5:$AI$24,6,FALSE)),0)+IFERROR(IF(VLOOKUP($B15,'SR G-Poles'!$B$5:$AI$24,6,FALSE)=" ",0,VLOOKUP($B15,'SR G-Poles'!$B$5:$AI$24,6,FALSE)),0)+IFERROR(IF(VLOOKUP($B15,'SR G-Goats'!$B$5:$AI$24,6,FALSE)=" ",0,VLOOKUP($B15,'SR G-Goats'!$B$5:$AI$24,6,FALSE)),0)+IFERROR(IF(VLOOKUP($B15,'SR-Team Roping-Header'!$B$5:$N$24,3,FALSE)=" ",0,VLOOKUP($B15,'SR-Team Roping-Header'!$B$5:$N$24,3,FALSE)),0)+IFERROR(IF(VLOOKUP($B15,'SR-Team Roping-Heeler'!$B$5:$N$24,3,FALSE)=" ",0,VLOOKUP($B15,'SR-Team Roping-Heeler'!$B$5:$N$24,3,FALSE)),0)</f>
        <v>0</v>
      </c>
      <c r="D15" s="95" t="str">
        <f t="shared" si="0"/>
        <v xml:space="preserve"> </v>
      </c>
      <c r="E15" s="122" t="str">
        <f t="shared" si="1"/>
        <v xml:space="preserve"> </v>
      </c>
      <c r="F15" s="121">
        <f>IFERROR(IF(VLOOKUP($B15,'SR G-Breakaway'!$B$5:$AI$24,10,FALSE)=" ",0,VLOOKUP($B15,'SR G-Breakaway'!$B$5:$AI$24,10,FALSE)),0)+IFERROR(IF(VLOOKUP($B15,'SR G-Barrels'!$B$5:$AI$24,10,FALSE)=" ",0,VLOOKUP($B15,'SR G-Barrels'!$B$5:$AI$24,10,FALSE)),0)+IFERROR(IF(VLOOKUP($B15,'SR G-Poles'!$B$5:$AI$24,10,FALSE)=" ",0,VLOOKUP($B15,'SR G-Poles'!$B$5:$AI$24,10,FALSE)),0)+IFERROR(IF(VLOOKUP($B15,'SR G-Goats'!$B$5:$AI$24,10,FALSE)=" ",0,VLOOKUP($B15,'SR G-Goats'!$B$5:$AI$24,10,FALSE)),0)+IFERROR(IF(VLOOKUP($B15,'SR-Team Roping-Header'!$B$5:$N$24,4,FALSE)=" ",0,VLOOKUP($B15,'SR-Team Roping-Header'!$B$5:$N$24,4,FALSE)),0)+IFERROR(IF(VLOOKUP($B15,'SR-Team Roping-Heeler'!$B$5:$N$24,4,FALSE)=" ",0,VLOOKUP($B15,'SR-Team Roping-Heeler'!$B$5:$N$24,4,FALSE)),0)</f>
        <v>18</v>
      </c>
      <c r="G15" s="95">
        <f t="shared" si="2"/>
        <v>18</v>
      </c>
      <c r="H15" s="122">
        <f t="shared" si="3"/>
        <v>7</v>
      </c>
      <c r="I15" s="121">
        <f>IFERROR(IF(VLOOKUP($B15,'SR G-Breakaway'!$B$5:$AI$24,14,FALSE)=" ",0,VLOOKUP($B15,'SR G-Breakaway'!$B$5:$AI$24,14,FALSE)),0)+IFERROR(IF(VLOOKUP($B15,'SR G-Barrels'!$B$5:$AI$24,14,FALSE)=" ",0,VLOOKUP($B15,'SR G-Barrels'!$B$5:$AI$24,14,FALSE)),0)+IFERROR(IF(VLOOKUP($B15,'SR G-Poles'!$B$5:$AI$24,14,FALSE)=" ",0,VLOOKUP($B15,'SR G-Poles'!$B$5:$AI$24,14,FALSE)),0)+IFERROR(IF(VLOOKUP($B15,'SR G-Goats'!$B$5:$AI$24,14,FALSE)=" ",0,VLOOKUP($B15,'SR G-Goats'!$B$5:$AI$24,14,FALSE)),0)+IFERROR(IF(VLOOKUP($B15,'SR-Team Roping-Header'!$B$5:$N$24,5,FALSE)=" ",0,VLOOKUP($B15,'SR-Team Roping-Header'!$B$5:$N$24,5,FALSE)),0)+IFERROR(IF(VLOOKUP($B15,'SR-Team Roping-Heeler'!$B$5:$N$24,5,FALSE)=" ",0,VLOOKUP($B15,'SR-Team Roping-Heeler'!$B$5:$N$24,5,FALSE)),0)</f>
        <v>21</v>
      </c>
      <c r="J15" s="95">
        <f t="shared" si="4"/>
        <v>21</v>
      </c>
      <c r="K15" s="122">
        <f t="shared" si="5"/>
        <v>6</v>
      </c>
      <c r="L15" s="121">
        <f>IFERROR(IF(VLOOKUP($B15,'SR G-Breakaway'!$B$5:$AI$24,18,FALSE)=" ",0,VLOOKUP($B15,'SR G-Breakaway'!$B$5:$AI$24,18,FALSE)),0)+IFERROR(IF(VLOOKUP($B15,'SR G-Barrels'!$B$5:$AI$24,18,FALSE)=" ",0,VLOOKUP($B15,'SR G-Barrels'!$B$5:$AI$24,18,FALSE)),0)+IFERROR(IF(VLOOKUP($B15,'SR G-Poles'!$B$5:$AI$24,18,FALSE)=" ",0,VLOOKUP($B15,'SR G-Poles'!$B$5:$AI$24,18,FALSE)),0)+IFERROR(IF(VLOOKUP($B15,'SR G-Goats'!$B$5:$AI$24,18,FALSE)=" ",0,VLOOKUP($B15,'SR G-Goats'!$B$5:$AI$24,18,FALSE)),0)+IFERROR(IF(VLOOKUP($B15,'SR-Team Roping-Header'!$B$5:$N$24,6,FALSE)=" ",0,VLOOKUP($B15,'SR-Team Roping-Header'!$B$5:$N$24,6,FALSE)),0)+IFERROR(IF(VLOOKUP($B15,'SR-Team Roping-Heeler'!$B$5:$N$24,6,FALSE)=" ",0,VLOOKUP($B15,'SR-Team Roping-Heeler'!$B$5:$N$24,6,FALSE)),0)</f>
        <v>12</v>
      </c>
      <c r="M15" s="95">
        <f t="shared" si="6"/>
        <v>12</v>
      </c>
      <c r="N15" s="122">
        <f t="shared" si="7"/>
        <v>9</v>
      </c>
      <c r="O15" s="121">
        <f>IFERROR(IF(VLOOKUP($B15,'SR G-Breakaway'!$B$5:$AI$24,22,FALSE)=" ",0,VLOOKUP($B15,'SR G-Breakaway'!$B$5:$AI$24,22,FALSE)),0)+IFERROR(IF(VLOOKUP($B15,'SR G-Barrels'!$B$5:$AI$24,22,FALSE)=" ",0,VLOOKUP($B15,'SR G-Barrels'!$B$5:$AI$24,22,FALSE)),0)+IFERROR(IF(VLOOKUP($B15,'SR G-Poles'!$B$5:$AI$24,22,FALSE)=" ",0,VLOOKUP($B15,'SR G-Poles'!$B$5:$AI$24,22,FALSE)),0)+IFERROR(IF(VLOOKUP($B15,'SR G-Goats'!$B$5:$AI$24,22,FALSE)=" ",0,VLOOKUP($B15,'SR G-Goats'!$B$5:$AI$24,22,FALSE)),0)+IFERROR(IF(VLOOKUP($B15,'SR-Team Roping-Header'!$B$5:$N$24,7,FALSE)=" ",0,VLOOKUP($B15,'SR-Team Roping-Header'!$B$5:$N$24,7,FALSE)),0)+IFERROR(IF(VLOOKUP($B15,'SR-Team Roping-Heeler'!$B$5:$N$24,7,FALSE)=" ",0,VLOOKUP($B15,'SR-Team Roping-Heeler'!$B$5:$N$24,7,FALSE)),0)</f>
        <v>6</v>
      </c>
      <c r="P15" s="95">
        <f t="shared" si="8"/>
        <v>6</v>
      </c>
      <c r="Q15" s="122">
        <f t="shared" si="9"/>
        <v>10</v>
      </c>
      <c r="R15" s="121">
        <f>IFERROR(IF(VLOOKUP($B15,'SR G-Breakaway'!$B$5:$AI$24,26,FALSE)=" ",0,VLOOKUP($B15,'SR G-Breakaway'!$B$5:$AI$24,26,FALSE)),0)+IFERROR(IF(VLOOKUP($B15,'SR G-Barrels'!$B$5:$AI$24,26,FALSE)=" ",0,VLOOKUP($B15,'SR G-Barrels'!$B$5:$AI$24,26,FALSE)),0)+IFERROR(IF(VLOOKUP($B15,'SR G-Poles'!$B$5:$AI$24,26,FALSE)=" ",0,VLOOKUP($B15,'SR G-Poles'!$B$5:$AI$24,26,FALSE)),0)+IFERROR(IF(VLOOKUP($B15,'SR G-Goats'!$B$5:$AI$24,26,FALSE)=" ",0,VLOOKUP($B15,'SR G-Goats'!$B$5:$AI$24,26,FALSE)),0)+IFERROR(IF(VLOOKUP($B15,'SR-Team Roping-Header'!$B$5:$N$24,8,FALSE)=" ",0,VLOOKUP($B15,'SR-Team Roping-Header'!$B$5:$N$24,8,FALSE)),0)+IFERROR(IF(VLOOKUP($B15,'SR-Team Roping-Heeler'!$B$5:$N$24,8,FALSE)=" ",0,VLOOKUP($B15,'SR-Team Roping-Heeler'!$B$5:$N$24,8,FALSE)),0)</f>
        <v>6</v>
      </c>
      <c r="S15" s="95">
        <f t="shared" si="10"/>
        <v>6</v>
      </c>
      <c r="T15" s="122">
        <f t="shared" si="11"/>
        <v>9</v>
      </c>
      <c r="U15" s="121">
        <f>IFERROR(IF(VLOOKUP($B15,'SR G-Breakaway'!$B$5:$AI$24,30,FALSE)=" ",0,VLOOKUP($B15,'SR G-Breakaway'!$B$5:$AI$24,30,FALSE)),0)+IFERROR(IF(VLOOKUP($B15,'SR G-Barrels'!$B$5:$AI$24,30,FALSE)=" ",0,VLOOKUP($B15,'SR G-Barrels'!$B$5:$AI$24,30,FALSE)),0)+IFERROR(IF(VLOOKUP($B15,'SR G-Poles'!$B$5:$AI$24,30,FALSE)=" ",0,VLOOKUP($B15,'SR G-Poles'!$B$5:$AI$24,30,FALSE)),0)+IFERROR(IF(VLOOKUP($B15,'SR G-Goats'!$B$5:$AI$24,30,FALSE)=" ",0,VLOOKUP($B15,'SR G-Goats'!$B$5:$AI$24,30,FALSE)),0)+IFERROR(IF(VLOOKUP($B15,'SR-Team Roping-Header'!$B$5:$N$24,9,FALSE)=" ",0,VLOOKUP($B15,'SR-Team Roping-Header'!$B$5:$N$24,9,FALSE)),0)+IFERROR(IF(VLOOKUP($B15,'SR-Team Roping-Heeler'!$B$5:$N$24,9,FALSE)=" ",0,VLOOKUP($B15,'SR-Team Roping-Heeler'!$B$5:$N$24,9,FALSE)),0)</f>
        <v>12</v>
      </c>
      <c r="V15" s="95">
        <f t="shared" si="12"/>
        <v>12</v>
      </c>
      <c r="W15" s="122">
        <f t="shared" si="13"/>
        <v>8</v>
      </c>
      <c r="X15" s="121">
        <f>IFERROR(IF(VLOOKUP($B15,'SR G-Breakaway'!$B$5:$AI$24,34,FALSE)=" ",0,VLOOKUP($B15,'SR G-Breakaway'!$B$5:$AI$24,34,FALSE)),0)+IFERROR(IF(VLOOKUP($B15,'SR G-Barrels'!$B$5:$AI$24,34,FALSE)=" ",0,VLOOKUP($B15,'SR G-Barrels'!$B$5:$AI$24,34,FALSE)),0)+IFERROR(IF(VLOOKUP($B15,'SR G-Poles'!$B$5:$AI$24,34,FALSE)=" ",0,VLOOKUP($B15,'SR G-Poles'!$B$5:$AI$24,34,FALSE)),0)+IFERROR(IF(VLOOKUP($B15,'SR G-Goats'!$B$5:$AI$24,34,FALSE)=" ",0,VLOOKUP($B15,'SR G-Goats'!$B$5:$AI$24,34,FALSE)),0)+IFERROR(IF(VLOOKUP($B15,'SR-Team Roping-Header'!$B$5:$N$24,10,FALSE)=" ",0,VLOOKUP($B15,'SR-Team Roping-Header'!$B$5:$N$24,10,FALSE)),0)+IFERROR(IF(VLOOKUP($B15,'SR-Team Roping-Heeler'!$B$5:$N$24,10,FALSE)=" ",0,VLOOKUP($B15,'SR-Team Roping-Heeler'!$B$5:$N$24,10,FALSE)),0)</f>
        <v>12</v>
      </c>
      <c r="Y15" s="95">
        <f t="shared" si="14"/>
        <v>12</v>
      </c>
      <c r="Z15" s="122">
        <f t="shared" si="15"/>
        <v>9</v>
      </c>
      <c r="AA15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87</v>
      </c>
      <c r="AB15" s="95">
        <f t="shared" si="16"/>
        <v>87</v>
      </c>
      <c r="AC15" s="122">
        <f t="shared" si="17"/>
        <v>10</v>
      </c>
    </row>
    <row r="16" spans="2:29" x14ac:dyDescent="0.25">
      <c r="B16" s="154" t="s">
        <v>264</v>
      </c>
      <c r="C16" s="120">
        <f>IFERROR(IF(VLOOKUP($B16,'SR G-Breakaway'!$B$5:$AI$24,6,FALSE)=" ",0,VLOOKUP($B16,'SR G-Breakaway'!$B$5:$AI$24,6,FALSE)),0)+IFERROR(IF(VLOOKUP($B16,'SR G-Barrels'!$B$5:$AI$24,6,FALSE)=" ",0,VLOOKUP($B16,'SR G-Barrels'!$B$5:$AI$24,6,FALSE)),0)+IFERROR(IF(VLOOKUP($B16,'SR G-Poles'!$B$5:$AI$24,6,FALSE)=" ",0,VLOOKUP($B16,'SR G-Poles'!$B$5:$AI$24,6,FALSE)),0)+IFERROR(IF(VLOOKUP($B16,'SR G-Goats'!$B$5:$AI$24,6,FALSE)=" ",0,VLOOKUP($B16,'SR G-Goats'!$B$5:$AI$24,6,FALSE)),0)+IFERROR(IF(VLOOKUP($B16,'SR-Team Roping-Header'!$B$5:$N$24,3,FALSE)=" ",0,VLOOKUP($B16,'SR-Team Roping-Header'!$B$5:$N$24,3,FALSE)),0)+IFERROR(IF(VLOOKUP($B16,'SR-Team Roping-Heeler'!$B$5:$N$24,3,FALSE)=" ",0,VLOOKUP($B16,'SR-Team Roping-Heeler'!$B$5:$N$24,3,FALSE)),0)</f>
        <v>0</v>
      </c>
      <c r="D16" s="95" t="str">
        <f t="shared" si="0"/>
        <v xml:space="preserve"> </v>
      </c>
      <c r="E16" s="91" t="str">
        <f t="shared" si="1"/>
        <v xml:space="preserve"> </v>
      </c>
      <c r="F16" s="121">
        <f>IFERROR(IF(VLOOKUP($B16,'SR G-Breakaway'!$B$5:$AI$24,10,FALSE)=" ",0,VLOOKUP($B16,'SR G-Breakaway'!$B$5:$AI$24,10,FALSE)),0)+IFERROR(IF(VLOOKUP($B16,'SR G-Barrels'!$B$5:$AI$24,10,FALSE)=" ",0,VLOOKUP($B16,'SR G-Barrels'!$B$5:$AI$24,10,FALSE)),0)+IFERROR(IF(VLOOKUP($B16,'SR G-Poles'!$B$5:$AI$24,10,FALSE)=" ",0,VLOOKUP($B16,'SR G-Poles'!$B$5:$AI$24,10,FALSE)),0)+IFERROR(IF(VLOOKUP($B16,'SR G-Goats'!$B$5:$AI$24,10,FALSE)=" ",0,VLOOKUP($B16,'SR G-Goats'!$B$5:$AI$24,10,FALSE)),0)+IFERROR(IF(VLOOKUP($B16,'SR-Team Roping-Header'!$B$5:$N$24,4,FALSE)=" ",0,VLOOKUP($B16,'SR-Team Roping-Header'!$B$5:$N$24,4,FALSE)),0)+IFERROR(IF(VLOOKUP($B16,'SR-Team Roping-Heeler'!$B$5:$N$24,4,FALSE)=" ",0,VLOOKUP($B16,'SR-Team Roping-Heeler'!$B$5:$N$24,4,FALSE)),0)</f>
        <v>0</v>
      </c>
      <c r="G16" s="95" t="str">
        <f t="shared" si="2"/>
        <v xml:space="preserve"> </v>
      </c>
      <c r="H16" s="91" t="str">
        <f t="shared" si="3"/>
        <v xml:space="preserve"> </v>
      </c>
      <c r="I16" s="121">
        <f>IFERROR(IF(VLOOKUP($B16,'SR G-Breakaway'!$B$5:$AI$24,14,FALSE)=" ",0,VLOOKUP($B16,'SR G-Breakaway'!$B$5:$AI$24,14,FALSE)),0)+IFERROR(IF(VLOOKUP($B16,'SR G-Barrels'!$B$5:$AI$24,14,FALSE)=" ",0,VLOOKUP($B16,'SR G-Barrels'!$B$5:$AI$24,14,FALSE)),0)+IFERROR(IF(VLOOKUP($B16,'SR G-Poles'!$B$5:$AI$24,14,FALSE)=" ",0,VLOOKUP($B16,'SR G-Poles'!$B$5:$AI$24,14,FALSE)),0)+IFERROR(IF(VLOOKUP($B16,'SR G-Goats'!$B$5:$AI$24,14,FALSE)=" ",0,VLOOKUP($B16,'SR G-Goats'!$B$5:$AI$24,14,FALSE)),0)+IFERROR(IF(VLOOKUP($B16,'SR-Team Roping-Header'!$B$5:$N$24,5,FALSE)=" ",0,VLOOKUP($B16,'SR-Team Roping-Header'!$B$5:$N$24,5,FALSE)),0)+IFERROR(IF(VLOOKUP($B16,'SR-Team Roping-Heeler'!$B$5:$N$24,5,FALSE)=" ",0,VLOOKUP($B16,'SR-Team Roping-Heeler'!$B$5:$N$24,5,FALSE)),0)</f>
        <v>51</v>
      </c>
      <c r="J16" s="95">
        <f t="shared" si="4"/>
        <v>51</v>
      </c>
      <c r="K16" s="91">
        <f t="shared" si="5"/>
        <v>1</v>
      </c>
      <c r="L16" s="121">
        <f>IFERROR(IF(VLOOKUP($B16,'SR G-Breakaway'!$B$5:$AI$24,18,FALSE)=" ",0,VLOOKUP($B16,'SR G-Breakaway'!$B$5:$AI$24,18,FALSE)),0)+IFERROR(IF(VLOOKUP($B16,'SR G-Barrels'!$B$5:$AI$24,18,FALSE)=" ",0,VLOOKUP($B16,'SR G-Barrels'!$B$5:$AI$24,18,FALSE)),0)+IFERROR(IF(VLOOKUP($B16,'SR G-Poles'!$B$5:$AI$24,18,FALSE)=" ",0,VLOOKUP($B16,'SR G-Poles'!$B$5:$AI$24,18,FALSE)),0)+IFERROR(IF(VLOOKUP($B16,'SR G-Goats'!$B$5:$AI$24,18,FALSE)=" ",0,VLOOKUP($B16,'SR G-Goats'!$B$5:$AI$24,18,FALSE)),0)+IFERROR(IF(VLOOKUP($B16,'SR-Team Roping-Header'!$B$5:$N$24,6,FALSE)=" ",0,VLOOKUP($B16,'SR-Team Roping-Header'!$B$5:$N$24,6,FALSE)),0)+IFERROR(IF(VLOOKUP($B16,'SR-Team Roping-Heeler'!$B$5:$N$24,6,FALSE)=" ",0,VLOOKUP($B16,'SR-Team Roping-Heeler'!$B$5:$N$24,6,FALSE)),0)</f>
        <v>24</v>
      </c>
      <c r="M16" s="95">
        <f t="shared" si="6"/>
        <v>24</v>
      </c>
      <c r="N16" s="91">
        <f t="shared" si="7"/>
        <v>5</v>
      </c>
      <c r="O16" s="121">
        <f>IFERROR(IF(VLOOKUP($B16,'SR G-Breakaway'!$B$5:$AI$24,22,FALSE)=" ",0,VLOOKUP($B16,'SR G-Breakaway'!$B$5:$AI$24,22,FALSE)),0)+IFERROR(IF(VLOOKUP($B16,'SR G-Barrels'!$B$5:$AI$24,22,FALSE)=" ",0,VLOOKUP($B16,'SR G-Barrels'!$B$5:$AI$24,22,FALSE)),0)+IFERROR(IF(VLOOKUP($B16,'SR G-Poles'!$B$5:$AI$24,22,FALSE)=" ",0,VLOOKUP($B16,'SR G-Poles'!$B$5:$AI$24,22,FALSE)),0)+IFERROR(IF(VLOOKUP($B16,'SR G-Goats'!$B$5:$AI$24,22,FALSE)=" ",0,VLOOKUP($B16,'SR G-Goats'!$B$5:$AI$24,22,FALSE)),0)+IFERROR(IF(VLOOKUP($B16,'SR-Team Roping-Header'!$B$5:$N$24,7,FALSE)=" ",0,VLOOKUP($B16,'SR-Team Roping-Header'!$B$5:$N$24,7,FALSE)),0)+IFERROR(IF(VLOOKUP($B16,'SR-Team Roping-Heeler'!$B$5:$N$24,7,FALSE)=" ",0,VLOOKUP($B16,'SR-Team Roping-Heeler'!$B$5:$N$24,7,FALSE)),0)</f>
        <v>0</v>
      </c>
      <c r="P16" s="95" t="str">
        <f t="shared" si="8"/>
        <v xml:space="preserve"> </v>
      </c>
      <c r="Q16" s="91" t="str">
        <f t="shared" si="9"/>
        <v xml:space="preserve"> </v>
      </c>
      <c r="R16" s="121">
        <f>IFERROR(IF(VLOOKUP($B16,'SR G-Breakaway'!$B$5:$AI$24,26,FALSE)=" ",0,VLOOKUP($B16,'SR G-Breakaway'!$B$5:$AI$24,26,FALSE)),0)+IFERROR(IF(VLOOKUP($B16,'SR G-Barrels'!$B$5:$AI$24,26,FALSE)=" ",0,VLOOKUP($B16,'SR G-Barrels'!$B$5:$AI$24,26,FALSE)),0)+IFERROR(IF(VLOOKUP($B16,'SR G-Poles'!$B$5:$AI$24,26,FALSE)=" ",0,VLOOKUP($B16,'SR G-Poles'!$B$5:$AI$24,26,FALSE)),0)+IFERROR(IF(VLOOKUP($B16,'SR G-Goats'!$B$5:$AI$24,26,FALSE)=" ",0,VLOOKUP($B16,'SR G-Goats'!$B$5:$AI$24,26,FALSE)),0)+IFERROR(IF(VLOOKUP($B16,'SR-Team Roping-Header'!$B$5:$N$24,8,FALSE)=" ",0,VLOOKUP($B16,'SR-Team Roping-Header'!$B$5:$N$24,8,FALSE)),0)+IFERROR(IF(VLOOKUP($B16,'SR-Team Roping-Heeler'!$B$5:$N$24,8,FALSE)=" ",0,VLOOKUP($B16,'SR-Team Roping-Heeler'!$B$5:$N$24,8,FALSE)),0)</f>
        <v>0</v>
      </c>
      <c r="S16" s="95" t="str">
        <f t="shared" si="10"/>
        <v xml:space="preserve"> </v>
      </c>
      <c r="T16" s="91" t="str">
        <f t="shared" si="11"/>
        <v xml:space="preserve"> </v>
      </c>
      <c r="U16" s="121">
        <f>IFERROR(IF(VLOOKUP($B16,'SR G-Breakaway'!$B$5:$AI$24,30,FALSE)=" ",0,VLOOKUP($B16,'SR G-Breakaway'!$B$5:$AI$24,30,FALSE)),0)+IFERROR(IF(VLOOKUP($B16,'SR G-Barrels'!$B$5:$AI$24,30,FALSE)=" ",0,VLOOKUP($B16,'SR G-Barrels'!$B$5:$AI$24,30,FALSE)),0)+IFERROR(IF(VLOOKUP($B16,'SR G-Poles'!$B$5:$AI$24,30,FALSE)=" ",0,VLOOKUP($B16,'SR G-Poles'!$B$5:$AI$24,30,FALSE)),0)+IFERROR(IF(VLOOKUP($B16,'SR G-Goats'!$B$5:$AI$24,30,FALSE)=" ",0,VLOOKUP($B16,'SR G-Goats'!$B$5:$AI$24,30,FALSE)),0)+IFERROR(IF(VLOOKUP($B16,'SR-Team Roping-Header'!$B$5:$N$24,9,FALSE)=" ",0,VLOOKUP($B16,'SR-Team Roping-Header'!$B$5:$N$24,9,FALSE)),0)+IFERROR(IF(VLOOKUP($B16,'SR-Team Roping-Heeler'!$B$5:$N$24,9,FALSE)=" ",0,VLOOKUP($B16,'SR-Team Roping-Heeler'!$B$5:$N$24,9,FALSE)),0)</f>
        <v>0</v>
      </c>
      <c r="V16" s="95" t="str">
        <f t="shared" si="12"/>
        <v xml:space="preserve"> </v>
      </c>
      <c r="W16" s="91" t="str">
        <f t="shared" si="13"/>
        <v xml:space="preserve"> </v>
      </c>
      <c r="X16" s="121">
        <f>IFERROR(IF(VLOOKUP($B16,'SR G-Breakaway'!$B$5:$AI$24,34,FALSE)=" ",0,VLOOKUP($B16,'SR G-Breakaway'!$B$5:$AI$24,34,FALSE)),0)+IFERROR(IF(VLOOKUP($B16,'SR G-Barrels'!$B$5:$AI$24,34,FALSE)=" ",0,VLOOKUP($B16,'SR G-Barrels'!$B$5:$AI$24,34,FALSE)),0)+IFERROR(IF(VLOOKUP($B16,'SR G-Poles'!$B$5:$AI$24,34,FALSE)=" ",0,VLOOKUP($B16,'SR G-Poles'!$B$5:$AI$24,34,FALSE)),0)+IFERROR(IF(VLOOKUP($B16,'SR G-Goats'!$B$5:$AI$24,34,FALSE)=" ",0,VLOOKUP($B16,'SR G-Goats'!$B$5:$AI$24,34,FALSE)),0)+IFERROR(IF(VLOOKUP($B16,'SR-Team Roping-Header'!$B$5:$N$24,10,FALSE)=" ",0,VLOOKUP($B16,'SR-Team Roping-Header'!$B$5:$N$24,10,FALSE)),0)+IFERROR(IF(VLOOKUP($B16,'SR-Team Roping-Heeler'!$B$5:$N$24,10,FALSE)=" ",0,VLOOKUP($B16,'SR-Team Roping-Heeler'!$B$5:$N$24,10,FALSE)),0)</f>
        <v>0</v>
      </c>
      <c r="Y16" s="95" t="str">
        <f t="shared" si="14"/>
        <v xml:space="preserve"> </v>
      </c>
      <c r="Z16" s="91" t="str">
        <f t="shared" si="15"/>
        <v xml:space="preserve"> </v>
      </c>
      <c r="AA16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75</v>
      </c>
      <c r="AB16" s="95">
        <f t="shared" si="16"/>
        <v>75</v>
      </c>
      <c r="AC16" s="91">
        <f t="shared" si="17"/>
        <v>12</v>
      </c>
    </row>
    <row r="17" spans="2:29" x14ac:dyDescent="0.25">
      <c r="B17" s="154" t="s">
        <v>258</v>
      </c>
      <c r="C17" s="120">
        <f>IFERROR(IF(VLOOKUP($B17,'SR G-Breakaway'!$B$5:$AI$24,6,FALSE)=" ",0,VLOOKUP($B17,'SR G-Breakaway'!$B$5:$AI$24,6,FALSE)),0)+IFERROR(IF(VLOOKUP($B17,'SR G-Barrels'!$B$5:$AI$24,6,FALSE)=" ",0,VLOOKUP($B17,'SR G-Barrels'!$B$5:$AI$24,6,FALSE)),0)+IFERROR(IF(VLOOKUP($B17,'SR G-Poles'!$B$5:$AI$24,6,FALSE)=" ",0,VLOOKUP($B17,'SR G-Poles'!$B$5:$AI$24,6,FALSE)),0)+IFERROR(IF(VLOOKUP($B17,'SR G-Goats'!$B$5:$AI$24,6,FALSE)=" ",0,VLOOKUP($B17,'SR G-Goats'!$B$5:$AI$24,6,FALSE)),0)+IFERROR(IF(VLOOKUP($B17,'SR-Team Roping-Header'!$B$5:$N$24,3,FALSE)=" ",0,VLOOKUP($B17,'SR-Team Roping-Header'!$B$5:$N$24,3,FALSE)),0)+IFERROR(IF(VLOOKUP($B17,'SR-Team Roping-Heeler'!$B$5:$N$24,3,FALSE)=" ",0,VLOOKUP($B17,'SR-Team Roping-Heeler'!$B$5:$N$24,3,FALSE)),0)</f>
        <v>0</v>
      </c>
      <c r="D17" s="95" t="str">
        <f t="shared" si="0"/>
        <v xml:space="preserve"> </v>
      </c>
      <c r="E17" s="122" t="str">
        <f t="shared" si="1"/>
        <v xml:space="preserve"> </v>
      </c>
      <c r="F17" s="121">
        <f>IFERROR(IF(VLOOKUP($B17,'SR G-Breakaway'!$B$5:$AI$24,10,FALSE)=" ",0,VLOOKUP($B17,'SR G-Breakaway'!$B$5:$AI$24,10,FALSE)),0)+IFERROR(IF(VLOOKUP($B17,'SR G-Barrels'!$B$5:$AI$24,10,FALSE)=" ",0,VLOOKUP($B17,'SR G-Barrels'!$B$5:$AI$24,10,FALSE)),0)+IFERROR(IF(VLOOKUP($B17,'SR G-Poles'!$B$5:$AI$24,10,FALSE)=" ",0,VLOOKUP($B17,'SR G-Poles'!$B$5:$AI$24,10,FALSE)),0)+IFERROR(IF(VLOOKUP($B17,'SR G-Goats'!$B$5:$AI$24,10,FALSE)=" ",0,VLOOKUP($B17,'SR G-Goats'!$B$5:$AI$24,10,FALSE)),0)+IFERROR(IF(VLOOKUP($B17,'SR-Team Roping-Header'!$B$5:$N$24,4,FALSE)=" ",0,VLOOKUP($B17,'SR-Team Roping-Header'!$B$5:$N$24,4,FALSE)),0)+IFERROR(IF(VLOOKUP($B17,'SR-Team Roping-Heeler'!$B$5:$N$24,4,FALSE)=" ",0,VLOOKUP($B17,'SR-Team Roping-Heeler'!$B$5:$N$24,4,FALSE)),0)</f>
        <v>33</v>
      </c>
      <c r="G17" s="95">
        <f t="shared" si="2"/>
        <v>33</v>
      </c>
      <c r="H17" s="122">
        <f t="shared" si="3"/>
        <v>3</v>
      </c>
      <c r="I17" s="121">
        <f>IFERROR(IF(VLOOKUP($B17,'SR G-Breakaway'!$B$5:$AI$24,14,FALSE)=" ",0,VLOOKUP($B17,'SR G-Breakaway'!$B$5:$AI$24,14,FALSE)),0)+IFERROR(IF(VLOOKUP($B17,'SR G-Barrels'!$B$5:$AI$24,14,FALSE)=" ",0,VLOOKUP($B17,'SR G-Barrels'!$B$5:$AI$24,14,FALSE)),0)+IFERROR(IF(VLOOKUP($B17,'SR G-Poles'!$B$5:$AI$24,14,FALSE)=" ",0,VLOOKUP($B17,'SR G-Poles'!$B$5:$AI$24,14,FALSE)),0)+IFERROR(IF(VLOOKUP($B17,'SR G-Goats'!$B$5:$AI$24,14,FALSE)=" ",0,VLOOKUP($B17,'SR G-Goats'!$B$5:$AI$24,14,FALSE)),0)+IFERROR(IF(VLOOKUP($B17,'SR-Team Roping-Header'!$B$5:$N$24,5,FALSE)=" ",0,VLOOKUP($B17,'SR-Team Roping-Header'!$B$5:$N$24,5,FALSE)),0)+IFERROR(IF(VLOOKUP($B17,'SR-Team Roping-Heeler'!$B$5:$N$24,5,FALSE)=" ",0,VLOOKUP($B17,'SR-Team Roping-Heeler'!$B$5:$N$24,5,FALSE)),0)</f>
        <v>0</v>
      </c>
      <c r="J17" s="95" t="str">
        <f t="shared" si="4"/>
        <v xml:space="preserve"> </v>
      </c>
      <c r="K17" s="122" t="str">
        <f t="shared" si="5"/>
        <v xml:space="preserve"> </v>
      </c>
      <c r="L17" s="121">
        <f>IFERROR(IF(VLOOKUP($B17,'SR G-Breakaway'!$B$5:$AI$24,18,FALSE)=" ",0,VLOOKUP($B17,'SR G-Breakaway'!$B$5:$AI$24,18,FALSE)),0)+IFERROR(IF(VLOOKUP($B17,'SR G-Barrels'!$B$5:$AI$24,18,FALSE)=" ",0,VLOOKUP($B17,'SR G-Barrels'!$B$5:$AI$24,18,FALSE)),0)+IFERROR(IF(VLOOKUP($B17,'SR G-Poles'!$B$5:$AI$24,18,FALSE)=" ",0,VLOOKUP($B17,'SR G-Poles'!$B$5:$AI$24,18,FALSE)),0)+IFERROR(IF(VLOOKUP($B17,'SR G-Goats'!$B$5:$AI$24,18,FALSE)=" ",0,VLOOKUP($B17,'SR G-Goats'!$B$5:$AI$24,18,FALSE)),0)+IFERROR(IF(VLOOKUP($B17,'SR-Team Roping-Header'!$B$5:$N$24,6,FALSE)=" ",0,VLOOKUP($B17,'SR-Team Roping-Header'!$B$5:$N$24,6,FALSE)),0)+IFERROR(IF(VLOOKUP($B17,'SR-Team Roping-Heeler'!$B$5:$N$24,6,FALSE)=" ",0,VLOOKUP($B17,'SR-Team Roping-Heeler'!$B$5:$N$24,6,FALSE)),0)</f>
        <v>0</v>
      </c>
      <c r="M17" s="95" t="str">
        <f t="shared" si="6"/>
        <v xml:space="preserve"> </v>
      </c>
      <c r="N17" s="122" t="str">
        <f t="shared" si="7"/>
        <v xml:space="preserve"> </v>
      </c>
      <c r="O17" s="121">
        <f>IFERROR(IF(VLOOKUP($B17,'SR G-Breakaway'!$B$5:$AI$24,22,FALSE)=" ",0,VLOOKUP($B17,'SR G-Breakaway'!$B$5:$AI$24,22,FALSE)),0)+IFERROR(IF(VLOOKUP($B17,'SR G-Barrels'!$B$5:$AI$24,22,FALSE)=" ",0,VLOOKUP($B17,'SR G-Barrels'!$B$5:$AI$24,22,FALSE)),0)+IFERROR(IF(VLOOKUP($B17,'SR G-Poles'!$B$5:$AI$24,22,FALSE)=" ",0,VLOOKUP($B17,'SR G-Poles'!$B$5:$AI$24,22,FALSE)),0)+IFERROR(IF(VLOOKUP($B17,'SR G-Goats'!$B$5:$AI$24,22,FALSE)=" ",0,VLOOKUP($B17,'SR G-Goats'!$B$5:$AI$24,22,FALSE)),0)+IFERROR(IF(VLOOKUP($B17,'SR-Team Roping-Header'!$B$5:$N$24,7,FALSE)=" ",0,VLOOKUP($B17,'SR-Team Roping-Header'!$B$5:$N$24,7,FALSE)),0)+IFERROR(IF(VLOOKUP($B17,'SR-Team Roping-Heeler'!$B$5:$N$24,7,FALSE)=" ",0,VLOOKUP($B17,'SR-Team Roping-Heeler'!$B$5:$N$24,7,FALSE)),0)</f>
        <v>0</v>
      </c>
      <c r="P17" s="95" t="str">
        <f t="shared" si="8"/>
        <v xml:space="preserve"> </v>
      </c>
      <c r="Q17" s="122" t="str">
        <f t="shared" si="9"/>
        <v xml:space="preserve"> </v>
      </c>
      <c r="R17" s="121">
        <f>IFERROR(IF(VLOOKUP($B17,'SR G-Breakaway'!$B$5:$AI$24,26,FALSE)=" ",0,VLOOKUP($B17,'SR G-Breakaway'!$B$5:$AI$24,26,FALSE)),0)+IFERROR(IF(VLOOKUP($B17,'SR G-Barrels'!$B$5:$AI$24,26,FALSE)=" ",0,VLOOKUP($B17,'SR G-Barrels'!$B$5:$AI$24,26,FALSE)),0)+IFERROR(IF(VLOOKUP($B17,'SR G-Poles'!$B$5:$AI$24,26,FALSE)=" ",0,VLOOKUP($B17,'SR G-Poles'!$B$5:$AI$24,26,FALSE)),0)+IFERROR(IF(VLOOKUP($B17,'SR G-Goats'!$B$5:$AI$24,26,FALSE)=" ",0,VLOOKUP($B17,'SR G-Goats'!$B$5:$AI$24,26,FALSE)),0)+IFERROR(IF(VLOOKUP($B17,'SR-Team Roping-Header'!$B$5:$N$24,8,FALSE)=" ",0,VLOOKUP($B17,'SR-Team Roping-Header'!$B$5:$N$24,8,FALSE)),0)+IFERROR(IF(VLOOKUP($B17,'SR-Team Roping-Heeler'!$B$5:$N$24,8,FALSE)=" ",0,VLOOKUP($B17,'SR-Team Roping-Heeler'!$B$5:$N$24,8,FALSE)),0)</f>
        <v>0</v>
      </c>
      <c r="S17" s="95" t="str">
        <f t="shared" si="10"/>
        <v xml:space="preserve"> </v>
      </c>
      <c r="T17" s="122" t="str">
        <f t="shared" si="11"/>
        <v xml:space="preserve"> </v>
      </c>
      <c r="U17" s="121">
        <f>IFERROR(IF(VLOOKUP($B17,'SR G-Breakaway'!$B$5:$AI$24,30,FALSE)=" ",0,VLOOKUP($B17,'SR G-Breakaway'!$B$5:$AI$24,30,FALSE)),0)+IFERROR(IF(VLOOKUP($B17,'SR G-Barrels'!$B$5:$AI$24,30,FALSE)=" ",0,VLOOKUP($B17,'SR G-Barrels'!$B$5:$AI$24,30,FALSE)),0)+IFERROR(IF(VLOOKUP($B17,'SR G-Poles'!$B$5:$AI$24,30,FALSE)=" ",0,VLOOKUP($B17,'SR G-Poles'!$B$5:$AI$24,30,FALSE)),0)+IFERROR(IF(VLOOKUP($B17,'SR G-Goats'!$B$5:$AI$24,30,FALSE)=" ",0,VLOOKUP($B17,'SR G-Goats'!$B$5:$AI$24,30,FALSE)),0)+IFERROR(IF(VLOOKUP($B17,'SR-Team Roping-Header'!$B$5:$N$24,9,FALSE)=" ",0,VLOOKUP($B17,'SR-Team Roping-Header'!$B$5:$N$24,9,FALSE)),0)+IFERROR(IF(VLOOKUP($B17,'SR-Team Roping-Heeler'!$B$5:$N$24,9,FALSE)=" ",0,VLOOKUP($B17,'SR-Team Roping-Heeler'!$B$5:$N$24,9,FALSE)),0)</f>
        <v>0</v>
      </c>
      <c r="V17" s="95" t="str">
        <f t="shared" si="12"/>
        <v xml:space="preserve"> </v>
      </c>
      <c r="W17" s="122" t="str">
        <f t="shared" si="13"/>
        <v xml:space="preserve"> </v>
      </c>
      <c r="X17" s="121">
        <f>IFERROR(IF(VLOOKUP($B17,'SR G-Breakaway'!$B$5:$AI$24,34,FALSE)=" ",0,VLOOKUP($B17,'SR G-Breakaway'!$B$5:$AI$24,34,FALSE)),0)+IFERROR(IF(VLOOKUP($B17,'SR G-Barrels'!$B$5:$AI$24,34,FALSE)=" ",0,VLOOKUP($B17,'SR G-Barrels'!$B$5:$AI$24,34,FALSE)),0)+IFERROR(IF(VLOOKUP($B17,'SR G-Poles'!$B$5:$AI$24,34,FALSE)=" ",0,VLOOKUP($B17,'SR G-Poles'!$B$5:$AI$24,34,FALSE)),0)+IFERROR(IF(VLOOKUP($B17,'SR G-Goats'!$B$5:$AI$24,34,FALSE)=" ",0,VLOOKUP($B17,'SR G-Goats'!$B$5:$AI$24,34,FALSE)),0)+IFERROR(IF(VLOOKUP($B17,'SR-Team Roping-Header'!$B$5:$N$24,10,FALSE)=" ",0,VLOOKUP($B17,'SR-Team Roping-Header'!$B$5:$N$24,10,FALSE)),0)+IFERROR(IF(VLOOKUP($B17,'SR-Team Roping-Heeler'!$B$5:$N$24,10,FALSE)=" ",0,VLOOKUP($B17,'SR-Team Roping-Heeler'!$B$5:$N$24,10,FALSE)),0)</f>
        <v>0</v>
      </c>
      <c r="Y17" s="95" t="str">
        <f t="shared" si="14"/>
        <v xml:space="preserve"> </v>
      </c>
      <c r="Z17" s="122" t="str">
        <f t="shared" si="15"/>
        <v xml:space="preserve"> </v>
      </c>
      <c r="AA17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33</v>
      </c>
      <c r="AB17" s="95">
        <f t="shared" si="16"/>
        <v>33</v>
      </c>
      <c r="AC17" s="122">
        <f t="shared" si="17"/>
        <v>13</v>
      </c>
    </row>
    <row r="18" spans="2:29" x14ac:dyDescent="0.25">
      <c r="B18" s="142" t="s">
        <v>260</v>
      </c>
      <c r="C18" s="120">
        <f>IFERROR(IF(VLOOKUP($B18,'SR G-Breakaway'!$B$5:$AI$24,6,FALSE)=" ",0,VLOOKUP($B18,'SR G-Breakaway'!$B$5:$AI$24,6,FALSE)),0)+IFERROR(IF(VLOOKUP($B18,'SR G-Barrels'!$B$5:$AI$24,6,FALSE)=" ",0,VLOOKUP($B18,'SR G-Barrels'!$B$5:$AI$24,6,FALSE)),0)+IFERROR(IF(VLOOKUP($B18,'SR G-Poles'!$B$5:$AI$24,6,FALSE)=" ",0,VLOOKUP($B18,'SR G-Poles'!$B$5:$AI$24,6,FALSE)),0)+IFERROR(IF(VLOOKUP($B18,'SR G-Goats'!$B$5:$AI$24,6,FALSE)=" ",0,VLOOKUP($B18,'SR G-Goats'!$B$5:$AI$24,6,FALSE)),0)+IFERROR(IF(VLOOKUP($B18,'SR-Team Roping-Header'!$B$5:$N$24,3,FALSE)=" ",0,VLOOKUP($B18,'SR-Team Roping-Header'!$B$5:$N$24,3,FALSE)),0)+IFERROR(IF(VLOOKUP($B18,'SR-Team Roping-Heeler'!$B$5:$N$24,3,FALSE)=" ",0,VLOOKUP($B18,'SR-Team Roping-Heeler'!$B$5:$N$24,3,FALSE)),0)</f>
        <v>0</v>
      </c>
      <c r="D18" s="95" t="str">
        <f t="shared" si="0"/>
        <v xml:space="preserve"> </v>
      </c>
      <c r="E18" s="91" t="str">
        <f t="shared" si="1"/>
        <v xml:space="preserve"> </v>
      </c>
      <c r="F18" s="121">
        <f>IFERROR(IF(VLOOKUP($B18,'SR G-Breakaway'!$B$5:$AI$24,10,FALSE)=" ",0,VLOOKUP($B18,'SR G-Breakaway'!$B$5:$AI$24,10,FALSE)),0)+IFERROR(IF(VLOOKUP($B18,'SR G-Barrels'!$B$5:$AI$24,10,FALSE)=" ",0,VLOOKUP($B18,'SR G-Barrels'!$B$5:$AI$24,10,FALSE)),0)+IFERROR(IF(VLOOKUP($B18,'SR G-Poles'!$B$5:$AI$24,10,FALSE)=" ",0,VLOOKUP($B18,'SR G-Poles'!$B$5:$AI$24,10,FALSE)),0)+IFERROR(IF(VLOOKUP($B18,'SR G-Goats'!$B$5:$AI$24,10,FALSE)=" ",0,VLOOKUP($B18,'SR G-Goats'!$B$5:$AI$24,10,FALSE)),0)+IFERROR(IF(VLOOKUP($B18,'SR-Team Roping-Header'!$B$5:$N$24,4,FALSE)=" ",0,VLOOKUP($B18,'SR-Team Roping-Header'!$B$5:$N$24,4,FALSE)),0)+IFERROR(IF(VLOOKUP($B18,'SR-Team Roping-Heeler'!$B$5:$N$24,4,FALSE)=" ",0,VLOOKUP($B18,'SR-Team Roping-Heeler'!$B$5:$N$24,4,FALSE)),0)</f>
        <v>12</v>
      </c>
      <c r="G18" s="95">
        <f t="shared" si="2"/>
        <v>12</v>
      </c>
      <c r="H18" s="91">
        <f t="shared" si="3"/>
        <v>9</v>
      </c>
      <c r="I18" s="121">
        <f>IFERROR(IF(VLOOKUP($B18,'SR G-Breakaway'!$B$5:$AI$24,14,FALSE)=" ",0,VLOOKUP($B18,'SR G-Breakaway'!$B$5:$AI$24,14,FALSE)),0)+IFERROR(IF(VLOOKUP($B18,'SR G-Barrels'!$B$5:$AI$24,14,FALSE)=" ",0,VLOOKUP($B18,'SR G-Barrels'!$B$5:$AI$24,14,FALSE)),0)+IFERROR(IF(VLOOKUP($B18,'SR G-Poles'!$B$5:$AI$24,14,FALSE)=" ",0,VLOOKUP($B18,'SR G-Poles'!$B$5:$AI$24,14,FALSE)),0)+IFERROR(IF(VLOOKUP($B18,'SR G-Goats'!$B$5:$AI$24,14,FALSE)=" ",0,VLOOKUP($B18,'SR G-Goats'!$B$5:$AI$24,14,FALSE)),0)+IFERROR(IF(VLOOKUP($B18,'SR-Team Roping-Header'!$B$5:$N$24,5,FALSE)=" ",0,VLOOKUP($B18,'SR-Team Roping-Header'!$B$5:$N$24,5,FALSE)),0)+IFERROR(IF(VLOOKUP($B18,'SR-Team Roping-Heeler'!$B$5:$N$24,5,FALSE)=" ",0,VLOOKUP($B18,'SR-Team Roping-Heeler'!$B$5:$N$24,5,FALSE)),0)</f>
        <v>0</v>
      </c>
      <c r="J18" s="95" t="str">
        <f t="shared" si="4"/>
        <v xml:space="preserve"> </v>
      </c>
      <c r="K18" s="91" t="str">
        <f t="shared" si="5"/>
        <v xml:space="preserve"> </v>
      </c>
      <c r="L18" s="121">
        <f>IFERROR(IF(VLOOKUP($B18,'SR G-Breakaway'!$B$5:$AI$24,18,FALSE)=" ",0,VLOOKUP($B18,'SR G-Breakaway'!$B$5:$AI$24,18,FALSE)),0)+IFERROR(IF(VLOOKUP($B18,'SR G-Barrels'!$B$5:$AI$24,18,FALSE)=" ",0,VLOOKUP($B18,'SR G-Barrels'!$B$5:$AI$24,18,FALSE)),0)+IFERROR(IF(VLOOKUP($B18,'SR G-Poles'!$B$5:$AI$24,18,FALSE)=" ",0,VLOOKUP($B18,'SR G-Poles'!$B$5:$AI$24,18,FALSE)),0)+IFERROR(IF(VLOOKUP($B18,'SR G-Goats'!$B$5:$AI$24,18,FALSE)=" ",0,VLOOKUP($B18,'SR G-Goats'!$B$5:$AI$24,18,FALSE)),0)+IFERROR(IF(VLOOKUP($B18,'SR-Team Roping-Header'!$B$5:$N$24,6,FALSE)=" ",0,VLOOKUP($B18,'SR-Team Roping-Header'!$B$5:$N$24,6,FALSE)),0)+IFERROR(IF(VLOOKUP($B18,'SR-Team Roping-Heeler'!$B$5:$N$24,6,FALSE)=" ",0,VLOOKUP($B18,'SR-Team Roping-Heeler'!$B$5:$N$24,6,FALSE)),0)</f>
        <v>0</v>
      </c>
      <c r="M18" s="95" t="str">
        <f t="shared" si="6"/>
        <v xml:space="preserve"> </v>
      </c>
      <c r="N18" s="91" t="str">
        <f t="shared" si="7"/>
        <v xml:space="preserve"> </v>
      </c>
      <c r="O18" s="121">
        <f>IFERROR(IF(VLOOKUP($B18,'SR G-Breakaway'!$B$5:$AI$24,22,FALSE)=" ",0,VLOOKUP($B18,'SR G-Breakaway'!$B$5:$AI$24,22,FALSE)),0)+IFERROR(IF(VLOOKUP($B18,'SR G-Barrels'!$B$5:$AI$24,22,FALSE)=" ",0,VLOOKUP($B18,'SR G-Barrels'!$B$5:$AI$24,22,FALSE)),0)+IFERROR(IF(VLOOKUP($B18,'SR G-Poles'!$B$5:$AI$24,22,FALSE)=" ",0,VLOOKUP($B18,'SR G-Poles'!$B$5:$AI$24,22,FALSE)),0)+IFERROR(IF(VLOOKUP($B18,'SR G-Goats'!$B$5:$AI$24,22,FALSE)=" ",0,VLOOKUP($B18,'SR G-Goats'!$B$5:$AI$24,22,FALSE)),0)+IFERROR(IF(VLOOKUP($B18,'SR-Team Roping-Header'!$B$5:$N$24,7,FALSE)=" ",0,VLOOKUP($B18,'SR-Team Roping-Header'!$B$5:$N$24,7,FALSE)),0)+IFERROR(IF(VLOOKUP($B18,'SR-Team Roping-Heeler'!$B$5:$N$24,7,FALSE)=" ",0,VLOOKUP($B18,'SR-Team Roping-Heeler'!$B$5:$N$24,7,FALSE)),0)</f>
        <v>0</v>
      </c>
      <c r="P18" s="95" t="str">
        <f t="shared" si="8"/>
        <v xml:space="preserve"> </v>
      </c>
      <c r="Q18" s="91" t="str">
        <f t="shared" si="9"/>
        <v xml:space="preserve"> </v>
      </c>
      <c r="R18" s="121">
        <f>IFERROR(IF(VLOOKUP($B18,'SR G-Breakaway'!$B$5:$AI$24,26,FALSE)=" ",0,VLOOKUP($B18,'SR G-Breakaway'!$B$5:$AI$24,26,FALSE)),0)+IFERROR(IF(VLOOKUP($B18,'SR G-Barrels'!$B$5:$AI$24,26,FALSE)=" ",0,VLOOKUP($B18,'SR G-Barrels'!$B$5:$AI$24,26,FALSE)),0)+IFERROR(IF(VLOOKUP($B18,'SR G-Poles'!$B$5:$AI$24,26,FALSE)=" ",0,VLOOKUP($B18,'SR G-Poles'!$B$5:$AI$24,26,FALSE)),0)+IFERROR(IF(VLOOKUP($B18,'SR G-Goats'!$B$5:$AI$24,26,FALSE)=" ",0,VLOOKUP($B18,'SR G-Goats'!$B$5:$AI$24,26,FALSE)),0)+IFERROR(IF(VLOOKUP($B18,'SR-Team Roping-Header'!$B$5:$N$24,8,FALSE)=" ",0,VLOOKUP($B18,'SR-Team Roping-Header'!$B$5:$N$24,8,FALSE)),0)+IFERROR(IF(VLOOKUP($B18,'SR-Team Roping-Heeler'!$B$5:$N$24,8,FALSE)=" ",0,VLOOKUP($B18,'SR-Team Roping-Heeler'!$B$5:$N$24,8,FALSE)),0)</f>
        <v>0</v>
      </c>
      <c r="S18" s="95" t="str">
        <f t="shared" si="10"/>
        <v xml:space="preserve"> </v>
      </c>
      <c r="T18" s="91" t="str">
        <f t="shared" si="11"/>
        <v xml:space="preserve"> </v>
      </c>
      <c r="U18" s="121">
        <f>IFERROR(IF(VLOOKUP($B18,'SR G-Breakaway'!$B$5:$AI$24,30,FALSE)=" ",0,VLOOKUP($B18,'SR G-Breakaway'!$B$5:$AI$24,30,FALSE)),0)+IFERROR(IF(VLOOKUP($B18,'SR G-Barrels'!$B$5:$AI$24,30,FALSE)=" ",0,VLOOKUP($B18,'SR G-Barrels'!$B$5:$AI$24,30,FALSE)),0)+IFERROR(IF(VLOOKUP($B18,'SR G-Poles'!$B$5:$AI$24,30,FALSE)=" ",0,VLOOKUP($B18,'SR G-Poles'!$B$5:$AI$24,30,FALSE)),0)+IFERROR(IF(VLOOKUP($B18,'SR G-Goats'!$B$5:$AI$24,30,FALSE)=" ",0,VLOOKUP($B18,'SR G-Goats'!$B$5:$AI$24,30,FALSE)),0)+IFERROR(IF(VLOOKUP($B18,'SR-Team Roping-Header'!$B$5:$N$24,9,FALSE)=" ",0,VLOOKUP($B18,'SR-Team Roping-Header'!$B$5:$N$24,9,FALSE)),0)+IFERROR(IF(VLOOKUP($B18,'SR-Team Roping-Heeler'!$B$5:$N$24,9,FALSE)=" ",0,VLOOKUP($B18,'SR-Team Roping-Heeler'!$B$5:$N$24,9,FALSE)),0)</f>
        <v>0</v>
      </c>
      <c r="V18" s="95" t="str">
        <f t="shared" si="12"/>
        <v xml:space="preserve"> </v>
      </c>
      <c r="W18" s="91" t="str">
        <f t="shared" si="13"/>
        <v xml:space="preserve"> </v>
      </c>
      <c r="X18" s="121">
        <f>IFERROR(IF(VLOOKUP($B18,'SR G-Breakaway'!$B$5:$AI$24,34,FALSE)=" ",0,VLOOKUP($B18,'SR G-Breakaway'!$B$5:$AI$24,34,FALSE)),0)+IFERROR(IF(VLOOKUP($B18,'SR G-Barrels'!$B$5:$AI$24,34,FALSE)=" ",0,VLOOKUP($B18,'SR G-Barrels'!$B$5:$AI$24,34,FALSE)),0)+IFERROR(IF(VLOOKUP($B18,'SR G-Poles'!$B$5:$AI$24,34,FALSE)=" ",0,VLOOKUP($B18,'SR G-Poles'!$B$5:$AI$24,34,FALSE)),0)+IFERROR(IF(VLOOKUP($B18,'SR G-Goats'!$B$5:$AI$24,34,FALSE)=" ",0,VLOOKUP($B18,'SR G-Goats'!$B$5:$AI$24,34,FALSE)),0)+IFERROR(IF(VLOOKUP($B18,'SR-Team Roping-Header'!$B$5:$N$24,10,FALSE)=" ",0,VLOOKUP($B18,'SR-Team Roping-Header'!$B$5:$N$24,10,FALSE)),0)+IFERROR(IF(VLOOKUP($B18,'SR-Team Roping-Heeler'!$B$5:$N$24,10,FALSE)=" ",0,VLOOKUP($B18,'SR-Team Roping-Heeler'!$B$5:$N$24,10,FALSE)),0)</f>
        <v>0</v>
      </c>
      <c r="Y18" s="95" t="str">
        <f t="shared" si="14"/>
        <v xml:space="preserve"> </v>
      </c>
      <c r="Z18" s="91" t="str">
        <f t="shared" si="15"/>
        <v xml:space="preserve"> </v>
      </c>
      <c r="AA18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12</v>
      </c>
      <c r="AB18" s="95">
        <f t="shared" si="16"/>
        <v>12</v>
      </c>
      <c r="AC18" s="91">
        <f t="shared" si="17"/>
        <v>14</v>
      </c>
    </row>
    <row r="19" spans="2:29" x14ac:dyDescent="0.25">
      <c r="B19" s="142" t="s">
        <v>165</v>
      </c>
      <c r="C19" s="120">
        <f>IFERROR(IF(VLOOKUP($B19,'SR G-Breakaway'!$B$5:$AI$24,6,FALSE)=" ",0,VLOOKUP($B19,'SR G-Breakaway'!$B$5:$AI$24,6,FALSE)),0)+IFERROR(IF(VLOOKUP($B19,'SR G-Barrels'!$B$5:$AI$24,6,FALSE)=" ",0,VLOOKUP($B19,'SR G-Barrels'!$B$5:$AI$24,6,FALSE)),0)+IFERROR(IF(VLOOKUP($B19,'SR G-Poles'!$B$5:$AI$24,6,FALSE)=" ",0,VLOOKUP($B19,'SR G-Poles'!$B$5:$AI$24,6,FALSE)),0)+IFERROR(IF(VLOOKUP($B19,'SR G-Goats'!$B$5:$AI$24,6,FALSE)=" ",0,VLOOKUP($B19,'SR G-Goats'!$B$5:$AI$24,6,FALSE)),0)+IFERROR(IF(VLOOKUP($B19,'SR-Team Roping-Header'!$B$5:$N$24,3,FALSE)=" ",0,VLOOKUP($B19,'SR-Team Roping-Header'!$B$5:$N$24,3,FALSE)),0)+IFERROR(IF(VLOOKUP($B19,'SR-Team Roping-Heeler'!$B$5:$N$24,3,FALSE)=" ",0,VLOOKUP($B19,'SR-Team Roping-Heeler'!$B$5:$N$24,3,FALSE)),0)</f>
        <v>0</v>
      </c>
      <c r="D19" s="95" t="str">
        <f t="shared" si="0"/>
        <v xml:space="preserve"> </v>
      </c>
      <c r="E19" s="91" t="str">
        <f t="shared" si="1"/>
        <v xml:space="preserve"> </v>
      </c>
      <c r="F19" s="121">
        <f>IFERROR(IF(VLOOKUP($B19,'SR G-Breakaway'!$B$5:$AI$24,10,FALSE)=" ",0,VLOOKUP($B19,'SR G-Breakaway'!$B$5:$AI$24,10,FALSE)),0)+IFERROR(IF(VLOOKUP($B19,'SR G-Barrels'!$B$5:$AI$24,10,FALSE)=" ",0,VLOOKUP($B19,'SR G-Barrels'!$B$5:$AI$24,10,FALSE)),0)+IFERROR(IF(VLOOKUP($B19,'SR G-Poles'!$B$5:$AI$24,10,FALSE)=" ",0,VLOOKUP($B19,'SR G-Poles'!$B$5:$AI$24,10,FALSE)),0)+IFERROR(IF(VLOOKUP($B19,'SR G-Goats'!$B$5:$AI$24,10,FALSE)=" ",0,VLOOKUP($B19,'SR G-Goats'!$B$5:$AI$24,10,FALSE)),0)+IFERROR(IF(VLOOKUP($B19,'SR-Team Roping-Header'!$B$5:$N$24,4,FALSE)=" ",0,VLOOKUP($B19,'SR-Team Roping-Header'!$B$5:$N$24,4,FALSE)),0)+IFERROR(IF(VLOOKUP($B19,'SR-Team Roping-Heeler'!$B$5:$N$24,4,FALSE)=" ",0,VLOOKUP($B19,'SR-Team Roping-Heeler'!$B$5:$N$24,4,FALSE)),0)</f>
        <v>0</v>
      </c>
      <c r="G19" s="95" t="str">
        <f t="shared" si="2"/>
        <v xml:space="preserve"> </v>
      </c>
      <c r="H19" s="91" t="str">
        <f t="shared" si="3"/>
        <v xml:space="preserve"> </v>
      </c>
      <c r="I19" s="121">
        <f>IFERROR(IF(VLOOKUP($B19,'SR G-Breakaway'!$B$5:$AI$24,14,FALSE)=" ",0,VLOOKUP($B19,'SR G-Breakaway'!$B$5:$AI$24,14,FALSE)),0)+IFERROR(IF(VLOOKUP($B19,'SR G-Barrels'!$B$5:$AI$24,14,FALSE)=" ",0,VLOOKUP($B19,'SR G-Barrels'!$B$5:$AI$24,14,FALSE)),0)+IFERROR(IF(VLOOKUP($B19,'SR G-Poles'!$B$5:$AI$24,14,FALSE)=" ",0,VLOOKUP($B19,'SR G-Poles'!$B$5:$AI$24,14,FALSE)),0)+IFERROR(IF(VLOOKUP($B19,'SR G-Goats'!$B$5:$AI$24,14,FALSE)=" ",0,VLOOKUP($B19,'SR G-Goats'!$B$5:$AI$24,14,FALSE)),0)+IFERROR(IF(VLOOKUP($B19,'SR-Team Roping-Header'!$B$5:$N$24,5,FALSE)=" ",0,VLOOKUP($B19,'SR-Team Roping-Header'!$B$5:$N$24,5,FALSE)),0)+IFERROR(IF(VLOOKUP($B19,'SR-Team Roping-Heeler'!$B$5:$N$24,5,FALSE)=" ",0,VLOOKUP($B19,'SR-Team Roping-Heeler'!$B$5:$N$24,5,FALSE)),0)</f>
        <v>0</v>
      </c>
      <c r="J19" s="95" t="str">
        <f t="shared" si="4"/>
        <v xml:space="preserve"> </v>
      </c>
      <c r="K19" s="91" t="str">
        <f t="shared" si="5"/>
        <v xml:space="preserve"> </v>
      </c>
      <c r="L19" s="121">
        <f>IFERROR(IF(VLOOKUP($B19,'SR G-Breakaway'!$B$5:$AI$24,18,FALSE)=" ",0,VLOOKUP($B19,'SR G-Breakaway'!$B$5:$AI$24,18,FALSE)),0)+IFERROR(IF(VLOOKUP($B19,'SR G-Barrels'!$B$5:$AI$24,18,FALSE)=" ",0,VLOOKUP($B19,'SR G-Barrels'!$B$5:$AI$24,18,FALSE)),0)+IFERROR(IF(VLOOKUP($B19,'SR G-Poles'!$B$5:$AI$24,18,FALSE)=" ",0,VLOOKUP($B19,'SR G-Poles'!$B$5:$AI$24,18,FALSE)),0)+IFERROR(IF(VLOOKUP($B19,'SR G-Goats'!$B$5:$AI$24,18,FALSE)=" ",0,VLOOKUP($B19,'SR G-Goats'!$B$5:$AI$24,18,FALSE)),0)+IFERROR(IF(VLOOKUP($B19,'SR-Team Roping-Header'!$B$5:$N$24,6,FALSE)=" ",0,VLOOKUP($B19,'SR-Team Roping-Header'!$B$5:$N$24,6,FALSE)),0)+IFERROR(IF(VLOOKUP($B19,'SR-Team Roping-Heeler'!$B$5:$N$24,6,FALSE)=" ",0,VLOOKUP($B19,'SR-Team Roping-Heeler'!$B$5:$N$24,6,FALSE)),0)</f>
        <v>0</v>
      </c>
      <c r="M19" s="95" t="str">
        <f t="shared" si="6"/>
        <v xml:space="preserve"> </v>
      </c>
      <c r="N19" s="91" t="str">
        <f t="shared" si="7"/>
        <v xml:space="preserve"> </v>
      </c>
      <c r="O19" s="121">
        <f>IFERROR(IF(VLOOKUP($B19,'SR G-Breakaway'!$B$5:$AI$24,22,FALSE)=" ",0,VLOOKUP($B19,'SR G-Breakaway'!$B$5:$AI$24,22,FALSE)),0)+IFERROR(IF(VLOOKUP($B19,'SR G-Barrels'!$B$5:$AI$24,22,FALSE)=" ",0,VLOOKUP($B19,'SR G-Barrels'!$B$5:$AI$24,22,FALSE)),0)+IFERROR(IF(VLOOKUP($B19,'SR G-Poles'!$B$5:$AI$24,22,FALSE)=" ",0,VLOOKUP($B19,'SR G-Poles'!$B$5:$AI$24,22,FALSE)),0)+IFERROR(IF(VLOOKUP($B19,'SR G-Goats'!$B$5:$AI$24,22,FALSE)=" ",0,VLOOKUP($B19,'SR G-Goats'!$B$5:$AI$24,22,FALSE)),0)+IFERROR(IF(VLOOKUP($B19,'SR-Team Roping-Header'!$B$5:$N$24,7,FALSE)=" ",0,VLOOKUP($B19,'SR-Team Roping-Header'!$B$5:$N$24,7,FALSE)),0)+IFERROR(IF(VLOOKUP($B19,'SR-Team Roping-Heeler'!$B$5:$N$24,7,FALSE)=" ",0,VLOOKUP($B19,'SR-Team Roping-Heeler'!$B$5:$N$24,7,FALSE)),0)</f>
        <v>0</v>
      </c>
      <c r="P19" s="95" t="str">
        <f t="shared" si="8"/>
        <v xml:space="preserve"> </v>
      </c>
      <c r="Q19" s="91" t="str">
        <f t="shared" si="9"/>
        <v xml:space="preserve"> </v>
      </c>
      <c r="R19" s="121">
        <f>IFERROR(IF(VLOOKUP($B19,'SR G-Breakaway'!$B$5:$AI$24,26,FALSE)=" ",0,VLOOKUP($B19,'SR G-Breakaway'!$B$5:$AI$24,26,FALSE)),0)+IFERROR(IF(VLOOKUP($B19,'SR G-Barrels'!$B$5:$AI$24,26,FALSE)=" ",0,VLOOKUP($B19,'SR G-Barrels'!$B$5:$AI$24,26,FALSE)),0)+IFERROR(IF(VLOOKUP($B19,'SR G-Poles'!$B$5:$AI$24,26,FALSE)=" ",0,VLOOKUP($B19,'SR G-Poles'!$B$5:$AI$24,26,FALSE)),0)+IFERROR(IF(VLOOKUP($B19,'SR G-Goats'!$B$5:$AI$24,26,FALSE)=" ",0,VLOOKUP($B19,'SR G-Goats'!$B$5:$AI$24,26,FALSE)),0)+IFERROR(IF(VLOOKUP($B19,'SR-Team Roping-Header'!$B$5:$N$24,8,FALSE)=" ",0,VLOOKUP($B19,'SR-Team Roping-Header'!$B$5:$N$24,8,FALSE)),0)+IFERROR(IF(VLOOKUP($B19,'SR-Team Roping-Heeler'!$B$5:$N$24,8,FALSE)=" ",0,VLOOKUP($B19,'SR-Team Roping-Heeler'!$B$5:$N$24,8,FALSE)),0)</f>
        <v>0</v>
      </c>
      <c r="S19" s="95" t="str">
        <f t="shared" si="10"/>
        <v xml:space="preserve"> </v>
      </c>
      <c r="T19" s="91" t="str">
        <f t="shared" si="11"/>
        <v xml:space="preserve"> </v>
      </c>
      <c r="U19" s="121">
        <f>IFERROR(IF(VLOOKUP($B19,'SR G-Breakaway'!$B$5:$AI$24,30,FALSE)=" ",0,VLOOKUP($B19,'SR G-Breakaway'!$B$5:$AI$24,30,FALSE)),0)+IFERROR(IF(VLOOKUP($B19,'SR G-Barrels'!$B$5:$AI$24,30,FALSE)=" ",0,VLOOKUP($B19,'SR G-Barrels'!$B$5:$AI$24,30,FALSE)),0)+IFERROR(IF(VLOOKUP($B19,'SR G-Poles'!$B$5:$AI$24,30,FALSE)=" ",0,VLOOKUP($B19,'SR G-Poles'!$B$5:$AI$24,30,FALSE)),0)+IFERROR(IF(VLOOKUP($B19,'SR G-Goats'!$B$5:$AI$24,30,FALSE)=" ",0,VLOOKUP($B19,'SR G-Goats'!$B$5:$AI$24,30,FALSE)),0)+IFERROR(IF(VLOOKUP($B19,'SR-Team Roping-Header'!$B$5:$N$24,9,FALSE)=" ",0,VLOOKUP($B19,'SR-Team Roping-Header'!$B$5:$N$24,9,FALSE)),0)+IFERROR(IF(VLOOKUP($B19,'SR-Team Roping-Heeler'!$B$5:$N$24,9,FALSE)=" ",0,VLOOKUP($B19,'SR-Team Roping-Heeler'!$B$5:$N$24,9,FALSE)),0)</f>
        <v>0</v>
      </c>
      <c r="V19" s="95" t="str">
        <f t="shared" si="12"/>
        <v xml:space="preserve"> </v>
      </c>
      <c r="W19" s="91" t="str">
        <f t="shared" si="13"/>
        <v xml:space="preserve"> </v>
      </c>
      <c r="X19" s="121">
        <f>IFERROR(IF(VLOOKUP($B19,'SR G-Breakaway'!$B$5:$AI$24,34,FALSE)=" ",0,VLOOKUP($B19,'SR G-Breakaway'!$B$5:$AI$24,34,FALSE)),0)+IFERROR(IF(VLOOKUP($B19,'SR G-Barrels'!$B$5:$AI$24,34,FALSE)=" ",0,VLOOKUP($B19,'SR G-Barrels'!$B$5:$AI$24,34,FALSE)),0)+IFERROR(IF(VLOOKUP($B19,'SR G-Poles'!$B$5:$AI$24,34,FALSE)=" ",0,VLOOKUP($B19,'SR G-Poles'!$B$5:$AI$24,34,FALSE)),0)+IFERROR(IF(VLOOKUP($B19,'SR G-Goats'!$B$5:$AI$24,34,FALSE)=" ",0,VLOOKUP($B19,'SR G-Goats'!$B$5:$AI$24,34,FALSE)),0)+IFERROR(IF(VLOOKUP($B19,'SR-Team Roping-Header'!$B$5:$N$24,10,FALSE)=" ",0,VLOOKUP($B19,'SR-Team Roping-Header'!$B$5:$N$24,10,FALSE)),0)+IFERROR(IF(VLOOKUP($B19,'SR-Team Roping-Heeler'!$B$5:$N$24,10,FALSE)=" ",0,VLOOKUP($B19,'SR-Team Roping-Heeler'!$B$5:$N$24,10,FALSE)),0)</f>
        <v>0</v>
      </c>
      <c r="Y19" s="95" t="str">
        <f t="shared" si="14"/>
        <v xml:space="preserve"> </v>
      </c>
      <c r="Z19" s="91" t="str">
        <f t="shared" si="15"/>
        <v xml:space="preserve"> </v>
      </c>
      <c r="AA19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19" s="95" t="str">
        <f t="shared" si="16"/>
        <v xml:space="preserve"> </v>
      </c>
      <c r="AC19" s="91" t="str">
        <f t="shared" si="17"/>
        <v xml:space="preserve"> </v>
      </c>
    </row>
    <row r="20" spans="2:29" x14ac:dyDescent="0.25">
      <c r="B20" s="142" t="s">
        <v>187</v>
      </c>
      <c r="C20" s="120">
        <f>IFERROR(IF(VLOOKUP($B20,'SR G-Breakaway'!$B$5:$AI$24,6,FALSE)=" ",0,VLOOKUP($B20,'SR G-Breakaway'!$B$5:$AI$24,6,FALSE)),0)+IFERROR(IF(VLOOKUP($B20,'SR G-Barrels'!$B$5:$AI$24,6,FALSE)=" ",0,VLOOKUP($B20,'SR G-Barrels'!$B$5:$AI$24,6,FALSE)),0)+IFERROR(IF(VLOOKUP($B20,'SR G-Poles'!$B$5:$AI$24,6,FALSE)=" ",0,VLOOKUP($B20,'SR G-Poles'!$B$5:$AI$24,6,FALSE)),0)+IFERROR(IF(VLOOKUP($B20,'SR G-Goats'!$B$5:$AI$24,6,FALSE)=" ",0,VLOOKUP($B20,'SR G-Goats'!$B$5:$AI$24,6,FALSE)),0)+IFERROR(IF(VLOOKUP($B20,'SR-Team Roping-Header'!$B$5:$N$24,3,FALSE)=" ",0,VLOOKUP($B20,'SR-Team Roping-Header'!$B$5:$N$24,3,FALSE)),0)+IFERROR(IF(VLOOKUP($B20,'SR-Team Roping-Heeler'!$B$5:$N$24,3,FALSE)=" ",0,VLOOKUP($B20,'SR-Team Roping-Heeler'!$B$5:$N$24,3,FALSE)),0)</f>
        <v>0</v>
      </c>
      <c r="D20" s="95" t="str">
        <f t="shared" si="0"/>
        <v xml:space="preserve"> </v>
      </c>
      <c r="E20" s="91" t="str">
        <f t="shared" si="1"/>
        <v xml:space="preserve"> </v>
      </c>
      <c r="F20" s="121">
        <f>IFERROR(IF(VLOOKUP($B20,'SR G-Breakaway'!$B$5:$AI$24,10,FALSE)=" ",0,VLOOKUP($B20,'SR G-Breakaway'!$B$5:$AI$24,10,FALSE)),0)+IFERROR(IF(VLOOKUP($B20,'SR G-Barrels'!$B$5:$AI$24,10,FALSE)=" ",0,VLOOKUP($B20,'SR G-Barrels'!$B$5:$AI$24,10,FALSE)),0)+IFERROR(IF(VLOOKUP($B20,'SR G-Poles'!$B$5:$AI$24,10,FALSE)=" ",0,VLOOKUP($B20,'SR G-Poles'!$B$5:$AI$24,10,FALSE)),0)+IFERROR(IF(VLOOKUP($B20,'SR G-Goats'!$B$5:$AI$24,10,FALSE)=" ",0,VLOOKUP($B20,'SR G-Goats'!$B$5:$AI$24,10,FALSE)),0)+IFERROR(IF(VLOOKUP($B20,'SR-Team Roping-Header'!$B$5:$N$24,4,FALSE)=" ",0,VLOOKUP($B20,'SR-Team Roping-Header'!$B$5:$N$24,4,FALSE)),0)+IFERROR(IF(VLOOKUP($B20,'SR-Team Roping-Heeler'!$B$5:$N$24,4,FALSE)=" ",0,VLOOKUP($B20,'SR-Team Roping-Heeler'!$B$5:$N$24,4,FALSE)),0)</f>
        <v>0</v>
      </c>
      <c r="G20" s="95" t="str">
        <f t="shared" si="2"/>
        <v xml:space="preserve"> </v>
      </c>
      <c r="H20" s="91" t="str">
        <f t="shared" si="3"/>
        <v xml:space="preserve"> </v>
      </c>
      <c r="I20" s="121">
        <f>IFERROR(IF(VLOOKUP($B20,'SR G-Breakaway'!$B$5:$AI$24,14,FALSE)=" ",0,VLOOKUP($B20,'SR G-Breakaway'!$B$5:$AI$24,14,FALSE)),0)+IFERROR(IF(VLOOKUP($B20,'SR G-Barrels'!$B$5:$AI$24,14,FALSE)=" ",0,VLOOKUP($B20,'SR G-Barrels'!$B$5:$AI$24,14,FALSE)),0)+IFERROR(IF(VLOOKUP($B20,'SR G-Poles'!$B$5:$AI$24,14,FALSE)=" ",0,VLOOKUP($B20,'SR G-Poles'!$B$5:$AI$24,14,FALSE)),0)+IFERROR(IF(VLOOKUP($B20,'SR G-Goats'!$B$5:$AI$24,14,FALSE)=" ",0,VLOOKUP($B20,'SR G-Goats'!$B$5:$AI$24,14,FALSE)),0)+IFERROR(IF(VLOOKUP($B20,'SR-Team Roping-Header'!$B$5:$N$24,5,FALSE)=" ",0,VLOOKUP($B20,'SR-Team Roping-Header'!$B$5:$N$24,5,FALSE)),0)+IFERROR(IF(VLOOKUP($B20,'SR-Team Roping-Heeler'!$B$5:$N$24,5,FALSE)=" ",0,VLOOKUP($B20,'SR-Team Roping-Heeler'!$B$5:$N$24,5,FALSE)),0)</f>
        <v>0</v>
      </c>
      <c r="J20" s="95" t="str">
        <f t="shared" si="4"/>
        <v xml:space="preserve"> </v>
      </c>
      <c r="K20" s="91" t="str">
        <f t="shared" si="5"/>
        <v xml:space="preserve"> </v>
      </c>
      <c r="L20" s="121">
        <f>IFERROR(IF(VLOOKUP($B20,'SR G-Breakaway'!$B$5:$AI$24,18,FALSE)=" ",0,VLOOKUP($B20,'SR G-Breakaway'!$B$5:$AI$24,18,FALSE)),0)+IFERROR(IF(VLOOKUP($B20,'SR G-Barrels'!$B$5:$AI$24,18,FALSE)=" ",0,VLOOKUP($B20,'SR G-Barrels'!$B$5:$AI$24,18,FALSE)),0)+IFERROR(IF(VLOOKUP($B20,'SR G-Poles'!$B$5:$AI$24,18,FALSE)=" ",0,VLOOKUP($B20,'SR G-Poles'!$B$5:$AI$24,18,FALSE)),0)+IFERROR(IF(VLOOKUP($B20,'SR G-Goats'!$B$5:$AI$24,18,FALSE)=" ",0,VLOOKUP($B20,'SR G-Goats'!$B$5:$AI$24,18,FALSE)),0)+IFERROR(IF(VLOOKUP($B20,'SR-Team Roping-Header'!$B$5:$N$24,6,FALSE)=" ",0,VLOOKUP($B20,'SR-Team Roping-Header'!$B$5:$N$24,6,FALSE)),0)+IFERROR(IF(VLOOKUP($B20,'SR-Team Roping-Heeler'!$B$5:$N$24,6,FALSE)=" ",0,VLOOKUP($B20,'SR-Team Roping-Heeler'!$B$5:$N$24,6,FALSE)),0)</f>
        <v>0</v>
      </c>
      <c r="M20" s="95" t="str">
        <f t="shared" si="6"/>
        <v xml:space="preserve"> </v>
      </c>
      <c r="N20" s="91" t="str">
        <f t="shared" si="7"/>
        <v xml:space="preserve"> </v>
      </c>
      <c r="O20" s="121">
        <f>IFERROR(IF(VLOOKUP($B20,'SR G-Breakaway'!$B$5:$AI$24,22,FALSE)=" ",0,VLOOKUP($B20,'SR G-Breakaway'!$B$5:$AI$24,22,FALSE)),0)+IFERROR(IF(VLOOKUP($B20,'SR G-Barrels'!$B$5:$AI$24,22,FALSE)=" ",0,VLOOKUP($B20,'SR G-Barrels'!$B$5:$AI$24,22,FALSE)),0)+IFERROR(IF(VLOOKUP($B20,'SR G-Poles'!$B$5:$AI$24,22,FALSE)=" ",0,VLOOKUP($B20,'SR G-Poles'!$B$5:$AI$24,22,FALSE)),0)+IFERROR(IF(VLOOKUP($B20,'SR G-Goats'!$B$5:$AI$24,22,FALSE)=" ",0,VLOOKUP($B20,'SR G-Goats'!$B$5:$AI$24,22,FALSE)),0)+IFERROR(IF(VLOOKUP($B20,'SR-Team Roping-Header'!$B$5:$N$24,7,FALSE)=" ",0,VLOOKUP($B20,'SR-Team Roping-Header'!$B$5:$N$24,7,FALSE)),0)+IFERROR(IF(VLOOKUP($B20,'SR-Team Roping-Heeler'!$B$5:$N$24,7,FALSE)=" ",0,VLOOKUP($B20,'SR-Team Roping-Heeler'!$B$5:$N$24,7,FALSE)),0)</f>
        <v>0</v>
      </c>
      <c r="P20" s="95" t="str">
        <f t="shared" si="8"/>
        <v xml:space="preserve"> </v>
      </c>
      <c r="Q20" s="91" t="str">
        <f t="shared" si="9"/>
        <v xml:space="preserve"> </v>
      </c>
      <c r="R20" s="121">
        <f>IFERROR(IF(VLOOKUP($B20,'SR G-Breakaway'!$B$5:$AI$24,26,FALSE)=" ",0,VLOOKUP($B20,'SR G-Breakaway'!$B$5:$AI$24,26,FALSE)),0)+IFERROR(IF(VLOOKUP($B20,'SR G-Barrels'!$B$5:$AI$24,26,FALSE)=" ",0,VLOOKUP($B20,'SR G-Barrels'!$B$5:$AI$24,26,FALSE)),0)+IFERROR(IF(VLOOKUP($B20,'SR G-Poles'!$B$5:$AI$24,26,FALSE)=" ",0,VLOOKUP($B20,'SR G-Poles'!$B$5:$AI$24,26,FALSE)),0)+IFERROR(IF(VLOOKUP($B20,'SR G-Goats'!$B$5:$AI$24,26,FALSE)=" ",0,VLOOKUP($B20,'SR G-Goats'!$B$5:$AI$24,26,FALSE)),0)+IFERROR(IF(VLOOKUP($B20,'SR-Team Roping-Header'!$B$5:$N$24,8,FALSE)=" ",0,VLOOKUP($B20,'SR-Team Roping-Header'!$B$5:$N$24,8,FALSE)),0)+IFERROR(IF(VLOOKUP($B20,'SR-Team Roping-Heeler'!$B$5:$N$24,8,FALSE)=" ",0,VLOOKUP($B20,'SR-Team Roping-Heeler'!$B$5:$N$24,8,FALSE)),0)</f>
        <v>0</v>
      </c>
      <c r="S20" s="95" t="str">
        <f t="shared" si="10"/>
        <v xml:space="preserve"> </v>
      </c>
      <c r="T20" s="91" t="str">
        <f t="shared" si="11"/>
        <v xml:space="preserve"> </v>
      </c>
      <c r="U20" s="121">
        <f>IFERROR(IF(VLOOKUP($B20,'SR G-Breakaway'!$B$5:$AI$24,30,FALSE)=" ",0,VLOOKUP($B20,'SR G-Breakaway'!$B$5:$AI$24,30,FALSE)),0)+IFERROR(IF(VLOOKUP($B20,'SR G-Barrels'!$B$5:$AI$24,30,FALSE)=" ",0,VLOOKUP($B20,'SR G-Barrels'!$B$5:$AI$24,30,FALSE)),0)+IFERROR(IF(VLOOKUP($B20,'SR G-Poles'!$B$5:$AI$24,30,FALSE)=" ",0,VLOOKUP($B20,'SR G-Poles'!$B$5:$AI$24,30,FALSE)),0)+IFERROR(IF(VLOOKUP($B20,'SR G-Goats'!$B$5:$AI$24,30,FALSE)=" ",0,VLOOKUP($B20,'SR G-Goats'!$B$5:$AI$24,30,FALSE)),0)+IFERROR(IF(VLOOKUP($B20,'SR-Team Roping-Header'!$B$5:$N$24,9,FALSE)=" ",0,VLOOKUP($B20,'SR-Team Roping-Header'!$B$5:$N$24,9,FALSE)),0)+IFERROR(IF(VLOOKUP($B20,'SR-Team Roping-Heeler'!$B$5:$N$24,9,FALSE)=" ",0,VLOOKUP($B20,'SR-Team Roping-Heeler'!$B$5:$N$24,9,FALSE)),0)</f>
        <v>0</v>
      </c>
      <c r="V20" s="95" t="str">
        <f t="shared" si="12"/>
        <v xml:space="preserve"> </v>
      </c>
      <c r="W20" s="91" t="str">
        <f t="shared" si="13"/>
        <v xml:space="preserve"> </v>
      </c>
      <c r="X20" s="121">
        <f>IFERROR(IF(VLOOKUP($B20,'SR G-Breakaway'!$B$5:$AI$24,34,FALSE)=" ",0,VLOOKUP($B20,'SR G-Breakaway'!$B$5:$AI$24,34,FALSE)),0)+IFERROR(IF(VLOOKUP($B20,'SR G-Barrels'!$B$5:$AI$24,34,FALSE)=" ",0,VLOOKUP($B20,'SR G-Barrels'!$B$5:$AI$24,34,FALSE)),0)+IFERROR(IF(VLOOKUP($B20,'SR G-Poles'!$B$5:$AI$24,34,FALSE)=" ",0,VLOOKUP($B20,'SR G-Poles'!$B$5:$AI$24,34,FALSE)),0)+IFERROR(IF(VLOOKUP($B20,'SR G-Goats'!$B$5:$AI$24,34,FALSE)=" ",0,VLOOKUP($B20,'SR G-Goats'!$B$5:$AI$24,34,FALSE)),0)+IFERROR(IF(VLOOKUP($B20,'SR-Team Roping-Header'!$B$5:$N$24,10,FALSE)=" ",0,VLOOKUP($B20,'SR-Team Roping-Header'!$B$5:$N$24,10,FALSE)),0)+IFERROR(IF(VLOOKUP($B20,'SR-Team Roping-Heeler'!$B$5:$N$24,10,FALSE)=" ",0,VLOOKUP($B20,'SR-Team Roping-Heeler'!$B$5:$N$24,10,FALSE)),0)</f>
        <v>0</v>
      </c>
      <c r="Y20" s="95" t="str">
        <f t="shared" si="14"/>
        <v xml:space="preserve"> </v>
      </c>
      <c r="Z20" s="91" t="str">
        <f t="shared" si="15"/>
        <v xml:space="preserve"> </v>
      </c>
      <c r="AA20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0" s="95" t="str">
        <f t="shared" si="16"/>
        <v xml:space="preserve"> </v>
      </c>
      <c r="AC20" s="91" t="str">
        <f t="shared" si="17"/>
        <v xml:space="preserve"> </v>
      </c>
    </row>
    <row r="21" spans="2:29" x14ac:dyDescent="0.25">
      <c r="B21" s="141"/>
      <c r="C21" s="120">
        <f>IFERROR(IF(VLOOKUP($B21,'SR G-Breakaway'!$B$5:$AI$24,6,FALSE)=" ",0,VLOOKUP($B21,'SR G-Breakaway'!$B$5:$AI$24,6,FALSE)),0)+IFERROR(IF(VLOOKUP($B21,'SR G-Barrels'!$B$5:$AI$24,6,FALSE)=" ",0,VLOOKUP($B21,'SR G-Barrels'!$B$5:$AI$24,6,FALSE)),0)+IFERROR(IF(VLOOKUP($B21,'SR G-Poles'!$B$5:$AI$24,6,FALSE)=" ",0,VLOOKUP($B21,'SR G-Poles'!$B$5:$AI$24,6,FALSE)),0)+IFERROR(IF(VLOOKUP($B21,'SR G-Goats'!$B$5:$AI$24,6,FALSE)=" ",0,VLOOKUP($B21,'SR G-Goats'!$B$5:$AI$24,6,FALSE)),0)+IFERROR(IF(VLOOKUP($B21,'SR-Team Roping-Header'!$B$5:$N$24,3,FALSE)=" ",0,VLOOKUP($B21,'SR-Team Roping-Header'!$B$5:$N$24,3,FALSE)),0)+IFERROR(IF(VLOOKUP($B21,'SR-Team Roping-Heeler'!$B$5:$N$24,3,FALSE)=" ",0,VLOOKUP($B21,'SR-Team Roping-Heeler'!$B$5:$N$24,3,FALSE)),0)</f>
        <v>0</v>
      </c>
      <c r="D21" s="95" t="str">
        <f t="shared" si="0"/>
        <v xml:space="preserve"> </v>
      </c>
      <c r="E21" s="91" t="str">
        <f t="shared" si="1"/>
        <v xml:space="preserve"> </v>
      </c>
      <c r="F21" s="121">
        <f>IFERROR(IF(VLOOKUP($B21,'SR G-Breakaway'!$B$5:$AI$24,10,FALSE)=" ",0,VLOOKUP($B21,'SR G-Breakaway'!$B$5:$AI$24,10,FALSE)),0)+IFERROR(IF(VLOOKUP($B21,'SR G-Barrels'!$B$5:$AI$24,10,FALSE)=" ",0,VLOOKUP($B21,'SR G-Barrels'!$B$5:$AI$24,10,FALSE)),0)+IFERROR(IF(VLOOKUP($B21,'SR G-Poles'!$B$5:$AI$24,10,FALSE)=" ",0,VLOOKUP($B21,'SR G-Poles'!$B$5:$AI$24,10,FALSE)),0)+IFERROR(IF(VLOOKUP($B21,'SR G-Goats'!$B$5:$AI$24,10,FALSE)=" ",0,VLOOKUP($B21,'SR G-Goats'!$B$5:$AI$24,10,FALSE)),0)+IFERROR(IF(VLOOKUP($B21,'SR-Team Roping-Header'!$B$5:$N$24,4,FALSE)=" ",0,VLOOKUP($B21,'SR-Team Roping-Header'!$B$5:$N$24,4,FALSE)),0)+IFERROR(IF(VLOOKUP($B21,'SR-Team Roping-Heeler'!$B$5:$N$24,4,FALSE)=" ",0,VLOOKUP($B21,'SR-Team Roping-Heeler'!$B$5:$N$24,4,FALSE)),0)</f>
        <v>0</v>
      </c>
      <c r="G21" s="95" t="str">
        <f t="shared" si="2"/>
        <v xml:space="preserve"> </v>
      </c>
      <c r="H21" s="91" t="str">
        <f t="shared" si="3"/>
        <v xml:space="preserve"> </v>
      </c>
      <c r="I21" s="121">
        <f>IFERROR(IF(VLOOKUP($B21,'SR G-Breakaway'!$B$5:$AI$24,14,FALSE)=" ",0,VLOOKUP($B21,'SR G-Breakaway'!$B$5:$AI$24,14,FALSE)),0)+IFERROR(IF(VLOOKUP($B21,'SR G-Barrels'!$B$5:$AI$24,14,FALSE)=" ",0,VLOOKUP($B21,'SR G-Barrels'!$B$5:$AI$24,14,FALSE)),0)+IFERROR(IF(VLOOKUP($B21,'SR G-Poles'!$B$5:$AI$24,14,FALSE)=" ",0,VLOOKUP($B21,'SR G-Poles'!$B$5:$AI$24,14,FALSE)),0)+IFERROR(IF(VLOOKUP($B21,'SR G-Goats'!$B$5:$AI$24,14,FALSE)=" ",0,VLOOKUP($B21,'SR G-Goats'!$B$5:$AI$24,14,FALSE)),0)+IFERROR(IF(VLOOKUP($B21,'SR-Team Roping-Header'!$B$5:$N$24,5,FALSE)=" ",0,VLOOKUP($B21,'SR-Team Roping-Header'!$B$5:$N$24,5,FALSE)),0)+IFERROR(IF(VLOOKUP($B21,'SR-Team Roping-Heeler'!$B$5:$N$24,5,FALSE)=" ",0,VLOOKUP($B21,'SR-Team Roping-Heeler'!$B$5:$N$24,5,FALSE)),0)</f>
        <v>0</v>
      </c>
      <c r="J21" s="95" t="str">
        <f t="shared" si="4"/>
        <v xml:space="preserve"> </v>
      </c>
      <c r="K21" s="91" t="str">
        <f t="shared" si="5"/>
        <v xml:space="preserve"> </v>
      </c>
      <c r="L21" s="121">
        <f>IFERROR(IF(VLOOKUP($B21,'SR G-Breakaway'!$B$5:$AI$24,18,FALSE)=" ",0,VLOOKUP($B21,'SR G-Breakaway'!$B$5:$AI$24,18,FALSE)),0)+IFERROR(IF(VLOOKUP($B21,'SR G-Barrels'!$B$5:$AI$24,18,FALSE)=" ",0,VLOOKUP($B21,'SR G-Barrels'!$B$5:$AI$24,18,FALSE)),0)+IFERROR(IF(VLOOKUP($B21,'SR G-Poles'!$B$5:$AI$24,18,FALSE)=" ",0,VLOOKUP($B21,'SR G-Poles'!$B$5:$AI$24,18,FALSE)),0)+IFERROR(IF(VLOOKUP($B21,'SR G-Goats'!$B$5:$AI$24,18,FALSE)=" ",0,VLOOKUP($B21,'SR G-Goats'!$B$5:$AI$24,18,FALSE)),0)+IFERROR(IF(VLOOKUP($B21,'SR-Team Roping-Header'!$B$5:$N$24,6,FALSE)=" ",0,VLOOKUP($B21,'SR-Team Roping-Header'!$B$5:$N$24,6,FALSE)),0)+IFERROR(IF(VLOOKUP($B21,'SR-Team Roping-Heeler'!$B$5:$N$24,6,FALSE)=" ",0,VLOOKUP($B21,'SR-Team Roping-Heeler'!$B$5:$N$24,6,FALSE)),0)</f>
        <v>0</v>
      </c>
      <c r="M21" s="95" t="str">
        <f t="shared" si="6"/>
        <v xml:space="preserve"> </v>
      </c>
      <c r="N21" s="91" t="str">
        <f t="shared" si="7"/>
        <v xml:space="preserve"> </v>
      </c>
      <c r="O21" s="121">
        <f>IFERROR(IF(VLOOKUP($B21,'SR G-Breakaway'!$B$5:$AI$24,22,FALSE)=" ",0,VLOOKUP($B21,'SR G-Breakaway'!$B$5:$AI$24,22,FALSE)),0)+IFERROR(IF(VLOOKUP($B21,'SR G-Barrels'!$B$5:$AI$24,22,FALSE)=" ",0,VLOOKUP($B21,'SR G-Barrels'!$B$5:$AI$24,22,FALSE)),0)+IFERROR(IF(VLOOKUP($B21,'SR G-Poles'!$B$5:$AI$24,22,FALSE)=" ",0,VLOOKUP($B21,'SR G-Poles'!$B$5:$AI$24,22,FALSE)),0)+IFERROR(IF(VLOOKUP($B21,'SR G-Goats'!$B$5:$AI$24,22,FALSE)=" ",0,VLOOKUP($B21,'SR G-Goats'!$B$5:$AI$24,22,FALSE)),0)+IFERROR(IF(VLOOKUP($B21,'SR-Team Roping-Header'!$B$5:$N$24,7,FALSE)=" ",0,VLOOKUP($B21,'SR-Team Roping-Header'!$B$5:$N$24,7,FALSE)),0)+IFERROR(IF(VLOOKUP($B21,'SR-Team Roping-Heeler'!$B$5:$N$24,7,FALSE)=" ",0,VLOOKUP($B21,'SR-Team Roping-Heeler'!$B$5:$N$24,7,FALSE)),0)</f>
        <v>0</v>
      </c>
      <c r="P21" s="95" t="str">
        <f t="shared" si="8"/>
        <v xml:space="preserve"> </v>
      </c>
      <c r="Q21" s="91" t="str">
        <f t="shared" si="9"/>
        <v xml:space="preserve"> </v>
      </c>
      <c r="R21" s="121">
        <f>IFERROR(IF(VLOOKUP($B21,'SR G-Breakaway'!$B$5:$AI$24,26,FALSE)=" ",0,VLOOKUP($B21,'SR G-Breakaway'!$B$5:$AI$24,26,FALSE)),0)+IFERROR(IF(VLOOKUP($B21,'SR G-Barrels'!$B$5:$AI$24,26,FALSE)=" ",0,VLOOKUP($B21,'SR G-Barrels'!$B$5:$AI$24,26,FALSE)),0)+IFERROR(IF(VLOOKUP($B21,'SR G-Poles'!$B$5:$AI$24,26,FALSE)=" ",0,VLOOKUP($B21,'SR G-Poles'!$B$5:$AI$24,26,FALSE)),0)+IFERROR(IF(VLOOKUP($B21,'SR G-Goats'!$B$5:$AI$24,26,FALSE)=" ",0,VLOOKUP($B21,'SR G-Goats'!$B$5:$AI$24,26,FALSE)),0)+IFERROR(IF(VLOOKUP($B21,'SR-Team Roping-Header'!$B$5:$N$24,8,FALSE)=" ",0,VLOOKUP($B21,'SR-Team Roping-Header'!$B$5:$N$24,8,FALSE)),0)+IFERROR(IF(VLOOKUP($B21,'SR-Team Roping-Heeler'!$B$5:$N$24,8,FALSE)=" ",0,VLOOKUP($B21,'SR-Team Roping-Heeler'!$B$5:$N$24,8,FALSE)),0)</f>
        <v>0</v>
      </c>
      <c r="S21" s="95" t="str">
        <f t="shared" si="10"/>
        <v xml:space="preserve"> </v>
      </c>
      <c r="T21" s="91" t="str">
        <f t="shared" si="11"/>
        <v xml:space="preserve"> </v>
      </c>
      <c r="U21" s="121">
        <f>IFERROR(IF(VLOOKUP($B21,'SR G-Breakaway'!$B$5:$AI$24,30,FALSE)=" ",0,VLOOKUP($B21,'SR G-Breakaway'!$B$5:$AI$24,30,FALSE)),0)+IFERROR(IF(VLOOKUP($B21,'SR G-Barrels'!$B$5:$AI$24,30,FALSE)=" ",0,VLOOKUP($B21,'SR G-Barrels'!$B$5:$AI$24,30,FALSE)),0)+IFERROR(IF(VLOOKUP($B21,'SR G-Poles'!$B$5:$AI$24,30,FALSE)=" ",0,VLOOKUP($B21,'SR G-Poles'!$B$5:$AI$24,30,FALSE)),0)+IFERROR(IF(VLOOKUP($B21,'SR G-Goats'!$B$5:$AI$24,30,FALSE)=" ",0,VLOOKUP($B21,'SR G-Goats'!$B$5:$AI$24,30,FALSE)),0)+IFERROR(IF(VLOOKUP($B21,'SR-Team Roping-Header'!$B$5:$N$24,9,FALSE)=" ",0,VLOOKUP($B21,'SR-Team Roping-Header'!$B$5:$N$24,9,FALSE)),0)+IFERROR(IF(VLOOKUP($B21,'SR-Team Roping-Heeler'!$B$5:$N$24,9,FALSE)=" ",0,VLOOKUP($B21,'SR-Team Roping-Heeler'!$B$5:$N$24,9,FALSE)),0)</f>
        <v>0</v>
      </c>
      <c r="V21" s="95" t="str">
        <f t="shared" si="12"/>
        <v xml:space="preserve"> </v>
      </c>
      <c r="W21" s="91" t="str">
        <f t="shared" si="13"/>
        <v xml:space="preserve"> </v>
      </c>
      <c r="X21" s="121">
        <f>IFERROR(IF(VLOOKUP($B21,'SR G-Breakaway'!$B$5:$AI$24,34,FALSE)=" ",0,VLOOKUP($B21,'SR G-Breakaway'!$B$5:$AI$24,34,FALSE)),0)+IFERROR(IF(VLOOKUP($B21,'SR G-Barrels'!$B$5:$AI$24,34,FALSE)=" ",0,VLOOKUP($B21,'SR G-Barrels'!$B$5:$AI$24,34,FALSE)),0)+IFERROR(IF(VLOOKUP($B21,'SR G-Poles'!$B$5:$AI$24,34,FALSE)=" ",0,VLOOKUP($B21,'SR G-Poles'!$B$5:$AI$24,34,FALSE)),0)+IFERROR(IF(VLOOKUP($B21,'SR G-Goats'!$B$5:$AI$24,34,FALSE)=" ",0,VLOOKUP($B21,'SR G-Goats'!$B$5:$AI$24,34,FALSE)),0)+IFERROR(IF(VLOOKUP($B21,'SR-Team Roping-Header'!$B$5:$N$24,10,FALSE)=" ",0,VLOOKUP($B21,'SR-Team Roping-Header'!$B$5:$N$24,10,FALSE)),0)+IFERROR(IF(VLOOKUP($B21,'SR-Team Roping-Heeler'!$B$5:$N$24,10,FALSE)=" ",0,VLOOKUP($B21,'SR-Team Roping-Heeler'!$B$5:$N$24,10,FALSE)),0)</f>
        <v>0</v>
      </c>
      <c r="Y21" s="95" t="str">
        <f t="shared" si="14"/>
        <v xml:space="preserve"> </v>
      </c>
      <c r="Z21" s="91" t="str">
        <f t="shared" si="15"/>
        <v xml:space="preserve"> </v>
      </c>
      <c r="AA21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1" s="95" t="str">
        <f t="shared" si="16"/>
        <v xml:space="preserve"> </v>
      </c>
      <c r="AC21" s="91" t="str">
        <f t="shared" si="17"/>
        <v xml:space="preserve"> </v>
      </c>
    </row>
    <row r="22" spans="2:29" x14ac:dyDescent="0.25">
      <c r="B22" s="141"/>
      <c r="C22" s="120">
        <f>IFERROR(IF(VLOOKUP($B22,'SR G-Breakaway'!$B$5:$AI$24,6,FALSE)=" ",0,VLOOKUP($B22,'SR G-Breakaway'!$B$5:$AI$24,6,FALSE)),0)+IFERROR(IF(VLOOKUP($B22,'SR G-Barrels'!$B$5:$AI$24,6,FALSE)=" ",0,VLOOKUP($B22,'SR G-Barrels'!$B$5:$AI$24,6,FALSE)),0)+IFERROR(IF(VLOOKUP($B22,'SR G-Poles'!$B$5:$AI$24,6,FALSE)=" ",0,VLOOKUP($B22,'SR G-Poles'!$B$5:$AI$24,6,FALSE)),0)+IFERROR(IF(VLOOKUP($B22,'SR G-Goats'!$B$5:$AI$24,6,FALSE)=" ",0,VLOOKUP($B22,'SR G-Goats'!$B$5:$AI$24,6,FALSE)),0)+IFERROR(IF(VLOOKUP($B22,'SR-Team Roping-Header'!$B$5:$N$24,3,FALSE)=" ",0,VLOOKUP($B22,'SR-Team Roping-Header'!$B$5:$N$24,3,FALSE)),0)+IFERROR(IF(VLOOKUP($B22,'SR-Team Roping-Heeler'!$B$5:$N$24,3,FALSE)=" ",0,VLOOKUP($B22,'SR-Team Roping-Heeler'!$B$5:$N$24,3,FALSE)),0)</f>
        <v>0</v>
      </c>
      <c r="D22" s="95" t="str">
        <f t="shared" si="0"/>
        <v xml:space="preserve"> </v>
      </c>
      <c r="E22" s="91" t="str">
        <f t="shared" si="1"/>
        <v xml:space="preserve"> </v>
      </c>
      <c r="F22" s="121">
        <f>IFERROR(IF(VLOOKUP($B22,'SR G-Breakaway'!$B$5:$AI$24,10,FALSE)=" ",0,VLOOKUP($B22,'SR G-Breakaway'!$B$5:$AI$24,10,FALSE)),0)+IFERROR(IF(VLOOKUP($B22,'SR G-Barrels'!$B$5:$AI$24,10,FALSE)=" ",0,VLOOKUP($B22,'SR G-Barrels'!$B$5:$AI$24,10,FALSE)),0)+IFERROR(IF(VLOOKUP($B22,'SR G-Poles'!$B$5:$AI$24,10,FALSE)=" ",0,VLOOKUP($B22,'SR G-Poles'!$B$5:$AI$24,10,FALSE)),0)+IFERROR(IF(VLOOKUP($B22,'SR G-Goats'!$B$5:$AI$24,10,FALSE)=" ",0,VLOOKUP($B22,'SR G-Goats'!$B$5:$AI$24,10,FALSE)),0)+IFERROR(IF(VLOOKUP($B22,'SR-Team Roping-Header'!$B$5:$N$24,4,FALSE)=" ",0,VLOOKUP($B22,'SR-Team Roping-Header'!$B$5:$N$24,4,FALSE)),0)+IFERROR(IF(VLOOKUP($B22,'SR-Team Roping-Heeler'!$B$5:$N$24,4,FALSE)=" ",0,VLOOKUP($B22,'SR-Team Roping-Heeler'!$B$5:$N$24,4,FALSE)),0)</f>
        <v>0</v>
      </c>
      <c r="G22" s="95" t="str">
        <f t="shared" si="2"/>
        <v xml:space="preserve"> </v>
      </c>
      <c r="H22" s="91" t="str">
        <f t="shared" si="3"/>
        <v xml:space="preserve"> </v>
      </c>
      <c r="I22" s="121">
        <f>IFERROR(IF(VLOOKUP($B22,'SR G-Breakaway'!$B$5:$AI$24,14,FALSE)=" ",0,VLOOKUP($B22,'SR G-Breakaway'!$B$5:$AI$24,14,FALSE)),0)+IFERROR(IF(VLOOKUP($B22,'SR G-Barrels'!$B$5:$AI$24,14,FALSE)=" ",0,VLOOKUP($B22,'SR G-Barrels'!$B$5:$AI$24,14,FALSE)),0)+IFERROR(IF(VLOOKUP($B22,'SR G-Poles'!$B$5:$AI$24,14,FALSE)=" ",0,VLOOKUP($B22,'SR G-Poles'!$B$5:$AI$24,14,FALSE)),0)+IFERROR(IF(VLOOKUP($B22,'SR G-Goats'!$B$5:$AI$24,14,FALSE)=" ",0,VLOOKUP($B22,'SR G-Goats'!$B$5:$AI$24,14,FALSE)),0)+IFERROR(IF(VLOOKUP($B22,'SR-Team Roping-Header'!$B$5:$N$24,5,FALSE)=" ",0,VLOOKUP($B22,'SR-Team Roping-Header'!$B$5:$N$24,5,FALSE)),0)+IFERROR(IF(VLOOKUP($B22,'SR-Team Roping-Heeler'!$B$5:$N$24,5,FALSE)=" ",0,VLOOKUP($B22,'SR-Team Roping-Heeler'!$B$5:$N$24,5,FALSE)),0)</f>
        <v>0</v>
      </c>
      <c r="J22" s="95" t="str">
        <f t="shared" si="4"/>
        <v xml:space="preserve"> </v>
      </c>
      <c r="K22" s="91" t="str">
        <f t="shared" si="5"/>
        <v xml:space="preserve"> </v>
      </c>
      <c r="L22" s="121">
        <f>IFERROR(IF(VLOOKUP($B22,'SR G-Breakaway'!$B$5:$AI$24,18,FALSE)=" ",0,VLOOKUP($B22,'SR G-Breakaway'!$B$5:$AI$24,18,FALSE)),0)+IFERROR(IF(VLOOKUP($B22,'SR G-Barrels'!$B$5:$AI$24,18,FALSE)=" ",0,VLOOKUP($B22,'SR G-Barrels'!$B$5:$AI$24,18,FALSE)),0)+IFERROR(IF(VLOOKUP($B22,'SR G-Poles'!$B$5:$AI$24,18,FALSE)=" ",0,VLOOKUP($B22,'SR G-Poles'!$B$5:$AI$24,18,FALSE)),0)+IFERROR(IF(VLOOKUP($B22,'SR G-Goats'!$B$5:$AI$24,18,FALSE)=" ",0,VLOOKUP($B22,'SR G-Goats'!$B$5:$AI$24,18,FALSE)),0)+IFERROR(IF(VLOOKUP($B22,'SR-Team Roping-Header'!$B$5:$N$24,6,FALSE)=" ",0,VLOOKUP($B22,'SR-Team Roping-Header'!$B$5:$N$24,6,FALSE)),0)+IFERROR(IF(VLOOKUP($B22,'SR-Team Roping-Heeler'!$B$5:$N$24,6,FALSE)=" ",0,VLOOKUP($B22,'SR-Team Roping-Heeler'!$B$5:$N$24,6,FALSE)),0)</f>
        <v>0</v>
      </c>
      <c r="M22" s="95" t="str">
        <f t="shared" si="6"/>
        <v xml:space="preserve"> </v>
      </c>
      <c r="N22" s="91" t="str">
        <f t="shared" si="7"/>
        <v xml:space="preserve"> </v>
      </c>
      <c r="O22" s="121">
        <f>IFERROR(IF(VLOOKUP($B22,'SR G-Breakaway'!$B$5:$AI$24,22,FALSE)=" ",0,VLOOKUP($B22,'SR G-Breakaway'!$B$5:$AI$24,22,FALSE)),0)+IFERROR(IF(VLOOKUP($B22,'SR G-Barrels'!$B$5:$AI$24,22,FALSE)=" ",0,VLOOKUP($B22,'SR G-Barrels'!$B$5:$AI$24,22,FALSE)),0)+IFERROR(IF(VLOOKUP($B22,'SR G-Poles'!$B$5:$AI$24,22,FALSE)=" ",0,VLOOKUP($B22,'SR G-Poles'!$B$5:$AI$24,22,FALSE)),0)+IFERROR(IF(VLOOKUP($B22,'SR G-Goats'!$B$5:$AI$24,22,FALSE)=" ",0,VLOOKUP($B22,'SR G-Goats'!$B$5:$AI$24,22,FALSE)),0)+IFERROR(IF(VLOOKUP($B22,'SR-Team Roping-Header'!$B$5:$N$24,7,FALSE)=" ",0,VLOOKUP($B22,'SR-Team Roping-Header'!$B$5:$N$24,7,FALSE)),0)+IFERROR(IF(VLOOKUP($B22,'SR-Team Roping-Heeler'!$B$5:$N$24,7,FALSE)=" ",0,VLOOKUP($B22,'SR-Team Roping-Heeler'!$B$5:$N$24,7,FALSE)),0)</f>
        <v>0</v>
      </c>
      <c r="P22" s="95" t="str">
        <f t="shared" si="8"/>
        <v xml:space="preserve"> </v>
      </c>
      <c r="Q22" s="91" t="str">
        <f t="shared" si="9"/>
        <v xml:space="preserve"> </v>
      </c>
      <c r="R22" s="121">
        <f>IFERROR(IF(VLOOKUP($B22,'SR G-Breakaway'!$B$5:$AI$24,26,FALSE)=" ",0,VLOOKUP($B22,'SR G-Breakaway'!$B$5:$AI$24,26,FALSE)),0)+IFERROR(IF(VLOOKUP($B22,'SR G-Barrels'!$B$5:$AI$24,26,FALSE)=" ",0,VLOOKUP($B22,'SR G-Barrels'!$B$5:$AI$24,26,FALSE)),0)+IFERROR(IF(VLOOKUP($B22,'SR G-Poles'!$B$5:$AI$24,26,FALSE)=" ",0,VLOOKUP($B22,'SR G-Poles'!$B$5:$AI$24,26,FALSE)),0)+IFERROR(IF(VLOOKUP($B22,'SR G-Goats'!$B$5:$AI$24,26,FALSE)=" ",0,VLOOKUP($B22,'SR G-Goats'!$B$5:$AI$24,26,FALSE)),0)+IFERROR(IF(VLOOKUP($B22,'SR-Team Roping-Header'!$B$5:$N$24,8,FALSE)=" ",0,VLOOKUP($B22,'SR-Team Roping-Header'!$B$5:$N$24,8,FALSE)),0)+IFERROR(IF(VLOOKUP($B22,'SR-Team Roping-Heeler'!$B$5:$N$24,8,FALSE)=" ",0,VLOOKUP($B22,'SR-Team Roping-Heeler'!$B$5:$N$24,8,FALSE)),0)</f>
        <v>0</v>
      </c>
      <c r="S22" s="95" t="str">
        <f t="shared" si="10"/>
        <v xml:space="preserve"> </v>
      </c>
      <c r="T22" s="91" t="str">
        <f t="shared" si="11"/>
        <v xml:space="preserve"> </v>
      </c>
      <c r="U22" s="121">
        <f>IFERROR(IF(VLOOKUP($B22,'SR G-Breakaway'!$B$5:$AI$24,30,FALSE)=" ",0,VLOOKUP($B22,'SR G-Breakaway'!$B$5:$AI$24,30,FALSE)),0)+IFERROR(IF(VLOOKUP($B22,'SR G-Barrels'!$B$5:$AI$24,30,FALSE)=" ",0,VLOOKUP($B22,'SR G-Barrels'!$B$5:$AI$24,30,FALSE)),0)+IFERROR(IF(VLOOKUP($B22,'SR G-Poles'!$B$5:$AI$24,30,FALSE)=" ",0,VLOOKUP($B22,'SR G-Poles'!$B$5:$AI$24,30,FALSE)),0)+IFERROR(IF(VLOOKUP($B22,'SR G-Goats'!$B$5:$AI$24,30,FALSE)=" ",0,VLOOKUP($B22,'SR G-Goats'!$B$5:$AI$24,30,FALSE)),0)+IFERROR(IF(VLOOKUP($B22,'SR-Team Roping-Header'!$B$5:$N$24,9,FALSE)=" ",0,VLOOKUP($B22,'SR-Team Roping-Header'!$B$5:$N$24,9,FALSE)),0)+IFERROR(IF(VLOOKUP($B22,'SR-Team Roping-Heeler'!$B$5:$N$24,9,FALSE)=" ",0,VLOOKUP($B22,'SR-Team Roping-Heeler'!$B$5:$N$24,9,FALSE)),0)</f>
        <v>0</v>
      </c>
      <c r="V22" s="95" t="str">
        <f t="shared" si="12"/>
        <v xml:space="preserve"> </v>
      </c>
      <c r="W22" s="91" t="str">
        <f t="shared" si="13"/>
        <v xml:space="preserve"> </v>
      </c>
      <c r="X22" s="121">
        <f>IFERROR(IF(VLOOKUP($B22,'SR G-Breakaway'!$B$5:$AI$24,34,FALSE)=" ",0,VLOOKUP($B22,'SR G-Breakaway'!$B$5:$AI$24,34,FALSE)),0)+IFERROR(IF(VLOOKUP($B22,'SR G-Barrels'!$B$5:$AI$24,34,FALSE)=" ",0,VLOOKUP($B22,'SR G-Barrels'!$B$5:$AI$24,34,FALSE)),0)+IFERROR(IF(VLOOKUP($B22,'SR G-Poles'!$B$5:$AI$24,34,FALSE)=" ",0,VLOOKUP($B22,'SR G-Poles'!$B$5:$AI$24,34,FALSE)),0)+IFERROR(IF(VLOOKUP($B22,'SR G-Goats'!$B$5:$AI$24,34,FALSE)=" ",0,VLOOKUP($B22,'SR G-Goats'!$B$5:$AI$24,34,FALSE)),0)+IFERROR(IF(VLOOKUP($B22,'SR-Team Roping-Header'!$B$5:$N$24,10,FALSE)=" ",0,VLOOKUP($B22,'SR-Team Roping-Header'!$B$5:$N$24,10,FALSE)),0)+IFERROR(IF(VLOOKUP($B22,'SR-Team Roping-Heeler'!$B$5:$N$24,10,FALSE)=" ",0,VLOOKUP($B22,'SR-Team Roping-Heeler'!$B$5:$N$24,10,FALSE)),0)</f>
        <v>0</v>
      </c>
      <c r="Y22" s="95" t="str">
        <f t="shared" si="14"/>
        <v xml:space="preserve"> </v>
      </c>
      <c r="Z22" s="91" t="str">
        <f t="shared" si="15"/>
        <v xml:space="preserve"> </v>
      </c>
      <c r="AA22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2" s="95" t="str">
        <f t="shared" si="16"/>
        <v xml:space="preserve"> </v>
      </c>
      <c r="AC22" s="91" t="str">
        <f t="shared" si="17"/>
        <v xml:space="preserve"> </v>
      </c>
    </row>
    <row r="23" spans="2:29" x14ac:dyDescent="0.25">
      <c r="B23" s="141"/>
      <c r="C23" s="120">
        <f>IFERROR(IF(VLOOKUP($B23,'SR G-Breakaway'!$B$5:$AI$24,6,FALSE)=" ",0,VLOOKUP($B23,'SR G-Breakaway'!$B$5:$AI$24,6,FALSE)),0)+IFERROR(IF(VLOOKUP($B23,'SR G-Barrels'!$B$5:$AI$24,6,FALSE)=" ",0,VLOOKUP($B23,'SR G-Barrels'!$B$5:$AI$24,6,FALSE)),0)+IFERROR(IF(VLOOKUP($B23,'SR G-Poles'!$B$5:$AI$24,6,FALSE)=" ",0,VLOOKUP($B23,'SR G-Poles'!$B$5:$AI$24,6,FALSE)),0)+IFERROR(IF(VLOOKUP($B23,'SR G-Goats'!$B$5:$AI$24,6,FALSE)=" ",0,VLOOKUP($B23,'SR G-Goats'!$B$5:$AI$24,6,FALSE)),0)+IFERROR(IF(VLOOKUP($B23,'SR-Team Roping-Header'!$B$5:$N$24,3,FALSE)=" ",0,VLOOKUP($B23,'SR-Team Roping-Header'!$B$5:$N$24,3,FALSE)),0)+IFERROR(IF(VLOOKUP($B23,'SR-Team Roping-Heeler'!$B$5:$N$24,3,FALSE)=" ",0,VLOOKUP($B23,'SR-Team Roping-Heeler'!$B$5:$N$24,3,FALSE)),0)</f>
        <v>0</v>
      </c>
      <c r="D23" s="95" t="str">
        <f t="shared" si="0"/>
        <v xml:space="preserve"> </v>
      </c>
      <c r="E23" s="91" t="str">
        <f t="shared" si="1"/>
        <v xml:space="preserve"> </v>
      </c>
      <c r="F23" s="121">
        <f>IFERROR(IF(VLOOKUP($B23,'SR G-Breakaway'!$B$5:$AI$24,10,FALSE)=" ",0,VLOOKUP($B23,'SR G-Breakaway'!$B$5:$AI$24,10,FALSE)),0)+IFERROR(IF(VLOOKUP($B23,'SR G-Barrels'!$B$5:$AI$24,10,FALSE)=" ",0,VLOOKUP($B23,'SR G-Barrels'!$B$5:$AI$24,10,FALSE)),0)+IFERROR(IF(VLOOKUP($B23,'SR G-Poles'!$B$5:$AI$24,10,FALSE)=" ",0,VLOOKUP($B23,'SR G-Poles'!$B$5:$AI$24,10,FALSE)),0)+IFERROR(IF(VLOOKUP($B23,'SR G-Goats'!$B$5:$AI$24,10,FALSE)=" ",0,VLOOKUP($B23,'SR G-Goats'!$B$5:$AI$24,10,FALSE)),0)+IFERROR(IF(VLOOKUP($B23,'SR-Team Roping-Header'!$B$5:$N$24,4,FALSE)=" ",0,VLOOKUP($B23,'SR-Team Roping-Header'!$B$5:$N$24,4,FALSE)),0)+IFERROR(IF(VLOOKUP($B23,'SR-Team Roping-Heeler'!$B$5:$N$24,4,FALSE)=" ",0,VLOOKUP($B23,'SR-Team Roping-Heeler'!$B$5:$N$24,4,FALSE)),0)</f>
        <v>0</v>
      </c>
      <c r="G23" s="95" t="str">
        <f t="shared" si="2"/>
        <v xml:space="preserve"> </v>
      </c>
      <c r="H23" s="91" t="str">
        <f t="shared" si="3"/>
        <v xml:space="preserve"> </v>
      </c>
      <c r="I23" s="121">
        <f>IFERROR(IF(VLOOKUP($B23,'SR G-Breakaway'!$B$5:$AI$24,14,FALSE)=" ",0,VLOOKUP($B23,'SR G-Breakaway'!$B$5:$AI$24,14,FALSE)),0)+IFERROR(IF(VLOOKUP($B23,'SR G-Barrels'!$B$5:$AI$24,14,FALSE)=" ",0,VLOOKUP($B23,'SR G-Barrels'!$B$5:$AI$24,14,FALSE)),0)+IFERROR(IF(VLOOKUP($B23,'SR G-Poles'!$B$5:$AI$24,14,FALSE)=" ",0,VLOOKUP($B23,'SR G-Poles'!$B$5:$AI$24,14,FALSE)),0)+IFERROR(IF(VLOOKUP($B23,'SR G-Goats'!$B$5:$AI$24,14,FALSE)=" ",0,VLOOKUP($B23,'SR G-Goats'!$B$5:$AI$24,14,FALSE)),0)+IFERROR(IF(VLOOKUP($B23,'SR-Team Roping-Header'!$B$5:$N$24,5,FALSE)=" ",0,VLOOKUP($B23,'SR-Team Roping-Header'!$B$5:$N$24,5,FALSE)),0)+IFERROR(IF(VLOOKUP($B23,'SR-Team Roping-Heeler'!$B$5:$N$24,5,FALSE)=" ",0,VLOOKUP($B23,'SR-Team Roping-Heeler'!$B$5:$N$24,5,FALSE)),0)</f>
        <v>0</v>
      </c>
      <c r="J23" s="95" t="str">
        <f t="shared" si="4"/>
        <v xml:space="preserve"> </v>
      </c>
      <c r="K23" s="91" t="str">
        <f t="shared" si="5"/>
        <v xml:space="preserve"> </v>
      </c>
      <c r="L23" s="121">
        <f>IFERROR(IF(VLOOKUP($B23,'SR G-Breakaway'!$B$5:$AI$24,18,FALSE)=" ",0,VLOOKUP($B23,'SR G-Breakaway'!$B$5:$AI$24,18,FALSE)),0)+IFERROR(IF(VLOOKUP($B23,'SR G-Barrels'!$B$5:$AI$24,18,FALSE)=" ",0,VLOOKUP($B23,'SR G-Barrels'!$B$5:$AI$24,18,FALSE)),0)+IFERROR(IF(VLOOKUP($B23,'SR G-Poles'!$B$5:$AI$24,18,FALSE)=" ",0,VLOOKUP($B23,'SR G-Poles'!$B$5:$AI$24,18,FALSE)),0)+IFERROR(IF(VLOOKUP($B23,'SR G-Goats'!$B$5:$AI$24,18,FALSE)=" ",0,VLOOKUP($B23,'SR G-Goats'!$B$5:$AI$24,18,FALSE)),0)+IFERROR(IF(VLOOKUP($B23,'SR-Team Roping-Header'!$B$5:$N$24,6,FALSE)=" ",0,VLOOKUP($B23,'SR-Team Roping-Header'!$B$5:$N$24,6,FALSE)),0)+IFERROR(IF(VLOOKUP($B23,'SR-Team Roping-Heeler'!$B$5:$N$24,6,FALSE)=" ",0,VLOOKUP($B23,'SR-Team Roping-Heeler'!$B$5:$N$24,6,FALSE)),0)</f>
        <v>0</v>
      </c>
      <c r="M23" s="95" t="str">
        <f t="shared" si="6"/>
        <v xml:space="preserve"> </v>
      </c>
      <c r="N23" s="91" t="str">
        <f t="shared" si="7"/>
        <v xml:space="preserve"> </v>
      </c>
      <c r="O23" s="121">
        <f>IFERROR(IF(VLOOKUP($B23,'SR G-Breakaway'!$B$5:$AI$24,22,FALSE)=" ",0,VLOOKUP($B23,'SR G-Breakaway'!$B$5:$AI$24,22,FALSE)),0)+IFERROR(IF(VLOOKUP($B23,'SR G-Barrels'!$B$5:$AI$24,22,FALSE)=" ",0,VLOOKUP($B23,'SR G-Barrels'!$B$5:$AI$24,22,FALSE)),0)+IFERROR(IF(VLOOKUP($B23,'SR G-Poles'!$B$5:$AI$24,22,FALSE)=" ",0,VLOOKUP($B23,'SR G-Poles'!$B$5:$AI$24,22,FALSE)),0)+IFERROR(IF(VLOOKUP($B23,'SR G-Goats'!$B$5:$AI$24,22,FALSE)=" ",0,VLOOKUP($B23,'SR G-Goats'!$B$5:$AI$24,22,FALSE)),0)+IFERROR(IF(VLOOKUP($B23,'SR-Team Roping-Header'!$B$5:$N$24,7,FALSE)=" ",0,VLOOKUP($B23,'SR-Team Roping-Header'!$B$5:$N$24,7,FALSE)),0)+IFERROR(IF(VLOOKUP($B23,'SR-Team Roping-Heeler'!$B$5:$N$24,7,FALSE)=" ",0,VLOOKUP($B23,'SR-Team Roping-Heeler'!$B$5:$N$24,7,FALSE)),0)</f>
        <v>0</v>
      </c>
      <c r="P23" s="95" t="str">
        <f t="shared" si="8"/>
        <v xml:space="preserve"> </v>
      </c>
      <c r="Q23" s="91" t="str">
        <f t="shared" si="9"/>
        <v xml:space="preserve"> </v>
      </c>
      <c r="R23" s="121">
        <f>IFERROR(IF(VLOOKUP($B23,'SR G-Breakaway'!$B$5:$AI$24,26,FALSE)=" ",0,VLOOKUP($B23,'SR G-Breakaway'!$B$5:$AI$24,26,FALSE)),0)+IFERROR(IF(VLOOKUP($B23,'SR G-Barrels'!$B$5:$AI$24,26,FALSE)=" ",0,VLOOKUP($B23,'SR G-Barrels'!$B$5:$AI$24,26,FALSE)),0)+IFERROR(IF(VLOOKUP($B23,'SR G-Poles'!$B$5:$AI$24,26,FALSE)=" ",0,VLOOKUP($B23,'SR G-Poles'!$B$5:$AI$24,26,FALSE)),0)+IFERROR(IF(VLOOKUP($B23,'SR G-Goats'!$B$5:$AI$24,26,FALSE)=" ",0,VLOOKUP($B23,'SR G-Goats'!$B$5:$AI$24,26,FALSE)),0)+IFERROR(IF(VLOOKUP($B23,'SR-Team Roping-Header'!$B$5:$N$24,8,FALSE)=" ",0,VLOOKUP($B23,'SR-Team Roping-Header'!$B$5:$N$24,8,FALSE)),0)+IFERROR(IF(VLOOKUP($B23,'SR-Team Roping-Heeler'!$B$5:$N$24,8,FALSE)=" ",0,VLOOKUP($B23,'SR-Team Roping-Heeler'!$B$5:$N$24,8,FALSE)),0)</f>
        <v>0</v>
      </c>
      <c r="S23" s="95" t="str">
        <f t="shared" si="10"/>
        <v xml:space="preserve"> </v>
      </c>
      <c r="T23" s="91" t="str">
        <f t="shared" si="11"/>
        <v xml:space="preserve"> </v>
      </c>
      <c r="U23" s="121">
        <f>IFERROR(IF(VLOOKUP($B23,'SR G-Breakaway'!$B$5:$AI$24,30,FALSE)=" ",0,VLOOKUP($B23,'SR G-Breakaway'!$B$5:$AI$24,30,FALSE)),0)+IFERROR(IF(VLOOKUP($B23,'SR G-Barrels'!$B$5:$AI$24,30,FALSE)=" ",0,VLOOKUP($B23,'SR G-Barrels'!$B$5:$AI$24,30,FALSE)),0)+IFERROR(IF(VLOOKUP($B23,'SR G-Poles'!$B$5:$AI$24,30,FALSE)=" ",0,VLOOKUP($B23,'SR G-Poles'!$B$5:$AI$24,30,FALSE)),0)+IFERROR(IF(VLOOKUP($B23,'SR G-Goats'!$B$5:$AI$24,30,FALSE)=" ",0,VLOOKUP($B23,'SR G-Goats'!$B$5:$AI$24,30,FALSE)),0)+IFERROR(IF(VLOOKUP($B23,'SR-Team Roping-Header'!$B$5:$N$24,9,FALSE)=" ",0,VLOOKUP($B23,'SR-Team Roping-Header'!$B$5:$N$24,9,FALSE)),0)+IFERROR(IF(VLOOKUP($B23,'SR-Team Roping-Heeler'!$B$5:$N$24,9,FALSE)=" ",0,VLOOKUP($B23,'SR-Team Roping-Heeler'!$B$5:$N$24,9,FALSE)),0)</f>
        <v>0</v>
      </c>
      <c r="V23" s="95" t="str">
        <f t="shared" si="12"/>
        <v xml:space="preserve"> </v>
      </c>
      <c r="W23" s="91" t="str">
        <f t="shared" si="13"/>
        <v xml:space="preserve"> </v>
      </c>
      <c r="X23" s="121">
        <f>IFERROR(IF(VLOOKUP($B23,'SR G-Breakaway'!$B$5:$AI$24,34,FALSE)=" ",0,VLOOKUP($B23,'SR G-Breakaway'!$B$5:$AI$24,34,FALSE)),0)+IFERROR(IF(VLOOKUP($B23,'SR G-Barrels'!$B$5:$AI$24,34,FALSE)=" ",0,VLOOKUP($B23,'SR G-Barrels'!$B$5:$AI$24,34,FALSE)),0)+IFERROR(IF(VLOOKUP($B23,'SR G-Poles'!$B$5:$AI$24,34,FALSE)=" ",0,VLOOKUP($B23,'SR G-Poles'!$B$5:$AI$24,34,FALSE)),0)+IFERROR(IF(VLOOKUP($B23,'SR G-Goats'!$B$5:$AI$24,34,FALSE)=" ",0,VLOOKUP($B23,'SR G-Goats'!$B$5:$AI$24,34,FALSE)),0)+IFERROR(IF(VLOOKUP($B23,'SR-Team Roping-Header'!$B$5:$N$24,10,FALSE)=" ",0,VLOOKUP($B23,'SR-Team Roping-Header'!$B$5:$N$24,10,FALSE)),0)+IFERROR(IF(VLOOKUP($B23,'SR-Team Roping-Heeler'!$B$5:$N$24,10,FALSE)=" ",0,VLOOKUP($B23,'SR-Team Roping-Heeler'!$B$5:$N$24,10,FALSE)),0)</f>
        <v>0</v>
      </c>
      <c r="Y23" s="95" t="str">
        <f t="shared" si="14"/>
        <v xml:space="preserve"> </v>
      </c>
      <c r="Z23" s="91" t="str">
        <f t="shared" si="15"/>
        <v xml:space="preserve"> </v>
      </c>
      <c r="AA23" s="121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3" s="95" t="str">
        <f t="shared" si="16"/>
        <v xml:space="preserve"> </v>
      </c>
      <c r="AC23" s="91" t="str">
        <f t="shared" si="17"/>
        <v xml:space="preserve"> </v>
      </c>
    </row>
    <row r="24" spans="2:29" ht="14.4" thickBot="1" x14ac:dyDescent="0.3">
      <c r="B24" s="143"/>
      <c r="C24" s="123">
        <f>IFERROR(IF(VLOOKUP($B24,'SR G-Breakaway'!$B$5:$AI$24,6,FALSE)=" ",0,VLOOKUP($B24,'SR G-Breakaway'!$B$5:$AI$24,6,FALSE)),0)+IFERROR(IF(VLOOKUP($B24,'SR G-Barrels'!$B$5:$AI$24,6,FALSE)=" ",0,VLOOKUP($B24,'SR G-Barrels'!$B$5:$AI$24,6,FALSE)),0)+IFERROR(IF(VLOOKUP($B24,'SR G-Poles'!$B$5:$AI$24,6,FALSE)=" ",0,VLOOKUP($B24,'SR G-Poles'!$B$5:$AI$24,6,FALSE)),0)+IFERROR(IF(VLOOKUP($B24,'SR G-Goats'!$B$5:$AI$24,6,FALSE)=" ",0,VLOOKUP($B24,'SR G-Goats'!$B$5:$AI$24,6,FALSE)),0)+IFERROR(IF(VLOOKUP($B24,'SR-Team Roping-Header'!$B$5:$N$24,3,FALSE)=" ",0,VLOOKUP($B24,'SR-Team Roping-Header'!$B$5:$N$24,3,FALSE)),0)+IFERROR(IF(VLOOKUP($B24,'SR-Team Roping-Heeler'!$B$5:$N$24,3,FALSE)=" ",0,VLOOKUP($B24,'SR-Team Roping-Heeler'!$B$5:$N$24,3,FALSE)),0)</f>
        <v>0</v>
      </c>
      <c r="D24" s="105" t="str">
        <f t="shared" si="0"/>
        <v xml:space="preserve"> </v>
      </c>
      <c r="E24" s="101" t="str">
        <f t="shared" si="1"/>
        <v xml:space="preserve"> </v>
      </c>
      <c r="F24" s="124">
        <f>IFERROR(IF(VLOOKUP($B24,'SR G-Breakaway'!$B$5:$AI$24,10,FALSE)=" ",0,VLOOKUP($B24,'SR G-Breakaway'!$B$5:$AI$24,10,FALSE)),0)+IFERROR(IF(VLOOKUP($B24,'SR G-Barrels'!$B$5:$AI$24,10,FALSE)=" ",0,VLOOKUP($B24,'SR G-Barrels'!$B$5:$AI$24,10,FALSE)),0)+IFERROR(IF(VLOOKUP($B24,'SR G-Poles'!$B$5:$AI$24,10,FALSE)=" ",0,VLOOKUP($B24,'SR G-Poles'!$B$5:$AI$24,10,FALSE)),0)+IFERROR(IF(VLOOKUP($B24,'SR G-Goats'!$B$5:$AI$24,10,FALSE)=" ",0,VLOOKUP($B24,'SR G-Goats'!$B$5:$AI$24,10,FALSE)),0)+IFERROR(IF(VLOOKUP($B24,'SR-Team Roping-Header'!$B$5:$N$24,4,FALSE)=" ",0,VLOOKUP($B24,'SR-Team Roping-Header'!$B$5:$N$24,4,FALSE)),0)+IFERROR(IF(VLOOKUP($B24,'SR-Team Roping-Heeler'!$B$5:$N$24,4,FALSE)=" ",0,VLOOKUP($B24,'SR-Team Roping-Heeler'!$B$5:$N$24,4,FALSE)),0)</f>
        <v>0</v>
      </c>
      <c r="G24" s="105" t="str">
        <f t="shared" si="2"/>
        <v xml:space="preserve"> </v>
      </c>
      <c r="H24" s="101" t="str">
        <f t="shared" si="3"/>
        <v xml:space="preserve"> </v>
      </c>
      <c r="I24" s="124">
        <f>IFERROR(IF(VLOOKUP($B24,'SR G-Breakaway'!$B$5:$AI$24,14,FALSE)=" ",0,VLOOKUP($B24,'SR G-Breakaway'!$B$5:$AI$24,14,FALSE)),0)+IFERROR(IF(VLOOKUP($B24,'SR G-Barrels'!$B$5:$AI$24,14,FALSE)=" ",0,VLOOKUP($B24,'SR G-Barrels'!$B$5:$AI$24,14,FALSE)),0)+IFERROR(IF(VLOOKUP($B24,'SR G-Poles'!$B$5:$AI$24,14,FALSE)=" ",0,VLOOKUP($B24,'SR G-Poles'!$B$5:$AI$24,14,FALSE)),0)+IFERROR(IF(VLOOKUP($B24,'SR G-Goats'!$B$5:$AI$24,14,FALSE)=" ",0,VLOOKUP($B24,'SR G-Goats'!$B$5:$AI$24,14,FALSE)),0)+IFERROR(IF(VLOOKUP($B24,'SR-Team Roping-Header'!$B$5:$N$24,5,FALSE)=" ",0,VLOOKUP($B24,'SR-Team Roping-Header'!$B$5:$N$24,5,FALSE)),0)+IFERROR(IF(VLOOKUP($B24,'SR-Team Roping-Heeler'!$B$5:$N$24,5,FALSE)=" ",0,VLOOKUP($B24,'SR-Team Roping-Heeler'!$B$5:$N$24,5,FALSE)),0)</f>
        <v>0</v>
      </c>
      <c r="J24" s="105" t="str">
        <f t="shared" si="4"/>
        <v xml:space="preserve"> </v>
      </c>
      <c r="K24" s="101" t="str">
        <f t="shared" si="5"/>
        <v xml:space="preserve"> </v>
      </c>
      <c r="L24" s="124">
        <f>IFERROR(IF(VLOOKUP($B24,'SR G-Breakaway'!$B$5:$AI$24,18,FALSE)=" ",0,VLOOKUP($B24,'SR G-Breakaway'!$B$5:$AI$24,18,FALSE)),0)+IFERROR(IF(VLOOKUP($B24,'SR G-Barrels'!$B$5:$AI$24,18,FALSE)=" ",0,VLOOKUP($B24,'SR G-Barrels'!$B$5:$AI$24,18,FALSE)),0)+IFERROR(IF(VLOOKUP($B24,'SR G-Poles'!$B$5:$AI$24,18,FALSE)=" ",0,VLOOKUP($B24,'SR G-Poles'!$B$5:$AI$24,18,FALSE)),0)+IFERROR(IF(VLOOKUP($B24,'SR G-Goats'!$B$5:$AI$24,18,FALSE)=" ",0,VLOOKUP($B24,'SR G-Goats'!$B$5:$AI$24,18,FALSE)),0)+IFERROR(IF(VLOOKUP($B24,'SR-Team Roping-Header'!$B$5:$N$24,6,FALSE)=" ",0,VLOOKUP($B24,'SR-Team Roping-Header'!$B$5:$N$24,6,FALSE)),0)+IFERROR(IF(VLOOKUP($B24,'SR-Team Roping-Heeler'!$B$5:$N$24,6,FALSE)=" ",0,VLOOKUP($B24,'SR-Team Roping-Heeler'!$B$5:$N$24,6,FALSE)),0)</f>
        <v>0</v>
      </c>
      <c r="M24" s="105" t="str">
        <f t="shared" si="6"/>
        <v xml:space="preserve"> </v>
      </c>
      <c r="N24" s="101" t="str">
        <f t="shared" si="7"/>
        <v xml:space="preserve"> </v>
      </c>
      <c r="O24" s="124">
        <f>IFERROR(IF(VLOOKUP($B24,'SR G-Breakaway'!$B$5:$AI$24,22,FALSE)=" ",0,VLOOKUP($B24,'SR G-Breakaway'!$B$5:$AI$24,22,FALSE)),0)+IFERROR(IF(VLOOKUP($B24,'SR G-Barrels'!$B$5:$AI$24,22,FALSE)=" ",0,VLOOKUP($B24,'SR G-Barrels'!$B$5:$AI$24,22,FALSE)),0)+IFERROR(IF(VLOOKUP($B24,'SR G-Poles'!$B$5:$AI$24,22,FALSE)=" ",0,VLOOKUP($B24,'SR G-Poles'!$B$5:$AI$24,22,FALSE)),0)+IFERROR(IF(VLOOKUP($B24,'SR G-Goats'!$B$5:$AI$24,22,FALSE)=" ",0,VLOOKUP($B24,'SR G-Goats'!$B$5:$AI$24,22,FALSE)),0)+IFERROR(IF(VLOOKUP($B24,'SR-Team Roping-Header'!$B$5:$N$24,7,FALSE)=" ",0,VLOOKUP($B24,'SR-Team Roping-Header'!$B$5:$N$24,7,FALSE)),0)+IFERROR(IF(VLOOKUP($B24,'SR-Team Roping-Heeler'!$B$5:$N$24,7,FALSE)=" ",0,VLOOKUP($B24,'SR-Team Roping-Heeler'!$B$5:$N$24,7,FALSE)),0)</f>
        <v>0</v>
      </c>
      <c r="P24" s="105" t="str">
        <f t="shared" si="8"/>
        <v xml:space="preserve"> </v>
      </c>
      <c r="Q24" s="101" t="str">
        <f t="shared" si="9"/>
        <v xml:space="preserve"> </v>
      </c>
      <c r="R24" s="124">
        <f>IFERROR(IF(VLOOKUP($B24,'SR G-Breakaway'!$B$5:$AI$24,26,FALSE)=" ",0,VLOOKUP($B24,'SR G-Breakaway'!$B$5:$AI$24,26,FALSE)),0)+IFERROR(IF(VLOOKUP($B24,'SR G-Barrels'!$B$5:$AI$24,26,FALSE)=" ",0,VLOOKUP($B24,'SR G-Barrels'!$B$5:$AI$24,26,FALSE)),0)+IFERROR(IF(VLOOKUP($B24,'SR G-Poles'!$B$5:$AI$24,26,FALSE)=" ",0,VLOOKUP($B24,'SR G-Poles'!$B$5:$AI$24,26,FALSE)),0)+IFERROR(IF(VLOOKUP($B24,'SR G-Goats'!$B$5:$AI$24,26,FALSE)=" ",0,VLOOKUP($B24,'SR G-Goats'!$B$5:$AI$24,26,FALSE)),0)+IFERROR(IF(VLOOKUP($B24,'SR-Team Roping-Header'!$B$5:$N$24,8,FALSE)=" ",0,VLOOKUP($B24,'SR-Team Roping-Header'!$B$5:$N$24,8,FALSE)),0)+IFERROR(IF(VLOOKUP($B24,'SR-Team Roping-Heeler'!$B$5:$N$24,8,FALSE)=" ",0,VLOOKUP($B24,'SR-Team Roping-Heeler'!$B$5:$N$24,8,FALSE)),0)</f>
        <v>0</v>
      </c>
      <c r="S24" s="105" t="str">
        <f t="shared" si="10"/>
        <v xml:space="preserve"> </v>
      </c>
      <c r="T24" s="101" t="str">
        <f t="shared" si="11"/>
        <v xml:space="preserve"> </v>
      </c>
      <c r="U24" s="124">
        <f>IFERROR(IF(VLOOKUP($B24,'SR G-Breakaway'!$B$5:$AI$24,30,FALSE)=" ",0,VLOOKUP($B24,'SR G-Breakaway'!$B$5:$AI$24,30,FALSE)),0)+IFERROR(IF(VLOOKUP($B24,'SR G-Barrels'!$B$5:$AI$24,30,FALSE)=" ",0,VLOOKUP($B24,'SR G-Barrels'!$B$5:$AI$24,30,FALSE)),0)+IFERROR(IF(VLOOKUP($B24,'SR G-Poles'!$B$5:$AI$24,30,FALSE)=" ",0,VLOOKUP($B24,'SR G-Poles'!$B$5:$AI$24,30,FALSE)),0)+IFERROR(IF(VLOOKUP($B24,'SR G-Goats'!$B$5:$AI$24,30,FALSE)=" ",0,VLOOKUP($B24,'SR G-Goats'!$B$5:$AI$24,30,FALSE)),0)+IFERROR(IF(VLOOKUP($B24,'SR-Team Roping-Header'!$B$5:$N$24,9,FALSE)=" ",0,VLOOKUP($B24,'SR-Team Roping-Header'!$B$5:$N$24,9,FALSE)),0)+IFERROR(IF(VLOOKUP($B24,'SR-Team Roping-Heeler'!$B$5:$N$24,9,FALSE)=" ",0,VLOOKUP($B24,'SR-Team Roping-Heeler'!$B$5:$N$24,9,FALSE)),0)</f>
        <v>0</v>
      </c>
      <c r="V24" s="105" t="str">
        <f t="shared" si="12"/>
        <v xml:space="preserve"> </v>
      </c>
      <c r="W24" s="101" t="str">
        <f t="shared" si="13"/>
        <v xml:space="preserve"> </v>
      </c>
      <c r="X24" s="124">
        <f>IFERROR(IF(VLOOKUP($B24,'SR G-Breakaway'!$B$5:$AI$24,34,FALSE)=" ",0,VLOOKUP($B24,'SR G-Breakaway'!$B$5:$AI$24,34,FALSE)),0)+IFERROR(IF(VLOOKUP($B24,'SR G-Barrels'!$B$5:$AI$24,34,FALSE)=" ",0,VLOOKUP($B24,'SR G-Barrels'!$B$5:$AI$24,34,FALSE)),0)+IFERROR(IF(VLOOKUP($B24,'SR G-Poles'!$B$5:$AI$24,34,FALSE)=" ",0,VLOOKUP($B24,'SR G-Poles'!$B$5:$AI$24,34,FALSE)),0)+IFERROR(IF(VLOOKUP($B24,'SR G-Goats'!$B$5:$AI$24,34,FALSE)=" ",0,VLOOKUP($B24,'SR G-Goats'!$B$5:$AI$24,34,FALSE)),0)+IFERROR(IF(VLOOKUP($B24,'SR-Team Roping-Header'!$B$5:$N$24,10,FALSE)=" ",0,VLOOKUP($B24,'SR-Team Roping-Header'!$B$5:$N$24,10,FALSE)),0)+IFERROR(IF(VLOOKUP($B24,'SR-Team Roping-Heeler'!$B$5:$N$24,10,FALSE)=" ",0,VLOOKUP($B24,'SR-Team Roping-Heeler'!$B$5:$N$24,10,FALSE)),0)</f>
        <v>0</v>
      </c>
      <c r="Y24" s="105" t="str">
        <f t="shared" si="14"/>
        <v xml:space="preserve"> </v>
      </c>
      <c r="Z24" s="101" t="str">
        <f t="shared" si="15"/>
        <v xml:space="preserve"> </v>
      </c>
      <c r="AA24" s="124">
        <f>Table6345689101123344440254555[[#This Row],[Points]]+Table6345689101123344440254555[[#This Row],[Points4]]+Table6345689101123344440254555[[#This Row],[Points43]]+Table6345689101123344440254555[[#This Row],[Points44]]+Table6345689101123344440254555[[#This Row],[Points45]]+Table6345689101123344440254555[[#This Row],[Points46]]+Table6345689101123344440254555[[#This Row],[Points47]]+Table6345689101123344440254555[[#This Row],[Points48]]</f>
        <v>0</v>
      </c>
      <c r="AB24" s="105" t="str">
        <f t="shared" si="16"/>
        <v xml:space="preserve"> </v>
      </c>
      <c r="AC24" s="101" t="str">
        <f t="shared" si="17"/>
        <v xml:space="preserve"> </v>
      </c>
    </row>
    <row r="25" spans="2:29" ht="14.4" thickBot="1" x14ac:dyDescent="0.3">
      <c r="B25" s="125" t="s">
        <v>236</v>
      </c>
    </row>
    <row r="27" spans="2:29" x14ac:dyDescent="0.25">
      <c r="C27" s="126"/>
      <c r="D27" s="126"/>
      <c r="F27" s="126"/>
      <c r="G27" s="126"/>
      <c r="I27" s="126"/>
      <c r="J27" s="126"/>
      <c r="L27" s="126"/>
      <c r="M27" s="126"/>
      <c r="O27" s="126"/>
      <c r="P27" s="126"/>
      <c r="R27" s="126"/>
      <c r="S27" s="126"/>
      <c r="U27" s="126"/>
      <c r="V27" s="126"/>
      <c r="X27" s="126"/>
      <c r="Y27" s="126"/>
      <c r="AA27" s="126"/>
      <c r="AB27" s="126"/>
    </row>
    <row r="28" spans="2:29" x14ac:dyDescent="0.25">
      <c r="C28" s="126"/>
      <c r="D28" s="126"/>
      <c r="F28" s="126"/>
      <c r="G28" s="126"/>
      <c r="I28" s="126"/>
      <c r="J28" s="126"/>
      <c r="L28" s="126"/>
      <c r="M28" s="126"/>
      <c r="O28" s="126"/>
      <c r="P28" s="126"/>
      <c r="R28" s="126"/>
      <c r="S28" s="126"/>
      <c r="U28" s="126"/>
      <c r="V28" s="126"/>
      <c r="X28" s="126"/>
      <c r="Y28" s="126"/>
      <c r="AA28" s="126"/>
      <c r="AB28" s="126"/>
    </row>
  </sheetData>
  <sheetProtection algorithmName="SHA-512" hashValue="64LTxjlMVYp4YpWVQyz1UHfTkxM7mXUI1gkEHTqaec/yTbc6CTMQix5XBtYcPwOb4ETArr5mnQ9+NiRCN1tEtA==" saltValue="WeeGtMuF/gWmhiOEc3B73g==" spinCount="100000" sheet="1" objects="1" scenarios="1"/>
  <mergeCells count="9"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scale="4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F9CE4-7D4C-4892-8D22-BA48BCD448C2}">
  <sheetPr codeName="Sheet89">
    <tabColor theme="9" tint="0.59999389629810485"/>
  </sheetPr>
  <dimension ref="B1:AH29"/>
  <sheetViews>
    <sheetView showGridLines="0" zoomScaleNormal="100" workbookViewId="0">
      <pane xSplit="2" topLeftCell="C1" activePane="topRight" state="frozen"/>
      <selection activeCell="F34" sqref="F34"/>
      <selection pane="topRight" activeCell="B2" sqref="B2"/>
    </sheetView>
  </sheetViews>
  <sheetFormatPr defaultColWidth="9.109375" defaultRowHeight="13.8" x14ac:dyDescent="0.25"/>
  <cols>
    <col min="1" max="1" width="9.109375" style="62"/>
    <col min="2" max="2" width="35.6640625" style="62" customWidth="1"/>
    <col min="3" max="3" width="11.6640625" style="56" customWidth="1"/>
    <col min="4" max="4" width="11.6640625" style="57" hidden="1" customWidth="1"/>
    <col min="5" max="5" width="11.6640625" style="57" customWidth="1"/>
    <col min="6" max="6" width="11.6640625" style="58" customWidth="1"/>
    <col min="7" max="7" width="11.6640625" style="59" customWidth="1"/>
    <col min="8" max="8" width="11.6640625" style="57" hidden="1" customWidth="1"/>
    <col min="9" max="9" width="11.6640625" style="57" customWidth="1"/>
    <col min="10" max="10" width="11.6640625" style="60" customWidth="1"/>
    <col min="11" max="11" width="12" style="59" customWidth="1"/>
    <col min="12" max="12" width="11.6640625" style="57" hidden="1" customWidth="1"/>
    <col min="13" max="13" width="12" style="57" customWidth="1"/>
    <col min="14" max="14" width="12" style="60" customWidth="1"/>
    <col min="15" max="15" width="12" style="59" customWidth="1"/>
    <col min="16" max="16" width="11.6640625" style="57" hidden="1" customWidth="1"/>
    <col min="17" max="17" width="12" style="57" customWidth="1"/>
    <col min="18" max="18" width="12" style="60" customWidth="1"/>
    <col min="19" max="19" width="12" style="59" customWidth="1"/>
    <col min="20" max="20" width="11.6640625" style="57" hidden="1" customWidth="1"/>
    <col min="21" max="21" width="12" style="57" customWidth="1"/>
    <col min="22" max="22" width="12" style="60" customWidth="1"/>
    <col min="23" max="23" width="12" style="59" customWidth="1"/>
    <col min="24" max="24" width="11.6640625" style="57" hidden="1" customWidth="1"/>
    <col min="25" max="25" width="12" style="57" customWidth="1"/>
    <col min="26" max="26" width="12" style="60" customWidth="1"/>
    <col min="27" max="27" width="12" style="59" customWidth="1"/>
    <col min="28" max="28" width="11.6640625" style="57" hidden="1" customWidth="1"/>
    <col min="29" max="29" width="12" style="57" customWidth="1"/>
    <col min="30" max="30" width="12" style="60" customWidth="1"/>
    <col min="31" max="31" width="12" style="59" customWidth="1"/>
    <col min="32" max="32" width="12" style="57" hidden="1" customWidth="1"/>
    <col min="33" max="33" width="12" style="57" customWidth="1"/>
    <col min="34" max="34" width="12" style="60" customWidth="1"/>
    <col min="35" max="16384" width="9.109375" style="62"/>
  </cols>
  <sheetData>
    <row r="1" spans="2:34" ht="18" thickBot="1" x14ac:dyDescent="0.35">
      <c r="B1" s="54"/>
    </row>
    <row r="2" spans="2:34" s="64" customFormat="1" ht="17.399999999999999" x14ac:dyDescent="0.3">
      <c r="B2" s="127" t="s">
        <v>171</v>
      </c>
      <c r="C2" s="166">
        <v>43590</v>
      </c>
      <c r="D2" s="166"/>
      <c r="E2" s="166"/>
      <c r="F2" s="167"/>
      <c r="G2" s="165">
        <v>43632</v>
      </c>
      <c r="H2" s="166"/>
      <c r="I2" s="166"/>
      <c r="J2" s="167"/>
      <c r="K2" s="165">
        <v>43659</v>
      </c>
      <c r="L2" s="166"/>
      <c r="M2" s="166"/>
      <c r="N2" s="167"/>
      <c r="O2" s="165">
        <v>43660</v>
      </c>
      <c r="P2" s="166"/>
      <c r="Q2" s="166"/>
      <c r="R2" s="167"/>
      <c r="S2" s="165">
        <v>43681</v>
      </c>
      <c r="T2" s="166"/>
      <c r="U2" s="166"/>
      <c r="V2" s="167"/>
      <c r="W2" s="165" t="s">
        <v>183</v>
      </c>
      <c r="X2" s="166"/>
      <c r="Y2" s="166"/>
      <c r="Z2" s="167"/>
      <c r="AA2" s="165" t="s">
        <v>184</v>
      </c>
      <c r="AB2" s="166"/>
      <c r="AC2" s="166"/>
      <c r="AD2" s="167"/>
      <c r="AE2" s="165" t="s">
        <v>3</v>
      </c>
      <c r="AF2" s="166"/>
      <c r="AG2" s="166"/>
      <c r="AH2" s="167"/>
    </row>
    <row r="3" spans="2:34" s="74" customFormat="1" ht="14.4" thickBot="1" x14ac:dyDescent="0.3">
      <c r="B3" s="65" t="s">
        <v>38</v>
      </c>
      <c r="C3" s="67" t="s">
        <v>0</v>
      </c>
      <c r="D3" s="68"/>
      <c r="E3" s="68" t="s">
        <v>1</v>
      </c>
      <c r="F3" s="69" t="s">
        <v>2</v>
      </c>
      <c r="G3" s="70" t="s">
        <v>0</v>
      </c>
      <c r="H3" s="68"/>
      <c r="I3" s="68" t="s">
        <v>1</v>
      </c>
      <c r="J3" s="71" t="s">
        <v>2</v>
      </c>
      <c r="K3" s="70" t="s">
        <v>0</v>
      </c>
      <c r="L3" s="68"/>
      <c r="M3" s="68" t="s">
        <v>1</v>
      </c>
      <c r="N3" s="71" t="s">
        <v>2</v>
      </c>
      <c r="O3" s="70" t="s">
        <v>0</v>
      </c>
      <c r="P3" s="68"/>
      <c r="Q3" s="68" t="s">
        <v>1</v>
      </c>
      <c r="R3" s="71" t="s">
        <v>2</v>
      </c>
      <c r="S3" s="70" t="s">
        <v>0</v>
      </c>
      <c r="T3" s="68"/>
      <c r="U3" s="68" t="s">
        <v>1</v>
      </c>
      <c r="V3" s="71" t="s">
        <v>2</v>
      </c>
      <c r="W3" s="70" t="s">
        <v>0</v>
      </c>
      <c r="X3" s="68"/>
      <c r="Y3" s="68" t="s">
        <v>1</v>
      </c>
      <c r="Z3" s="71" t="s">
        <v>2</v>
      </c>
      <c r="AA3" s="70" t="s">
        <v>0</v>
      </c>
      <c r="AB3" s="68"/>
      <c r="AC3" s="68" t="s">
        <v>1</v>
      </c>
      <c r="AD3" s="71" t="s">
        <v>2</v>
      </c>
      <c r="AE3" s="70" t="s">
        <v>0</v>
      </c>
      <c r="AF3" s="68"/>
      <c r="AG3" s="68" t="s">
        <v>1</v>
      </c>
      <c r="AH3" s="71" t="s">
        <v>2</v>
      </c>
    </row>
    <row r="4" spans="2:34" s="74" customFormat="1" ht="18" hidden="1" thickBot="1" x14ac:dyDescent="0.35">
      <c r="B4" s="75" t="s">
        <v>38</v>
      </c>
      <c r="C4" s="77" t="s">
        <v>0</v>
      </c>
      <c r="D4" s="78" t="s">
        <v>7</v>
      </c>
      <c r="E4" s="78" t="s">
        <v>1</v>
      </c>
      <c r="F4" s="79" t="s">
        <v>2</v>
      </c>
      <c r="G4" s="80" t="s">
        <v>17</v>
      </c>
      <c r="H4" s="78" t="s">
        <v>18</v>
      </c>
      <c r="I4" s="78" t="s">
        <v>8</v>
      </c>
      <c r="J4" s="81" t="s">
        <v>9</v>
      </c>
      <c r="K4" s="80" t="s">
        <v>10</v>
      </c>
      <c r="L4" s="78" t="s">
        <v>19</v>
      </c>
      <c r="M4" s="78" t="s">
        <v>20</v>
      </c>
      <c r="N4" s="81" t="s">
        <v>21</v>
      </c>
      <c r="O4" s="80" t="s">
        <v>22</v>
      </c>
      <c r="P4" s="78" t="s">
        <v>11</v>
      </c>
      <c r="Q4" s="78" t="s">
        <v>23</v>
      </c>
      <c r="R4" s="81" t="s">
        <v>24</v>
      </c>
      <c r="S4" s="80" t="s">
        <v>25</v>
      </c>
      <c r="T4" s="78" t="s">
        <v>26</v>
      </c>
      <c r="U4" s="78" t="s">
        <v>27</v>
      </c>
      <c r="V4" s="81" t="s">
        <v>28</v>
      </c>
      <c r="W4" s="80" t="s">
        <v>29</v>
      </c>
      <c r="X4" s="78" t="s">
        <v>30</v>
      </c>
      <c r="Y4" s="78" t="s">
        <v>12</v>
      </c>
      <c r="Z4" s="81" t="s">
        <v>13</v>
      </c>
      <c r="AA4" s="80" t="s">
        <v>14</v>
      </c>
      <c r="AB4" s="78" t="s">
        <v>31</v>
      </c>
      <c r="AC4" s="78" t="s">
        <v>32</v>
      </c>
      <c r="AD4" s="81" t="s">
        <v>33</v>
      </c>
      <c r="AE4" s="80" t="s">
        <v>34</v>
      </c>
      <c r="AF4" s="78" t="s">
        <v>15</v>
      </c>
      <c r="AG4" s="78" t="s">
        <v>35</v>
      </c>
      <c r="AH4" s="81" t="s">
        <v>36</v>
      </c>
    </row>
    <row r="5" spans="2:34" x14ac:dyDescent="0.25">
      <c r="B5" s="83" t="s">
        <v>193</v>
      </c>
      <c r="C5" s="85">
        <v>26.63</v>
      </c>
      <c r="D5" s="86">
        <f t="shared" ref="D5:D24" si="0">IF(C5=0," ",_xlfn.RANK.AVG(C5,C$5:C$24,1)-COUNTIF(C$5:C$24,0))</f>
        <v>3</v>
      </c>
      <c r="E5" s="86">
        <f t="shared" ref="E5:E24" si="1">IF(C5=0," ",IF((RANK(C5,C$5:C$24,1)-COUNTIF(C$5:C$24,0)&gt;6)," ",RANK(C5,C$5:C$24,1)-COUNTIF(C$5:C$24,0)))</f>
        <v>3</v>
      </c>
      <c r="F5" s="87">
        <f>IF(E5=" "," ",IFERROR(VLOOKUP(D5,Points!$A$2:$B$14,2,FALSE)," "))</f>
        <v>12</v>
      </c>
      <c r="G5" s="85">
        <v>20.56</v>
      </c>
      <c r="H5" s="86">
        <f t="shared" ref="H5:H24" si="2">IF(G5=0," ",_xlfn.RANK.AVG(G5,G$5:G$24,1)-COUNTIF(G$5:G$24,0))</f>
        <v>1</v>
      </c>
      <c r="I5" s="86">
        <f t="shared" ref="I5:I24" si="3">IF(G5=0," ",IF((RANK(G5,G$5:G$24,1)-COUNTIF(G$5:G$24,0)&gt;6)," ",RANK(G5,G$5:G$24,1)-COUNTIF(G$5:G$24,0)))</f>
        <v>1</v>
      </c>
      <c r="J5" s="87">
        <f>IF(I5=" "," ",IFERROR(VLOOKUP(H5,Points!$A$2:$B$14,2,FALSE)," "))</f>
        <v>18</v>
      </c>
      <c r="K5" s="85"/>
      <c r="L5" s="86" t="str">
        <f t="shared" ref="L5:L24" si="4">IF(K5=0," ",_xlfn.RANK.AVG(K5,K$5:K$24,1)-COUNTIF(K$5:K$24,0))</f>
        <v xml:space="preserve"> </v>
      </c>
      <c r="M5" s="86" t="str">
        <f t="shared" ref="M5:M24" si="5">IF(K5=0," ",IF((RANK(K5,K$5:K$24,1)-COUNTIF(K$5:K$24,0)&gt;6)," ",RANK(K5,K$5:K$24,1)-COUNTIF(K$5:K$24,0)))</f>
        <v xml:space="preserve"> </v>
      </c>
      <c r="N5" s="87" t="str">
        <f>IF(M5=" "," ",IFERROR(VLOOKUP(L5,Points!$A$2:$B$14,2,FALSE)," "))</f>
        <v xml:space="preserve"> </v>
      </c>
      <c r="O5" s="85">
        <v>0</v>
      </c>
      <c r="P5" s="86" t="str">
        <f t="shared" ref="P5:P24" si="6">IF(O5=0," ",_xlfn.RANK.AVG(O5,O$5:O$24,1)-COUNTIF(O$5:O$24,0))</f>
        <v xml:space="preserve"> </v>
      </c>
      <c r="Q5" s="86" t="str">
        <f t="shared" ref="Q5:Q25" si="7">IF(O5=0," ",IF((RANK(O5,O$5:O$24,1)-COUNTIF(O$5:O$24,0)&gt;6)," ",RANK(O5,O$5:O$24,1)-COUNTIF(O$5:O$24,0)))</f>
        <v xml:space="preserve"> </v>
      </c>
      <c r="R5" s="87" t="str">
        <f>IF(Q5=" "," ",IFERROR(VLOOKUP(P5,Points!$A$2:$B$14,2,FALSE)," "))</f>
        <v xml:space="preserve"> </v>
      </c>
      <c r="S5" s="85">
        <v>16.079999999999998</v>
      </c>
      <c r="T5" s="86">
        <f t="shared" ref="T5:T24" si="8">IF(S5=0," ",_xlfn.RANK.AVG(S5,S$5:S$24,1)-COUNTIF(S$5:S$24,0))</f>
        <v>1</v>
      </c>
      <c r="U5" s="86">
        <f t="shared" ref="U5:U24" si="9">IF(S5=0," ",IF((RANK(S5,S$5:S$24,1)-COUNTIF(S$5:S$24,0)&gt;6)," ",RANK(S5,S$5:S$24,1)-COUNTIF(S$5:S$24,0)))</f>
        <v>1</v>
      </c>
      <c r="V5" s="87">
        <f>IF(U5=" "," ",IFERROR(VLOOKUP(T5,Points!$A$2:$B$14,2,FALSE)," "))</f>
        <v>18</v>
      </c>
      <c r="W5" s="85">
        <v>0</v>
      </c>
      <c r="X5" s="86" t="str">
        <f t="shared" ref="X5:X24" si="10">IF(W5=0," ",_xlfn.RANK.AVG(W5,W$5:W$24,1)-COUNTIF(W$5:W$24,0))</f>
        <v xml:space="preserve"> </v>
      </c>
      <c r="Y5" s="86" t="str">
        <f t="shared" ref="Y5:Y24" si="11">IF(W5=0," ",IF((RANK(W5,W$5:W$24,1)-COUNTIF(W$5:W$24,0)&gt;6)," ",RANK(W5,W$5:W$24,1)-COUNTIF(W$5:W$24,0)))</f>
        <v xml:space="preserve"> </v>
      </c>
      <c r="Z5" s="87" t="str">
        <f>IF(Y5=" "," ",IFERROR(VLOOKUP(X5,Points!$A$2:$B$14,2,FALSE)," "))</f>
        <v xml:space="preserve"> </v>
      </c>
      <c r="AA5" s="85">
        <v>0</v>
      </c>
      <c r="AB5" s="86" t="str">
        <f t="shared" ref="AB5:AB24" si="12">IF(AA5=0," ",_xlfn.RANK.AVG(AA5,AA$5:AA$24,1)-COUNTIF(AA$5:AA$24,0))</f>
        <v xml:space="preserve"> </v>
      </c>
      <c r="AC5" s="86" t="str">
        <f t="shared" ref="AC5:AC24" si="13">IF(AA5=0," ",IF((RANK(AA5,AA$5:AA$24,1)-COUNTIF(AA$5:AA$24,0)&gt;6)," ",RANK(AA5,AA$5:AA$24,1)-COUNTIF(AA$5:AA$24,0)))</f>
        <v xml:space="preserve"> </v>
      </c>
      <c r="AD5" s="87" t="str">
        <f>IF(AC5=" "," ",IFERROR(VLOOKUP(AB5,Points!$A$2:$B$14,2,FALSE)," "))</f>
        <v xml:space="preserve"> </v>
      </c>
      <c r="AE5" s="85"/>
      <c r="AF5" s="86"/>
      <c r="AG5" s="86"/>
      <c r="AH5" s="87" t="str">
        <f>IF(AG5=" "," ",IFERROR(VLOOKUP(AG5,Points!$A$2:$B$14,2,FALSE)," "))</f>
        <v xml:space="preserve"> </v>
      </c>
    </row>
    <row r="6" spans="2:34" x14ac:dyDescent="0.25">
      <c r="B6" s="90" t="s">
        <v>194</v>
      </c>
      <c r="C6" s="92">
        <v>0</v>
      </c>
      <c r="D6" s="93" t="str">
        <f t="shared" si="0"/>
        <v xml:space="preserve"> </v>
      </c>
      <c r="E6" s="93" t="str">
        <f t="shared" si="1"/>
        <v xml:space="preserve"> </v>
      </c>
      <c r="F6" s="94" t="str">
        <f>IF(E6=" "," ",IFERROR(VLOOKUP(D6,Points!$A$2:$B$14,2,FALSE)," "))</f>
        <v xml:space="preserve"> </v>
      </c>
      <c r="G6" s="92">
        <v>25.75</v>
      </c>
      <c r="H6" s="93">
        <f t="shared" si="2"/>
        <v>2</v>
      </c>
      <c r="I6" s="93">
        <f t="shared" si="3"/>
        <v>2</v>
      </c>
      <c r="J6" s="94">
        <f>IF(I6=" "," ",IFERROR(VLOOKUP(H6,Points!$A$2:$B$14,2,FALSE)," "))</f>
        <v>15</v>
      </c>
      <c r="K6" s="92"/>
      <c r="L6" s="93" t="str">
        <f t="shared" si="4"/>
        <v xml:space="preserve"> </v>
      </c>
      <c r="M6" s="93" t="str">
        <f t="shared" si="5"/>
        <v xml:space="preserve"> </v>
      </c>
      <c r="N6" s="94" t="str">
        <f>IF(M6=" "," ",IFERROR(VLOOKUP(L6,Points!$A$2:$B$14,2,FALSE)," "))</f>
        <v xml:space="preserve"> </v>
      </c>
      <c r="O6" s="92">
        <v>0</v>
      </c>
      <c r="P6" s="93" t="str">
        <f t="shared" si="6"/>
        <v xml:space="preserve"> </v>
      </c>
      <c r="Q6" s="93" t="str">
        <f t="shared" si="7"/>
        <v xml:space="preserve"> </v>
      </c>
      <c r="R6" s="94" t="str">
        <f>IF(Q6=" "," ",IFERROR(VLOOKUP(P6,Points!$A$2:$B$14,2,FALSE)," "))</f>
        <v xml:space="preserve"> </v>
      </c>
      <c r="S6" s="92">
        <v>20.100000000000001</v>
      </c>
      <c r="T6" s="93">
        <f t="shared" si="8"/>
        <v>2</v>
      </c>
      <c r="U6" s="93">
        <f t="shared" si="9"/>
        <v>2</v>
      </c>
      <c r="V6" s="94">
        <f>IF(U6=" "," ",IFERROR(VLOOKUP(T6,Points!$A$2:$B$14,2,FALSE)," "))</f>
        <v>15</v>
      </c>
      <c r="W6" s="92"/>
      <c r="X6" s="93" t="str">
        <f t="shared" si="10"/>
        <v xml:space="preserve"> </v>
      </c>
      <c r="Y6" s="93" t="str">
        <f t="shared" si="11"/>
        <v xml:space="preserve"> </v>
      </c>
      <c r="Z6" s="94" t="str">
        <f>IF(Y6=" "," ",IFERROR(VLOOKUP(X6,Points!$A$2:$B$14,2,FALSE)," "))</f>
        <v xml:space="preserve"> </v>
      </c>
      <c r="AA6" s="92"/>
      <c r="AB6" s="93" t="str">
        <f t="shared" si="12"/>
        <v xml:space="preserve"> </v>
      </c>
      <c r="AC6" s="93" t="str">
        <f t="shared" si="13"/>
        <v xml:space="preserve"> </v>
      </c>
      <c r="AD6" s="94" t="str">
        <f>IF(AC6=" "," ",IFERROR(VLOOKUP(AB6,Points!$A$2:$B$14,2,FALSE)," "))</f>
        <v xml:space="preserve"> </v>
      </c>
      <c r="AE6" s="92" t="str">
        <f>IF(OR(W6=0,AA6=0)," ",W6+AA6)</f>
        <v xml:space="preserve"> </v>
      </c>
      <c r="AF6" s="93" t="str">
        <f>IF(OR(AE6=0,AE6=" ")," ",_xlfn.RANK.AVG(AE6,AE$5:AE$24,1)-COUNTIF(AE$5:AE$24,0))</f>
        <v xml:space="preserve"> </v>
      </c>
      <c r="AG6" s="93" t="str">
        <f>IF(OR(AE6=0,AE6=" ")," ",IF((RANK(AE6,AE$5:AE$24,1)-COUNTIF(AE$5:AE$24,0)&gt;6)," ",RANK(AE6,AE$5:AE$24,1)-COUNTIF(AE$5:AE$24,0)))</f>
        <v xml:space="preserve"> </v>
      </c>
      <c r="AH6" s="94" t="str">
        <f>IF(AG6=" "," ",IFERROR(VLOOKUP(AG6,Points!$A$2:$B$14,2,FALSE)," "))</f>
        <v xml:space="preserve"> </v>
      </c>
    </row>
    <row r="7" spans="2:34" x14ac:dyDescent="0.25">
      <c r="B7" s="90" t="s">
        <v>191</v>
      </c>
      <c r="C7" s="92">
        <v>10.68</v>
      </c>
      <c r="D7" s="93">
        <f t="shared" si="0"/>
        <v>2</v>
      </c>
      <c r="E7" s="93">
        <f t="shared" si="1"/>
        <v>2</v>
      </c>
      <c r="F7" s="94">
        <f>IF(E7=" "," ",IFERROR(VLOOKUP(D7,Points!$A$2:$B$14,2,FALSE)," "))</f>
        <v>15</v>
      </c>
      <c r="G7" s="92">
        <v>0</v>
      </c>
      <c r="H7" s="93" t="str">
        <f t="shared" si="2"/>
        <v xml:space="preserve"> </v>
      </c>
      <c r="I7" s="93" t="str">
        <f t="shared" si="3"/>
        <v xml:space="preserve"> </v>
      </c>
      <c r="J7" s="94" t="str">
        <f>IF(I7=" "," ",IFERROR(VLOOKUP(H7,Points!$A$2:$B$14,2,FALSE)," "))</f>
        <v xml:space="preserve"> </v>
      </c>
      <c r="K7" s="92"/>
      <c r="L7" s="93" t="str">
        <f t="shared" si="4"/>
        <v xml:space="preserve"> </v>
      </c>
      <c r="M7" s="93" t="str">
        <f t="shared" si="5"/>
        <v xml:space="preserve"> </v>
      </c>
      <c r="N7" s="94" t="str">
        <f>IF(M7=" "," ",IFERROR(VLOOKUP(L7,Points!$A$2:$B$14,2,FALSE)," "))</f>
        <v xml:space="preserve"> </v>
      </c>
      <c r="O7" s="92"/>
      <c r="P7" s="93" t="str">
        <f t="shared" si="6"/>
        <v xml:space="preserve"> </v>
      </c>
      <c r="Q7" s="93" t="str">
        <f t="shared" si="7"/>
        <v xml:space="preserve"> </v>
      </c>
      <c r="R7" s="94" t="str">
        <f>IF(Q7=" "," ",IFERROR(VLOOKUP(P7,Points!$A$2:$B$14,2,FALSE)," "))</f>
        <v xml:space="preserve"> </v>
      </c>
      <c r="S7" s="92">
        <v>0</v>
      </c>
      <c r="T7" s="93" t="str">
        <f t="shared" si="8"/>
        <v xml:space="preserve"> </v>
      </c>
      <c r="U7" s="93" t="str">
        <f t="shared" si="9"/>
        <v xml:space="preserve"> </v>
      </c>
      <c r="V7" s="94" t="str">
        <f>IF(U7=" "," ",IFERROR(VLOOKUP(T7,Points!$A$2:$B$14,2,FALSE)," "))</f>
        <v xml:space="preserve"> </v>
      </c>
      <c r="W7" s="92">
        <v>15.72</v>
      </c>
      <c r="X7" s="93">
        <f t="shared" si="10"/>
        <v>1</v>
      </c>
      <c r="Y7" s="93">
        <f t="shared" si="11"/>
        <v>1</v>
      </c>
      <c r="Z7" s="94">
        <f>IF(Y7=" "," ",IFERROR(VLOOKUP(X7,Points!$A$2:$B$14,2,FALSE)," "))</f>
        <v>18</v>
      </c>
      <c r="AA7" s="92">
        <v>0</v>
      </c>
      <c r="AB7" s="93" t="str">
        <f t="shared" si="12"/>
        <v xml:space="preserve"> </v>
      </c>
      <c r="AC7" s="93" t="str">
        <f t="shared" si="13"/>
        <v xml:space="preserve"> </v>
      </c>
      <c r="AD7" s="94" t="str">
        <f>IF(AC7=" "," ",IFERROR(VLOOKUP(AB7,Points!$A$2:$B$14,2,FALSE)," "))</f>
        <v xml:space="preserve"> </v>
      </c>
      <c r="AE7" s="163" t="s">
        <v>297</v>
      </c>
      <c r="AF7" s="93">
        <v>1</v>
      </c>
      <c r="AG7" s="93">
        <v>1</v>
      </c>
      <c r="AH7" s="94">
        <f>IF(AG7=" "," ",IFERROR(VLOOKUP(AG7,Points!$A$2:$B$14,2,FALSE)," "))</f>
        <v>18</v>
      </c>
    </row>
    <row r="8" spans="2:34" x14ac:dyDescent="0.25">
      <c r="B8" s="90" t="s">
        <v>192</v>
      </c>
      <c r="C8" s="92">
        <v>0</v>
      </c>
      <c r="D8" s="93" t="str">
        <f t="shared" si="0"/>
        <v xml:space="preserve"> </v>
      </c>
      <c r="E8" s="93" t="str">
        <f t="shared" si="1"/>
        <v xml:space="preserve"> </v>
      </c>
      <c r="F8" s="94" t="str">
        <f>IF(E8=" "," ",IFERROR(VLOOKUP(D8,Points!$A$2:$B$14,2,FALSE)," "))</f>
        <v xml:space="preserve"> </v>
      </c>
      <c r="G8" s="92">
        <v>0</v>
      </c>
      <c r="H8" s="93" t="str">
        <f t="shared" si="2"/>
        <v xml:space="preserve"> </v>
      </c>
      <c r="I8" s="93" t="str">
        <f t="shared" si="3"/>
        <v xml:space="preserve"> </v>
      </c>
      <c r="J8" s="94" t="str">
        <f>IF(I8=" "," ",IFERROR(VLOOKUP(H8,Points!$A$2:$B$14,2,FALSE)," "))</f>
        <v xml:space="preserve"> </v>
      </c>
      <c r="K8" s="92">
        <v>0</v>
      </c>
      <c r="L8" s="93" t="str">
        <f t="shared" si="4"/>
        <v xml:space="preserve"> </v>
      </c>
      <c r="M8" s="93" t="str">
        <f t="shared" si="5"/>
        <v xml:space="preserve"> </v>
      </c>
      <c r="N8" s="94" t="str">
        <f>IF(M8=" "," ",IFERROR(VLOOKUP(L8,Points!$A$2:$B$14,2,FALSE)," "))</f>
        <v xml:space="preserve"> </v>
      </c>
      <c r="O8" s="92">
        <v>21.37</v>
      </c>
      <c r="P8" s="93">
        <f t="shared" si="6"/>
        <v>2</v>
      </c>
      <c r="Q8" s="93">
        <f t="shared" si="7"/>
        <v>2</v>
      </c>
      <c r="R8" s="94">
        <f>IF(Q8=" "," ",IFERROR(VLOOKUP(P8,Points!$A$2:$B$14,2,FALSE)," "))</f>
        <v>15</v>
      </c>
      <c r="S8" s="92">
        <v>0</v>
      </c>
      <c r="T8" s="93" t="str">
        <f t="shared" si="8"/>
        <v xml:space="preserve"> </v>
      </c>
      <c r="U8" s="93" t="str">
        <f t="shared" si="9"/>
        <v xml:space="preserve"> </v>
      </c>
      <c r="V8" s="94" t="str">
        <f>IF(U8=" "," ",IFERROR(VLOOKUP(T8,Points!$A$2:$B$14,2,FALSE)," "))</f>
        <v xml:space="preserve"> </v>
      </c>
      <c r="W8" s="92">
        <v>0</v>
      </c>
      <c r="X8" s="93" t="str">
        <f t="shared" si="10"/>
        <v xml:space="preserve"> </v>
      </c>
      <c r="Y8" s="93" t="str">
        <f t="shared" si="11"/>
        <v xml:space="preserve"> </v>
      </c>
      <c r="Z8" s="94" t="str">
        <f>IF(Y8=" "," ",IFERROR(VLOOKUP(X8,Points!$A$2:$B$14,2,FALSE)," "))</f>
        <v xml:space="preserve"> </v>
      </c>
      <c r="AA8" s="92">
        <v>20.91</v>
      </c>
      <c r="AB8" s="93">
        <f t="shared" si="12"/>
        <v>2</v>
      </c>
      <c r="AC8" s="93">
        <f t="shared" si="13"/>
        <v>2</v>
      </c>
      <c r="AD8" s="94">
        <f>IF(AC8=" "," ",IFERROR(VLOOKUP(AB8,Points!$A$2:$B$14,2,FALSE)," "))</f>
        <v>15</v>
      </c>
      <c r="AE8" s="163" t="s">
        <v>298</v>
      </c>
      <c r="AF8" s="93">
        <v>3</v>
      </c>
      <c r="AG8" s="93">
        <v>3</v>
      </c>
      <c r="AH8" s="94">
        <f>IF(AG8=" "," ",IFERROR(VLOOKUP(AG8,Points!$A$2:$B$14,2,FALSE)," "))</f>
        <v>12</v>
      </c>
    </row>
    <row r="9" spans="2:34" x14ac:dyDescent="0.25">
      <c r="B9" s="90" t="s">
        <v>261</v>
      </c>
      <c r="C9" s="92"/>
      <c r="D9" s="93" t="str">
        <f t="shared" si="0"/>
        <v xml:space="preserve"> </v>
      </c>
      <c r="E9" s="93" t="str">
        <f t="shared" si="1"/>
        <v xml:space="preserve"> </v>
      </c>
      <c r="F9" s="94" t="str">
        <f>IF(E9=" "," ",IFERROR(VLOOKUP(D9,Points!$A$2:$B$14,2,FALSE)," "))</f>
        <v xml:space="preserve"> </v>
      </c>
      <c r="G9" s="92">
        <v>0</v>
      </c>
      <c r="H9" s="93" t="str">
        <f t="shared" si="2"/>
        <v xml:space="preserve"> </v>
      </c>
      <c r="I9" s="93" t="str">
        <f t="shared" si="3"/>
        <v xml:space="preserve"> </v>
      </c>
      <c r="J9" s="94" t="str">
        <f>IF(I9=" "," ",IFERROR(VLOOKUP(H9,Points!$A$2:$B$14,2,FALSE)," "))</f>
        <v xml:space="preserve"> </v>
      </c>
      <c r="K9" s="92"/>
      <c r="L9" s="93" t="str">
        <f t="shared" si="4"/>
        <v xml:space="preserve"> </v>
      </c>
      <c r="M9" s="93" t="str">
        <f t="shared" si="5"/>
        <v xml:space="preserve"> </v>
      </c>
      <c r="N9" s="94" t="str">
        <f>IF(M9=" "," ",IFERROR(VLOOKUP(L9,Points!$A$2:$B$14,2,FALSE)," "))</f>
        <v xml:space="preserve"> </v>
      </c>
      <c r="O9" s="92"/>
      <c r="P9" s="93" t="str">
        <f t="shared" si="6"/>
        <v xml:space="preserve"> </v>
      </c>
      <c r="Q9" s="93" t="str">
        <f t="shared" si="7"/>
        <v xml:space="preserve"> </v>
      </c>
      <c r="R9" s="94" t="str">
        <f>IF(Q9=" "," ",IFERROR(VLOOKUP(P9,Points!$A$2:$B$14,2,FALSE)," "))</f>
        <v xml:space="preserve"> </v>
      </c>
      <c r="S9" s="92">
        <v>0</v>
      </c>
      <c r="T9" s="93" t="str">
        <f t="shared" si="8"/>
        <v xml:space="preserve"> </v>
      </c>
      <c r="U9" s="93" t="str">
        <f t="shared" si="9"/>
        <v xml:space="preserve"> </v>
      </c>
      <c r="V9" s="94" t="str">
        <f>IF(U9=" "," ",IFERROR(VLOOKUP(T9,Points!$A$2:$B$14,2,FALSE)," "))</f>
        <v xml:space="preserve"> </v>
      </c>
      <c r="W9" s="92"/>
      <c r="X9" s="93" t="str">
        <f t="shared" si="10"/>
        <v xml:space="preserve"> </v>
      </c>
      <c r="Y9" s="93" t="str">
        <f t="shared" si="11"/>
        <v xml:space="preserve"> </v>
      </c>
      <c r="Z9" s="94" t="str">
        <f>IF(Y9=" "," ",IFERROR(VLOOKUP(X9,Points!$A$2:$B$14,2,FALSE)," "))</f>
        <v xml:space="preserve"> </v>
      </c>
      <c r="AA9" s="92"/>
      <c r="AB9" s="93" t="str">
        <f t="shared" si="12"/>
        <v xml:space="preserve"> </v>
      </c>
      <c r="AC9" s="93" t="str">
        <f t="shared" si="13"/>
        <v xml:space="preserve"> </v>
      </c>
      <c r="AD9" s="94" t="str">
        <f>IF(AC9=" "," ",IFERROR(VLOOKUP(AB9,Points!$A$2:$B$14,2,FALSE)," "))</f>
        <v xml:space="preserve"> </v>
      </c>
      <c r="AE9" s="163" t="str">
        <f>IF(OR(W9=0,AA9=0)," ",W9+AA9)</f>
        <v xml:space="preserve"> </v>
      </c>
      <c r="AF9" s="93" t="str">
        <f t="shared" ref="AF9:AF24" si="14">IF(OR(AE9=0,AE9=" ")," ",_xlfn.RANK.AVG(AE9,AE$5:AE$24,1)-COUNTIF(AE$5:AE$24,0))</f>
        <v xml:space="preserve"> </v>
      </c>
      <c r="AG9" s="93" t="str">
        <f>IF(OR(AE9=0,AE9=" ")," ",IF((RANK(AE9,AE$5:AE$24,1)-COUNTIF(AE$5:AE$24,0)&gt;6)," ",RANK(AE9,AE$5:AE$24,1)-COUNTIF(AE$5:AE$24,0)))</f>
        <v xml:space="preserve"> </v>
      </c>
      <c r="AH9" s="94" t="str">
        <f>IF(AG9=" "," ",IFERROR(VLOOKUP(AG9,Points!$A$2:$B$14,2,FALSE)," "))</f>
        <v xml:space="preserve"> </v>
      </c>
    </row>
    <row r="10" spans="2:34" x14ac:dyDescent="0.25">
      <c r="B10" s="90" t="s">
        <v>262</v>
      </c>
      <c r="C10" s="92"/>
      <c r="D10" s="93" t="str">
        <f t="shared" si="0"/>
        <v xml:space="preserve"> </v>
      </c>
      <c r="E10" s="93" t="str">
        <f t="shared" si="1"/>
        <v xml:space="preserve"> </v>
      </c>
      <c r="F10" s="94" t="str">
        <f>IF(E10=" "," ",IFERROR(VLOOKUP(D10,Points!$A$2:$B$14,2,FALSE)," "))</f>
        <v xml:space="preserve"> </v>
      </c>
      <c r="G10" s="92">
        <v>0</v>
      </c>
      <c r="H10" s="93" t="str">
        <f t="shared" si="2"/>
        <v xml:space="preserve"> </v>
      </c>
      <c r="I10" s="93" t="str">
        <f t="shared" si="3"/>
        <v xml:space="preserve"> </v>
      </c>
      <c r="J10" s="94" t="str">
        <f>IF(I10=" "," ",IFERROR(VLOOKUP(H10,Points!$A$2:$B$14,2,FALSE)," "))</f>
        <v xml:space="preserve"> </v>
      </c>
      <c r="K10" s="92">
        <v>19.38</v>
      </c>
      <c r="L10" s="93">
        <f t="shared" si="4"/>
        <v>1</v>
      </c>
      <c r="M10" s="93">
        <f t="shared" si="5"/>
        <v>1</v>
      </c>
      <c r="N10" s="94">
        <f>IF(M10=" "," ",IFERROR(VLOOKUP(L10,Points!$A$2:$B$14,2,FALSE)," "))</f>
        <v>18</v>
      </c>
      <c r="O10" s="92">
        <v>0</v>
      </c>
      <c r="P10" s="93" t="str">
        <f t="shared" si="6"/>
        <v xml:space="preserve"> </v>
      </c>
      <c r="Q10" s="93" t="str">
        <f t="shared" si="7"/>
        <v xml:space="preserve"> </v>
      </c>
      <c r="R10" s="94" t="str">
        <f>IF(Q10=" "," ",IFERROR(VLOOKUP(P10,Points!$A$2:$B$14,2,FALSE)," "))</f>
        <v xml:space="preserve"> </v>
      </c>
      <c r="S10" s="92">
        <v>0</v>
      </c>
      <c r="T10" s="93" t="str">
        <f t="shared" si="8"/>
        <v xml:space="preserve"> </v>
      </c>
      <c r="U10" s="93" t="str">
        <f t="shared" si="9"/>
        <v xml:space="preserve"> </v>
      </c>
      <c r="V10" s="94" t="str">
        <f>IF(U10=" "," ",IFERROR(VLOOKUP(T10,Points!$A$2:$B$14,2,FALSE)," "))</f>
        <v xml:space="preserve"> </v>
      </c>
      <c r="W10" s="92">
        <v>0</v>
      </c>
      <c r="X10" s="93" t="str">
        <f t="shared" si="10"/>
        <v xml:space="preserve"> </v>
      </c>
      <c r="Y10" s="93" t="str">
        <f t="shared" si="11"/>
        <v xml:space="preserve"> </v>
      </c>
      <c r="Z10" s="94" t="str">
        <f>IF(Y10=" "," ",IFERROR(VLOOKUP(X10,Points!$A$2:$B$14,2,FALSE)," "))</f>
        <v xml:space="preserve"> </v>
      </c>
      <c r="AA10" s="92">
        <v>0</v>
      </c>
      <c r="AB10" s="93" t="str">
        <f t="shared" si="12"/>
        <v xml:space="preserve"> </v>
      </c>
      <c r="AC10" s="93" t="str">
        <f t="shared" si="13"/>
        <v xml:space="preserve"> </v>
      </c>
      <c r="AD10" s="94" t="str">
        <f>IF(AC10=" "," ",IFERROR(VLOOKUP(AB10,Points!$A$2:$B$14,2,FALSE)," "))</f>
        <v xml:space="preserve"> </v>
      </c>
      <c r="AE10" s="163" t="str">
        <f>IF(OR(W10=0,AA10=0)," ",W10+AA10)</f>
        <v xml:space="preserve"> </v>
      </c>
      <c r="AF10" s="93" t="str">
        <f t="shared" si="14"/>
        <v xml:space="preserve"> </v>
      </c>
      <c r="AG10" s="93" t="str">
        <f>IF(OR(AE10=0,AE10=" ")," ",IF((RANK(AE10,AE$5:AE$24,1)-COUNTIF(AE$5:AE$24,0)&gt;6)," ",RANK(AE10,AE$5:AE$24,1)-COUNTIF(AE$5:AE$24,0)))</f>
        <v xml:space="preserve"> </v>
      </c>
      <c r="AH10" s="94" t="str">
        <f>IF(AG10=" "," ",IFERROR(VLOOKUP(AG10,Points!$A$2:$B$14,2,FALSE)," "))</f>
        <v xml:space="preserve"> </v>
      </c>
    </row>
    <row r="11" spans="2:34" x14ac:dyDescent="0.25">
      <c r="B11" s="90" t="s">
        <v>190</v>
      </c>
      <c r="C11" s="92">
        <v>10.34</v>
      </c>
      <c r="D11" s="93">
        <f t="shared" si="0"/>
        <v>1</v>
      </c>
      <c r="E11" s="93">
        <f t="shared" si="1"/>
        <v>1</v>
      </c>
      <c r="F11" s="94">
        <f>IF(E11=" "," ",IFERROR(VLOOKUP(D11,Points!$A$2:$B$14,2,FALSE)," "))</f>
        <v>18</v>
      </c>
      <c r="G11" s="92">
        <v>0</v>
      </c>
      <c r="H11" s="93" t="str">
        <f t="shared" si="2"/>
        <v xml:space="preserve"> </v>
      </c>
      <c r="I11" s="93" t="str">
        <f t="shared" si="3"/>
        <v xml:space="preserve"> </v>
      </c>
      <c r="J11" s="94" t="str">
        <f>IF(I11=" "," ",IFERROR(VLOOKUP(H11,Points!$A$2:$B$14,2,FALSE)," "))</f>
        <v xml:space="preserve"> </v>
      </c>
      <c r="K11" s="92"/>
      <c r="L11" s="93" t="str">
        <f t="shared" si="4"/>
        <v xml:space="preserve"> </v>
      </c>
      <c r="M11" s="93" t="str">
        <f t="shared" si="5"/>
        <v xml:space="preserve"> </v>
      </c>
      <c r="N11" s="94" t="str">
        <f>IF(M11=" "," ",IFERROR(VLOOKUP(L11,Points!$A$2:$B$14,2,FALSE)," "))</f>
        <v xml:space="preserve"> </v>
      </c>
      <c r="O11" s="92">
        <v>0</v>
      </c>
      <c r="P11" s="93" t="str">
        <f t="shared" si="6"/>
        <v xml:space="preserve"> </v>
      </c>
      <c r="Q11" s="93" t="str">
        <f t="shared" si="7"/>
        <v xml:space="preserve"> </v>
      </c>
      <c r="R11" s="94" t="str">
        <f>IF(Q11=" "," ",IFERROR(VLOOKUP(P11,Points!$A$2:$B$14,2,FALSE)," "))</f>
        <v xml:space="preserve"> </v>
      </c>
      <c r="S11" s="92">
        <v>24.19</v>
      </c>
      <c r="T11" s="93">
        <f t="shared" si="8"/>
        <v>3</v>
      </c>
      <c r="U11" s="93">
        <f t="shared" si="9"/>
        <v>3</v>
      </c>
      <c r="V11" s="94">
        <f>IF(U11=" "," ",IFERROR(VLOOKUP(T11,Points!$A$2:$B$14,2,FALSE)," "))</f>
        <v>12</v>
      </c>
      <c r="W11" s="92">
        <v>0</v>
      </c>
      <c r="X11" s="93" t="str">
        <f t="shared" si="10"/>
        <v xml:space="preserve"> </v>
      </c>
      <c r="Y11" s="93" t="str">
        <f t="shared" si="11"/>
        <v xml:space="preserve"> </v>
      </c>
      <c r="Z11" s="94" t="str">
        <f>IF(Y11=" "," ",IFERROR(VLOOKUP(X11,Points!$A$2:$B$14,2,FALSE)," "))</f>
        <v xml:space="preserve"> </v>
      </c>
      <c r="AA11" s="92">
        <v>16.8</v>
      </c>
      <c r="AB11" s="93">
        <f t="shared" si="12"/>
        <v>1</v>
      </c>
      <c r="AC11" s="93">
        <f t="shared" si="13"/>
        <v>1</v>
      </c>
      <c r="AD11" s="94">
        <f>IF(AC11=" "," ",IFERROR(VLOOKUP(AB11,Points!$A$2:$B$14,2,FALSE)," "))</f>
        <v>18</v>
      </c>
      <c r="AE11" s="163" t="s">
        <v>299</v>
      </c>
      <c r="AF11" s="93">
        <v>2</v>
      </c>
      <c r="AG11" s="93">
        <v>2</v>
      </c>
      <c r="AH11" s="94">
        <f>IF(AG11=" "," ",IFERROR(VLOOKUP(AG11,Points!$A$2:$B$14,2,FALSE)," "))</f>
        <v>15</v>
      </c>
    </row>
    <row r="12" spans="2:34" x14ac:dyDescent="0.25">
      <c r="B12" s="90" t="s">
        <v>265</v>
      </c>
      <c r="C12" s="92"/>
      <c r="D12" s="93" t="str">
        <f t="shared" si="0"/>
        <v xml:space="preserve"> </v>
      </c>
      <c r="E12" s="93" t="str">
        <f t="shared" si="1"/>
        <v xml:space="preserve"> </v>
      </c>
      <c r="F12" s="94" t="str">
        <f>IF(E12=" "," ",IFERROR(VLOOKUP(D12,Points!$A$2:$B$14,2,FALSE)," "))</f>
        <v xml:space="preserve"> </v>
      </c>
      <c r="G12" s="92"/>
      <c r="H12" s="93" t="str">
        <f t="shared" si="2"/>
        <v xml:space="preserve"> </v>
      </c>
      <c r="I12" s="93" t="str">
        <f t="shared" si="3"/>
        <v xml:space="preserve"> </v>
      </c>
      <c r="J12" s="94" t="str">
        <f>IF(I12=" "," ",IFERROR(VLOOKUP(H12,Points!$A$2:$B$14,2,FALSE)," "))</f>
        <v xml:space="preserve"> </v>
      </c>
      <c r="K12" s="92">
        <v>20.56</v>
      </c>
      <c r="L12" s="93">
        <f t="shared" si="4"/>
        <v>2</v>
      </c>
      <c r="M12" s="93">
        <f t="shared" si="5"/>
        <v>2</v>
      </c>
      <c r="N12" s="94">
        <f>IF(M12=" "," ",IFERROR(VLOOKUP(L12,Points!$A$2:$B$14,2,FALSE)," "))</f>
        <v>15</v>
      </c>
      <c r="O12" s="92"/>
      <c r="P12" s="93" t="str">
        <f t="shared" si="6"/>
        <v xml:space="preserve"> </v>
      </c>
      <c r="Q12" s="93" t="str">
        <f t="shared" si="7"/>
        <v xml:space="preserve"> </v>
      </c>
      <c r="R12" s="94" t="str">
        <f>IF(Q12=" "," ",IFERROR(VLOOKUP(P12,Points!$A$2:$B$14,2,FALSE)," "))</f>
        <v xml:space="preserve"> </v>
      </c>
      <c r="S12" s="92"/>
      <c r="T12" s="93" t="str">
        <f t="shared" si="8"/>
        <v xml:space="preserve"> </v>
      </c>
      <c r="U12" s="93" t="str">
        <f t="shared" si="9"/>
        <v xml:space="preserve"> </v>
      </c>
      <c r="V12" s="94" t="str">
        <f>IF(U12=" "," ",IFERROR(VLOOKUP(T12,Points!$A$2:$B$14,2,FALSE)," "))</f>
        <v xml:space="preserve"> </v>
      </c>
      <c r="W12" s="92">
        <v>25.59</v>
      </c>
      <c r="X12" s="93">
        <f t="shared" si="10"/>
        <v>2</v>
      </c>
      <c r="Y12" s="93">
        <f t="shared" si="11"/>
        <v>2</v>
      </c>
      <c r="Z12" s="94">
        <f>IF(Y12=" "," ",IFERROR(VLOOKUP(X12,Points!$A$2:$B$14,2,FALSE)," "))</f>
        <v>15</v>
      </c>
      <c r="AA12" s="92">
        <v>0</v>
      </c>
      <c r="AB12" s="93" t="str">
        <f t="shared" si="12"/>
        <v xml:space="preserve"> </v>
      </c>
      <c r="AC12" s="93" t="str">
        <f t="shared" si="13"/>
        <v xml:space="preserve"> </v>
      </c>
      <c r="AD12" s="94" t="str">
        <f>IF(AC12=" "," ",IFERROR(VLOOKUP(AB12,Points!$A$2:$B$14,2,FALSE)," "))</f>
        <v xml:space="preserve"> </v>
      </c>
      <c r="AE12" s="163" t="s">
        <v>300</v>
      </c>
      <c r="AF12" s="93">
        <v>4</v>
      </c>
      <c r="AG12" s="93">
        <v>4</v>
      </c>
      <c r="AH12" s="94">
        <f>IF(AG12=" "," ",IFERROR(VLOOKUP(AG12,Points!$A$2:$B$14,2,FALSE)," "))</f>
        <v>9</v>
      </c>
    </row>
    <row r="13" spans="2:34" x14ac:dyDescent="0.25">
      <c r="B13" s="90" t="s">
        <v>266</v>
      </c>
      <c r="C13" s="92"/>
      <c r="D13" s="93" t="str">
        <f t="shared" si="0"/>
        <v xml:space="preserve"> </v>
      </c>
      <c r="E13" s="93" t="str">
        <f t="shared" si="1"/>
        <v xml:space="preserve"> </v>
      </c>
      <c r="F13" s="94" t="str">
        <f>IF(E13=" "," ",IFERROR(VLOOKUP(D13,Points!$A$2:$B$14,2,FALSE)," "))</f>
        <v xml:space="preserve"> </v>
      </c>
      <c r="G13" s="92"/>
      <c r="H13" s="93" t="str">
        <f t="shared" si="2"/>
        <v xml:space="preserve"> </v>
      </c>
      <c r="I13" s="93" t="str">
        <f t="shared" si="3"/>
        <v xml:space="preserve"> </v>
      </c>
      <c r="J13" s="94" t="str">
        <f>IF(I13=" "," ",IFERROR(VLOOKUP(H13,Points!$A$2:$B$14,2,FALSE)," "))</f>
        <v xml:space="preserve"> </v>
      </c>
      <c r="K13" s="92">
        <v>0</v>
      </c>
      <c r="L13" s="93" t="str">
        <f t="shared" si="4"/>
        <v xml:space="preserve"> </v>
      </c>
      <c r="M13" s="93" t="str">
        <f t="shared" si="5"/>
        <v xml:space="preserve"> </v>
      </c>
      <c r="N13" s="94" t="str">
        <f>IF(M13=" "," ",IFERROR(VLOOKUP(L13,Points!$A$2:$B$14,2,FALSE)," "))</f>
        <v xml:space="preserve"> </v>
      </c>
      <c r="O13" s="92"/>
      <c r="P13" s="93" t="str">
        <f t="shared" si="6"/>
        <v xml:space="preserve"> </v>
      </c>
      <c r="Q13" s="93" t="str">
        <f t="shared" si="7"/>
        <v xml:space="preserve"> </v>
      </c>
      <c r="R13" s="94" t="str">
        <f>IF(Q13=" "," ",IFERROR(VLOOKUP(P13,Points!$A$2:$B$14,2,FALSE)," "))</f>
        <v xml:space="preserve"> </v>
      </c>
      <c r="S13" s="92"/>
      <c r="T13" s="93" t="str">
        <f t="shared" si="8"/>
        <v xml:space="preserve"> </v>
      </c>
      <c r="U13" s="93" t="str">
        <f t="shared" si="9"/>
        <v xml:space="preserve"> </v>
      </c>
      <c r="V13" s="94" t="str">
        <f>IF(U13=" "," ",IFERROR(VLOOKUP(T13,Points!$A$2:$B$14,2,FALSE)," "))</f>
        <v xml:space="preserve"> </v>
      </c>
      <c r="W13" s="92"/>
      <c r="X13" s="93" t="str">
        <f t="shared" si="10"/>
        <v xml:space="preserve"> </v>
      </c>
      <c r="Y13" s="93" t="str">
        <f t="shared" si="11"/>
        <v xml:space="preserve"> </v>
      </c>
      <c r="Z13" s="94" t="str">
        <f>IF(Y13=" "," ",IFERROR(VLOOKUP(X13,Points!$A$2:$B$14,2,FALSE)," "))</f>
        <v xml:space="preserve"> </v>
      </c>
      <c r="AA13" s="92"/>
      <c r="AB13" s="93" t="str">
        <f t="shared" si="12"/>
        <v xml:space="preserve"> </v>
      </c>
      <c r="AC13" s="93" t="str">
        <f t="shared" si="13"/>
        <v xml:space="preserve"> </v>
      </c>
      <c r="AD13" s="94" t="str">
        <f>IF(AC13=" "," ",IFERROR(VLOOKUP(AB13,Points!$A$2:$B$14,2,FALSE)," "))</f>
        <v xml:space="preserve"> </v>
      </c>
      <c r="AE13" s="163" t="str">
        <f t="shared" ref="AE13:AE25" si="15">IF(OR(W13=0,AA13=0)," ",W13+AA13)</f>
        <v xml:space="preserve"> </v>
      </c>
      <c r="AF13" s="93" t="str">
        <f t="shared" si="14"/>
        <v xml:space="preserve"> </v>
      </c>
      <c r="AG13" s="93" t="str">
        <f t="shared" ref="AG13:AG24" si="16">IF(OR(AE13=0,AE13=" ")," ",IF((RANK(AE13,AE$5:AE$24,1)-COUNTIF(AE$5:AE$24,0)&gt;6)," ",RANK(AE13,AE$5:AE$24,1)-COUNTIF(AE$5:AE$24,0)))</f>
        <v xml:space="preserve"> </v>
      </c>
      <c r="AH13" s="94" t="str">
        <f>IF(AG13=" "," ",IFERROR(VLOOKUP(AG13,Points!$A$2:$B$14,2,FALSE)," "))</f>
        <v xml:space="preserve"> </v>
      </c>
    </row>
    <row r="14" spans="2:34" x14ac:dyDescent="0.25">
      <c r="B14" s="90" t="s">
        <v>267</v>
      </c>
      <c r="C14" s="92"/>
      <c r="D14" s="93" t="str">
        <f t="shared" si="0"/>
        <v xml:space="preserve"> </v>
      </c>
      <c r="E14" s="93" t="str">
        <f t="shared" si="1"/>
        <v xml:space="preserve"> </v>
      </c>
      <c r="F14" s="94" t="str">
        <f>IF(E14=" "," ",IFERROR(VLOOKUP(D14,Points!$A$2:$B$14,2,FALSE)," "))</f>
        <v xml:space="preserve"> </v>
      </c>
      <c r="G14" s="92"/>
      <c r="H14" s="93" t="str">
        <f t="shared" si="2"/>
        <v xml:space="preserve"> </v>
      </c>
      <c r="I14" s="93" t="str">
        <f t="shared" si="3"/>
        <v xml:space="preserve"> </v>
      </c>
      <c r="J14" s="94" t="str">
        <f>IF(I14=" "," ",IFERROR(VLOOKUP(H14,Points!$A$2:$B$14,2,FALSE)," "))</f>
        <v xml:space="preserve"> </v>
      </c>
      <c r="K14" s="92"/>
      <c r="L14" s="93" t="str">
        <f t="shared" si="4"/>
        <v xml:space="preserve"> </v>
      </c>
      <c r="M14" s="93" t="str">
        <f t="shared" si="5"/>
        <v xml:space="preserve"> </v>
      </c>
      <c r="N14" s="94" t="str">
        <f>IF(M14=" "," ",IFERROR(VLOOKUP(L14,Points!$A$2:$B$14,2,FALSE)," "))</f>
        <v xml:space="preserve"> </v>
      </c>
      <c r="O14" s="92">
        <v>0</v>
      </c>
      <c r="P14" s="93" t="str">
        <f t="shared" si="6"/>
        <v xml:space="preserve"> </v>
      </c>
      <c r="Q14" s="93" t="str">
        <f t="shared" si="7"/>
        <v xml:space="preserve"> </v>
      </c>
      <c r="R14" s="94" t="str">
        <f>IF(Q14=" "," ",IFERROR(VLOOKUP(P14,Points!$A$2:$B$14,2,FALSE)," "))</f>
        <v xml:space="preserve"> </v>
      </c>
      <c r="S14" s="92"/>
      <c r="T14" s="93" t="str">
        <f t="shared" si="8"/>
        <v xml:space="preserve"> </v>
      </c>
      <c r="U14" s="93" t="str">
        <f t="shared" si="9"/>
        <v xml:space="preserve"> </v>
      </c>
      <c r="V14" s="94" t="str">
        <f>IF(U14=" "," ",IFERROR(VLOOKUP(T14,Points!$A$2:$B$14,2,FALSE)," "))</f>
        <v xml:space="preserve"> </v>
      </c>
      <c r="W14" s="92"/>
      <c r="X14" s="93" t="str">
        <f t="shared" si="10"/>
        <v xml:space="preserve"> </v>
      </c>
      <c r="Y14" s="93" t="str">
        <f t="shared" si="11"/>
        <v xml:space="preserve"> </v>
      </c>
      <c r="Z14" s="94" t="str">
        <f>IF(Y14=" "," ",IFERROR(VLOOKUP(X14,Points!$A$2:$B$14,2,FALSE)," "))</f>
        <v xml:space="preserve"> </v>
      </c>
      <c r="AA14" s="92"/>
      <c r="AB14" s="93" t="str">
        <f t="shared" si="12"/>
        <v xml:space="preserve"> </v>
      </c>
      <c r="AC14" s="93" t="str">
        <f t="shared" si="13"/>
        <v xml:space="preserve"> </v>
      </c>
      <c r="AD14" s="94" t="str">
        <f>IF(AC14=" "," ",IFERROR(VLOOKUP(AB14,Points!$A$2:$B$14,2,FALSE)," "))</f>
        <v xml:space="preserve"> </v>
      </c>
      <c r="AE14" s="92" t="str">
        <f t="shared" si="15"/>
        <v xml:space="preserve"> </v>
      </c>
      <c r="AF14" s="93" t="str">
        <f t="shared" si="14"/>
        <v xml:space="preserve"> </v>
      </c>
      <c r="AG14" s="93" t="str">
        <f t="shared" si="16"/>
        <v xml:space="preserve"> </v>
      </c>
      <c r="AH14" s="94" t="str">
        <f>IF(AG14=" "," ",IFERROR(VLOOKUP(AG14,Points!$A$2:$B$14,2,FALSE)," "))</f>
        <v xml:space="preserve"> </v>
      </c>
    </row>
    <row r="15" spans="2:34" x14ac:dyDescent="0.25">
      <c r="B15" s="90" t="s">
        <v>268</v>
      </c>
      <c r="C15" s="92"/>
      <c r="D15" s="93" t="str">
        <f t="shared" si="0"/>
        <v xml:space="preserve"> </v>
      </c>
      <c r="E15" s="93" t="str">
        <f t="shared" si="1"/>
        <v xml:space="preserve"> </v>
      </c>
      <c r="F15" s="94" t="str">
        <f>IF(E15=" "," ",IFERROR(VLOOKUP(D15,Points!$A$2:$B$14,2,FALSE)," "))</f>
        <v xml:space="preserve"> </v>
      </c>
      <c r="G15" s="92"/>
      <c r="H15" s="93" t="str">
        <f t="shared" si="2"/>
        <v xml:space="preserve"> </v>
      </c>
      <c r="I15" s="93" t="str">
        <f t="shared" si="3"/>
        <v xml:space="preserve"> </v>
      </c>
      <c r="J15" s="94" t="str">
        <f>IF(I15=" "," ",IFERROR(VLOOKUP(H15,Points!$A$2:$B$14,2,FALSE)," "))</f>
        <v xml:space="preserve"> </v>
      </c>
      <c r="K15" s="92"/>
      <c r="L15" s="93" t="str">
        <f t="shared" si="4"/>
        <v xml:space="preserve"> </v>
      </c>
      <c r="M15" s="93" t="str">
        <f t="shared" si="5"/>
        <v xml:space="preserve"> </v>
      </c>
      <c r="N15" s="94" t="str">
        <f>IF(M15=" "," ",IFERROR(VLOOKUP(L15,Points!$A$2:$B$14,2,FALSE)," "))</f>
        <v xml:space="preserve"> </v>
      </c>
      <c r="O15" s="92">
        <v>0</v>
      </c>
      <c r="P15" s="93" t="str">
        <f t="shared" si="6"/>
        <v xml:space="preserve"> </v>
      </c>
      <c r="Q15" s="93" t="str">
        <f t="shared" si="7"/>
        <v xml:space="preserve"> </v>
      </c>
      <c r="R15" s="94" t="str">
        <f>IF(Q15=" "," ",IFERROR(VLOOKUP(P15,Points!$A$2:$B$14,2,FALSE)," "))</f>
        <v xml:space="preserve"> </v>
      </c>
      <c r="S15" s="92"/>
      <c r="T15" s="93" t="str">
        <f t="shared" si="8"/>
        <v xml:space="preserve"> </v>
      </c>
      <c r="U15" s="93" t="str">
        <f t="shared" si="9"/>
        <v xml:space="preserve"> </v>
      </c>
      <c r="V15" s="94" t="str">
        <f>IF(U15=" "," ",IFERROR(VLOOKUP(T15,Points!$A$2:$B$14,2,FALSE)," "))</f>
        <v xml:space="preserve"> </v>
      </c>
      <c r="W15" s="92"/>
      <c r="X15" s="93" t="str">
        <f t="shared" si="10"/>
        <v xml:space="preserve"> </v>
      </c>
      <c r="Y15" s="93" t="str">
        <f t="shared" si="11"/>
        <v xml:space="preserve"> </v>
      </c>
      <c r="Z15" s="94" t="str">
        <f>IF(Y15=" "," ",IFERROR(VLOOKUP(X15,Points!$A$2:$B$14,2,FALSE)," "))</f>
        <v xml:space="preserve"> </v>
      </c>
      <c r="AA15" s="92"/>
      <c r="AB15" s="93" t="str">
        <f t="shared" si="12"/>
        <v xml:space="preserve"> </v>
      </c>
      <c r="AC15" s="93" t="str">
        <f t="shared" si="13"/>
        <v xml:space="preserve"> </v>
      </c>
      <c r="AD15" s="94" t="str">
        <f>IF(AC15=" "," ",IFERROR(VLOOKUP(AB15,Points!$A$2:$B$14,2,FALSE)," "))</f>
        <v xml:space="preserve"> </v>
      </c>
      <c r="AE15" s="92" t="str">
        <f t="shared" si="15"/>
        <v xml:space="preserve"> </v>
      </c>
      <c r="AF15" s="93" t="str">
        <f t="shared" si="14"/>
        <v xml:space="preserve"> </v>
      </c>
      <c r="AG15" s="93" t="str">
        <f t="shared" si="16"/>
        <v xml:space="preserve"> </v>
      </c>
      <c r="AH15" s="94" t="str">
        <f>IF(AG15=" "," ",IFERROR(VLOOKUP(AG15,Points!$A$2:$B$14,2,FALSE)," "))</f>
        <v xml:space="preserve"> </v>
      </c>
    </row>
    <row r="16" spans="2:34" x14ac:dyDescent="0.25">
      <c r="B16" s="90" t="s">
        <v>269</v>
      </c>
      <c r="C16" s="92"/>
      <c r="D16" s="97" t="str">
        <f t="shared" si="0"/>
        <v xml:space="preserve"> </v>
      </c>
      <c r="E16" s="97" t="str">
        <f t="shared" si="1"/>
        <v xml:space="preserve"> </v>
      </c>
      <c r="F16" s="94" t="str">
        <f>IF(E16=" "," ",IFERROR(VLOOKUP(D16,Points!$A$2:$B$14,2,FALSE)," "))</f>
        <v xml:space="preserve"> </v>
      </c>
      <c r="G16" s="92"/>
      <c r="H16" s="97" t="str">
        <f t="shared" si="2"/>
        <v xml:space="preserve"> </v>
      </c>
      <c r="I16" s="97" t="str">
        <f t="shared" si="3"/>
        <v xml:space="preserve"> </v>
      </c>
      <c r="J16" s="94" t="str">
        <f>IF(I16=" "," ",IFERROR(VLOOKUP(H16,Points!$A$2:$B$14,2,FALSE)," "))</f>
        <v xml:space="preserve"> </v>
      </c>
      <c r="K16" s="92"/>
      <c r="L16" s="97" t="str">
        <f t="shared" si="4"/>
        <v xml:space="preserve"> </v>
      </c>
      <c r="M16" s="97" t="str">
        <f t="shared" si="5"/>
        <v xml:space="preserve"> </v>
      </c>
      <c r="N16" s="94" t="str">
        <f>IF(M16=" "," ",IFERROR(VLOOKUP(L16,Points!$A$2:$B$14,2,FALSE)," "))</f>
        <v xml:space="preserve"> </v>
      </c>
      <c r="O16" s="92">
        <v>20.25</v>
      </c>
      <c r="P16" s="97">
        <f t="shared" si="6"/>
        <v>1</v>
      </c>
      <c r="Q16" s="97">
        <f t="shared" si="7"/>
        <v>1</v>
      </c>
      <c r="R16" s="94">
        <f>IF(Q16=" "," ",IFERROR(VLOOKUP(P16,Points!$A$2:$B$14,2,FALSE)," "))</f>
        <v>18</v>
      </c>
      <c r="S16" s="92"/>
      <c r="T16" s="97" t="str">
        <f t="shared" si="8"/>
        <v xml:space="preserve"> </v>
      </c>
      <c r="U16" s="97" t="str">
        <f t="shared" si="9"/>
        <v xml:space="preserve"> </v>
      </c>
      <c r="V16" s="94" t="str">
        <f>IF(U16=" "," ",IFERROR(VLOOKUP(T16,Points!$A$2:$B$14,2,FALSE)," "))</f>
        <v xml:space="preserve"> </v>
      </c>
      <c r="W16" s="92"/>
      <c r="X16" s="97" t="str">
        <f t="shared" si="10"/>
        <v xml:space="preserve"> </v>
      </c>
      <c r="Y16" s="97" t="str">
        <f t="shared" si="11"/>
        <v xml:space="preserve"> </v>
      </c>
      <c r="Z16" s="94" t="str">
        <f>IF(Y16=" "," ",IFERROR(VLOOKUP(X16,Points!$A$2:$B$14,2,FALSE)," "))</f>
        <v xml:space="preserve"> </v>
      </c>
      <c r="AA16" s="92"/>
      <c r="AB16" s="97" t="str">
        <f t="shared" si="12"/>
        <v xml:space="preserve"> </v>
      </c>
      <c r="AC16" s="97" t="str">
        <f t="shared" si="13"/>
        <v xml:space="preserve"> </v>
      </c>
      <c r="AD16" s="94" t="str">
        <f>IF(AC16=" "," ",IFERROR(VLOOKUP(AB16,Points!$A$2:$B$14,2,FALSE)," "))</f>
        <v xml:space="preserve"> </v>
      </c>
      <c r="AE16" s="92" t="str">
        <f t="shared" si="15"/>
        <v xml:space="preserve"> </v>
      </c>
      <c r="AF16" s="97" t="str">
        <f t="shared" si="14"/>
        <v xml:space="preserve"> </v>
      </c>
      <c r="AG16" s="97" t="str">
        <f t="shared" si="16"/>
        <v xml:space="preserve"> </v>
      </c>
      <c r="AH16" s="94" t="str">
        <f>IF(AG16=" "," ",IFERROR(VLOOKUP(AG16,Points!$A$2:$B$14,2,FALSE)," "))</f>
        <v xml:space="preserve"> </v>
      </c>
    </row>
    <row r="17" spans="2:34" x14ac:dyDescent="0.25">
      <c r="B17" s="90"/>
      <c r="C17" s="92"/>
      <c r="D17" s="97" t="str">
        <f t="shared" si="0"/>
        <v xml:space="preserve"> </v>
      </c>
      <c r="E17" s="97" t="str">
        <f t="shared" si="1"/>
        <v xml:space="preserve"> </v>
      </c>
      <c r="F17" s="94" t="str">
        <f>IF(E17=" "," ",IFERROR(VLOOKUP(D17,Points!$A$2:$B$14,2,FALSE)," "))</f>
        <v xml:space="preserve"> </v>
      </c>
      <c r="G17" s="92"/>
      <c r="H17" s="97" t="str">
        <f t="shared" si="2"/>
        <v xml:space="preserve"> </v>
      </c>
      <c r="I17" s="97" t="str">
        <f t="shared" si="3"/>
        <v xml:space="preserve"> </v>
      </c>
      <c r="J17" s="94" t="str">
        <f>IF(I17=" "," ",IFERROR(VLOOKUP(H17,Points!$A$2:$B$14,2,FALSE)," "))</f>
        <v xml:space="preserve"> </v>
      </c>
      <c r="K17" s="92"/>
      <c r="L17" s="97" t="str">
        <f t="shared" si="4"/>
        <v xml:space="preserve"> </v>
      </c>
      <c r="M17" s="97" t="str">
        <f t="shared" si="5"/>
        <v xml:space="preserve"> </v>
      </c>
      <c r="N17" s="94" t="str">
        <f>IF(M17=" "," ",IFERROR(VLOOKUP(L17,Points!$A$2:$B$14,2,FALSE)," "))</f>
        <v xml:space="preserve"> </v>
      </c>
      <c r="O17" s="92"/>
      <c r="P17" s="97" t="str">
        <f t="shared" si="6"/>
        <v xml:space="preserve"> </v>
      </c>
      <c r="Q17" s="97" t="str">
        <f t="shared" si="7"/>
        <v xml:space="preserve"> </v>
      </c>
      <c r="R17" s="94" t="str">
        <f>IF(Q17=" "," ",IFERROR(VLOOKUP(P17,Points!$A$2:$B$14,2,FALSE)," "))</f>
        <v xml:space="preserve"> </v>
      </c>
      <c r="S17" s="92"/>
      <c r="T17" s="97" t="str">
        <f t="shared" si="8"/>
        <v xml:space="preserve"> </v>
      </c>
      <c r="U17" s="97" t="str">
        <f t="shared" si="9"/>
        <v xml:space="preserve"> </v>
      </c>
      <c r="V17" s="94" t="str">
        <f>IF(U17=" "," ",IFERROR(VLOOKUP(T17,Points!$A$2:$B$14,2,FALSE)," "))</f>
        <v xml:space="preserve"> </v>
      </c>
      <c r="W17" s="92"/>
      <c r="X17" s="97" t="str">
        <f t="shared" si="10"/>
        <v xml:space="preserve"> </v>
      </c>
      <c r="Y17" s="97" t="str">
        <f t="shared" si="11"/>
        <v xml:space="preserve"> </v>
      </c>
      <c r="Z17" s="94" t="str">
        <f>IF(Y17=" "," ",IFERROR(VLOOKUP(X17,Points!$A$2:$B$14,2,FALSE)," "))</f>
        <v xml:space="preserve"> </v>
      </c>
      <c r="AA17" s="92"/>
      <c r="AB17" s="97" t="str">
        <f t="shared" si="12"/>
        <v xml:space="preserve"> </v>
      </c>
      <c r="AC17" s="97" t="str">
        <f t="shared" si="13"/>
        <v xml:space="preserve"> </v>
      </c>
      <c r="AD17" s="94" t="str">
        <f>IF(AC17=" "," ",IFERROR(VLOOKUP(AB17,Points!$A$2:$B$14,2,FALSE)," "))</f>
        <v xml:space="preserve"> </v>
      </c>
      <c r="AE17" s="92" t="str">
        <f t="shared" si="15"/>
        <v xml:space="preserve"> </v>
      </c>
      <c r="AF17" s="97" t="str">
        <f t="shared" si="14"/>
        <v xml:space="preserve"> </v>
      </c>
      <c r="AG17" s="97" t="str">
        <f t="shared" si="16"/>
        <v xml:space="preserve"> </v>
      </c>
      <c r="AH17" s="94" t="str">
        <f>IF(AG17=" "," ",IFERROR(VLOOKUP(AG17,Points!$A$2:$B$14,2,FALSE)," "))</f>
        <v xml:space="preserve"> </v>
      </c>
    </row>
    <row r="18" spans="2:34" x14ac:dyDescent="0.25">
      <c r="B18" s="90"/>
      <c r="C18" s="92"/>
      <c r="D18" s="97" t="str">
        <f t="shared" si="0"/>
        <v xml:space="preserve"> </v>
      </c>
      <c r="E18" s="97" t="str">
        <f t="shared" si="1"/>
        <v xml:space="preserve"> </v>
      </c>
      <c r="F18" s="94" t="str">
        <f>IF(E18=" "," ",IFERROR(VLOOKUP(D18,Points!$A$2:$B$14,2,FALSE)," "))</f>
        <v xml:space="preserve"> </v>
      </c>
      <c r="G18" s="92"/>
      <c r="H18" s="97" t="str">
        <f t="shared" si="2"/>
        <v xml:space="preserve"> </v>
      </c>
      <c r="I18" s="97" t="str">
        <f t="shared" si="3"/>
        <v xml:space="preserve"> </v>
      </c>
      <c r="J18" s="94" t="str">
        <f>IF(I18=" "," ",IFERROR(VLOOKUP(H18,Points!$A$2:$B$14,2,FALSE)," "))</f>
        <v xml:space="preserve"> </v>
      </c>
      <c r="K18" s="92"/>
      <c r="L18" s="97" t="str">
        <f t="shared" si="4"/>
        <v xml:space="preserve"> </v>
      </c>
      <c r="M18" s="97" t="str">
        <f t="shared" si="5"/>
        <v xml:space="preserve"> </v>
      </c>
      <c r="N18" s="94" t="str">
        <f>IF(M18=" "," ",IFERROR(VLOOKUP(L18,Points!$A$2:$B$14,2,FALSE)," "))</f>
        <v xml:space="preserve"> </v>
      </c>
      <c r="O18" s="92"/>
      <c r="P18" s="97" t="str">
        <f t="shared" si="6"/>
        <v xml:space="preserve"> </v>
      </c>
      <c r="Q18" s="97" t="str">
        <f t="shared" si="7"/>
        <v xml:space="preserve"> </v>
      </c>
      <c r="R18" s="94" t="str">
        <f>IF(Q18=" "," ",IFERROR(VLOOKUP(P18,Points!$A$2:$B$14,2,FALSE)," "))</f>
        <v xml:space="preserve"> </v>
      </c>
      <c r="S18" s="92"/>
      <c r="T18" s="97" t="str">
        <f t="shared" si="8"/>
        <v xml:space="preserve"> </v>
      </c>
      <c r="U18" s="97" t="str">
        <f t="shared" si="9"/>
        <v xml:space="preserve"> </v>
      </c>
      <c r="V18" s="94" t="str">
        <f>IF(U18=" "," ",IFERROR(VLOOKUP(T18,Points!$A$2:$B$14,2,FALSE)," "))</f>
        <v xml:space="preserve"> </v>
      </c>
      <c r="W18" s="92"/>
      <c r="X18" s="97" t="str">
        <f t="shared" si="10"/>
        <v xml:space="preserve"> </v>
      </c>
      <c r="Y18" s="97" t="str">
        <f t="shared" si="11"/>
        <v xml:space="preserve"> </v>
      </c>
      <c r="Z18" s="94" t="str">
        <f>IF(Y18=" "," ",IFERROR(VLOOKUP(X18,Points!$A$2:$B$14,2,FALSE)," "))</f>
        <v xml:space="preserve"> </v>
      </c>
      <c r="AA18" s="92"/>
      <c r="AB18" s="97" t="str">
        <f t="shared" si="12"/>
        <v xml:space="preserve"> </v>
      </c>
      <c r="AC18" s="97" t="str">
        <f t="shared" si="13"/>
        <v xml:space="preserve"> </v>
      </c>
      <c r="AD18" s="94" t="str">
        <f>IF(AC18=" "," ",IFERROR(VLOOKUP(AB18,Points!$A$2:$B$14,2,FALSE)," "))</f>
        <v xml:space="preserve"> </v>
      </c>
      <c r="AE18" s="92" t="str">
        <f t="shared" si="15"/>
        <v xml:space="preserve"> </v>
      </c>
      <c r="AF18" s="97" t="str">
        <f t="shared" si="14"/>
        <v xml:space="preserve"> </v>
      </c>
      <c r="AG18" s="97" t="str">
        <f t="shared" si="16"/>
        <v xml:space="preserve"> </v>
      </c>
      <c r="AH18" s="94" t="str">
        <f>IF(AG18=" "," ",IFERROR(VLOOKUP(AG18,Points!$A$2:$B$14,2,FALSE)," "))</f>
        <v xml:space="preserve"> </v>
      </c>
    </row>
    <row r="19" spans="2:34" x14ac:dyDescent="0.25">
      <c r="B19" s="90"/>
      <c r="C19" s="92"/>
      <c r="D19" s="93" t="str">
        <f t="shared" si="0"/>
        <v xml:space="preserve"> </v>
      </c>
      <c r="E19" s="93" t="str">
        <f t="shared" si="1"/>
        <v xml:space="preserve"> </v>
      </c>
      <c r="F19" s="94" t="str">
        <f>IF(E19=" "," ",IFERROR(VLOOKUP(D19,Points!$A$2:$B$14,2,FALSE)," "))</f>
        <v xml:space="preserve"> </v>
      </c>
      <c r="G19" s="92"/>
      <c r="H19" s="93" t="str">
        <f t="shared" si="2"/>
        <v xml:space="preserve"> </v>
      </c>
      <c r="I19" s="93" t="str">
        <f t="shared" si="3"/>
        <v xml:space="preserve"> </v>
      </c>
      <c r="J19" s="94" t="str">
        <f>IF(I19=" "," ",IFERROR(VLOOKUP(H19,Points!$A$2:$B$14,2,FALSE)," "))</f>
        <v xml:space="preserve"> </v>
      </c>
      <c r="K19" s="92"/>
      <c r="L19" s="93" t="str">
        <f t="shared" si="4"/>
        <v xml:space="preserve"> </v>
      </c>
      <c r="M19" s="93" t="str">
        <f t="shared" si="5"/>
        <v xml:space="preserve"> </v>
      </c>
      <c r="N19" s="94" t="str">
        <f>IF(M19=" "," ",IFERROR(VLOOKUP(L19,Points!$A$2:$B$14,2,FALSE)," "))</f>
        <v xml:space="preserve"> </v>
      </c>
      <c r="O19" s="92"/>
      <c r="P19" s="93" t="str">
        <f t="shared" si="6"/>
        <v xml:space="preserve"> </v>
      </c>
      <c r="Q19" s="93" t="str">
        <f t="shared" si="7"/>
        <v xml:space="preserve"> </v>
      </c>
      <c r="R19" s="94" t="str">
        <f>IF(Q19=" "," ",IFERROR(VLOOKUP(P19,Points!$A$2:$B$14,2,FALSE)," "))</f>
        <v xml:space="preserve"> </v>
      </c>
      <c r="S19" s="92"/>
      <c r="T19" s="93" t="str">
        <f t="shared" si="8"/>
        <v xml:space="preserve"> </v>
      </c>
      <c r="U19" s="93" t="str">
        <f t="shared" si="9"/>
        <v xml:space="preserve"> </v>
      </c>
      <c r="V19" s="94" t="str">
        <f>IF(U19=" "," ",IFERROR(VLOOKUP(T19,Points!$A$2:$B$14,2,FALSE)," "))</f>
        <v xml:space="preserve"> </v>
      </c>
      <c r="W19" s="92"/>
      <c r="X19" s="93" t="str">
        <f t="shared" si="10"/>
        <v xml:space="preserve"> </v>
      </c>
      <c r="Y19" s="93" t="str">
        <f t="shared" si="11"/>
        <v xml:space="preserve"> </v>
      </c>
      <c r="Z19" s="94" t="str">
        <f>IF(Y19=" "," ",IFERROR(VLOOKUP(X19,Points!$A$2:$B$14,2,FALSE)," "))</f>
        <v xml:space="preserve"> </v>
      </c>
      <c r="AA19" s="92"/>
      <c r="AB19" s="93" t="str">
        <f t="shared" si="12"/>
        <v xml:space="preserve"> </v>
      </c>
      <c r="AC19" s="93" t="str">
        <f t="shared" si="13"/>
        <v xml:space="preserve"> </v>
      </c>
      <c r="AD19" s="94" t="str">
        <f>IF(AC19=" "," ",IFERROR(VLOOKUP(AB19,Points!$A$2:$B$14,2,FALSE)," "))</f>
        <v xml:space="preserve"> </v>
      </c>
      <c r="AE19" s="92" t="str">
        <f t="shared" si="15"/>
        <v xml:space="preserve"> </v>
      </c>
      <c r="AF19" s="93" t="str">
        <f t="shared" si="14"/>
        <v xml:space="preserve"> </v>
      </c>
      <c r="AG19" s="93" t="str">
        <f t="shared" si="16"/>
        <v xml:space="preserve"> </v>
      </c>
      <c r="AH19" s="94" t="str">
        <f>IF(AG19=" "," ",IFERROR(VLOOKUP(AG19,Points!$A$2:$B$14,2,FALSE)," "))</f>
        <v xml:space="preserve"> </v>
      </c>
    </row>
    <row r="20" spans="2:34" x14ac:dyDescent="0.25">
      <c r="B20" s="90"/>
      <c r="C20" s="92"/>
      <c r="D20" s="93" t="str">
        <f t="shared" si="0"/>
        <v xml:space="preserve"> </v>
      </c>
      <c r="E20" s="93" t="str">
        <f t="shared" si="1"/>
        <v xml:space="preserve"> </v>
      </c>
      <c r="F20" s="94" t="str">
        <f>IF(E20=" "," ",IFERROR(VLOOKUP(D20,Points!$A$2:$B$14,2,FALSE)," "))</f>
        <v xml:space="preserve"> </v>
      </c>
      <c r="G20" s="92"/>
      <c r="H20" s="93" t="str">
        <f t="shared" si="2"/>
        <v xml:space="preserve"> </v>
      </c>
      <c r="I20" s="93" t="str">
        <f t="shared" si="3"/>
        <v xml:space="preserve"> </v>
      </c>
      <c r="J20" s="94" t="str">
        <f>IF(I20=" "," ",IFERROR(VLOOKUP(H20,Points!$A$2:$B$14,2,FALSE)," "))</f>
        <v xml:space="preserve"> </v>
      </c>
      <c r="K20" s="92"/>
      <c r="L20" s="93" t="str">
        <f t="shared" si="4"/>
        <v xml:space="preserve"> </v>
      </c>
      <c r="M20" s="93" t="str">
        <f t="shared" si="5"/>
        <v xml:space="preserve"> </v>
      </c>
      <c r="N20" s="94" t="str">
        <f>IF(M20=" "," ",IFERROR(VLOOKUP(L20,Points!$A$2:$B$14,2,FALSE)," "))</f>
        <v xml:space="preserve"> </v>
      </c>
      <c r="O20" s="92"/>
      <c r="P20" s="93" t="str">
        <f t="shared" si="6"/>
        <v xml:space="preserve"> </v>
      </c>
      <c r="Q20" s="93" t="str">
        <f t="shared" si="7"/>
        <v xml:space="preserve"> </v>
      </c>
      <c r="R20" s="94" t="str">
        <f>IF(Q20=" "," ",IFERROR(VLOOKUP(P20,Points!$A$2:$B$14,2,FALSE)," "))</f>
        <v xml:space="preserve"> </v>
      </c>
      <c r="S20" s="92"/>
      <c r="T20" s="93" t="str">
        <f t="shared" si="8"/>
        <v xml:space="preserve"> </v>
      </c>
      <c r="U20" s="93" t="str">
        <f t="shared" si="9"/>
        <v xml:space="preserve"> </v>
      </c>
      <c r="V20" s="94" t="str">
        <f>IF(U20=" "," ",IFERROR(VLOOKUP(T20,Points!$A$2:$B$14,2,FALSE)," "))</f>
        <v xml:space="preserve"> </v>
      </c>
      <c r="W20" s="92"/>
      <c r="X20" s="93" t="str">
        <f t="shared" si="10"/>
        <v xml:space="preserve"> </v>
      </c>
      <c r="Y20" s="93" t="str">
        <f t="shared" si="11"/>
        <v xml:space="preserve"> </v>
      </c>
      <c r="Z20" s="94" t="str">
        <f>IF(Y20=" "," ",IFERROR(VLOOKUP(X20,Points!$A$2:$B$14,2,FALSE)," "))</f>
        <v xml:space="preserve"> </v>
      </c>
      <c r="AA20" s="92"/>
      <c r="AB20" s="93" t="str">
        <f t="shared" si="12"/>
        <v xml:space="preserve"> </v>
      </c>
      <c r="AC20" s="93" t="str">
        <f t="shared" si="13"/>
        <v xml:space="preserve"> </v>
      </c>
      <c r="AD20" s="94" t="str">
        <f>IF(AC20=" "," ",IFERROR(VLOOKUP(AB20,Points!$A$2:$B$14,2,FALSE)," "))</f>
        <v xml:space="preserve"> </v>
      </c>
      <c r="AE20" s="92" t="str">
        <f t="shared" si="15"/>
        <v xml:space="preserve"> </v>
      </c>
      <c r="AF20" s="93" t="str">
        <f t="shared" si="14"/>
        <v xml:space="preserve"> </v>
      </c>
      <c r="AG20" s="93" t="str">
        <f t="shared" si="16"/>
        <v xml:space="preserve"> </v>
      </c>
      <c r="AH20" s="94" t="str">
        <f>IF(AG20=" "," ",IFERROR(VLOOKUP(AG20,Points!$A$2:$B$14,2,FALSE)," "))</f>
        <v xml:space="preserve"> </v>
      </c>
    </row>
    <row r="21" spans="2:34" x14ac:dyDescent="0.25">
      <c r="B21" s="90"/>
      <c r="C21" s="92"/>
      <c r="D21" s="93" t="str">
        <f t="shared" si="0"/>
        <v xml:space="preserve"> </v>
      </c>
      <c r="E21" s="93" t="str">
        <f t="shared" si="1"/>
        <v xml:space="preserve"> </v>
      </c>
      <c r="F21" s="94" t="str">
        <f>IF(E21=" "," ",IFERROR(VLOOKUP(D21,Points!$A$2:$B$14,2,FALSE)," "))</f>
        <v xml:space="preserve"> </v>
      </c>
      <c r="G21" s="92"/>
      <c r="H21" s="93" t="str">
        <f t="shared" si="2"/>
        <v xml:space="preserve"> </v>
      </c>
      <c r="I21" s="93" t="str">
        <f t="shared" si="3"/>
        <v xml:space="preserve"> </v>
      </c>
      <c r="J21" s="94" t="str">
        <f>IF(I21=" "," ",IFERROR(VLOOKUP(H21,Points!$A$2:$B$14,2,FALSE)," "))</f>
        <v xml:space="preserve"> </v>
      </c>
      <c r="K21" s="92"/>
      <c r="L21" s="93" t="str">
        <f t="shared" si="4"/>
        <v xml:space="preserve"> </v>
      </c>
      <c r="M21" s="93" t="str">
        <f t="shared" si="5"/>
        <v xml:space="preserve"> </v>
      </c>
      <c r="N21" s="94" t="str">
        <f>IF(M21=" "," ",IFERROR(VLOOKUP(L21,Points!$A$2:$B$14,2,FALSE)," "))</f>
        <v xml:space="preserve"> </v>
      </c>
      <c r="O21" s="92"/>
      <c r="P21" s="93" t="str">
        <f t="shared" si="6"/>
        <v xml:space="preserve"> </v>
      </c>
      <c r="Q21" s="93" t="str">
        <f t="shared" si="7"/>
        <v xml:space="preserve"> </v>
      </c>
      <c r="R21" s="94" t="str">
        <f>IF(Q21=" "," ",IFERROR(VLOOKUP(P21,Points!$A$2:$B$14,2,FALSE)," "))</f>
        <v xml:space="preserve"> </v>
      </c>
      <c r="S21" s="92"/>
      <c r="T21" s="93" t="str">
        <f t="shared" si="8"/>
        <v xml:space="preserve"> </v>
      </c>
      <c r="U21" s="93" t="str">
        <f t="shared" si="9"/>
        <v xml:space="preserve"> </v>
      </c>
      <c r="V21" s="94" t="str">
        <f>IF(U21=" "," ",IFERROR(VLOOKUP(T21,Points!$A$2:$B$14,2,FALSE)," "))</f>
        <v xml:space="preserve"> </v>
      </c>
      <c r="W21" s="92"/>
      <c r="X21" s="93" t="str">
        <f t="shared" si="10"/>
        <v xml:space="preserve"> </v>
      </c>
      <c r="Y21" s="93" t="str">
        <f t="shared" si="11"/>
        <v xml:space="preserve"> </v>
      </c>
      <c r="Z21" s="94" t="str">
        <f>IF(Y21=" "," ",IFERROR(VLOOKUP(X21,Points!$A$2:$B$14,2,FALSE)," "))</f>
        <v xml:space="preserve"> </v>
      </c>
      <c r="AA21" s="92"/>
      <c r="AB21" s="93" t="str">
        <f t="shared" si="12"/>
        <v xml:space="preserve"> </v>
      </c>
      <c r="AC21" s="93" t="str">
        <f t="shared" si="13"/>
        <v xml:space="preserve"> </v>
      </c>
      <c r="AD21" s="94" t="str">
        <f>IF(AC21=" "," ",IFERROR(VLOOKUP(AB21,Points!$A$2:$B$14,2,FALSE)," "))</f>
        <v xml:space="preserve"> </v>
      </c>
      <c r="AE21" s="92" t="str">
        <f t="shared" si="15"/>
        <v xml:space="preserve"> </v>
      </c>
      <c r="AF21" s="93" t="str">
        <f t="shared" si="14"/>
        <v xml:space="preserve"> </v>
      </c>
      <c r="AG21" s="93" t="str">
        <f t="shared" si="16"/>
        <v xml:space="preserve"> </v>
      </c>
      <c r="AH21" s="94" t="str">
        <f>IF(AG21=" "," ",IFERROR(VLOOKUP(AG21,Points!$A$2:$B$14,2,FALSE)," "))</f>
        <v xml:space="preserve"> </v>
      </c>
    </row>
    <row r="22" spans="2:34" x14ac:dyDescent="0.25">
      <c r="B22" s="90"/>
      <c r="C22" s="92"/>
      <c r="D22" s="93" t="str">
        <f t="shared" si="0"/>
        <v xml:space="preserve"> </v>
      </c>
      <c r="E22" s="93" t="str">
        <f t="shared" si="1"/>
        <v xml:space="preserve"> </v>
      </c>
      <c r="F22" s="94" t="str">
        <f>IF(E22=" "," ",IFERROR(VLOOKUP(D22,Points!$A$2:$B$14,2,FALSE)," "))</f>
        <v xml:space="preserve"> </v>
      </c>
      <c r="G22" s="92"/>
      <c r="H22" s="93" t="str">
        <f t="shared" si="2"/>
        <v xml:space="preserve"> </v>
      </c>
      <c r="I22" s="93" t="str">
        <f t="shared" si="3"/>
        <v xml:space="preserve"> </v>
      </c>
      <c r="J22" s="94" t="str">
        <f>IF(I22=" "," ",IFERROR(VLOOKUP(H22,Points!$A$2:$B$14,2,FALSE)," "))</f>
        <v xml:space="preserve"> </v>
      </c>
      <c r="K22" s="92"/>
      <c r="L22" s="93" t="str">
        <f t="shared" si="4"/>
        <v xml:space="preserve"> </v>
      </c>
      <c r="M22" s="93" t="str">
        <f t="shared" si="5"/>
        <v xml:space="preserve"> </v>
      </c>
      <c r="N22" s="94" t="str">
        <f>IF(M22=" "," ",IFERROR(VLOOKUP(L22,Points!$A$2:$B$14,2,FALSE)," "))</f>
        <v xml:space="preserve"> </v>
      </c>
      <c r="O22" s="92"/>
      <c r="P22" s="93" t="str">
        <f t="shared" si="6"/>
        <v xml:space="preserve"> </v>
      </c>
      <c r="Q22" s="93" t="str">
        <f t="shared" si="7"/>
        <v xml:space="preserve"> </v>
      </c>
      <c r="R22" s="94" t="str">
        <f>IF(Q22=" "," ",IFERROR(VLOOKUP(P22,Points!$A$2:$B$14,2,FALSE)," "))</f>
        <v xml:space="preserve"> </v>
      </c>
      <c r="S22" s="92"/>
      <c r="T22" s="93" t="str">
        <f t="shared" si="8"/>
        <v xml:space="preserve"> </v>
      </c>
      <c r="U22" s="93" t="str">
        <f t="shared" si="9"/>
        <v xml:space="preserve"> </v>
      </c>
      <c r="V22" s="94" t="str">
        <f>IF(U22=" "," ",IFERROR(VLOOKUP(T22,Points!$A$2:$B$14,2,FALSE)," "))</f>
        <v xml:space="preserve"> </v>
      </c>
      <c r="W22" s="92"/>
      <c r="X22" s="93" t="str">
        <f t="shared" si="10"/>
        <v xml:space="preserve"> </v>
      </c>
      <c r="Y22" s="93" t="str">
        <f t="shared" si="11"/>
        <v xml:space="preserve"> </v>
      </c>
      <c r="Z22" s="94" t="str">
        <f>IF(Y22=" "," ",IFERROR(VLOOKUP(X22,Points!$A$2:$B$14,2,FALSE)," "))</f>
        <v xml:space="preserve"> </v>
      </c>
      <c r="AA22" s="92"/>
      <c r="AB22" s="93" t="str">
        <f t="shared" si="12"/>
        <v xml:space="preserve"> </v>
      </c>
      <c r="AC22" s="93" t="str">
        <f t="shared" si="13"/>
        <v xml:space="preserve"> </v>
      </c>
      <c r="AD22" s="94" t="str">
        <f>IF(AC22=" "," ",IFERROR(VLOOKUP(AB22,Points!$A$2:$B$14,2,FALSE)," "))</f>
        <v xml:space="preserve"> </v>
      </c>
      <c r="AE22" s="92" t="str">
        <f t="shared" si="15"/>
        <v xml:space="preserve"> </v>
      </c>
      <c r="AF22" s="93" t="str">
        <f t="shared" si="14"/>
        <v xml:space="preserve"> </v>
      </c>
      <c r="AG22" s="93" t="str">
        <f t="shared" si="16"/>
        <v xml:space="preserve"> </v>
      </c>
      <c r="AH22" s="94" t="str">
        <f>IF(AG22=" "," ",IFERROR(VLOOKUP(AG22,Points!$A$2:$B$14,2,FALSE)," "))</f>
        <v xml:space="preserve"> </v>
      </c>
    </row>
    <row r="23" spans="2:34" x14ac:dyDescent="0.25">
      <c r="B23" s="90"/>
      <c r="C23" s="92"/>
      <c r="D23" s="93" t="str">
        <f t="shared" si="0"/>
        <v xml:space="preserve"> </v>
      </c>
      <c r="E23" s="93" t="str">
        <f t="shared" si="1"/>
        <v xml:space="preserve"> </v>
      </c>
      <c r="F23" s="94" t="str">
        <f>IF(E23=" "," ",IFERROR(VLOOKUP(D23,Points!$A$2:$B$14,2,FALSE)," "))</f>
        <v xml:space="preserve"> </v>
      </c>
      <c r="G23" s="92"/>
      <c r="H23" s="93" t="str">
        <f t="shared" si="2"/>
        <v xml:space="preserve"> </v>
      </c>
      <c r="I23" s="93" t="str">
        <f t="shared" si="3"/>
        <v xml:space="preserve"> </v>
      </c>
      <c r="J23" s="94" t="str">
        <f>IF(I23=" "," ",IFERROR(VLOOKUP(H23,Points!$A$2:$B$14,2,FALSE)," "))</f>
        <v xml:space="preserve"> </v>
      </c>
      <c r="K23" s="92"/>
      <c r="L23" s="93" t="str">
        <f t="shared" si="4"/>
        <v xml:space="preserve"> </v>
      </c>
      <c r="M23" s="93" t="str">
        <f t="shared" si="5"/>
        <v xml:space="preserve"> </v>
      </c>
      <c r="N23" s="94" t="str">
        <f>IF(M23=" "," ",IFERROR(VLOOKUP(L23,Points!$A$2:$B$14,2,FALSE)," "))</f>
        <v xml:space="preserve"> </v>
      </c>
      <c r="O23" s="92"/>
      <c r="P23" s="93" t="str">
        <f t="shared" si="6"/>
        <v xml:space="preserve"> </v>
      </c>
      <c r="Q23" s="93" t="str">
        <f t="shared" si="7"/>
        <v xml:space="preserve"> </v>
      </c>
      <c r="R23" s="94" t="str">
        <f>IF(Q23=" "," ",IFERROR(VLOOKUP(P23,Points!$A$2:$B$14,2,FALSE)," "))</f>
        <v xml:space="preserve"> </v>
      </c>
      <c r="S23" s="92"/>
      <c r="T23" s="93" t="str">
        <f t="shared" si="8"/>
        <v xml:space="preserve"> </v>
      </c>
      <c r="U23" s="93" t="str">
        <f t="shared" si="9"/>
        <v xml:space="preserve"> </v>
      </c>
      <c r="V23" s="94" t="str">
        <f>IF(U23=" "," ",IFERROR(VLOOKUP(T23,Points!$A$2:$B$14,2,FALSE)," "))</f>
        <v xml:space="preserve"> </v>
      </c>
      <c r="W23" s="92"/>
      <c r="X23" s="93" t="str">
        <f t="shared" si="10"/>
        <v xml:space="preserve"> </v>
      </c>
      <c r="Y23" s="93" t="str">
        <f t="shared" si="11"/>
        <v xml:space="preserve"> </v>
      </c>
      <c r="Z23" s="94" t="str">
        <f>IF(Y23=" "," ",IFERROR(VLOOKUP(X23,Points!$A$2:$B$14,2,FALSE)," "))</f>
        <v xml:space="preserve"> </v>
      </c>
      <c r="AA23" s="92"/>
      <c r="AB23" s="93" t="str">
        <f t="shared" si="12"/>
        <v xml:space="preserve"> </v>
      </c>
      <c r="AC23" s="93" t="str">
        <f t="shared" si="13"/>
        <v xml:space="preserve"> </v>
      </c>
      <c r="AD23" s="94" t="str">
        <f>IF(AC23=" "," ",IFERROR(VLOOKUP(AB23,Points!$A$2:$B$14,2,FALSE)," "))</f>
        <v xml:space="preserve"> </v>
      </c>
      <c r="AE23" s="92" t="str">
        <f t="shared" si="15"/>
        <v xml:space="preserve"> </v>
      </c>
      <c r="AF23" s="93" t="str">
        <f t="shared" si="14"/>
        <v xml:space="preserve"> </v>
      </c>
      <c r="AG23" s="93" t="str">
        <f t="shared" si="16"/>
        <v xml:space="preserve"> </v>
      </c>
      <c r="AH23" s="94" t="str">
        <f>IF(AG23=" "," ",IFERROR(VLOOKUP(AG23,Points!$A$2:$B$14,2,FALSE)," "))</f>
        <v xml:space="preserve"> </v>
      </c>
    </row>
    <row r="24" spans="2:34" x14ac:dyDescent="0.25">
      <c r="B24" s="90"/>
      <c r="C24" s="92"/>
      <c r="D24" s="93" t="str">
        <f t="shared" si="0"/>
        <v xml:space="preserve"> </v>
      </c>
      <c r="E24" s="93" t="str">
        <f t="shared" si="1"/>
        <v xml:space="preserve"> </v>
      </c>
      <c r="F24" s="94" t="str">
        <f>IF(E24=" "," ",IFERROR(VLOOKUP(D24,Points!$A$2:$B$14,2,FALSE)," "))</f>
        <v xml:space="preserve"> </v>
      </c>
      <c r="G24" s="92"/>
      <c r="H24" s="93" t="str">
        <f t="shared" si="2"/>
        <v xml:space="preserve"> </v>
      </c>
      <c r="I24" s="93" t="str">
        <f t="shared" si="3"/>
        <v xml:space="preserve"> </v>
      </c>
      <c r="J24" s="94" t="str">
        <f>IF(I24=" "," ",IFERROR(VLOOKUP(H24,Points!$A$2:$B$14,2,FALSE)," "))</f>
        <v xml:space="preserve"> </v>
      </c>
      <c r="K24" s="92"/>
      <c r="L24" s="93" t="str">
        <f t="shared" si="4"/>
        <v xml:space="preserve"> </v>
      </c>
      <c r="M24" s="93" t="str">
        <f t="shared" si="5"/>
        <v xml:space="preserve"> </v>
      </c>
      <c r="N24" s="94" t="str">
        <f>IF(M24=" "," ",IFERROR(VLOOKUP(L24,Points!$A$2:$B$14,2,FALSE)," "))</f>
        <v xml:space="preserve"> </v>
      </c>
      <c r="O24" s="92"/>
      <c r="P24" s="93" t="str">
        <f t="shared" si="6"/>
        <v xml:space="preserve"> </v>
      </c>
      <c r="Q24" s="93" t="str">
        <f t="shared" si="7"/>
        <v xml:space="preserve"> </v>
      </c>
      <c r="R24" s="94" t="str">
        <f>IF(Q24=" "," ",IFERROR(VLOOKUP(P24,Points!$A$2:$B$14,2,FALSE)," "))</f>
        <v xml:space="preserve"> </v>
      </c>
      <c r="S24" s="92"/>
      <c r="T24" s="93" t="str">
        <f t="shared" si="8"/>
        <v xml:space="preserve"> </v>
      </c>
      <c r="U24" s="93" t="str">
        <f t="shared" si="9"/>
        <v xml:space="preserve"> </v>
      </c>
      <c r="V24" s="94" t="str">
        <f>IF(U24=" "," ",IFERROR(VLOOKUP(T24,Points!$A$2:$B$14,2,FALSE)," "))</f>
        <v xml:space="preserve"> </v>
      </c>
      <c r="W24" s="92"/>
      <c r="X24" s="93" t="str">
        <f t="shared" si="10"/>
        <v xml:space="preserve"> </v>
      </c>
      <c r="Y24" s="93" t="str">
        <f t="shared" si="11"/>
        <v xml:space="preserve"> </v>
      </c>
      <c r="Z24" s="94" t="str">
        <f>IF(Y24=" "," ",IFERROR(VLOOKUP(X24,Points!$A$2:$B$14,2,FALSE)," "))</f>
        <v xml:space="preserve"> </v>
      </c>
      <c r="AA24" s="92"/>
      <c r="AB24" s="93" t="str">
        <f t="shared" si="12"/>
        <v xml:space="preserve"> </v>
      </c>
      <c r="AC24" s="93" t="str">
        <f t="shared" si="13"/>
        <v xml:space="preserve"> </v>
      </c>
      <c r="AD24" s="94" t="str">
        <f>IF(AC24=" "," ",IFERROR(VLOOKUP(AB24,Points!$A$2:$B$14,2,FALSE)," "))</f>
        <v xml:space="preserve"> </v>
      </c>
      <c r="AE24" s="92" t="str">
        <f t="shared" si="15"/>
        <v xml:space="preserve"> </v>
      </c>
      <c r="AF24" s="93" t="str">
        <f t="shared" si="14"/>
        <v xml:space="preserve"> </v>
      </c>
      <c r="AG24" s="93" t="str">
        <f t="shared" si="16"/>
        <v xml:space="preserve"> </v>
      </c>
      <c r="AH24" s="94" t="str">
        <f>IF(AG24=" "," ",IFERROR(VLOOKUP(AG24,Points!$A$2:$B$14,2,FALSE)," "))</f>
        <v xml:space="preserve"> </v>
      </c>
    </row>
    <row r="25" spans="2:34" ht="14.4" thickBot="1" x14ac:dyDescent="0.3">
      <c r="B25" s="90"/>
      <c r="C25" s="92"/>
      <c r="D25" s="128" t="str">
        <f>IF(C25=0," ",_xlfn.RANK.AVG(C25,C$5:C$25,1)-COUNTIF(C$5:C$25,0))</f>
        <v xml:space="preserve"> </v>
      </c>
      <c r="E25" s="128" t="str">
        <f>IF(C25=0," ",IF((RANK(C25,C$5:C$25,1)-COUNTIF(C$5:C$25,0)&gt;6)," ",RANK(C25,C$5:C$25,1)-COUNTIF(C$5:C$25,0)))</f>
        <v xml:space="preserve"> </v>
      </c>
      <c r="F25" s="94" t="str">
        <f>IF(E25=" "," ",IFERROR(VLOOKUP(D25,Points!$A$2:$B$14,2,FALSE)," "))</f>
        <v xml:space="preserve"> </v>
      </c>
      <c r="G25" s="92"/>
      <c r="H25" s="128" t="str">
        <f>IF(G25=0," ",_xlfn.RANK.AVG(G25,G$5:G$25,1)-COUNTIF(G$5:G$25,0))</f>
        <v xml:space="preserve"> </v>
      </c>
      <c r="I25" s="128" t="str">
        <f>IF(G25=0," ",IF((RANK(G25,G$5:G$25,1)-COUNTIF(G$5:G$25,0)&gt;6)," ",RANK(G25,G$5:G$25,1)-COUNTIF(G$5:G$25,0)))</f>
        <v xml:space="preserve"> </v>
      </c>
      <c r="J25" s="94" t="str">
        <f>IF(I25=" "," ",IFERROR(VLOOKUP(H25,Points!$A$2:$B$14,2,FALSE)," "))</f>
        <v xml:space="preserve"> </v>
      </c>
      <c r="K25" s="92"/>
      <c r="L25" s="128" t="str">
        <f>IF(K25=0," ",_xlfn.RANK.AVG(K25,K$5:K$25,1)-COUNTIF(K$5:K$25,0))</f>
        <v xml:space="preserve"> </v>
      </c>
      <c r="M25" s="128" t="str">
        <f>IF(K25=0," ",IF((RANK(K25,K$5:K$25,1)-COUNTIF(K$5:K$25,0)&gt;6)," ",RANK(K25,K$5:K$25,1)-COUNTIF(K$5:K$25,0)))</f>
        <v xml:space="preserve"> </v>
      </c>
      <c r="N25" s="94" t="str">
        <f>IF(M25=" "," ",IFERROR(VLOOKUP(L25,Points!$A$2:$B$14,2,FALSE)," "))</f>
        <v xml:space="preserve"> </v>
      </c>
      <c r="O25" s="92"/>
      <c r="P25" s="128" t="str">
        <f>IF(O25=0," ",_xlfn.RANK.AVG(O25,O$5:O$25,1)-COUNTIF(O$5:O$25,0))</f>
        <v xml:space="preserve"> </v>
      </c>
      <c r="Q25" s="128" t="str">
        <f t="shared" si="7"/>
        <v xml:space="preserve"> </v>
      </c>
      <c r="R25" s="94" t="str">
        <f>IF(Q25=" "," ",IFERROR(VLOOKUP(P25,Points!$A$2:$B$14,2,FALSE)," "))</f>
        <v xml:space="preserve"> </v>
      </c>
      <c r="S25" s="92"/>
      <c r="T25" s="128" t="str">
        <f>IF(S25=0," ",_xlfn.RANK.AVG(S25,S$5:S$25,1)-COUNTIF(S$5:S$25,0))</f>
        <v xml:space="preserve"> </v>
      </c>
      <c r="U25" s="128" t="str">
        <f>IF(S25=0," ",IF((RANK(S25,S$5:S$25,1)-COUNTIF(S$5:S$25,0)&gt;6)," ",RANK(S25,S$5:S$25,1)-COUNTIF(S$5:S$25,0)))</f>
        <v xml:space="preserve"> </v>
      </c>
      <c r="V25" s="94" t="str">
        <f>IF(U25=" "," ",IFERROR(VLOOKUP(T25,Points!$A$2:$B$14,2,FALSE)," "))</f>
        <v xml:space="preserve"> </v>
      </c>
      <c r="W25" s="92"/>
      <c r="X25" s="128" t="str">
        <f>IF(W25=0," ",_xlfn.RANK.AVG(W25,W$5:W$25,1)-COUNTIF(W$5:W$25,0))</f>
        <v xml:space="preserve"> </v>
      </c>
      <c r="Y25" s="128" t="str">
        <f>IF(W25=0," ",IF((RANK(W25,W$5:W$25,1)-COUNTIF(W$5:W$25,0)&gt;6)," ",RANK(W25,W$5:W$25,1)-COUNTIF(W$5:W$25,0)))</f>
        <v xml:space="preserve"> </v>
      </c>
      <c r="Z25" s="94" t="str">
        <f>IF(Y25=" "," ",IFERROR(VLOOKUP(X25,Points!$A$2:$B$14,2,FALSE)," "))</f>
        <v xml:space="preserve"> </v>
      </c>
      <c r="AA25" s="92"/>
      <c r="AB25" s="128" t="str">
        <f>IF(AA25=0," ",_xlfn.RANK.AVG(AA25,AA$5:AA$25,1)-COUNTIF(AA$5:AA$25,0))</f>
        <v xml:space="preserve"> </v>
      </c>
      <c r="AC25" s="128" t="str">
        <f>IF(AA25=0," ",IF((RANK(AA25,AA$5:AA$25,1)-COUNTIF(AA$5:AA$25,0)&gt;6)," ",RANK(AA25,AA$5:AA$25,1)-COUNTIF(AA$5:AA$25,0)))</f>
        <v xml:space="preserve"> </v>
      </c>
      <c r="AD25" s="94" t="str">
        <f>IF(AC25=" "," ",IFERROR(VLOOKUP(AB25,Points!$A$2:$B$14,2,FALSE)," "))</f>
        <v xml:space="preserve"> </v>
      </c>
      <c r="AE25" s="92" t="str">
        <f t="shared" si="15"/>
        <v xml:space="preserve"> </v>
      </c>
      <c r="AF25" s="129" t="str">
        <f>IF(OR(AE25=0,AE25=" ")," ",_xlfn.RANK.AVG(AE25,AE$5:AE$25,1)-COUNTIF(AE$5:AE$25,0))</f>
        <v xml:space="preserve"> </v>
      </c>
      <c r="AG25" s="128" t="str">
        <f>IF(OR(AE25=0,AE25=" ")," ",IF((RANK(AE25,AE$5:AE$25,1)-COUNTIF(AE$5:AE$25,0)&gt;6)," ",RANK(AE25,AE$5:AE$25,1)-COUNTIF(AE$5:AE$25,0)))</f>
        <v xml:space="preserve"> </v>
      </c>
      <c r="AH25" s="94" t="str">
        <f>IF(AG25=" "," ",IFERROR(VLOOKUP(AG25,Points!$A$2:$B$14,2,FALSE)," "))</f>
        <v xml:space="preserve"> </v>
      </c>
    </row>
    <row r="26" spans="2:34" ht="14.4" thickBot="1" x14ac:dyDescent="0.3">
      <c r="B26" s="106" t="s">
        <v>235</v>
      </c>
    </row>
    <row r="27" spans="2:34" x14ac:dyDescent="0.25">
      <c r="E27" s="107"/>
    </row>
    <row r="28" spans="2:34" x14ac:dyDescent="0.25">
      <c r="E28" s="107"/>
    </row>
    <row r="29" spans="2:34" x14ac:dyDescent="0.25">
      <c r="G29" s="108"/>
    </row>
  </sheetData>
  <sheetProtection algorithmName="SHA-512" hashValue="HFGjPxHZwlqbHwx43Fct8LAWoRkMu9PeM6GKW0B98ljpkwMjEHN0KzscEMHLkuhyaW/ikSfRRrUrqr+B1q4dBw==" saltValue="x5OCJ/tJ+gbrzcZhAe/BNg==" spinCount="100000" sheet="1" objects="1" scenarios="1"/>
  <mergeCells count="8">
    <mergeCell ref="W2:Z2"/>
    <mergeCell ref="AA2:AD2"/>
    <mergeCell ref="AE2:AH2"/>
    <mergeCell ref="C2:F2"/>
    <mergeCell ref="G2:J2"/>
    <mergeCell ref="K2:N2"/>
    <mergeCell ref="O2:R2"/>
    <mergeCell ref="S2:V2"/>
  </mergeCells>
  <pageMargins left="0.7" right="0.7" top="0.75" bottom="0.75" header="0.3" footer="0.3"/>
  <pageSetup orientation="portrait" r:id="rId1"/>
  <ignoredErrors>
    <ignoredError sqref="AG6 M5:M25 E5:E25 I5:I25 Q5:Q25 U5:U25 Y5:Y25 AC5:AC25 AG13:AG24 AG9:AG10 AE7:AG8 AE11:AG12 AE9:AF10" calculatedColumn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1C49-F1B5-4727-AD90-1A4456D5DE16}">
  <sheetPr codeName="Sheet90">
    <tabColor theme="9" tint="0.59999389629810485"/>
  </sheetPr>
  <dimension ref="B1:N24"/>
  <sheetViews>
    <sheetView showGridLines="0" zoomScaleNormal="100" workbookViewId="0">
      <pane xSplit="2" topLeftCell="C1" activePane="topRight" state="frozen"/>
      <selection activeCell="F34" sqref="F34"/>
      <selection pane="topRight" activeCell="B2" sqref="B2:C2"/>
    </sheetView>
  </sheetViews>
  <sheetFormatPr defaultColWidth="9.109375" defaultRowHeight="13.8" x14ac:dyDescent="0.25"/>
  <cols>
    <col min="1" max="1" width="9.109375" style="62"/>
    <col min="2" max="2" width="23.88671875" style="62" customWidth="1"/>
    <col min="3" max="3" width="21.44140625" style="57" customWidth="1"/>
    <col min="4" max="4" width="24.6640625" style="58" customWidth="1"/>
    <col min="5" max="11" width="24.6640625" style="60" customWidth="1"/>
    <col min="12" max="12" width="12" style="57" hidden="1" customWidth="1"/>
    <col min="13" max="13" width="12" style="61" customWidth="1"/>
    <col min="14" max="14" width="12" style="57" customWidth="1"/>
    <col min="15" max="16384" width="9.109375" style="62"/>
  </cols>
  <sheetData>
    <row r="1" spans="2:14" ht="18" thickBot="1" x14ac:dyDescent="0.35">
      <c r="B1" s="54"/>
      <c r="C1" s="55"/>
    </row>
    <row r="2" spans="2:14" s="64" customFormat="1" ht="17.399999999999999" x14ac:dyDescent="0.3">
      <c r="B2" s="168" t="s">
        <v>124</v>
      </c>
      <c r="C2" s="169"/>
      <c r="D2" s="130">
        <v>43590</v>
      </c>
      <c r="E2" s="130">
        <v>43632</v>
      </c>
      <c r="F2" s="130">
        <v>43659</v>
      </c>
      <c r="G2" s="130">
        <v>43660</v>
      </c>
      <c r="H2" s="130">
        <v>43681</v>
      </c>
      <c r="I2" s="130" t="s">
        <v>183</v>
      </c>
      <c r="J2" s="130" t="s">
        <v>184</v>
      </c>
      <c r="K2" s="131" t="s">
        <v>3</v>
      </c>
      <c r="L2" s="63"/>
      <c r="M2" s="166" t="s">
        <v>4</v>
      </c>
      <c r="N2" s="167"/>
    </row>
    <row r="3" spans="2:14" s="74" customFormat="1" ht="14.4" thickBot="1" x14ac:dyDescent="0.3">
      <c r="B3" s="65" t="s">
        <v>38</v>
      </c>
      <c r="C3" s="66" t="s">
        <v>39</v>
      </c>
      <c r="D3" s="69" t="s">
        <v>2</v>
      </c>
      <c r="E3" s="71" t="s">
        <v>2</v>
      </c>
      <c r="F3" s="71" t="s">
        <v>2</v>
      </c>
      <c r="G3" s="71" t="s">
        <v>2</v>
      </c>
      <c r="H3" s="71" t="s">
        <v>2</v>
      </c>
      <c r="I3" s="71" t="s">
        <v>2</v>
      </c>
      <c r="J3" s="71" t="s">
        <v>2</v>
      </c>
      <c r="K3" s="132" t="s">
        <v>2</v>
      </c>
      <c r="L3" s="68"/>
      <c r="M3" s="72" t="s">
        <v>2</v>
      </c>
      <c r="N3" s="73" t="s">
        <v>1</v>
      </c>
    </row>
    <row r="4" spans="2:14" s="74" customFormat="1" ht="18" hidden="1" thickBot="1" x14ac:dyDescent="0.35">
      <c r="B4" s="75" t="s">
        <v>38</v>
      </c>
      <c r="C4" s="76" t="s">
        <v>39</v>
      </c>
      <c r="D4" s="79" t="s">
        <v>2</v>
      </c>
      <c r="E4" s="81" t="s">
        <v>9</v>
      </c>
      <c r="F4" s="81" t="s">
        <v>21</v>
      </c>
      <c r="G4" s="81" t="s">
        <v>24</v>
      </c>
      <c r="H4" s="81" t="s">
        <v>28</v>
      </c>
      <c r="I4" s="81" t="s">
        <v>13</v>
      </c>
      <c r="J4" s="81" t="s">
        <v>33</v>
      </c>
      <c r="K4" s="133" t="s">
        <v>36</v>
      </c>
      <c r="L4" s="78" t="s">
        <v>40</v>
      </c>
      <c r="M4" s="82" t="s">
        <v>16</v>
      </c>
      <c r="N4" s="78" t="s">
        <v>37</v>
      </c>
    </row>
    <row r="5" spans="2:14" x14ac:dyDescent="0.25">
      <c r="B5" s="83" t="s">
        <v>164</v>
      </c>
      <c r="C5" s="84"/>
      <c r="D5" s="134">
        <v>18</v>
      </c>
      <c r="E5" s="134">
        <v>15</v>
      </c>
      <c r="F5" s="134">
        <v>15</v>
      </c>
      <c r="G5" s="134"/>
      <c r="H5" s="134">
        <v>27</v>
      </c>
      <c r="I5" s="134">
        <v>15</v>
      </c>
      <c r="J5" s="134">
        <v>18</v>
      </c>
      <c r="K5" s="134">
        <v>24</v>
      </c>
      <c r="L5" s="86">
        <f>IF(Table62202732333417181930514[[#This Row],[Non-Member]]="X"," ",((IF(D5=" ",0,D5))+(IF(E5=" ",0,E5))+(IF(F5=" ",0,F5))+(IF(G5=" ",0,G5))+(IF(H5=" ",0,H5))+(IF(I5=" ",0,I5))+(IF(J5=" ",0,J5))+(IF(K5=" ",0,K5))))</f>
        <v>132</v>
      </c>
      <c r="M5" s="88">
        <f t="shared" ref="M5:M24" si="0">IF(L5=0," ",L5)</f>
        <v>132</v>
      </c>
      <c r="N5" s="89">
        <f t="shared" ref="N5:N24" si="1">IF(M5=" "," ",RANK(M5,$M$5:$M$24))</f>
        <v>1</v>
      </c>
    </row>
    <row r="6" spans="2:14" x14ac:dyDescent="0.25">
      <c r="B6" s="90" t="s">
        <v>196</v>
      </c>
      <c r="C6" s="91"/>
      <c r="D6" s="135">
        <v>12</v>
      </c>
      <c r="E6" s="135">
        <v>18</v>
      </c>
      <c r="F6" s="135"/>
      <c r="G6" s="135">
        <v>15</v>
      </c>
      <c r="H6" s="135">
        <v>18</v>
      </c>
      <c r="I6" s="135"/>
      <c r="J6" s="135">
        <v>15</v>
      </c>
      <c r="K6" s="135">
        <v>12</v>
      </c>
      <c r="L6" s="93">
        <f>IF(Table62202732333417181930514[[#This Row],[Non-Member]]="X"," ",((IF(D6=" ",0,D6))+(IF(E6=" ",0,E6))+(IF(F6=" ",0,F6))+(IF(G6=" ",0,G6))+(IF(H6=" ",0,H6))+(IF(I6=" ",0,I6))+(IF(J6=" ",0,J6))+(IF(K6=" ",0,K6))))</f>
        <v>90</v>
      </c>
      <c r="M6" s="95">
        <f t="shared" si="0"/>
        <v>90</v>
      </c>
      <c r="N6" s="96">
        <f t="shared" si="1"/>
        <v>2</v>
      </c>
    </row>
    <row r="7" spans="2:14" x14ac:dyDescent="0.25">
      <c r="B7" s="90" t="s">
        <v>195</v>
      </c>
      <c r="C7" s="91"/>
      <c r="D7" s="135">
        <v>15</v>
      </c>
      <c r="E7" s="135"/>
      <c r="F7" s="135"/>
      <c r="G7" s="135">
        <v>18</v>
      </c>
      <c r="H7" s="135"/>
      <c r="I7" s="135">
        <v>18</v>
      </c>
      <c r="J7" s="135"/>
      <c r="K7" s="135">
        <v>18</v>
      </c>
      <c r="L7" s="93">
        <f>IF(Table62202732333417181930514[[#This Row],[Non-Member]]="X"," ",((IF(D7=" ",0,D7))+(IF(E7=" ",0,E7))+(IF(F7=" ",0,F7))+(IF(G7=" ",0,G7))+(IF(H7=" ",0,H7))+(IF(I7=" ",0,I7))+(IF(J7=" ",0,J7))+(IF(K7=" ",0,K7))))</f>
        <v>69</v>
      </c>
      <c r="M7" s="95">
        <f t="shared" si="0"/>
        <v>69</v>
      </c>
      <c r="N7" s="96">
        <f t="shared" si="1"/>
        <v>3</v>
      </c>
    </row>
    <row r="8" spans="2:14" x14ac:dyDescent="0.25">
      <c r="B8" s="90" t="s">
        <v>259</v>
      </c>
      <c r="C8" s="91"/>
      <c r="D8" s="135"/>
      <c r="E8" s="135"/>
      <c r="F8" s="135">
        <v>18</v>
      </c>
      <c r="G8" s="135"/>
      <c r="H8" s="135"/>
      <c r="I8" s="135"/>
      <c r="J8" s="135"/>
      <c r="K8" s="135"/>
      <c r="L8" s="93">
        <f>IF(Table62202732333417181930514[[#This Row],[Non-Member]]="X"," ",((IF(D8=" ",0,D8))+(IF(E8=" ",0,E8))+(IF(F8=" ",0,F8))+(IF(G8=" ",0,G8))+(IF(H8=" ",0,H8))+(IF(I8=" ",0,I8))+(IF(J8=" ",0,J8))+(IF(K8=" ",0,K8))))</f>
        <v>18</v>
      </c>
      <c r="M8" s="95">
        <f t="shared" si="0"/>
        <v>18</v>
      </c>
      <c r="N8" s="96">
        <f t="shared" si="1"/>
        <v>4</v>
      </c>
    </row>
    <row r="9" spans="2:14" x14ac:dyDescent="0.25">
      <c r="B9" s="90"/>
      <c r="C9" s="91"/>
      <c r="D9" s="135"/>
      <c r="E9" s="135"/>
      <c r="F9" s="135"/>
      <c r="G9" s="135"/>
      <c r="H9" s="135"/>
      <c r="I9" s="135"/>
      <c r="J9" s="135"/>
      <c r="K9" s="135"/>
      <c r="L9" s="93">
        <f>IF(Table62202732333417181930514[[#This Row],[Non-Member]]="X"," ",((IF(D9=" ",0,D9))+(IF(E9=" ",0,E9))+(IF(F9=" ",0,F9))+(IF(G9=" ",0,G9))+(IF(H9=" ",0,H9))+(IF(I9=" ",0,I9))+(IF(J9=" ",0,J9))+(IF(K9=" ",0,K9))))</f>
        <v>0</v>
      </c>
      <c r="M9" s="95" t="str">
        <f t="shared" si="0"/>
        <v xml:space="preserve"> </v>
      </c>
      <c r="N9" s="96" t="str">
        <f t="shared" si="1"/>
        <v xml:space="preserve"> </v>
      </c>
    </row>
    <row r="10" spans="2:14" x14ac:dyDescent="0.25">
      <c r="B10" s="90"/>
      <c r="C10" s="91"/>
      <c r="D10" s="135"/>
      <c r="E10" s="135"/>
      <c r="F10" s="135"/>
      <c r="G10" s="135"/>
      <c r="H10" s="135"/>
      <c r="I10" s="135"/>
      <c r="J10" s="135"/>
      <c r="K10" s="135"/>
      <c r="L10" s="93">
        <f>IF(Table62202732333417181930514[[#This Row],[Non-Member]]="X"," ",((IF(D10=" ",0,D10))+(IF(E10=" ",0,E10))+(IF(F10=" ",0,F10))+(IF(G10=" ",0,G10))+(IF(H10=" ",0,H10))+(IF(I10=" ",0,I10))+(IF(J10=" ",0,J10))+(IF(K10=" ",0,K10))))</f>
        <v>0</v>
      </c>
      <c r="M10" s="95" t="str">
        <f t="shared" si="0"/>
        <v xml:space="preserve"> </v>
      </c>
      <c r="N10" s="96" t="str">
        <f t="shared" si="1"/>
        <v xml:space="preserve"> </v>
      </c>
    </row>
    <row r="11" spans="2:14" x14ac:dyDescent="0.25">
      <c r="B11" s="90"/>
      <c r="C11" s="91"/>
      <c r="D11" s="135"/>
      <c r="E11" s="135"/>
      <c r="F11" s="135"/>
      <c r="G11" s="135"/>
      <c r="H11" s="135"/>
      <c r="I11" s="135"/>
      <c r="J11" s="135"/>
      <c r="K11" s="135"/>
      <c r="L11" s="93">
        <f>IF(Table62202732333417181930514[[#This Row],[Non-Member]]="X"," ",((IF(D11=" ",0,D11))+(IF(E11=" ",0,E11))+(IF(F11=" ",0,F11))+(IF(G11=" ",0,G11))+(IF(H11=" ",0,H11))+(IF(I11=" ",0,I11))+(IF(J11=" ",0,J11))+(IF(K11=" ",0,K11))))</f>
        <v>0</v>
      </c>
      <c r="M11" s="95" t="str">
        <f t="shared" si="0"/>
        <v xml:space="preserve"> </v>
      </c>
      <c r="N11" s="96" t="str">
        <f t="shared" si="1"/>
        <v xml:space="preserve"> </v>
      </c>
    </row>
    <row r="12" spans="2:14" x14ac:dyDescent="0.25">
      <c r="B12" s="90"/>
      <c r="C12" s="91"/>
      <c r="D12" s="135"/>
      <c r="E12" s="135"/>
      <c r="F12" s="135"/>
      <c r="G12" s="135"/>
      <c r="H12" s="135"/>
      <c r="I12" s="135"/>
      <c r="J12" s="135"/>
      <c r="K12" s="135"/>
      <c r="L12" s="93">
        <f>IF(Table62202732333417181930514[[#This Row],[Non-Member]]="X"," ",((IF(D12=" ",0,D12))+(IF(E12=" ",0,E12))+(IF(F12=" ",0,F12))+(IF(G12=" ",0,G12))+(IF(H12=" ",0,H12))+(IF(I12=" ",0,I12))+(IF(J12=" ",0,J12))+(IF(K12=" ",0,K12))))</f>
        <v>0</v>
      </c>
      <c r="M12" s="95" t="str">
        <f t="shared" si="0"/>
        <v xml:space="preserve"> </v>
      </c>
      <c r="N12" s="96" t="str">
        <f t="shared" si="1"/>
        <v xml:space="preserve"> </v>
      </c>
    </row>
    <row r="13" spans="2:14" x14ac:dyDescent="0.25">
      <c r="B13" s="90"/>
      <c r="C13" s="91"/>
      <c r="D13" s="135"/>
      <c r="E13" s="135"/>
      <c r="F13" s="135"/>
      <c r="G13" s="135"/>
      <c r="H13" s="135"/>
      <c r="I13" s="135"/>
      <c r="J13" s="135"/>
      <c r="K13" s="135"/>
      <c r="L13" s="93">
        <f>IF(Table62202732333417181930514[[#This Row],[Non-Member]]="X"," ",((IF(D13=" ",0,D13))+(IF(E13=" ",0,E13))+(IF(F13=" ",0,F13))+(IF(G13=" ",0,G13))+(IF(H13=" ",0,H13))+(IF(I13=" ",0,I13))+(IF(J13=" ",0,J13))+(IF(K13=" ",0,K13))))</f>
        <v>0</v>
      </c>
      <c r="M13" s="95" t="str">
        <f t="shared" si="0"/>
        <v xml:space="preserve"> </v>
      </c>
      <c r="N13" s="96" t="str">
        <f t="shared" si="1"/>
        <v xml:space="preserve"> </v>
      </c>
    </row>
    <row r="14" spans="2:14" x14ac:dyDescent="0.25">
      <c r="B14" s="90"/>
      <c r="C14" s="91"/>
      <c r="D14" s="135"/>
      <c r="E14" s="135"/>
      <c r="F14" s="135"/>
      <c r="G14" s="135"/>
      <c r="H14" s="135"/>
      <c r="I14" s="135"/>
      <c r="J14" s="135"/>
      <c r="K14" s="135"/>
      <c r="L14" s="93">
        <f>IF(Table62202732333417181930514[[#This Row],[Non-Member]]="X"," ",((IF(D14=" ",0,D14))+(IF(E14=" ",0,E14))+(IF(F14=" ",0,F14))+(IF(G14=" ",0,G14))+(IF(H14=" ",0,H14))+(IF(I14=" ",0,I14))+(IF(J14=" ",0,J14))+(IF(K14=" ",0,K14))))</f>
        <v>0</v>
      </c>
      <c r="M14" s="95" t="str">
        <f t="shared" si="0"/>
        <v xml:space="preserve"> </v>
      </c>
      <c r="N14" s="96" t="str">
        <f t="shared" si="1"/>
        <v xml:space="preserve"> </v>
      </c>
    </row>
    <row r="15" spans="2:14" x14ac:dyDescent="0.25">
      <c r="B15" s="90"/>
      <c r="C15" s="91"/>
      <c r="D15" s="135"/>
      <c r="E15" s="135"/>
      <c r="F15" s="135"/>
      <c r="G15" s="135"/>
      <c r="H15" s="135"/>
      <c r="I15" s="135"/>
      <c r="J15" s="135"/>
      <c r="K15" s="135"/>
      <c r="L15" s="93">
        <f>IF(Table62202732333417181930514[[#This Row],[Non-Member]]="X"," ",((IF(D15=" ",0,D15))+(IF(E15=" ",0,E15))+(IF(F15=" ",0,F15))+(IF(G15=" ",0,G15))+(IF(H15=" ",0,H15))+(IF(I15=" ",0,I15))+(IF(J15=" ",0,J15))+(IF(K15=" ",0,K15))))</f>
        <v>0</v>
      </c>
      <c r="M15" s="95" t="str">
        <f t="shared" si="0"/>
        <v xml:space="preserve"> </v>
      </c>
      <c r="N15" s="96" t="str">
        <f t="shared" si="1"/>
        <v xml:space="preserve"> </v>
      </c>
    </row>
    <row r="16" spans="2:14" x14ac:dyDescent="0.25">
      <c r="B16" s="90"/>
      <c r="C16" s="91"/>
      <c r="D16" s="135"/>
      <c r="E16" s="135"/>
      <c r="F16" s="135"/>
      <c r="G16" s="135"/>
      <c r="H16" s="135"/>
      <c r="I16" s="135"/>
      <c r="J16" s="135"/>
      <c r="K16" s="135"/>
      <c r="L16" s="97">
        <f>IF(Table62202732333417181930514[[#This Row],[Non-Member]]="X"," ",((IF(D16=" ",0,D16))+(IF(E16=" ",0,E16))+(IF(F16=" ",0,F16))+(IF(G16=" ",0,G16))+(IF(H16=" ",0,H16))+(IF(I16=" ",0,I16))+(IF(J16=" ",0,J16))+(IF(K16=" ",0,K16))))</f>
        <v>0</v>
      </c>
      <c r="M16" s="95" t="str">
        <f t="shared" si="0"/>
        <v xml:space="preserve"> </v>
      </c>
      <c r="N16" s="98" t="str">
        <f t="shared" si="1"/>
        <v xml:space="preserve"> </v>
      </c>
    </row>
    <row r="17" spans="2:14" x14ac:dyDescent="0.25">
      <c r="B17" s="90"/>
      <c r="C17" s="91"/>
      <c r="D17" s="135"/>
      <c r="E17" s="135"/>
      <c r="F17" s="135"/>
      <c r="G17" s="135"/>
      <c r="H17" s="135"/>
      <c r="I17" s="135"/>
      <c r="J17" s="135"/>
      <c r="K17" s="135"/>
      <c r="L17" s="97">
        <f>IF(Table62202732333417181930514[[#This Row],[Non-Member]]="X"," ",((IF(D17=" ",0,D17))+(IF(E17=" ",0,E17))+(IF(F17=" ",0,F17))+(IF(G17=" ",0,G17))+(IF(H17=" ",0,H17))+(IF(I17=" ",0,I17))+(IF(J17=" ",0,J17))+(IF(K17=" ",0,K17))))</f>
        <v>0</v>
      </c>
      <c r="M17" s="95" t="str">
        <f t="shared" si="0"/>
        <v xml:space="preserve"> </v>
      </c>
      <c r="N17" s="98" t="str">
        <f t="shared" si="1"/>
        <v xml:space="preserve"> </v>
      </c>
    </row>
    <row r="18" spans="2:14" x14ac:dyDescent="0.25">
      <c r="B18" s="90"/>
      <c r="C18" s="91"/>
      <c r="D18" s="135"/>
      <c r="E18" s="135"/>
      <c r="F18" s="135"/>
      <c r="G18" s="135"/>
      <c r="H18" s="135"/>
      <c r="I18" s="135"/>
      <c r="J18" s="135"/>
      <c r="K18" s="135"/>
      <c r="L18" s="97">
        <f>IF(Table62202732333417181930514[[#This Row],[Non-Member]]="X"," ",((IF(D18=" ",0,D18))+(IF(E18=" ",0,E18))+(IF(F18=" ",0,F18))+(IF(G18=" ",0,G18))+(IF(H18=" ",0,H18))+(IF(I18=" ",0,I18))+(IF(J18=" ",0,J18))+(IF(K18=" ",0,K18))))</f>
        <v>0</v>
      </c>
      <c r="M18" s="95" t="str">
        <f t="shared" si="0"/>
        <v xml:space="preserve"> </v>
      </c>
      <c r="N18" s="98" t="str">
        <f t="shared" si="1"/>
        <v xml:space="preserve"> </v>
      </c>
    </row>
    <row r="19" spans="2:14" x14ac:dyDescent="0.25">
      <c r="B19" s="90"/>
      <c r="C19" s="91"/>
      <c r="D19" s="135"/>
      <c r="E19" s="135"/>
      <c r="F19" s="135"/>
      <c r="G19" s="135"/>
      <c r="H19" s="135"/>
      <c r="I19" s="135"/>
      <c r="J19" s="135"/>
      <c r="K19" s="135"/>
      <c r="L19" s="93">
        <f>IF(Table62202732333417181930514[[#This Row],[Non-Member]]="X"," ",((IF(D19=" ",0,D19))+(IF(E19=" ",0,E19))+(IF(F19=" ",0,F19))+(IF(G19=" ",0,G19))+(IF(H19=" ",0,H19))+(IF(I19=" ",0,I19))+(IF(J19=" ",0,J19))+(IF(K19=" ",0,K19))))</f>
        <v>0</v>
      </c>
      <c r="M19" s="95" t="str">
        <f t="shared" si="0"/>
        <v xml:space="preserve"> </v>
      </c>
      <c r="N19" s="96" t="str">
        <f t="shared" si="1"/>
        <v xml:space="preserve"> </v>
      </c>
    </row>
    <row r="20" spans="2:14" x14ac:dyDescent="0.25">
      <c r="B20" s="90"/>
      <c r="C20" s="91"/>
      <c r="D20" s="135"/>
      <c r="E20" s="135"/>
      <c r="F20" s="135"/>
      <c r="G20" s="135"/>
      <c r="H20" s="135"/>
      <c r="I20" s="135"/>
      <c r="J20" s="135"/>
      <c r="K20" s="135"/>
      <c r="L20" s="93">
        <f>IF(Table62202732333417181930514[[#This Row],[Non-Member]]="X"," ",((IF(D20=" ",0,D20))+(IF(E20=" ",0,E20))+(IF(F20=" ",0,F20))+(IF(G20=" ",0,G20))+(IF(H20=" ",0,H20))+(IF(I20=" ",0,I20))+(IF(J20=" ",0,J20))+(IF(K20=" ",0,K20))))</f>
        <v>0</v>
      </c>
      <c r="M20" s="95" t="str">
        <f t="shared" si="0"/>
        <v xml:space="preserve"> </v>
      </c>
      <c r="N20" s="96" t="str">
        <f t="shared" si="1"/>
        <v xml:space="preserve"> </v>
      </c>
    </row>
    <row r="21" spans="2:14" x14ac:dyDescent="0.25">
      <c r="B21" s="90"/>
      <c r="C21" s="91"/>
      <c r="D21" s="135"/>
      <c r="E21" s="135"/>
      <c r="F21" s="135"/>
      <c r="G21" s="135"/>
      <c r="H21" s="135"/>
      <c r="I21" s="135"/>
      <c r="J21" s="135"/>
      <c r="K21" s="135"/>
      <c r="L21" s="93">
        <f>IF(Table62202732333417181930514[[#This Row],[Non-Member]]="X"," ",((IF(D21=" ",0,D21))+(IF(E21=" ",0,E21))+(IF(F21=" ",0,F21))+(IF(G21=" ",0,G21))+(IF(H21=" ",0,H21))+(IF(I21=" ",0,I21))+(IF(J21=" ",0,J21))+(IF(K21=" ",0,K21))))</f>
        <v>0</v>
      </c>
      <c r="M21" s="95" t="str">
        <f t="shared" si="0"/>
        <v xml:space="preserve"> </v>
      </c>
      <c r="N21" s="96" t="str">
        <f t="shared" si="1"/>
        <v xml:space="preserve"> </v>
      </c>
    </row>
    <row r="22" spans="2:14" x14ac:dyDescent="0.25">
      <c r="B22" s="90"/>
      <c r="C22" s="91"/>
      <c r="D22" s="135"/>
      <c r="E22" s="135"/>
      <c r="F22" s="135"/>
      <c r="G22" s="135"/>
      <c r="H22" s="135"/>
      <c r="I22" s="135"/>
      <c r="J22" s="135"/>
      <c r="K22" s="135"/>
      <c r="L22" s="93">
        <f>IF(Table62202732333417181930514[[#This Row],[Non-Member]]="X"," ",((IF(D22=" ",0,D22))+(IF(E22=" ",0,E22))+(IF(F22=" ",0,F22))+(IF(G22=" ",0,G22))+(IF(H22=" ",0,H22))+(IF(I22=" ",0,I22))+(IF(J22=" ",0,J22))+(IF(K22=" ",0,K22))))</f>
        <v>0</v>
      </c>
      <c r="M22" s="95" t="str">
        <f t="shared" si="0"/>
        <v xml:space="preserve"> </v>
      </c>
      <c r="N22" s="96" t="str">
        <f t="shared" si="1"/>
        <v xml:space="preserve"> </v>
      </c>
    </row>
    <row r="23" spans="2:14" x14ac:dyDescent="0.25">
      <c r="B23" s="90"/>
      <c r="C23" s="91"/>
      <c r="D23" s="135"/>
      <c r="E23" s="135"/>
      <c r="F23" s="135"/>
      <c r="G23" s="135"/>
      <c r="H23" s="135"/>
      <c r="I23" s="135"/>
      <c r="J23" s="135"/>
      <c r="K23" s="135"/>
      <c r="L23" s="93">
        <f>IF(Table62202732333417181930514[[#This Row],[Non-Member]]="X"," ",((IF(D23=" ",0,D23))+(IF(E23=" ",0,E23))+(IF(F23=" ",0,F23))+(IF(G23=" ",0,G23))+(IF(H23=" ",0,H23))+(IF(I23=" ",0,I23))+(IF(J23=" ",0,J23))+(IF(K23=" ",0,K23))))</f>
        <v>0</v>
      </c>
      <c r="M23" s="95" t="str">
        <f t="shared" si="0"/>
        <v xml:space="preserve"> </v>
      </c>
      <c r="N23" s="96" t="str">
        <f t="shared" si="1"/>
        <v xml:space="preserve"> </v>
      </c>
    </row>
    <row r="24" spans="2:14" ht="14.4" thickBot="1" x14ac:dyDescent="0.3">
      <c r="B24" s="100"/>
      <c r="C24" s="101"/>
      <c r="D24" s="135"/>
      <c r="E24" s="135"/>
      <c r="F24" s="135"/>
      <c r="G24" s="135"/>
      <c r="H24" s="135"/>
      <c r="I24" s="135"/>
      <c r="J24" s="135"/>
      <c r="K24" s="135"/>
      <c r="L24" s="93">
        <f>IF(Table62202732333417181930514[[#This Row],[Non-Member]]="X"," ",((IF(D24=" ",0,D24))+(IF(E24=" ",0,E24))+(IF(F24=" ",0,F24))+(IF(G24=" ",0,G24))+(IF(H24=" ",0,H24))+(IF(I24=" ",0,I24))+(IF(J24=" ",0,J24))+(IF(K24=" ",0,K24))))</f>
        <v>0</v>
      </c>
      <c r="M24" s="105" t="str">
        <f t="shared" si="0"/>
        <v xml:space="preserve"> </v>
      </c>
      <c r="N24" s="96" t="str">
        <f t="shared" si="1"/>
        <v xml:space="preserve"> </v>
      </c>
    </row>
  </sheetData>
  <sheetProtection algorithmName="SHA-512" hashValue="WGf+8Zw1HBbN2Qu/phRAC42kLQokY3R622hpwuOlFXSLPb4sSuncHGHdVts3YtKfwFzvybsmyWYZwiQ0W7/yrg==" saltValue="NIR9QGDmNAdYuXRJ3RcJXA==" spinCount="100000" sheet="1" objects="1" scenarios="1"/>
  <mergeCells count="2">
    <mergeCell ref="M2:N2"/>
    <mergeCell ref="B2:C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DE72-FFF4-4949-AB88-4549BAECF090}">
  <sheetPr codeName="Sheet83"/>
  <dimension ref="B1:AL29"/>
  <sheetViews>
    <sheetView showGridLines="0" zoomScaleNormal="100" workbookViewId="0">
      <pane xSplit="2" topLeftCell="C1" activePane="topRight" state="frozen"/>
      <selection activeCell="H35" sqref="H35"/>
      <selection pane="topRight" activeCell="H35" sqref="H35"/>
    </sheetView>
  </sheetViews>
  <sheetFormatPr defaultColWidth="9.109375" defaultRowHeight="13.8" x14ac:dyDescent="0.25"/>
  <cols>
    <col min="1" max="1" width="9.109375" style="3"/>
    <col min="2" max="2" width="23.88671875" style="3" customWidth="1"/>
    <col min="3" max="3" width="21.44140625" style="2" customWidth="1"/>
    <col min="4" max="4" width="11.6640625" style="39" customWidth="1"/>
    <col min="5" max="5" width="11.6640625" style="2" hidden="1" customWidth="1"/>
    <col min="6" max="6" width="11.6640625" style="2" customWidth="1"/>
    <col min="7" max="7" width="11.6640625" style="45" customWidth="1"/>
    <col min="8" max="8" width="11.6640625" style="35" customWidth="1"/>
    <col min="9" max="9" width="11.6640625" style="2" hidden="1" customWidth="1"/>
    <col min="10" max="10" width="11.6640625" style="2" customWidth="1"/>
    <col min="11" max="11" width="11.6640625" style="32" customWidth="1"/>
    <col min="12" max="12" width="12" style="35" customWidth="1"/>
    <col min="13" max="13" width="11.6640625" style="2" hidden="1" customWidth="1"/>
    <col min="14" max="14" width="12" style="2" customWidth="1"/>
    <col min="15" max="15" width="12" style="32" customWidth="1"/>
    <col min="16" max="16" width="12" style="35" customWidth="1"/>
    <col min="17" max="17" width="11.6640625" style="2" hidden="1" customWidth="1"/>
    <col min="18" max="18" width="12" style="2" customWidth="1"/>
    <col min="19" max="19" width="12" style="32" customWidth="1"/>
    <col min="20" max="20" width="12" style="35" customWidth="1"/>
    <col min="21" max="21" width="11.6640625" style="2" hidden="1" customWidth="1"/>
    <col min="22" max="22" width="12" style="2" customWidth="1"/>
    <col min="23" max="23" width="12" style="32" customWidth="1"/>
    <col min="24" max="24" width="12" style="35" customWidth="1"/>
    <col min="25" max="25" width="11.6640625" style="2" hidden="1" customWidth="1"/>
    <col min="26" max="26" width="12" style="2" customWidth="1"/>
    <col min="27" max="27" width="12" style="32" customWidth="1"/>
    <col min="28" max="28" width="12" style="35" customWidth="1"/>
    <col min="29" max="29" width="11.6640625" style="2" hidden="1" customWidth="1"/>
    <col min="30" max="30" width="12" style="2" customWidth="1"/>
    <col min="31" max="31" width="12" style="32" customWidth="1"/>
    <col min="32" max="32" width="12" style="35" customWidth="1"/>
    <col min="33" max="33" width="12" style="2" hidden="1" customWidth="1"/>
    <col min="34" max="34" width="12" style="2" customWidth="1"/>
    <col min="35" max="35" width="12" style="32" customWidth="1"/>
    <col min="36" max="36" width="12" style="2" hidden="1" customWidth="1"/>
    <col min="37" max="37" width="12" style="29" customWidth="1"/>
    <col min="38" max="38" width="12" style="2" customWidth="1"/>
    <col min="39" max="16384" width="9.109375" style="3"/>
  </cols>
  <sheetData>
    <row r="1" spans="2:38" ht="18" thickBot="1" x14ac:dyDescent="0.35">
      <c r="B1" s="1"/>
      <c r="C1" s="13"/>
    </row>
    <row r="2" spans="2:38" s="4" customFormat="1" ht="17.399999999999999" x14ac:dyDescent="0.3">
      <c r="B2" s="173" t="s">
        <v>124</v>
      </c>
      <c r="C2" s="174"/>
      <c r="D2" s="171">
        <v>43226</v>
      </c>
      <c r="E2" s="171"/>
      <c r="F2" s="171"/>
      <c r="G2" s="172"/>
      <c r="H2" s="170">
        <v>43260</v>
      </c>
      <c r="I2" s="171"/>
      <c r="J2" s="171"/>
      <c r="K2" s="172"/>
      <c r="L2" s="170">
        <v>43288</v>
      </c>
      <c r="M2" s="171"/>
      <c r="N2" s="171"/>
      <c r="O2" s="172"/>
      <c r="P2" s="170">
        <v>43289</v>
      </c>
      <c r="Q2" s="171"/>
      <c r="R2" s="171"/>
      <c r="S2" s="172"/>
      <c r="T2" s="170">
        <v>43316</v>
      </c>
      <c r="U2" s="171"/>
      <c r="V2" s="171"/>
      <c r="W2" s="172"/>
      <c r="X2" s="170" t="s">
        <v>5</v>
      </c>
      <c r="Y2" s="171"/>
      <c r="Z2" s="171"/>
      <c r="AA2" s="172"/>
      <c r="AB2" s="170" t="s">
        <v>6</v>
      </c>
      <c r="AC2" s="171"/>
      <c r="AD2" s="171"/>
      <c r="AE2" s="172"/>
      <c r="AF2" s="170" t="s">
        <v>3</v>
      </c>
      <c r="AG2" s="171"/>
      <c r="AH2" s="171"/>
      <c r="AI2" s="172"/>
      <c r="AJ2" s="28"/>
      <c r="AK2" s="171" t="s">
        <v>4</v>
      </c>
      <c r="AL2" s="172"/>
    </row>
    <row r="3" spans="2:38" s="6" customFormat="1" ht="14.4" thickBot="1" x14ac:dyDescent="0.3">
      <c r="B3" s="18" t="s">
        <v>38</v>
      </c>
      <c r="C3" s="19" t="s">
        <v>39</v>
      </c>
      <c r="D3" s="44" t="s">
        <v>0</v>
      </c>
      <c r="E3" s="11"/>
      <c r="F3" s="11" t="s">
        <v>1</v>
      </c>
      <c r="G3" s="46" t="s">
        <v>2</v>
      </c>
      <c r="H3" s="37" t="s">
        <v>0</v>
      </c>
      <c r="I3" s="11"/>
      <c r="J3" s="11" t="s">
        <v>1</v>
      </c>
      <c r="K3" s="33" t="s">
        <v>2</v>
      </c>
      <c r="L3" s="37" t="s">
        <v>0</v>
      </c>
      <c r="M3" s="11"/>
      <c r="N3" s="11" t="s">
        <v>1</v>
      </c>
      <c r="O3" s="33" t="s">
        <v>2</v>
      </c>
      <c r="P3" s="37" t="s">
        <v>0</v>
      </c>
      <c r="Q3" s="11"/>
      <c r="R3" s="11" t="s">
        <v>1</v>
      </c>
      <c r="S3" s="33" t="s">
        <v>2</v>
      </c>
      <c r="T3" s="37" t="s">
        <v>0</v>
      </c>
      <c r="U3" s="11"/>
      <c r="V3" s="11" t="s">
        <v>1</v>
      </c>
      <c r="W3" s="33" t="s">
        <v>2</v>
      </c>
      <c r="X3" s="37" t="s">
        <v>0</v>
      </c>
      <c r="Y3" s="11"/>
      <c r="Z3" s="11" t="s">
        <v>1</v>
      </c>
      <c r="AA3" s="33" t="s">
        <v>2</v>
      </c>
      <c r="AB3" s="37" t="s">
        <v>0</v>
      </c>
      <c r="AC3" s="11"/>
      <c r="AD3" s="11" t="s">
        <v>1</v>
      </c>
      <c r="AE3" s="33" t="s">
        <v>2</v>
      </c>
      <c r="AF3" s="37" t="s">
        <v>0</v>
      </c>
      <c r="AG3" s="11"/>
      <c r="AH3" s="11" t="s">
        <v>1</v>
      </c>
      <c r="AI3" s="33" t="s">
        <v>2</v>
      </c>
      <c r="AJ3" s="11"/>
      <c r="AK3" s="30" t="s">
        <v>2</v>
      </c>
      <c r="AL3" s="12" t="s">
        <v>1</v>
      </c>
    </row>
    <row r="4" spans="2:38" s="6" customFormat="1" ht="18" hidden="1" thickBot="1" x14ac:dyDescent="0.35">
      <c r="B4" s="16" t="s">
        <v>38</v>
      </c>
      <c r="C4" s="17" t="s">
        <v>39</v>
      </c>
      <c r="D4" s="40" t="s">
        <v>0</v>
      </c>
      <c r="E4" s="5" t="s">
        <v>7</v>
      </c>
      <c r="F4" s="5" t="s">
        <v>1</v>
      </c>
      <c r="G4" s="47" t="s">
        <v>2</v>
      </c>
      <c r="H4" s="36" t="s">
        <v>17</v>
      </c>
      <c r="I4" s="5" t="s">
        <v>18</v>
      </c>
      <c r="J4" s="5" t="s">
        <v>8</v>
      </c>
      <c r="K4" s="34" t="s">
        <v>9</v>
      </c>
      <c r="L4" s="36" t="s">
        <v>10</v>
      </c>
      <c r="M4" s="5" t="s">
        <v>19</v>
      </c>
      <c r="N4" s="5" t="s">
        <v>20</v>
      </c>
      <c r="O4" s="34" t="s">
        <v>21</v>
      </c>
      <c r="P4" s="36" t="s">
        <v>22</v>
      </c>
      <c r="Q4" s="5" t="s">
        <v>11</v>
      </c>
      <c r="R4" s="5" t="s">
        <v>23</v>
      </c>
      <c r="S4" s="34" t="s">
        <v>24</v>
      </c>
      <c r="T4" s="36" t="s">
        <v>25</v>
      </c>
      <c r="U4" s="5" t="s">
        <v>26</v>
      </c>
      <c r="V4" s="5" t="s">
        <v>27</v>
      </c>
      <c r="W4" s="34" t="s">
        <v>28</v>
      </c>
      <c r="X4" s="36" t="s">
        <v>29</v>
      </c>
      <c r="Y4" s="5" t="s">
        <v>30</v>
      </c>
      <c r="Z4" s="5" t="s">
        <v>12</v>
      </c>
      <c r="AA4" s="34" t="s">
        <v>13</v>
      </c>
      <c r="AB4" s="36" t="s">
        <v>14</v>
      </c>
      <c r="AC4" s="5" t="s">
        <v>31</v>
      </c>
      <c r="AD4" s="5" t="s">
        <v>32</v>
      </c>
      <c r="AE4" s="34" t="s">
        <v>33</v>
      </c>
      <c r="AF4" s="36" t="s">
        <v>34</v>
      </c>
      <c r="AG4" s="5" t="s">
        <v>15</v>
      </c>
      <c r="AH4" s="5" t="s">
        <v>35</v>
      </c>
      <c r="AI4" s="34" t="s">
        <v>36</v>
      </c>
      <c r="AJ4" s="5" t="s">
        <v>40</v>
      </c>
      <c r="AK4" s="31" t="s">
        <v>16</v>
      </c>
      <c r="AL4" s="5" t="s">
        <v>37</v>
      </c>
    </row>
    <row r="5" spans="2:38" x14ac:dyDescent="0.25">
      <c r="B5" s="25"/>
      <c r="C5" s="8"/>
      <c r="D5" s="41"/>
      <c r="E5" s="7" t="str">
        <f t="shared" ref="E5:E24" si="0">IF(D5=0," ",_xlfn.RANK.AVG(D5,D$5:D$24,1)-COUNTIF(D$5:D$24,0))</f>
        <v xml:space="preserve"> </v>
      </c>
      <c r="F5" s="7" t="str">
        <f t="shared" ref="F5:F24" si="1">IF(D5=0," ",IF((RANK(D5,D$5:D$24,1)-COUNTIF(D$5:D$24,0)&gt;6)," ",RANK(D5,D$5:D$24,1)-COUNTIF(D$5:D$24,0)))</f>
        <v xml:space="preserve"> </v>
      </c>
      <c r="G5" s="48" t="str">
        <f>IF(Table6220273233341718193051[[#This Row],[Non-Member]]="X"," ",IF(F5=" "," ",IFERROR(VLOOKUP(E5,Points!$A$2:$B$14,2,FALSE)," ")))</f>
        <v xml:space="preserve"> </v>
      </c>
      <c r="H5" s="41"/>
      <c r="I5" s="7" t="str">
        <f t="shared" ref="I5" si="2">IF(H5=0," ",_xlfn.RANK.AVG(H5,H$5:H$24,1)-COUNTIF(H$5:H$24,0))</f>
        <v xml:space="preserve"> </v>
      </c>
      <c r="J5" s="7" t="str">
        <f t="shared" ref="J5" si="3">IF(H5=0," ",IF((RANK(H5,H$5:H$24,1)-COUNTIF(H$5:H$24,0)&gt;6)," ",RANK(H5,H$5:H$24,1)-COUNTIF(H$5:H$24,0)))</f>
        <v xml:space="preserve"> </v>
      </c>
      <c r="K5" s="48" t="str">
        <f>IF(Table6220273233341718193051[[#This Row],[Non-Member]]="X"," ",IF(J5=" "," ",IFERROR(VLOOKUP(I5,Points!$A$2:$B$14,2,FALSE)," ")))</f>
        <v xml:space="preserve"> </v>
      </c>
      <c r="L5" s="41"/>
      <c r="M5" s="7" t="str">
        <f t="shared" ref="M5:M24" si="4">IF(L5=0," ",_xlfn.RANK.AVG(L5,L$5:L$24,1)-COUNTIF(L$5:L$24,0))</f>
        <v xml:space="preserve"> </v>
      </c>
      <c r="N5" s="7" t="str">
        <f t="shared" ref="N5:N24" si="5">IF(L5=0," ",IF((RANK(L5,L$5:L$24,1)-COUNTIF(L$5:L$24,0)&gt;6)," ",RANK(L5,L$5:L$24,1)-COUNTIF(L$5:L$24,0)))</f>
        <v xml:space="preserve"> </v>
      </c>
      <c r="O5" s="48" t="str">
        <f>IF(Table6220273233341718193051[[#This Row],[Non-Member]]="X"," ",IF(N5=" "," ",IFERROR(VLOOKUP(M5,Points!$A$2:$B$14,2,FALSE)," ")))</f>
        <v xml:space="preserve"> </v>
      </c>
      <c r="P5" s="41"/>
      <c r="Q5" s="7" t="str">
        <f t="shared" ref="Q5:Q24" si="6">IF(P5=0," ",_xlfn.RANK.AVG(P5,P$5:P$24,1)-COUNTIF(P$5:P$24,0))</f>
        <v xml:space="preserve"> </v>
      </c>
      <c r="R5" s="7" t="str">
        <f t="shared" ref="R5:R24" si="7">IF(P5=0," ",IF((RANK(P5,P$5:P$24,1)-COUNTIF(P$5:P$24,0)&gt;6)," ",RANK(P5,P$5:P$24,1)-COUNTIF(P$5:P$24,0)))</f>
        <v xml:space="preserve"> </v>
      </c>
      <c r="S5" s="48" t="str">
        <f>IF(Table6220273233341718193051[[#This Row],[Non-Member]]="X"," ",IF(R5=" "," ",IFERROR(VLOOKUP(Q5,Points!$A$2:$B$14,2,FALSE)," ")))</f>
        <v xml:space="preserve"> </v>
      </c>
      <c r="T5" s="41"/>
      <c r="U5" s="7" t="str">
        <f t="shared" ref="U5:U24" si="8">IF(T5=0," ",_xlfn.RANK.AVG(T5,T$5:T$24,1)-COUNTIF(T$5:T$24,0))</f>
        <v xml:space="preserve"> </v>
      </c>
      <c r="V5" s="7" t="str">
        <f t="shared" ref="V5:V24" si="9">IF(T5=0," ",IF((RANK(T5,T$5:T$24,1)-COUNTIF(T$5:T$24,0)&gt;6)," ",RANK(T5,T$5:T$24,1)-COUNTIF(T$5:T$24,0)))</f>
        <v xml:space="preserve"> </v>
      </c>
      <c r="W5" s="48" t="str">
        <f>IF(Table6220273233341718193051[[#This Row],[Non-Member]]="X"," ",IF(V5=" "," ",IFERROR(VLOOKUP(U5,Points!$A$2:$B$14,2,FALSE)," ")))</f>
        <v xml:space="preserve"> </v>
      </c>
      <c r="X5" s="41"/>
      <c r="Y5" s="7" t="str">
        <f t="shared" ref="Y5:Y24" si="10">IF(X5=0," ",_xlfn.RANK.AVG(X5,X$5:X$24,1)-COUNTIF(X$5:X$24,0))</f>
        <v xml:space="preserve"> </v>
      </c>
      <c r="Z5" s="7" t="str">
        <f t="shared" ref="Z5:Z24" si="11">IF(X5=0," ",IF((RANK(X5,X$5:X$24,1)-COUNTIF(X$5:X$24,0)&gt;6)," ",RANK(X5,X$5:X$24,1)-COUNTIF(X$5:X$24,0)))</f>
        <v xml:space="preserve"> </v>
      </c>
      <c r="AA5" s="48" t="str">
        <f>IF(Table6220273233341718193051[[#This Row],[Non-Member]]="X"," ",IF(Z5=" "," ",IFERROR(VLOOKUP(Y5,Points!$A$2:$B$14,2,FALSE)," ")))</f>
        <v xml:space="preserve"> </v>
      </c>
      <c r="AB5" s="41"/>
      <c r="AC5" s="7" t="str">
        <f t="shared" ref="AC5:AC24" si="12">IF(AB5=0," ",_xlfn.RANK.AVG(AB5,AB$5:AB$24,1)-COUNTIF(AB$5:AB$24,0))</f>
        <v xml:space="preserve"> </v>
      </c>
      <c r="AD5" s="7" t="str">
        <f t="shared" ref="AD5:AD24" si="13">IF(AB5=0," ",IF((RANK(AB5,AB$5:AB$24,1)-COUNTIF(AB$5:AB$24,0)&gt;6)," ",RANK(AB5,AB$5:AB$24,1)-COUNTIF(AB$5:AB$24,0)))</f>
        <v xml:space="preserve"> </v>
      </c>
      <c r="AE5" s="48" t="str">
        <f>IF(Table6220273233341718193051[[#This Row],[Non-Member]]="X"," ",IF(AD5=" "," ",IFERROR(VLOOKUP(AC5,Points!$A$2:$B$14,2,FALSE)," ")))</f>
        <v xml:space="preserve"> </v>
      </c>
      <c r="AF5" s="41"/>
      <c r="AG5" s="7" t="str">
        <f t="shared" ref="AG5:AG24" si="14">IF(AF5=0," ",_xlfn.RANK.AVG(AF5,AF$5:AF$24,1)-COUNTIF(AF$5:AF$24,0))</f>
        <v xml:space="preserve"> </v>
      </c>
      <c r="AH5" s="7" t="str">
        <f t="shared" ref="AH5:AH24" si="15">IF(AF5=0," ",IF((RANK(AF5,AF$5:AF$24,1)-COUNTIF(AF$5:AF$24,0)&gt;6)," ",RANK(AF5,AF$5:AF$24,1)-COUNTIF(AF$5:AF$24,0)))</f>
        <v xml:space="preserve"> </v>
      </c>
      <c r="AI5" s="48" t="str">
        <f>IF(Table6220273233341718193051[[#This Row],[Non-Member]]="X"," ",IF(AH5=" "," ",IFERROR(VLOOKUP(AG5,Points!$A$2:$B$14,2,FALSE)," ")))</f>
        <v xml:space="preserve"> </v>
      </c>
      <c r="AJ5" s="7">
        <f>IF(Table6220273233341718193051[[#This Row],[Non-Member]]="X"," ",((IF(G5=" ",0,G5))+(IF(K5=" ",0,K5))+(IF(O5=" ",0,O5))+(IF(S5=" ",0,S5))+(IF(W5=" ",0,W5))+(IF(AA5=" ",0,AA5))+(IF(AE5=" ",0,AE5))+(IF(AI5=" ",0,AI5))))</f>
        <v>0</v>
      </c>
      <c r="AK5" s="51" t="str">
        <f t="shared" ref="AK5:AK24" si="16">IF(AJ5=0," ",AJ5)</f>
        <v xml:space="preserve"> </v>
      </c>
      <c r="AL5" s="21" t="str">
        <f t="shared" ref="AL5:AL24" si="17">IF(AK5=" "," ",RANK(AK5,$AK$5:$AK$24))</f>
        <v xml:space="preserve"> </v>
      </c>
    </row>
    <row r="6" spans="2:38" x14ac:dyDescent="0.25">
      <c r="B6" s="26"/>
      <c r="C6" s="10"/>
      <c r="D6" s="42"/>
      <c r="E6" s="9" t="str">
        <f t="shared" si="0"/>
        <v xml:space="preserve"> </v>
      </c>
      <c r="F6" s="9" t="str">
        <f t="shared" si="1"/>
        <v xml:space="preserve"> </v>
      </c>
      <c r="G6" s="49" t="str">
        <f>IF(Table6220273233341718193051[[#This Row],[Non-Member]]="X"," ",IF(F6=" "," ",IFERROR(VLOOKUP(E6,Points!$A$2:$B$14,2,FALSE)," ")))</f>
        <v xml:space="preserve"> </v>
      </c>
      <c r="H6" s="42"/>
      <c r="I6" s="9" t="str">
        <f t="shared" ref="I6:I24" si="18">IF(H6=0," ",_xlfn.RANK.AVG(H6,H$5:H$24,1)-COUNTIF(H$5:H$24,0))</f>
        <v xml:space="preserve"> </v>
      </c>
      <c r="J6" s="9" t="str">
        <f t="shared" ref="J6:J24" si="19">IF(H6=0," ",IF((RANK(H6,H$5:H$24,1)-COUNTIF(H$5:H$24,0)&gt;6)," ",RANK(H6,H$5:H$24,1)-COUNTIF(H$5:H$24,0)))</f>
        <v xml:space="preserve"> </v>
      </c>
      <c r="K6" s="49" t="str">
        <f>IF(Table6220273233341718193051[[#This Row],[Non-Member]]="X"," ",IF(J6=" "," ",IFERROR(VLOOKUP(I6,Points!$A$2:$B$14,2,FALSE)," ")))</f>
        <v xml:space="preserve"> </v>
      </c>
      <c r="L6" s="42"/>
      <c r="M6" s="9" t="str">
        <f t="shared" si="4"/>
        <v xml:space="preserve"> </v>
      </c>
      <c r="N6" s="9" t="str">
        <f t="shared" si="5"/>
        <v xml:space="preserve"> </v>
      </c>
      <c r="O6" s="49" t="str">
        <f>IF(Table6220273233341718193051[[#This Row],[Non-Member]]="X"," ",IF(N6=" "," ",IFERROR(VLOOKUP(M6,Points!$A$2:$B$14,2,FALSE)," ")))</f>
        <v xml:space="preserve"> </v>
      </c>
      <c r="P6" s="42"/>
      <c r="Q6" s="9" t="str">
        <f t="shared" si="6"/>
        <v xml:space="preserve"> </v>
      </c>
      <c r="R6" s="9" t="str">
        <f t="shared" si="7"/>
        <v xml:space="preserve"> </v>
      </c>
      <c r="S6" s="49" t="str">
        <f>IF(Table6220273233341718193051[[#This Row],[Non-Member]]="X"," ",IF(R6=" "," ",IFERROR(VLOOKUP(Q6,Points!$A$2:$B$14,2,FALSE)," ")))</f>
        <v xml:space="preserve"> </v>
      </c>
      <c r="T6" s="42"/>
      <c r="U6" s="9" t="str">
        <f t="shared" si="8"/>
        <v xml:space="preserve"> </v>
      </c>
      <c r="V6" s="9" t="str">
        <f t="shared" si="9"/>
        <v xml:space="preserve"> </v>
      </c>
      <c r="W6" s="49" t="str">
        <f>IF(Table6220273233341718193051[[#This Row],[Non-Member]]="X"," ",IF(V6=" "," ",IFERROR(VLOOKUP(U6,Points!$A$2:$B$14,2,FALSE)," ")))</f>
        <v xml:space="preserve"> </v>
      </c>
      <c r="X6" s="42"/>
      <c r="Y6" s="9" t="str">
        <f t="shared" si="10"/>
        <v xml:space="preserve"> </v>
      </c>
      <c r="Z6" s="9" t="str">
        <f t="shared" si="11"/>
        <v xml:space="preserve"> </v>
      </c>
      <c r="AA6" s="49" t="str">
        <f>IF(Table6220273233341718193051[[#This Row],[Non-Member]]="X"," ",IF(Z6=" "," ",IFERROR(VLOOKUP(Y6,Points!$A$2:$B$14,2,FALSE)," ")))</f>
        <v xml:space="preserve"> </v>
      </c>
      <c r="AB6" s="42"/>
      <c r="AC6" s="9" t="str">
        <f t="shared" si="12"/>
        <v xml:space="preserve"> </v>
      </c>
      <c r="AD6" s="9" t="str">
        <f t="shared" si="13"/>
        <v xml:space="preserve"> </v>
      </c>
      <c r="AE6" s="49" t="str">
        <f>IF(Table6220273233341718193051[[#This Row],[Non-Member]]="X"," ",IF(AD6=" "," ",IFERROR(VLOOKUP(AC6,Points!$A$2:$B$14,2,FALSE)," ")))</f>
        <v xml:space="preserve"> </v>
      </c>
      <c r="AF6" s="42"/>
      <c r="AG6" s="9" t="str">
        <f t="shared" si="14"/>
        <v xml:space="preserve"> </v>
      </c>
      <c r="AH6" s="9" t="str">
        <f t="shared" si="15"/>
        <v xml:space="preserve"> </v>
      </c>
      <c r="AI6" s="49" t="str">
        <f>IF(Table6220273233341718193051[[#This Row],[Non-Member]]="X"," ",IF(AH6=" "," ",IFERROR(VLOOKUP(AG6,Points!$A$2:$B$14,2,FALSE)," ")))</f>
        <v xml:space="preserve"> </v>
      </c>
      <c r="AJ6" s="9">
        <f>IF(Table6220273233341718193051[[#This Row],[Non-Member]]="X"," ",((IF(G6=" ",0,G6))+(IF(K6=" ",0,K6))+(IF(O6=" ",0,O6))+(IF(S6=" ",0,S6))+(IF(W6=" ",0,W6))+(IF(AA6=" ",0,AA6))+(IF(AE6=" ",0,AE6))+(IF(AI6=" ",0,AI6))))</f>
        <v>0</v>
      </c>
      <c r="AK6" s="52" t="str">
        <f t="shared" si="16"/>
        <v xml:space="preserve"> </v>
      </c>
      <c r="AL6" s="22" t="str">
        <f t="shared" si="17"/>
        <v xml:space="preserve"> </v>
      </c>
    </row>
    <row r="7" spans="2:38" x14ac:dyDescent="0.25">
      <c r="B7" s="26"/>
      <c r="C7" s="10"/>
      <c r="D7" s="42"/>
      <c r="E7" s="9" t="str">
        <f t="shared" si="0"/>
        <v xml:space="preserve"> </v>
      </c>
      <c r="F7" s="9" t="str">
        <f t="shared" si="1"/>
        <v xml:space="preserve"> </v>
      </c>
      <c r="G7" s="49" t="str">
        <f>IF(Table6220273233341718193051[[#This Row],[Non-Member]]="X"," ",IF(F7=" "," ",IFERROR(VLOOKUP(E7,Points!$A$2:$B$14,2,FALSE)," ")))</f>
        <v xml:space="preserve"> </v>
      </c>
      <c r="H7" s="42"/>
      <c r="I7" s="9" t="str">
        <f t="shared" si="18"/>
        <v xml:space="preserve"> </v>
      </c>
      <c r="J7" s="9" t="str">
        <f t="shared" si="19"/>
        <v xml:space="preserve"> </v>
      </c>
      <c r="K7" s="49" t="str">
        <f>IF(Table6220273233341718193051[[#This Row],[Non-Member]]="X"," ",IF(J7=" "," ",IFERROR(VLOOKUP(I7,Points!$A$2:$B$14,2,FALSE)," ")))</f>
        <v xml:space="preserve"> </v>
      </c>
      <c r="L7" s="42"/>
      <c r="M7" s="9" t="str">
        <f t="shared" si="4"/>
        <v xml:space="preserve"> </v>
      </c>
      <c r="N7" s="9" t="str">
        <f t="shared" si="5"/>
        <v xml:space="preserve"> </v>
      </c>
      <c r="O7" s="49" t="str">
        <f>IF(Table6220273233341718193051[[#This Row],[Non-Member]]="X"," ",IF(N7=" "," ",IFERROR(VLOOKUP(M7,Points!$A$2:$B$14,2,FALSE)," ")))</f>
        <v xml:space="preserve"> </v>
      </c>
      <c r="P7" s="42"/>
      <c r="Q7" s="9" t="str">
        <f t="shared" si="6"/>
        <v xml:space="preserve"> </v>
      </c>
      <c r="R7" s="9" t="str">
        <f t="shared" si="7"/>
        <v xml:space="preserve"> </v>
      </c>
      <c r="S7" s="49" t="str">
        <f>IF(Table6220273233341718193051[[#This Row],[Non-Member]]="X"," ",IF(R7=" "," ",IFERROR(VLOOKUP(Q7,Points!$A$2:$B$14,2,FALSE)," ")))</f>
        <v xml:space="preserve"> </v>
      </c>
      <c r="T7" s="42"/>
      <c r="U7" s="9" t="str">
        <f t="shared" si="8"/>
        <v xml:space="preserve"> </v>
      </c>
      <c r="V7" s="9" t="str">
        <f t="shared" si="9"/>
        <v xml:space="preserve"> </v>
      </c>
      <c r="W7" s="49" t="str">
        <f>IF(Table6220273233341718193051[[#This Row],[Non-Member]]="X"," ",IF(V7=" "," ",IFERROR(VLOOKUP(U7,Points!$A$2:$B$14,2,FALSE)," ")))</f>
        <v xml:space="preserve"> </v>
      </c>
      <c r="X7" s="42"/>
      <c r="Y7" s="9" t="str">
        <f t="shared" si="10"/>
        <v xml:space="preserve"> </v>
      </c>
      <c r="Z7" s="9" t="str">
        <f t="shared" si="11"/>
        <v xml:space="preserve"> </v>
      </c>
      <c r="AA7" s="49" t="str">
        <f>IF(Table6220273233341718193051[[#This Row],[Non-Member]]="X"," ",IF(Z7=" "," ",IFERROR(VLOOKUP(Y7,Points!$A$2:$B$14,2,FALSE)," ")))</f>
        <v xml:space="preserve"> </v>
      </c>
      <c r="AB7" s="42"/>
      <c r="AC7" s="9" t="str">
        <f t="shared" si="12"/>
        <v xml:space="preserve"> </v>
      </c>
      <c r="AD7" s="9" t="str">
        <f t="shared" si="13"/>
        <v xml:space="preserve"> </v>
      </c>
      <c r="AE7" s="49" t="str">
        <f>IF(Table6220273233341718193051[[#This Row],[Non-Member]]="X"," ",IF(AD7=" "," ",IFERROR(VLOOKUP(AC7,Points!$A$2:$B$14,2,FALSE)," ")))</f>
        <v xml:space="preserve"> </v>
      </c>
      <c r="AF7" s="42"/>
      <c r="AG7" s="9" t="str">
        <f t="shared" si="14"/>
        <v xml:space="preserve"> </v>
      </c>
      <c r="AH7" s="9" t="str">
        <f t="shared" si="15"/>
        <v xml:space="preserve"> </v>
      </c>
      <c r="AI7" s="49" t="str">
        <f>IF(Table6220273233341718193051[[#This Row],[Non-Member]]="X"," ",IF(AH7=" "," ",IFERROR(VLOOKUP(AG7,Points!$A$2:$B$14,2,FALSE)," ")))</f>
        <v xml:space="preserve"> </v>
      </c>
      <c r="AJ7" s="9">
        <f>IF(Table6220273233341718193051[[#This Row],[Non-Member]]="X"," ",((IF(G7=" ",0,G7))+(IF(K7=" ",0,K7))+(IF(O7=" ",0,O7))+(IF(S7=" ",0,S7))+(IF(W7=" ",0,W7))+(IF(AA7=" ",0,AA7))+(IF(AE7=" ",0,AE7))+(IF(AI7=" ",0,AI7))))</f>
        <v>0</v>
      </c>
      <c r="AK7" s="52" t="str">
        <f t="shared" si="16"/>
        <v xml:space="preserve"> </v>
      </c>
      <c r="AL7" s="22" t="str">
        <f t="shared" si="17"/>
        <v xml:space="preserve"> </v>
      </c>
    </row>
    <row r="8" spans="2:38" x14ac:dyDescent="0.25">
      <c r="B8" s="26"/>
      <c r="C8" s="10"/>
      <c r="D8" s="42"/>
      <c r="E8" s="9" t="str">
        <f t="shared" si="0"/>
        <v xml:space="preserve"> </v>
      </c>
      <c r="F8" s="9" t="str">
        <f t="shared" si="1"/>
        <v xml:space="preserve"> </v>
      </c>
      <c r="G8" s="49" t="str">
        <f>IF(Table6220273233341718193051[[#This Row],[Non-Member]]="X"," ",IF(F8=" "," ",IFERROR(VLOOKUP(E8,Points!$A$2:$B$14,2,FALSE)," ")))</f>
        <v xml:space="preserve"> </v>
      </c>
      <c r="H8" s="42"/>
      <c r="I8" s="9" t="str">
        <f t="shared" si="18"/>
        <v xml:space="preserve"> </v>
      </c>
      <c r="J8" s="9" t="str">
        <f t="shared" si="19"/>
        <v xml:space="preserve"> </v>
      </c>
      <c r="K8" s="49" t="str">
        <f>IF(Table6220273233341718193051[[#This Row],[Non-Member]]="X"," ",IF(J8=" "," ",IFERROR(VLOOKUP(I8,Points!$A$2:$B$14,2,FALSE)," ")))</f>
        <v xml:space="preserve"> </v>
      </c>
      <c r="L8" s="42"/>
      <c r="M8" s="9" t="str">
        <f t="shared" si="4"/>
        <v xml:space="preserve"> </v>
      </c>
      <c r="N8" s="9" t="str">
        <f t="shared" si="5"/>
        <v xml:space="preserve"> </v>
      </c>
      <c r="O8" s="49" t="str">
        <f>IF(Table6220273233341718193051[[#This Row],[Non-Member]]="X"," ",IF(N8=" "," ",IFERROR(VLOOKUP(M8,Points!$A$2:$B$14,2,FALSE)," ")))</f>
        <v xml:space="preserve"> </v>
      </c>
      <c r="P8" s="42"/>
      <c r="Q8" s="9" t="str">
        <f t="shared" si="6"/>
        <v xml:space="preserve"> </v>
      </c>
      <c r="R8" s="9" t="str">
        <f t="shared" si="7"/>
        <v xml:space="preserve"> </v>
      </c>
      <c r="S8" s="49" t="str">
        <f>IF(Table6220273233341718193051[[#This Row],[Non-Member]]="X"," ",IF(R8=" "," ",IFERROR(VLOOKUP(Q8,Points!$A$2:$B$14,2,FALSE)," ")))</f>
        <v xml:space="preserve"> </v>
      </c>
      <c r="T8" s="42"/>
      <c r="U8" s="9" t="str">
        <f t="shared" si="8"/>
        <v xml:space="preserve"> </v>
      </c>
      <c r="V8" s="9" t="str">
        <f t="shared" si="9"/>
        <v xml:space="preserve"> </v>
      </c>
      <c r="W8" s="49" t="str">
        <f>IF(Table6220273233341718193051[[#This Row],[Non-Member]]="X"," ",IF(V8=" "," ",IFERROR(VLOOKUP(U8,Points!$A$2:$B$14,2,FALSE)," ")))</f>
        <v xml:space="preserve"> </v>
      </c>
      <c r="X8" s="42"/>
      <c r="Y8" s="9" t="str">
        <f t="shared" si="10"/>
        <v xml:space="preserve"> </v>
      </c>
      <c r="Z8" s="9" t="str">
        <f t="shared" si="11"/>
        <v xml:space="preserve"> </v>
      </c>
      <c r="AA8" s="49" t="str">
        <f>IF(Table6220273233341718193051[[#This Row],[Non-Member]]="X"," ",IF(Z8=" "," ",IFERROR(VLOOKUP(Y8,Points!$A$2:$B$14,2,FALSE)," ")))</f>
        <v xml:space="preserve"> </v>
      </c>
      <c r="AB8" s="42"/>
      <c r="AC8" s="9" t="str">
        <f t="shared" si="12"/>
        <v xml:space="preserve"> </v>
      </c>
      <c r="AD8" s="9" t="str">
        <f t="shared" si="13"/>
        <v xml:space="preserve"> </v>
      </c>
      <c r="AE8" s="49" t="str">
        <f>IF(Table6220273233341718193051[[#This Row],[Non-Member]]="X"," ",IF(AD8=" "," ",IFERROR(VLOOKUP(AC8,Points!$A$2:$B$14,2,FALSE)," ")))</f>
        <v xml:space="preserve"> </v>
      </c>
      <c r="AF8" s="42"/>
      <c r="AG8" s="9" t="str">
        <f t="shared" si="14"/>
        <v xml:space="preserve"> </v>
      </c>
      <c r="AH8" s="9" t="str">
        <f t="shared" si="15"/>
        <v xml:space="preserve"> </v>
      </c>
      <c r="AI8" s="49" t="str">
        <f>IF(Table6220273233341718193051[[#This Row],[Non-Member]]="X"," ",IF(AH8=" "," ",IFERROR(VLOOKUP(AG8,Points!$A$2:$B$14,2,FALSE)," ")))</f>
        <v xml:space="preserve"> </v>
      </c>
      <c r="AJ8" s="9">
        <f>IF(Table6220273233341718193051[[#This Row],[Non-Member]]="X"," ",((IF(G8=" ",0,G8))+(IF(K8=" ",0,K8))+(IF(O8=" ",0,O8))+(IF(S8=" ",0,S8))+(IF(W8=" ",0,W8))+(IF(AA8=" ",0,AA8))+(IF(AE8=" ",0,AE8))+(IF(AI8=" ",0,AI8))))</f>
        <v>0</v>
      </c>
      <c r="AK8" s="52" t="str">
        <f t="shared" si="16"/>
        <v xml:space="preserve"> </v>
      </c>
      <c r="AL8" s="22" t="str">
        <f t="shared" si="17"/>
        <v xml:space="preserve"> </v>
      </c>
    </row>
    <row r="9" spans="2:38" x14ac:dyDescent="0.25">
      <c r="B9" s="26"/>
      <c r="C9" s="10"/>
      <c r="D9" s="42"/>
      <c r="E9" s="9" t="str">
        <f t="shared" si="0"/>
        <v xml:space="preserve"> </v>
      </c>
      <c r="F9" s="9" t="str">
        <f t="shared" si="1"/>
        <v xml:space="preserve"> </v>
      </c>
      <c r="G9" s="49" t="str">
        <f>IF(Table6220273233341718193051[[#This Row],[Non-Member]]="X"," ",IF(F9=" "," ",IFERROR(VLOOKUP(E9,Points!$A$2:$B$14,2,FALSE)," ")))</f>
        <v xml:space="preserve"> </v>
      </c>
      <c r="H9" s="42"/>
      <c r="I9" s="9" t="str">
        <f t="shared" si="18"/>
        <v xml:space="preserve"> </v>
      </c>
      <c r="J9" s="9" t="str">
        <f t="shared" si="19"/>
        <v xml:space="preserve"> </v>
      </c>
      <c r="K9" s="49" t="str">
        <f>IF(Table6220273233341718193051[[#This Row],[Non-Member]]="X"," ",IF(J9=" "," ",IFERROR(VLOOKUP(I9,Points!$A$2:$B$14,2,FALSE)," ")))</f>
        <v xml:space="preserve"> </v>
      </c>
      <c r="L9" s="42"/>
      <c r="M9" s="9" t="str">
        <f t="shared" si="4"/>
        <v xml:space="preserve"> </v>
      </c>
      <c r="N9" s="9" t="str">
        <f t="shared" si="5"/>
        <v xml:space="preserve"> </v>
      </c>
      <c r="O9" s="49" t="str">
        <f>IF(Table6220273233341718193051[[#This Row],[Non-Member]]="X"," ",IF(N9=" "," ",IFERROR(VLOOKUP(M9,Points!$A$2:$B$14,2,FALSE)," ")))</f>
        <v xml:space="preserve"> </v>
      </c>
      <c r="P9" s="42"/>
      <c r="Q9" s="9" t="str">
        <f t="shared" si="6"/>
        <v xml:space="preserve"> </v>
      </c>
      <c r="R9" s="9" t="str">
        <f t="shared" si="7"/>
        <v xml:space="preserve"> </v>
      </c>
      <c r="S9" s="49" t="str">
        <f>IF(Table6220273233341718193051[[#This Row],[Non-Member]]="X"," ",IF(R9=" "," ",IFERROR(VLOOKUP(Q9,Points!$A$2:$B$14,2,FALSE)," ")))</f>
        <v xml:space="preserve"> </v>
      </c>
      <c r="T9" s="42"/>
      <c r="U9" s="9" t="str">
        <f t="shared" si="8"/>
        <v xml:space="preserve"> </v>
      </c>
      <c r="V9" s="9" t="str">
        <f t="shared" si="9"/>
        <v xml:space="preserve"> </v>
      </c>
      <c r="W9" s="49" t="str">
        <f>IF(Table6220273233341718193051[[#This Row],[Non-Member]]="X"," ",IF(V9=" "," ",IFERROR(VLOOKUP(U9,Points!$A$2:$B$14,2,FALSE)," ")))</f>
        <v xml:space="preserve"> </v>
      </c>
      <c r="X9" s="42"/>
      <c r="Y9" s="9" t="str">
        <f t="shared" si="10"/>
        <v xml:space="preserve"> </v>
      </c>
      <c r="Z9" s="9" t="str">
        <f t="shared" si="11"/>
        <v xml:space="preserve"> </v>
      </c>
      <c r="AA9" s="49" t="str">
        <f>IF(Table6220273233341718193051[[#This Row],[Non-Member]]="X"," ",IF(Z9=" "," ",IFERROR(VLOOKUP(Y9,Points!$A$2:$B$14,2,FALSE)," ")))</f>
        <v xml:space="preserve"> </v>
      </c>
      <c r="AB9" s="42"/>
      <c r="AC9" s="9" t="str">
        <f t="shared" si="12"/>
        <v xml:space="preserve"> </v>
      </c>
      <c r="AD9" s="9" t="str">
        <f t="shared" si="13"/>
        <v xml:space="preserve"> </v>
      </c>
      <c r="AE9" s="49" t="str">
        <f>IF(Table6220273233341718193051[[#This Row],[Non-Member]]="X"," ",IF(AD9=" "," ",IFERROR(VLOOKUP(AC9,Points!$A$2:$B$14,2,FALSE)," ")))</f>
        <v xml:space="preserve"> </v>
      </c>
      <c r="AF9" s="42"/>
      <c r="AG9" s="9" t="str">
        <f t="shared" si="14"/>
        <v xml:space="preserve"> </v>
      </c>
      <c r="AH9" s="9" t="str">
        <f t="shared" si="15"/>
        <v xml:space="preserve"> </v>
      </c>
      <c r="AI9" s="49" t="str">
        <f>IF(Table6220273233341718193051[[#This Row],[Non-Member]]="X"," ",IF(AH9=" "," ",IFERROR(VLOOKUP(AG9,Points!$A$2:$B$14,2,FALSE)," ")))</f>
        <v xml:space="preserve"> </v>
      </c>
      <c r="AJ9" s="9">
        <f>IF(Table6220273233341718193051[[#This Row],[Non-Member]]="X"," ",((IF(G9=" ",0,G9))+(IF(K9=" ",0,K9))+(IF(O9=" ",0,O9))+(IF(S9=" ",0,S9))+(IF(W9=" ",0,W9))+(IF(AA9=" ",0,AA9))+(IF(AE9=" ",0,AE9))+(IF(AI9=" ",0,AI9))))</f>
        <v>0</v>
      </c>
      <c r="AK9" s="52" t="str">
        <f t="shared" si="16"/>
        <v xml:space="preserve"> </v>
      </c>
      <c r="AL9" s="22" t="str">
        <f t="shared" si="17"/>
        <v xml:space="preserve"> </v>
      </c>
    </row>
    <row r="10" spans="2:38" x14ac:dyDescent="0.25">
      <c r="B10" s="26"/>
      <c r="C10" s="10"/>
      <c r="D10" s="42"/>
      <c r="E10" s="9" t="str">
        <f t="shared" si="0"/>
        <v xml:space="preserve"> </v>
      </c>
      <c r="F10" s="9" t="str">
        <f t="shared" si="1"/>
        <v xml:space="preserve"> </v>
      </c>
      <c r="G10" s="49" t="str">
        <f>IF(Table6220273233341718193051[[#This Row],[Non-Member]]="X"," ",IF(F10=" "," ",IFERROR(VLOOKUP(E10,Points!$A$2:$B$14,2,FALSE)," ")))</f>
        <v xml:space="preserve"> </v>
      </c>
      <c r="H10" s="42"/>
      <c r="I10" s="9" t="str">
        <f t="shared" si="18"/>
        <v xml:space="preserve"> </v>
      </c>
      <c r="J10" s="9" t="str">
        <f t="shared" si="19"/>
        <v xml:space="preserve"> </v>
      </c>
      <c r="K10" s="49" t="str">
        <f>IF(Table6220273233341718193051[[#This Row],[Non-Member]]="X"," ",IF(J10=" "," ",IFERROR(VLOOKUP(I10,Points!$A$2:$B$14,2,FALSE)," ")))</f>
        <v xml:space="preserve"> </v>
      </c>
      <c r="L10" s="42"/>
      <c r="M10" s="9" t="str">
        <f t="shared" si="4"/>
        <v xml:space="preserve"> </v>
      </c>
      <c r="N10" s="9" t="str">
        <f t="shared" si="5"/>
        <v xml:space="preserve"> </v>
      </c>
      <c r="O10" s="49" t="str">
        <f>IF(Table6220273233341718193051[[#This Row],[Non-Member]]="X"," ",IF(N10=" "," ",IFERROR(VLOOKUP(M10,Points!$A$2:$B$14,2,FALSE)," ")))</f>
        <v xml:space="preserve"> </v>
      </c>
      <c r="P10" s="42"/>
      <c r="Q10" s="9" t="str">
        <f t="shared" si="6"/>
        <v xml:space="preserve"> </v>
      </c>
      <c r="R10" s="9" t="str">
        <f t="shared" si="7"/>
        <v xml:space="preserve"> </v>
      </c>
      <c r="S10" s="49" t="str">
        <f>IF(Table6220273233341718193051[[#This Row],[Non-Member]]="X"," ",IF(R10=" "," ",IFERROR(VLOOKUP(Q10,Points!$A$2:$B$14,2,FALSE)," ")))</f>
        <v xml:space="preserve"> </v>
      </c>
      <c r="T10" s="42"/>
      <c r="U10" s="9" t="str">
        <f t="shared" si="8"/>
        <v xml:space="preserve"> </v>
      </c>
      <c r="V10" s="9" t="str">
        <f t="shared" si="9"/>
        <v xml:space="preserve"> </v>
      </c>
      <c r="W10" s="49" t="str">
        <f>IF(Table6220273233341718193051[[#This Row],[Non-Member]]="X"," ",IF(V10=" "," ",IFERROR(VLOOKUP(U10,Points!$A$2:$B$14,2,FALSE)," ")))</f>
        <v xml:space="preserve"> </v>
      </c>
      <c r="X10" s="42"/>
      <c r="Y10" s="9" t="str">
        <f t="shared" si="10"/>
        <v xml:space="preserve"> </v>
      </c>
      <c r="Z10" s="9" t="str">
        <f t="shared" si="11"/>
        <v xml:space="preserve"> </v>
      </c>
      <c r="AA10" s="49" t="str">
        <f>IF(Table6220273233341718193051[[#This Row],[Non-Member]]="X"," ",IF(Z10=" "," ",IFERROR(VLOOKUP(Y10,Points!$A$2:$B$14,2,FALSE)," ")))</f>
        <v xml:space="preserve"> </v>
      </c>
      <c r="AB10" s="42"/>
      <c r="AC10" s="9" t="str">
        <f t="shared" si="12"/>
        <v xml:space="preserve"> </v>
      </c>
      <c r="AD10" s="9" t="str">
        <f t="shared" si="13"/>
        <v xml:space="preserve"> </v>
      </c>
      <c r="AE10" s="49" t="str">
        <f>IF(Table6220273233341718193051[[#This Row],[Non-Member]]="X"," ",IF(AD10=" "," ",IFERROR(VLOOKUP(AC10,Points!$A$2:$B$14,2,FALSE)," ")))</f>
        <v xml:space="preserve"> </v>
      </c>
      <c r="AF10" s="42"/>
      <c r="AG10" s="9" t="str">
        <f t="shared" si="14"/>
        <v xml:space="preserve"> </v>
      </c>
      <c r="AH10" s="9" t="str">
        <f t="shared" si="15"/>
        <v xml:space="preserve"> </v>
      </c>
      <c r="AI10" s="49" t="str">
        <f>IF(Table6220273233341718193051[[#This Row],[Non-Member]]="X"," ",IF(AH10=" "," ",IFERROR(VLOOKUP(AG10,Points!$A$2:$B$14,2,FALSE)," ")))</f>
        <v xml:space="preserve"> </v>
      </c>
      <c r="AJ10" s="9">
        <f>IF(Table6220273233341718193051[[#This Row],[Non-Member]]="X"," ",((IF(G10=" ",0,G10))+(IF(K10=" ",0,K10))+(IF(O10=" ",0,O10))+(IF(S10=" ",0,S10))+(IF(W10=" ",0,W10))+(IF(AA10=" ",0,AA10))+(IF(AE10=" ",0,AE10))+(IF(AI10=" ",0,AI10))))</f>
        <v>0</v>
      </c>
      <c r="AK10" s="52" t="str">
        <f t="shared" si="16"/>
        <v xml:space="preserve"> </v>
      </c>
      <c r="AL10" s="22" t="str">
        <f t="shared" si="17"/>
        <v xml:space="preserve"> </v>
      </c>
    </row>
    <row r="11" spans="2:38" x14ac:dyDescent="0.25">
      <c r="B11" s="26"/>
      <c r="C11" s="10"/>
      <c r="D11" s="42"/>
      <c r="E11" s="9" t="str">
        <f t="shared" si="0"/>
        <v xml:space="preserve"> </v>
      </c>
      <c r="F11" s="9" t="str">
        <f t="shared" si="1"/>
        <v xml:space="preserve"> </v>
      </c>
      <c r="G11" s="49" t="str">
        <f>IF(Table6220273233341718193051[[#This Row],[Non-Member]]="X"," ",IF(F11=" "," ",IFERROR(VLOOKUP(E11,Points!$A$2:$B$14,2,FALSE)," ")))</f>
        <v xml:space="preserve"> </v>
      </c>
      <c r="H11" s="42"/>
      <c r="I11" s="9" t="str">
        <f t="shared" si="18"/>
        <v xml:space="preserve"> </v>
      </c>
      <c r="J11" s="9" t="str">
        <f t="shared" si="19"/>
        <v xml:space="preserve"> </v>
      </c>
      <c r="K11" s="49" t="str">
        <f>IF(Table6220273233341718193051[[#This Row],[Non-Member]]="X"," ",IF(J11=" "," ",IFERROR(VLOOKUP(I11,Points!$A$2:$B$14,2,FALSE)," ")))</f>
        <v xml:space="preserve"> </v>
      </c>
      <c r="L11" s="42"/>
      <c r="M11" s="9" t="str">
        <f t="shared" si="4"/>
        <v xml:space="preserve"> </v>
      </c>
      <c r="N11" s="9" t="str">
        <f t="shared" si="5"/>
        <v xml:space="preserve"> </v>
      </c>
      <c r="O11" s="49" t="str">
        <f>IF(Table6220273233341718193051[[#This Row],[Non-Member]]="X"," ",IF(N11=" "," ",IFERROR(VLOOKUP(M11,Points!$A$2:$B$14,2,FALSE)," ")))</f>
        <v xml:space="preserve"> </v>
      </c>
      <c r="P11" s="42"/>
      <c r="Q11" s="9" t="str">
        <f t="shared" si="6"/>
        <v xml:space="preserve"> </v>
      </c>
      <c r="R11" s="9" t="str">
        <f t="shared" si="7"/>
        <v xml:space="preserve"> </v>
      </c>
      <c r="S11" s="49" t="str">
        <f>IF(Table6220273233341718193051[[#This Row],[Non-Member]]="X"," ",IF(R11=" "," ",IFERROR(VLOOKUP(Q11,Points!$A$2:$B$14,2,FALSE)," ")))</f>
        <v xml:space="preserve"> </v>
      </c>
      <c r="T11" s="42"/>
      <c r="U11" s="9" t="str">
        <f t="shared" si="8"/>
        <v xml:space="preserve"> </v>
      </c>
      <c r="V11" s="9" t="str">
        <f t="shared" si="9"/>
        <v xml:space="preserve"> </v>
      </c>
      <c r="W11" s="49" t="str">
        <f>IF(Table6220273233341718193051[[#This Row],[Non-Member]]="X"," ",IF(V11=" "," ",IFERROR(VLOOKUP(U11,Points!$A$2:$B$14,2,FALSE)," ")))</f>
        <v xml:space="preserve"> </v>
      </c>
      <c r="X11" s="42"/>
      <c r="Y11" s="9" t="str">
        <f t="shared" si="10"/>
        <v xml:space="preserve"> </v>
      </c>
      <c r="Z11" s="9" t="str">
        <f t="shared" si="11"/>
        <v xml:space="preserve"> </v>
      </c>
      <c r="AA11" s="49" t="str">
        <f>IF(Table6220273233341718193051[[#This Row],[Non-Member]]="X"," ",IF(Z11=" "," ",IFERROR(VLOOKUP(Y11,Points!$A$2:$B$14,2,FALSE)," ")))</f>
        <v xml:space="preserve"> </v>
      </c>
      <c r="AB11" s="42"/>
      <c r="AC11" s="9" t="str">
        <f t="shared" si="12"/>
        <v xml:space="preserve"> </v>
      </c>
      <c r="AD11" s="9" t="str">
        <f t="shared" si="13"/>
        <v xml:space="preserve"> </v>
      </c>
      <c r="AE11" s="49" t="str">
        <f>IF(Table6220273233341718193051[[#This Row],[Non-Member]]="X"," ",IF(AD11=" "," ",IFERROR(VLOOKUP(AC11,Points!$A$2:$B$14,2,FALSE)," ")))</f>
        <v xml:space="preserve"> </v>
      </c>
      <c r="AF11" s="42"/>
      <c r="AG11" s="9" t="str">
        <f t="shared" si="14"/>
        <v xml:space="preserve"> </v>
      </c>
      <c r="AH11" s="9" t="str">
        <f t="shared" si="15"/>
        <v xml:space="preserve"> </v>
      </c>
      <c r="AI11" s="49" t="str">
        <f>IF(Table6220273233341718193051[[#This Row],[Non-Member]]="X"," ",IF(AH11=" "," ",IFERROR(VLOOKUP(AG11,Points!$A$2:$B$14,2,FALSE)," ")))</f>
        <v xml:space="preserve"> </v>
      </c>
      <c r="AJ11" s="9">
        <f>IF(Table6220273233341718193051[[#This Row],[Non-Member]]="X"," ",((IF(G11=" ",0,G11))+(IF(K11=" ",0,K11))+(IF(O11=" ",0,O11))+(IF(S11=" ",0,S11))+(IF(W11=" ",0,W11))+(IF(AA11=" ",0,AA11))+(IF(AE11=" ",0,AE11))+(IF(AI11=" ",0,AI11))))</f>
        <v>0</v>
      </c>
      <c r="AK11" s="52" t="str">
        <f t="shared" si="16"/>
        <v xml:space="preserve"> </v>
      </c>
      <c r="AL11" s="22" t="str">
        <f t="shared" si="17"/>
        <v xml:space="preserve"> </v>
      </c>
    </row>
    <row r="12" spans="2:38" x14ac:dyDescent="0.25">
      <c r="B12" s="26"/>
      <c r="C12" s="10"/>
      <c r="D12" s="42"/>
      <c r="E12" s="9" t="str">
        <f t="shared" si="0"/>
        <v xml:space="preserve"> </v>
      </c>
      <c r="F12" s="9" t="str">
        <f t="shared" si="1"/>
        <v xml:space="preserve"> </v>
      </c>
      <c r="G12" s="49" t="str">
        <f>IF(Table6220273233341718193051[[#This Row],[Non-Member]]="X"," ",IF(F12=" "," ",IFERROR(VLOOKUP(E12,Points!$A$2:$B$14,2,FALSE)," ")))</f>
        <v xml:space="preserve"> </v>
      </c>
      <c r="H12" s="42"/>
      <c r="I12" s="9" t="str">
        <f t="shared" si="18"/>
        <v xml:space="preserve"> </v>
      </c>
      <c r="J12" s="9" t="str">
        <f t="shared" si="19"/>
        <v xml:space="preserve"> </v>
      </c>
      <c r="K12" s="49" t="str">
        <f>IF(Table6220273233341718193051[[#This Row],[Non-Member]]="X"," ",IF(J12=" "," ",IFERROR(VLOOKUP(I12,Points!$A$2:$B$14,2,FALSE)," ")))</f>
        <v xml:space="preserve"> </v>
      </c>
      <c r="L12" s="42"/>
      <c r="M12" s="9" t="str">
        <f t="shared" si="4"/>
        <v xml:space="preserve"> </v>
      </c>
      <c r="N12" s="9" t="str">
        <f t="shared" si="5"/>
        <v xml:space="preserve"> </v>
      </c>
      <c r="O12" s="49" t="str">
        <f>IF(Table6220273233341718193051[[#This Row],[Non-Member]]="X"," ",IF(N12=" "," ",IFERROR(VLOOKUP(M12,Points!$A$2:$B$14,2,FALSE)," ")))</f>
        <v xml:space="preserve"> </v>
      </c>
      <c r="P12" s="42"/>
      <c r="Q12" s="9" t="str">
        <f t="shared" si="6"/>
        <v xml:space="preserve"> </v>
      </c>
      <c r="R12" s="9" t="str">
        <f t="shared" si="7"/>
        <v xml:space="preserve"> </v>
      </c>
      <c r="S12" s="49" t="str">
        <f>IF(Table6220273233341718193051[[#This Row],[Non-Member]]="X"," ",IF(R12=" "," ",IFERROR(VLOOKUP(Q12,Points!$A$2:$B$14,2,FALSE)," ")))</f>
        <v xml:space="preserve"> </v>
      </c>
      <c r="T12" s="42"/>
      <c r="U12" s="9" t="str">
        <f t="shared" si="8"/>
        <v xml:space="preserve"> </v>
      </c>
      <c r="V12" s="9" t="str">
        <f t="shared" si="9"/>
        <v xml:space="preserve"> </v>
      </c>
      <c r="W12" s="49" t="str">
        <f>IF(Table6220273233341718193051[[#This Row],[Non-Member]]="X"," ",IF(V12=" "," ",IFERROR(VLOOKUP(U12,Points!$A$2:$B$14,2,FALSE)," ")))</f>
        <v xml:space="preserve"> </v>
      </c>
      <c r="X12" s="42"/>
      <c r="Y12" s="9" t="str">
        <f t="shared" si="10"/>
        <v xml:space="preserve"> </v>
      </c>
      <c r="Z12" s="9" t="str">
        <f t="shared" si="11"/>
        <v xml:space="preserve"> </v>
      </c>
      <c r="AA12" s="49" t="str">
        <f>IF(Table6220273233341718193051[[#This Row],[Non-Member]]="X"," ",IF(Z12=" "," ",IFERROR(VLOOKUP(Y12,Points!$A$2:$B$14,2,FALSE)," ")))</f>
        <v xml:space="preserve"> </v>
      </c>
      <c r="AB12" s="42"/>
      <c r="AC12" s="9" t="str">
        <f t="shared" si="12"/>
        <v xml:space="preserve"> </v>
      </c>
      <c r="AD12" s="9" t="str">
        <f t="shared" si="13"/>
        <v xml:space="preserve"> </v>
      </c>
      <c r="AE12" s="49" t="str">
        <f>IF(Table6220273233341718193051[[#This Row],[Non-Member]]="X"," ",IF(AD12=" "," ",IFERROR(VLOOKUP(AC12,Points!$A$2:$B$14,2,FALSE)," ")))</f>
        <v xml:space="preserve"> </v>
      </c>
      <c r="AF12" s="42"/>
      <c r="AG12" s="9" t="str">
        <f t="shared" si="14"/>
        <v xml:space="preserve"> </v>
      </c>
      <c r="AH12" s="9" t="str">
        <f t="shared" si="15"/>
        <v xml:space="preserve"> </v>
      </c>
      <c r="AI12" s="49" t="str">
        <f>IF(Table6220273233341718193051[[#This Row],[Non-Member]]="X"," ",IF(AH12=" "," ",IFERROR(VLOOKUP(AG12,Points!$A$2:$B$14,2,FALSE)," ")))</f>
        <v xml:space="preserve"> </v>
      </c>
      <c r="AJ12" s="9">
        <f>IF(Table6220273233341718193051[[#This Row],[Non-Member]]="X"," ",((IF(G12=" ",0,G12))+(IF(K12=" ",0,K12))+(IF(O12=" ",0,O12))+(IF(S12=" ",0,S12))+(IF(W12=" ",0,W12))+(IF(AA12=" ",0,AA12))+(IF(AE12=" ",0,AE12))+(IF(AI12=" ",0,AI12))))</f>
        <v>0</v>
      </c>
      <c r="AK12" s="52" t="str">
        <f t="shared" si="16"/>
        <v xml:space="preserve"> </v>
      </c>
      <c r="AL12" s="22" t="str">
        <f t="shared" si="17"/>
        <v xml:space="preserve"> </v>
      </c>
    </row>
    <row r="13" spans="2:38" x14ac:dyDescent="0.25">
      <c r="B13" s="26"/>
      <c r="C13" s="10"/>
      <c r="D13" s="42"/>
      <c r="E13" s="9" t="str">
        <f t="shared" si="0"/>
        <v xml:space="preserve"> </v>
      </c>
      <c r="F13" s="9" t="str">
        <f t="shared" si="1"/>
        <v xml:space="preserve"> </v>
      </c>
      <c r="G13" s="49" t="str">
        <f>IF(Table6220273233341718193051[[#This Row],[Non-Member]]="X"," ",IF(F13=" "," ",IFERROR(VLOOKUP(E13,Points!$A$2:$B$14,2,FALSE)," ")))</f>
        <v xml:space="preserve"> </v>
      </c>
      <c r="H13" s="42"/>
      <c r="I13" s="9" t="str">
        <f t="shared" si="18"/>
        <v xml:space="preserve"> </v>
      </c>
      <c r="J13" s="9" t="str">
        <f t="shared" si="19"/>
        <v xml:space="preserve"> </v>
      </c>
      <c r="K13" s="49" t="str">
        <f>IF(Table6220273233341718193051[[#This Row],[Non-Member]]="X"," ",IF(J13=" "," ",IFERROR(VLOOKUP(I13,Points!$A$2:$B$14,2,FALSE)," ")))</f>
        <v xml:space="preserve"> </v>
      </c>
      <c r="L13" s="42"/>
      <c r="M13" s="9" t="str">
        <f t="shared" si="4"/>
        <v xml:space="preserve"> </v>
      </c>
      <c r="N13" s="9" t="str">
        <f t="shared" si="5"/>
        <v xml:space="preserve"> </v>
      </c>
      <c r="O13" s="49" t="str">
        <f>IF(Table6220273233341718193051[[#This Row],[Non-Member]]="X"," ",IF(N13=" "," ",IFERROR(VLOOKUP(M13,Points!$A$2:$B$14,2,FALSE)," ")))</f>
        <v xml:space="preserve"> </v>
      </c>
      <c r="P13" s="42"/>
      <c r="Q13" s="9" t="str">
        <f t="shared" si="6"/>
        <v xml:space="preserve"> </v>
      </c>
      <c r="R13" s="9" t="str">
        <f t="shared" si="7"/>
        <v xml:space="preserve"> </v>
      </c>
      <c r="S13" s="49" t="str">
        <f>IF(Table6220273233341718193051[[#This Row],[Non-Member]]="X"," ",IF(R13=" "," ",IFERROR(VLOOKUP(Q13,Points!$A$2:$B$14,2,FALSE)," ")))</f>
        <v xml:space="preserve"> </v>
      </c>
      <c r="T13" s="42"/>
      <c r="U13" s="9" t="str">
        <f t="shared" si="8"/>
        <v xml:space="preserve"> </v>
      </c>
      <c r="V13" s="9" t="str">
        <f t="shared" si="9"/>
        <v xml:space="preserve"> </v>
      </c>
      <c r="W13" s="49" t="str">
        <f>IF(Table6220273233341718193051[[#This Row],[Non-Member]]="X"," ",IF(V13=" "," ",IFERROR(VLOOKUP(U13,Points!$A$2:$B$14,2,FALSE)," ")))</f>
        <v xml:space="preserve"> </v>
      </c>
      <c r="X13" s="42"/>
      <c r="Y13" s="9" t="str">
        <f t="shared" si="10"/>
        <v xml:space="preserve"> </v>
      </c>
      <c r="Z13" s="9" t="str">
        <f t="shared" si="11"/>
        <v xml:space="preserve"> </v>
      </c>
      <c r="AA13" s="49" t="str">
        <f>IF(Table6220273233341718193051[[#This Row],[Non-Member]]="X"," ",IF(Z13=" "," ",IFERROR(VLOOKUP(Y13,Points!$A$2:$B$14,2,FALSE)," ")))</f>
        <v xml:space="preserve"> </v>
      </c>
      <c r="AB13" s="42"/>
      <c r="AC13" s="9" t="str">
        <f t="shared" si="12"/>
        <v xml:space="preserve"> </v>
      </c>
      <c r="AD13" s="9" t="str">
        <f t="shared" si="13"/>
        <v xml:space="preserve"> </v>
      </c>
      <c r="AE13" s="49" t="str">
        <f>IF(Table6220273233341718193051[[#This Row],[Non-Member]]="X"," ",IF(AD13=" "," ",IFERROR(VLOOKUP(AC13,Points!$A$2:$B$14,2,FALSE)," ")))</f>
        <v xml:space="preserve"> </v>
      </c>
      <c r="AF13" s="42"/>
      <c r="AG13" s="9" t="str">
        <f t="shared" si="14"/>
        <v xml:space="preserve"> </v>
      </c>
      <c r="AH13" s="9" t="str">
        <f t="shared" si="15"/>
        <v xml:space="preserve"> </v>
      </c>
      <c r="AI13" s="49" t="str">
        <f>IF(Table6220273233341718193051[[#This Row],[Non-Member]]="X"," ",IF(AH13=" "," ",IFERROR(VLOOKUP(AG13,Points!$A$2:$B$14,2,FALSE)," ")))</f>
        <v xml:space="preserve"> </v>
      </c>
      <c r="AJ13" s="9">
        <f>IF(Table6220273233341718193051[[#This Row],[Non-Member]]="X"," ",((IF(G13=" ",0,G13))+(IF(K13=" ",0,K13))+(IF(O13=" ",0,O13))+(IF(S13=" ",0,S13))+(IF(W13=" ",0,W13))+(IF(AA13=" ",0,AA13))+(IF(AE13=" ",0,AE13))+(IF(AI13=" ",0,AI13))))</f>
        <v>0</v>
      </c>
      <c r="AK13" s="52" t="str">
        <f t="shared" si="16"/>
        <v xml:space="preserve"> </v>
      </c>
      <c r="AL13" s="22" t="str">
        <f t="shared" si="17"/>
        <v xml:space="preserve"> </v>
      </c>
    </row>
    <row r="14" spans="2:38" x14ac:dyDescent="0.25">
      <c r="B14" s="26"/>
      <c r="C14" s="10"/>
      <c r="D14" s="42"/>
      <c r="E14" s="9" t="str">
        <f t="shared" si="0"/>
        <v xml:space="preserve"> </v>
      </c>
      <c r="F14" s="9" t="str">
        <f t="shared" si="1"/>
        <v xml:space="preserve"> </v>
      </c>
      <c r="G14" s="49" t="str">
        <f>IF(Table6220273233341718193051[[#This Row],[Non-Member]]="X"," ",IF(F14=" "," ",IFERROR(VLOOKUP(E14,Points!$A$2:$B$14,2,FALSE)," ")))</f>
        <v xml:space="preserve"> </v>
      </c>
      <c r="H14" s="42"/>
      <c r="I14" s="9" t="str">
        <f t="shared" si="18"/>
        <v xml:space="preserve"> </v>
      </c>
      <c r="J14" s="9" t="str">
        <f t="shared" si="19"/>
        <v xml:space="preserve"> </v>
      </c>
      <c r="K14" s="49" t="str">
        <f>IF(Table6220273233341718193051[[#This Row],[Non-Member]]="X"," ",IF(J14=" "," ",IFERROR(VLOOKUP(I14,Points!$A$2:$B$14,2,FALSE)," ")))</f>
        <v xml:space="preserve"> </v>
      </c>
      <c r="L14" s="42"/>
      <c r="M14" s="9" t="str">
        <f t="shared" si="4"/>
        <v xml:space="preserve"> </v>
      </c>
      <c r="N14" s="9" t="str">
        <f t="shared" si="5"/>
        <v xml:space="preserve"> </v>
      </c>
      <c r="O14" s="49" t="str">
        <f>IF(Table6220273233341718193051[[#This Row],[Non-Member]]="X"," ",IF(N14=" "," ",IFERROR(VLOOKUP(M14,Points!$A$2:$B$14,2,FALSE)," ")))</f>
        <v xml:space="preserve"> </v>
      </c>
      <c r="P14" s="42"/>
      <c r="Q14" s="9" t="str">
        <f t="shared" si="6"/>
        <v xml:space="preserve"> </v>
      </c>
      <c r="R14" s="9" t="str">
        <f t="shared" si="7"/>
        <v xml:space="preserve"> </v>
      </c>
      <c r="S14" s="49" t="str">
        <f>IF(Table6220273233341718193051[[#This Row],[Non-Member]]="X"," ",IF(R14=" "," ",IFERROR(VLOOKUP(Q14,Points!$A$2:$B$14,2,FALSE)," ")))</f>
        <v xml:space="preserve"> </v>
      </c>
      <c r="T14" s="42"/>
      <c r="U14" s="9" t="str">
        <f t="shared" si="8"/>
        <v xml:space="preserve"> </v>
      </c>
      <c r="V14" s="9" t="str">
        <f t="shared" si="9"/>
        <v xml:space="preserve"> </v>
      </c>
      <c r="W14" s="49" t="str">
        <f>IF(Table6220273233341718193051[[#This Row],[Non-Member]]="X"," ",IF(V14=" "," ",IFERROR(VLOOKUP(U14,Points!$A$2:$B$14,2,FALSE)," ")))</f>
        <v xml:space="preserve"> </v>
      </c>
      <c r="X14" s="42"/>
      <c r="Y14" s="9" t="str">
        <f t="shared" si="10"/>
        <v xml:space="preserve"> </v>
      </c>
      <c r="Z14" s="9" t="str">
        <f t="shared" si="11"/>
        <v xml:space="preserve"> </v>
      </c>
      <c r="AA14" s="49" t="str">
        <f>IF(Table6220273233341718193051[[#This Row],[Non-Member]]="X"," ",IF(Z14=" "," ",IFERROR(VLOOKUP(Y14,Points!$A$2:$B$14,2,FALSE)," ")))</f>
        <v xml:space="preserve"> </v>
      </c>
      <c r="AB14" s="42"/>
      <c r="AC14" s="9" t="str">
        <f t="shared" si="12"/>
        <v xml:space="preserve"> </v>
      </c>
      <c r="AD14" s="9" t="str">
        <f t="shared" si="13"/>
        <v xml:space="preserve"> </v>
      </c>
      <c r="AE14" s="49" t="str">
        <f>IF(Table6220273233341718193051[[#This Row],[Non-Member]]="X"," ",IF(AD14=" "," ",IFERROR(VLOOKUP(AC14,Points!$A$2:$B$14,2,FALSE)," ")))</f>
        <v xml:space="preserve"> </v>
      </c>
      <c r="AF14" s="42"/>
      <c r="AG14" s="9" t="str">
        <f t="shared" si="14"/>
        <v xml:space="preserve"> </v>
      </c>
      <c r="AH14" s="9" t="str">
        <f t="shared" si="15"/>
        <v xml:space="preserve"> </v>
      </c>
      <c r="AI14" s="49" t="str">
        <f>IF(Table6220273233341718193051[[#This Row],[Non-Member]]="X"," ",IF(AH14=" "," ",IFERROR(VLOOKUP(AG14,Points!$A$2:$B$14,2,FALSE)," ")))</f>
        <v xml:space="preserve"> </v>
      </c>
      <c r="AJ14" s="9">
        <f>IF(Table6220273233341718193051[[#This Row],[Non-Member]]="X"," ",((IF(G14=" ",0,G14))+(IF(K14=" ",0,K14))+(IF(O14=" ",0,O14))+(IF(S14=" ",0,S14))+(IF(W14=" ",0,W14))+(IF(AA14=" ",0,AA14))+(IF(AE14=" ",0,AE14))+(IF(AI14=" ",0,AI14))))</f>
        <v>0</v>
      </c>
      <c r="AK14" s="52" t="str">
        <f t="shared" si="16"/>
        <v xml:space="preserve"> </v>
      </c>
      <c r="AL14" s="22" t="str">
        <f t="shared" si="17"/>
        <v xml:space="preserve"> </v>
      </c>
    </row>
    <row r="15" spans="2:38" x14ac:dyDescent="0.25">
      <c r="B15" s="26"/>
      <c r="C15" s="10"/>
      <c r="D15" s="42"/>
      <c r="E15" s="9" t="str">
        <f t="shared" si="0"/>
        <v xml:space="preserve"> </v>
      </c>
      <c r="F15" s="9" t="str">
        <f t="shared" si="1"/>
        <v xml:space="preserve"> </v>
      </c>
      <c r="G15" s="49" t="str">
        <f>IF(Table6220273233341718193051[[#This Row],[Non-Member]]="X"," ",IF(F15=" "," ",IFERROR(VLOOKUP(E15,Points!$A$2:$B$14,2,FALSE)," ")))</f>
        <v xml:space="preserve"> </v>
      </c>
      <c r="H15" s="42"/>
      <c r="I15" s="9" t="str">
        <f t="shared" si="18"/>
        <v xml:space="preserve"> </v>
      </c>
      <c r="J15" s="9" t="str">
        <f t="shared" si="19"/>
        <v xml:space="preserve"> </v>
      </c>
      <c r="K15" s="49" t="str">
        <f>IF(Table6220273233341718193051[[#This Row],[Non-Member]]="X"," ",IF(J15=" "," ",IFERROR(VLOOKUP(I15,Points!$A$2:$B$14,2,FALSE)," ")))</f>
        <v xml:space="preserve"> </v>
      </c>
      <c r="L15" s="42"/>
      <c r="M15" s="9" t="str">
        <f t="shared" si="4"/>
        <v xml:space="preserve"> </v>
      </c>
      <c r="N15" s="9" t="str">
        <f t="shared" si="5"/>
        <v xml:space="preserve"> </v>
      </c>
      <c r="O15" s="49" t="str">
        <f>IF(Table6220273233341718193051[[#This Row],[Non-Member]]="X"," ",IF(N15=" "," ",IFERROR(VLOOKUP(M15,Points!$A$2:$B$14,2,FALSE)," ")))</f>
        <v xml:space="preserve"> </v>
      </c>
      <c r="P15" s="42"/>
      <c r="Q15" s="9" t="str">
        <f t="shared" si="6"/>
        <v xml:space="preserve"> </v>
      </c>
      <c r="R15" s="9" t="str">
        <f t="shared" si="7"/>
        <v xml:space="preserve"> </v>
      </c>
      <c r="S15" s="49" t="str">
        <f>IF(Table6220273233341718193051[[#This Row],[Non-Member]]="X"," ",IF(R15=" "," ",IFERROR(VLOOKUP(Q15,Points!$A$2:$B$14,2,FALSE)," ")))</f>
        <v xml:space="preserve"> </v>
      </c>
      <c r="T15" s="42"/>
      <c r="U15" s="9" t="str">
        <f t="shared" si="8"/>
        <v xml:space="preserve"> </v>
      </c>
      <c r="V15" s="9" t="str">
        <f t="shared" si="9"/>
        <v xml:space="preserve"> </v>
      </c>
      <c r="W15" s="49" t="str">
        <f>IF(Table6220273233341718193051[[#This Row],[Non-Member]]="X"," ",IF(V15=" "," ",IFERROR(VLOOKUP(U15,Points!$A$2:$B$14,2,FALSE)," ")))</f>
        <v xml:space="preserve"> </v>
      </c>
      <c r="X15" s="42"/>
      <c r="Y15" s="9" t="str">
        <f t="shared" si="10"/>
        <v xml:space="preserve"> </v>
      </c>
      <c r="Z15" s="9" t="str">
        <f t="shared" si="11"/>
        <v xml:space="preserve"> </v>
      </c>
      <c r="AA15" s="49" t="str">
        <f>IF(Table6220273233341718193051[[#This Row],[Non-Member]]="X"," ",IF(Z15=" "," ",IFERROR(VLOOKUP(Y15,Points!$A$2:$B$14,2,FALSE)," ")))</f>
        <v xml:space="preserve"> </v>
      </c>
      <c r="AB15" s="42"/>
      <c r="AC15" s="9" t="str">
        <f t="shared" si="12"/>
        <v xml:space="preserve"> </v>
      </c>
      <c r="AD15" s="9" t="str">
        <f t="shared" si="13"/>
        <v xml:space="preserve"> </v>
      </c>
      <c r="AE15" s="49" t="str">
        <f>IF(Table6220273233341718193051[[#This Row],[Non-Member]]="X"," ",IF(AD15=" "," ",IFERROR(VLOOKUP(AC15,Points!$A$2:$B$14,2,FALSE)," ")))</f>
        <v xml:space="preserve"> </v>
      </c>
      <c r="AF15" s="42"/>
      <c r="AG15" s="9" t="str">
        <f t="shared" si="14"/>
        <v xml:space="preserve"> </v>
      </c>
      <c r="AH15" s="9" t="str">
        <f t="shared" si="15"/>
        <v xml:space="preserve"> </v>
      </c>
      <c r="AI15" s="49" t="str">
        <f>IF(Table6220273233341718193051[[#This Row],[Non-Member]]="X"," ",IF(AH15=" "," ",IFERROR(VLOOKUP(AG15,Points!$A$2:$B$14,2,FALSE)," ")))</f>
        <v xml:space="preserve"> </v>
      </c>
      <c r="AJ15" s="9">
        <f>IF(Table6220273233341718193051[[#This Row],[Non-Member]]="X"," ",((IF(G15=" ",0,G15))+(IF(K15=" ",0,K15))+(IF(O15=" ",0,O15))+(IF(S15=" ",0,S15))+(IF(W15=" ",0,W15))+(IF(AA15=" ",0,AA15))+(IF(AE15=" ",0,AE15))+(IF(AI15=" ",0,AI15))))</f>
        <v>0</v>
      </c>
      <c r="AK15" s="52" t="str">
        <f t="shared" si="16"/>
        <v xml:space="preserve"> </v>
      </c>
      <c r="AL15" s="22" t="str">
        <f t="shared" si="17"/>
        <v xml:space="preserve"> </v>
      </c>
    </row>
    <row r="16" spans="2:38" x14ac:dyDescent="0.25">
      <c r="B16" s="26"/>
      <c r="C16" s="10"/>
      <c r="D16" s="42"/>
      <c r="E16" s="23" t="str">
        <f t="shared" si="0"/>
        <v xml:space="preserve"> </v>
      </c>
      <c r="F16" s="23" t="str">
        <f t="shared" si="1"/>
        <v xml:space="preserve"> </v>
      </c>
      <c r="G16" s="49" t="str">
        <f>IF(Table6220273233341718193051[[#This Row],[Non-Member]]="X"," ",IF(F16=" "," ",IFERROR(VLOOKUP(E16,Points!$A$2:$B$14,2,FALSE)," ")))</f>
        <v xml:space="preserve"> </v>
      </c>
      <c r="H16" s="42"/>
      <c r="I16" s="23" t="str">
        <f t="shared" si="18"/>
        <v xml:space="preserve"> </v>
      </c>
      <c r="J16" s="23" t="str">
        <f t="shared" si="19"/>
        <v xml:space="preserve"> </v>
      </c>
      <c r="K16" s="49" t="str">
        <f>IF(Table6220273233341718193051[[#This Row],[Non-Member]]="X"," ",IF(J16=" "," ",IFERROR(VLOOKUP(I16,Points!$A$2:$B$14,2,FALSE)," ")))</f>
        <v xml:space="preserve"> </v>
      </c>
      <c r="L16" s="42"/>
      <c r="M16" s="23" t="str">
        <f t="shared" si="4"/>
        <v xml:space="preserve"> </v>
      </c>
      <c r="N16" s="23" t="str">
        <f t="shared" si="5"/>
        <v xml:space="preserve"> </v>
      </c>
      <c r="O16" s="49" t="str">
        <f>IF(Table6220273233341718193051[[#This Row],[Non-Member]]="X"," ",IF(N16=" "," ",IFERROR(VLOOKUP(M16,Points!$A$2:$B$14,2,FALSE)," ")))</f>
        <v xml:space="preserve"> </v>
      </c>
      <c r="P16" s="42"/>
      <c r="Q16" s="23" t="str">
        <f t="shared" si="6"/>
        <v xml:space="preserve"> </v>
      </c>
      <c r="R16" s="23" t="str">
        <f t="shared" si="7"/>
        <v xml:space="preserve"> </v>
      </c>
      <c r="S16" s="49" t="str">
        <f>IF(Table6220273233341718193051[[#This Row],[Non-Member]]="X"," ",IF(R16=" "," ",IFERROR(VLOOKUP(Q16,Points!$A$2:$B$14,2,FALSE)," ")))</f>
        <v xml:space="preserve"> </v>
      </c>
      <c r="T16" s="42"/>
      <c r="U16" s="23" t="str">
        <f t="shared" si="8"/>
        <v xml:space="preserve"> </v>
      </c>
      <c r="V16" s="23" t="str">
        <f t="shared" si="9"/>
        <v xml:space="preserve"> </v>
      </c>
      <c r="W16" s="49" t="str">
        <f>IF(Table6220273233341718193051[[#This Row],[Non-Member]]="X"," ",IF(V16=" "," ",IFERROR(VLOOKUP(U16,Points!$A$2:$B$14,2,FALSE)," ")))</f>
        <v xml:space="preserve"> </v>
      </c>
      <c r="X16" s="42"/>
      <c r="Y16" s="23" t="str">
        <f t="shared" si="10"/>
        <v xml:space="preserve"> </v>
      </c>
      <c r="Z16" s="23" t="str">
        <f t="shared" si="11"/>
        <v xml:space="preserve"> </v>
      </c>
      <c r="AA16" s="49" t="str">
        <f>IF(Table6220273233341718193051[[#This Row],[Non-Member]]="X"," ",IF(Z16=" "," ",IFERROR(VLOOKUP(Y16,Points!$A$2:$B$14,2,FALSE)," ")))</f>
        <v xml:space="preserve"> </v>
      </c>
      <c r="AB16" s="42"/>
      <c r="AC16" s="23" t="str">
        <f t="shared" si="12"/>
        <v xml:space="preserve"> </v>
      </c>
      <c r="AD16" s="23" t="str">
        <f t="shared" si="13"/>
        <v xml:space="preserve"> </v>
      </c>
      <c r="AE16" s="49" t="str">
        <f>IF(Table6220273233341718193051[[#This Row],[Non-Member]]="X"," ",IF(AD16=" "," ",IFERROR(VLOOKUP(AC16,Points!$A$2:$B$14,2,FALSE)," ")))</f>
        <v xml:space="preserve"> </v>
      </c>
      <c r="AF16" s="42"/>
      <c r="AG16" s="23" t="str">
        <f t="shared" si="14"/>
        <v xml:space="preserve"> </v>
      </c>
      <c r="AH16" s="23" t="str">
        <f t="shared" si="15"/>
        <v xml:space="preserve"> </v>
      </c>
      <c r="AI16" s="49" t="str">
        <f>IF(Table6220273233341718193051[[#This Row],[Non-Member]]="X"," ",IF(AH16=" "," ",IFERROR(VLOOKUP(AG16,Points!$A$2:$B$14,2,FALSE)," ")))</f>
        <v xml:space="preserve"> </v>
      </c>
      <c r="AJ16" s="23">
        <f>IF(Table6220273233341718193051[[#This Row],[Non-Member]]="X"," ",((IF(G16=" ",0,G16))+(IF(K16=" ",0,K16))+(IF(O16=" ",0,O16))+(IF(S16=" ",0,S16))+(IF(W16=" ",0,W16))+(IF(AA16=" ",0,AA16))+(IF(AE16=" ",0,AE16))+(IF(AI16=" ",0,AI16))))</f>
        <v>0</v>
      </c>
      <c r="AK16" s="52" t="str">
        <f t="shared" si="16"/>
        <v xml:space="preserve"> </v>
      </c>
      <c r="AL16" s="24" t="str">
        <f t="shared" si="17"/>
        <v xml:space="preserve"> </v>
      </c>
    </row>
    <row r="17" spans="2:38" x14ac:dyDescent="0.25">
      <c r="B17" s="26"/>
      <c r="C17" s="10"/>
      <c r="D17" s="42"/>
      <c r="E17" s="23" t="str">
        <f t="shared" si="0"/>
        <v xml:space="preserve"> </v>
      </c>
      <c r="F17" s="23" t="str">
        <f t="shared" si="1"/>
        <v xml:space="preserve"> </v>
      </c>
      <c r="G17" s="49" t="str">
        <f>IF(Table6220273233341718193051[[#This Row],[Non-Member]]="X"," ",IF(F17=" "," ",IFERROR(VLOOKUP(E17,Points!$A$2:$B$14,2,FALSE)," ")))</f>
        <v xml:space="preserve"> </v>
      </c>
      <c r="H17" s="42"/>
      <c r="I17" s="23" t="str">
        <f t="shared" si="18"/>
        <v xml:space="preserve"> </v>
      </c>
      <c r="J17" s="23" t="str">
        <f t="shared" si="19"/>
        <v xml:space="preserve"> </v>
      </c>
      <c r="K17" s="49" t="str">
        <f>IF(Table6220273233341718193051[[#This Row],[Non-Member]]="X"," ",IF(J17=" "," ",IFERROR(VLOOKUP(I17,Points!$A$2:$B$14,2,FALSE)," ")))</f>
        <v xml:space="preserve"> </v>
      </c>
      <c r="L17" s="42"/>
      <c r="M17" s="23" t="str">
        <f t="shared" si="4"/>
        <v xml:space="preserve"> </v>
      </c>
      <c r="N17" s="23" t="str">
        <f t="shared" si="5"/>
        <v xml:space="preserve"> </v>
      </c>
      <c r="O17" s="49" t="str">
        <f>IF(Table6220273233341718193051[[#This Row],[Non-Member]]="X"," ",IF(N17=" "," ",IFERROR(VLOOKUP(M17,Points!$A$2:$B$14,2,FALSE)," ")))</f>
        <v xml:space="preserve"> </v>
      </c>
      <c r="P17" s="42"/>
      <c r="Q17" s="23" t="str">
        <f t="shared" si="6"/>
        <v xml:space="preserve"> </v>
      </c>
      <c r="R17" s="23" t="str">
        <f t="shared" si="7"/>
        <v xml:space="preserve"> </v>
      </c>
      <c r="S17" s="49" t="str">
        <f>IF(Table6220273233341718193051[[#This Row],[Non-Member]]="X"," ",IF(R17=" "," ",IFERROR(VLOOKUP(Q17,Points!$A$2:$B$14,2,FALSE)," ")))</f>
        <v xml:space="preserve"> </v>
      </c>
      <c r="T17" s="42"/>
      <c r="U17" s="23" t="str">
        <f t="shared" si="8"/>
        <v xml:space="preserve"> </v>
      </c>
      <c r="V17" s="23" t="str">
        <f t="shared" si="9"/>
        <v xml:space="preserve"> </v>
      </c>
      <c r="W17" s="49" t="str">
        <f>IF(Table6220273233341718193051[[#This Row],[Non-Member]]="X"," ",IF(V17=" "," ",IFERROR(VLOOKUP(U17,Points!$A$2:$B$14,2,FALSE)," ")))</f>
        <v xml:space="preserve"> </v>
      </c>
      <c r="X17" s="42"/>
      <c r="Y17" s="23" t="str">
        <f t="shared" si="10"/>
        <v xml:space="preserve"> </v>
      </c>
      <c r="Z17" s="23" t="str">
        <f t="shared" si="11"/>
        <v xml:space="preserve"> </v>
      </c>
      <c r="AA17" s="49" t="str">
        <f>IF(Table6220273233341718193051[[#This Row],[Non-Member]]="X"," ",IF(Z17=" "," ",IFERROR(VLOOKUP(Y17,Points!$A$2:$B$14,2,FALSE)," ")))</f>
        <v xml:space="preserve"> </v>
      </c>
      <c r="AB17" s="42"/>
      <c r="AC17" s="23" t="str">
        <f t="shared" si="12"/>
        <v xml:space="preserve"> </v>
      </c>
      <c r="AD17" s="23" t="str">
        <f t="shared" si="13"/>
        <v xml:space="preserve"> </v>
      </c>
      <c r="AE17" s="49" t="str">
        <f>IF(Table6220273233341718193051[[#This Row],[Non-Member]]="X"," ",IF(AD17=" "," ",IFERROR(VLOOKUP(AC17,Points!$A$2:$B$14,2,FALSE)," ")))</f>
        <v xml:space="preserve"> </v>
      </c>
      <c r="AF17" s="42"/>
      <c r="AG17" s="23" t="str">
        <f t="shared" si="14"/>
        <v xml:space="preserve"> </v>
      </c>
      <c r="AH17" s="23" t="str">
        <f t="shared" si="15"/>
        <v xml:space="preserve"> </v>
      </c>
      <c r="AI17" s="49" t="str">
        <f>IF(Table6220273233341718193051[[#This Row],[Non-Member]]="X"," ",IF(AH17=" "," ",IFERROR(VLOOKUP(AG17,Points!$A$2:$B$14,2,FALSE)," ")))</f>
        <v xml:space="preserve"> </v>
      </c>
      <c r="AJ17" s="23">
        <f>IF(Table6220273233341718193051[[#This Row],[Non-Member]]="X"," ",((IF(G17=" ",0,G17))+(IF(K17=" ",0,K17))+(IF(O17=" ",0,O17))+(IF(S17=" ",0,S17))+(IF(W17=" ",0,W17))+(IF(AA17=" ",0,AA17))+(IF(AE17=" ",0,AE17))+(IF(AI17=" ",0,AI17))))</f>
        <v>0</v>
      </c>
      <c r="AK17" s="52" t="str">
        <f t="shared" si="16"/>
        <v xml:space="preserve"> </v>
      </c>
      <c r="AL17" s="24" t="str">
        <f t="shared" si="17"/>
        <v xml:space="preserve"> </v>
      </c>
    </row>
    <row r="18" spans="2:38" x14ac:dyDescent="0.25">
      <c r="B18" s="26"/>
      <c r="C18" s="10"/>
      <c r="D18" s="42"/>
      <c r="E18" s="23" t="str">
        <f t="shared" si="0"/>
        <v xml:space="preserve"> </v>
      </c>
      <c r="F18" s="23" t="str">
        <f t="shared" si="1"/>
        <v xml:space="preserve"> </v>
      </c>
      <c r="G18" s="49" t="str">
        <f>IF(Table6220273233341718193051[[#This Row],[Non-Member]]="X"," ",IF(F18=" "," ",IFERROR(VLOOKUP(E18,Points!$A$2:$B$14,2,FALSE)," ")))</f>
        <v xml:space="preserve"> </v>
      </c>
      <c r="H18" s="42"/>
      <c r="I18" s="23" t="str">
        <f t="shared" si="18"/>
        <v xml:space="preserve"> </v>
      </c>
      <c r="J18" s="23" t="str">
        <f t="shared" si="19"/>
        <v xml:space="preserve"> </v>
      </c>
      <c r="K18" s="49" t="str">
        <f>IF(Table6220273233341718193051[[#This Row],[Non-Member]]="X"," ",IF(J18=" "," ",IFERROR(VLOOKUP(I18,Points!$A$2:$B$14,2,FALSE)," ")))</f>
        <v xml:space="preserve"> </v>
      </c>
      <c r="L18" s="42"/>
      <c r="M18" s="23" t="str">
        <f t="shared" si="4"/>
        <v xml:space="preserve"> </v>
      </c>
      <c r="N18" s="23" t="str">
        <f t="shared" si="5"/>
        <v xml:space="preserve"> </v>
      </c>
      <c r="O18" s="49" t="str">
        <f>IF(Table6220273233341718193051[[#This Row],[Non-Member]]="X"," ",IF(N18=" "," ",IFERROR(VLOOKUP(M18,Points!$A$2:$B$14,2,FALSE)," ")))</f>
        <v xml:space="preserve"> </v>
      </c>
      <c r="P18" s="42"/>
      <c r="Q18" s="23" t="str">
        <f t="shared" si="6"/>
        <v xml:space="preserve"> </v>
      </c>
      <c r="R18" s="23" t="str">
        <f t="shared" si="7"/>
        <v xml:space="preserve"> </v>
      </c>
      <c r="S18" s="49" t="str">
        <f>IF(Table6220273233341718193051[[#This Row],[Non-Member]]="X"," ",IF(R18=" "," ",IFERROR(VLOOKUP(Q18,Points!$A$2:$B$14,2,FALSE)," ")))</f>
        <v xml:space="preserve"> </v>
      </c>
      <c r="T18" s="42"/>
      <c r="U18" s="23" t="str">
        <f t="shared" si="8"/>
        <v xml:space="preserve"> </v>
      </c>
      <c r="V18" s="23" t="str">
        <f t="shared" si="9"/>
        <v xml:space="preserve"> </v>
      </c>
      <c r="W18" s="49" t="str">
        <f>IF(Table6220273233341718193051[[#This Row],[Non-Member]]="X"," ",IF(V18=" "," ",IFERROR(VLOOKUP(U18,Points!$A$2:$B$14,2,FALSE)," ")))</f>
        <v xml:space="preserve"> </v>
      </c>
      <c r="X18" s="42"/>
      <c r="Y18" s="23" t="str">
        <f t="shared" si="10"/>
        <v xml:space="preserve"> </v>
      </c>
      <c r="Z18" s="23" t="str">
        <f t="shared" si="11"/>
        <v xml:space="preserve"> </v>
      </c>
      <c r="AA18" s="49" t="str">
        <f>IF(Table6220273233341718193051[[#This Row],[Non-Member]]="X"," ",IF(Z18=" "," ",IFERROR(VLOOKUP(Y18,Points!$A$2:$B$14,2,FALSE)," ")))</f>
        <v xml:space="preserve"> </v>
      </c>
      <c r="AB18" s="42"/>
      <c r="AC18" s="23" t="str">
        <f t="shared" si="12"/>
        <v xml:space="preserve"> </v>
      </c>
      <c r="AD18" s="23" t="str">
        <f t="shared" si="13"/>
        <v xml:space="preserve"> </v>
      </c>
      <c r="AE18" s="49" t="str">
        <f>IF(Table6220273233341718193051[[#This Row],[Non-Member]]="X"," ",IF(AD18=" "," ",IFERROR(VLOOKUP(AC18,Points!$A$2:$B$14,2,FALSE)," ")))</f>
        <v xml:space="preserve"> </v>
      </c>
      <c r="AF18" s="42"/>
      <c r="AG18" s="23" t="str">
        <f t="shared" si="14"/>
        <v xml:space="preserve"> </v>
      </c>
      <c r="AH18" s="23" t="str">
        <f t="shared" si="15"/>
        <v xml:space="preserve"> </v>
      </c>
      <c r="AI18" s="49" t="str">
        <f>IF(Table6220273233341718193051[[#This Row],[Non-Member]]="X"," ",IF(AH18=" "," ",IFERROR(VLOOKUP(AG18,Points!$A$2:$B$14,2,FALSE)," ")))</f>
        <v xml:space="preserve"> </v>
      </c>
      <c r="AJ18" s="23">
        <f>IF(Table6220273233341718193051[[#This Row],[Non-Member]]="X"," ",((IF(G18=" ",0,G18))+(IF(K18=" ",0,K18))+(IF(O18=" ",0,O18))+(IF(S18=" ",0,S18))+(IF(W18=" ",0,W18))+(IF(AA18=" ",0,AA18))+(IF(AE18=" ",0,AE18))+(IF(AI18=" ",0,AI18))))</f>
        <v>0</v>
      </c>
      <c r="AK18" s="52" t="str">
        <f t="shared" si="16"/>
        <v xml:space="preserve"> </v>
      </c>
      <c r="AL18" s="24" t="str">
        <f t="shared" si="17"/>
        <v xml:space="preserve"> </v>
      </c>
    </row>
    <row r="19" spans="2:38" x14ac:dyDescent="0.25">
      <c r="B19" s="26"/>
      <c r="C19" s="10"/>
      <c r="D19" s="42"/>
      <c r="E19" s="9" t="str">
        <f t="shared" si="0"/>
        <v xml:space="preserve"> </v>
      </c>
      <c r="F19" s="9" t="str">
        <f t="shared" si="1"/>
        <v xml:space="preserve"> </v>
      </c>
      <c r="G19" s="49" t="str">
        <f>IF(Table6220273233341718193051[[#This Row],[Non-Member]]="X"," ",IF(F19=" "," ",IFERROR(VLOOKUP(E19,Points!$A$2:$B$14,2,FALSE)," ")))</f>
        <v xml:space="preserve"> </v>
      </c>
      <c r="H19" s="42"/>
      <c r="I19" s="9" t="str">
        <f t="shared" si="18"/>
        <v xml:space="preserve"> </v>
      </c>
      <c r="J19" s="9" t="str">
        <f t="shared" si="19"/>
        <v xml:space="preserve"> </v>
      </c>
      <c r="K19" s="49" t="str">
        <f>IF(Table6220273233341718193051[[#This Row],[Non-Member]]="X"," ",IF(J19=" "," ",IFERROR(VLOOKUP(I19,Points!$A$2:$B$14,2,FALSE)," ")))</f>
        <v xml:space="preserve"> </v>
      </c>
      <c r="L19" s="42"/>
      <c r="M19" s="9" t="str">
        <f t="shared" si="4"/>
        <v xml:space="preserve"> </v>
      </c>
      <c r="N19" s="9" t="str">
        <f t="shared" si="5"/>
        <v xml:space="preserve"> </v>
      </c>
      <c r="O19" s="49" t="str">
        <f>IF(Table6220273233341718193051[[#This Row],[Non-Member]]="X"," ",IF(N19=" "," ",IFERROR(VLOOKUP(M19,Points!$A$2:$B$14,2,FALSE)," ")))</f>
        <v xml:space="preserve"> </v>
      </c>
      <c r="P19" s="42"/>
      <c r="Q19" s="9" t="str">
        <f t="shared" si="6"/>
        <v xml:space="preserve"> </v>
      </c>
      <c r="R19" s="9" t="str">
        <f t="shared" si="7"/>
        <v xml:space="preserve"> </v>
      </c>
      <c r="S19" s="49" t="str">
        <f>IF(Table6220273233341718193051[[#This Row],[Non-Member]]="X"," ",IF(R19=" "," ",IFERROR(VLOOKUP(Q19,Points!$A$2:$B$14,2,FALSE)," ")))</f>
        <v xml:space="preserve"> </v>
      </c>
      <c r="T19" s="42"/>
      <c r="U19" s="9" t="str">
        <f t="shared" si="8"/>
        <v xml:space="preserve"> </v>
      </c>
      <c r="V19" s="9" t="str">
        <f t="shared" si="9"/>
        <v xml:space="preserve"> </v>
      </c>
      <c r="W19" s="49" t="str">
        <f>IF(Table6220273233341718193051[[#This Row],[Non-Member]]="X"," ",IF(V19=" "," ",IFERROR(VLOOKUP(U19,Points!$A$2:$B$14,2,FALSE)," ")))</f>
        <v xml:space="preserve"> </v>
      </c>
      <c r="X19" s="42"/>
      <c r="Y19" s="9" t="str">
        <f t="shared" si="10"/>
        <v xml:space="preserve"> </v>
      </c>
      <c r="Z19" s="9" t="str">
        <f t="shared" si="11"/>
        <v xml:space="preserve"> </v>
      </c>
      <c r="AA19" s="49" t="str">
        <f>IF(Table6220273233341718193051[[#This Row],[Non-Member]]="X"," ",IF(Z19=" "," ",IFERROR(VLOOKUP(Y19,Points!$A$2:$B$14,2,FALSE)," ")))</f>
        <v xml:space="preserve"> </v>
      </c>
      <c r="AB19" s="42"/>
      <c r="AC19" s="9" t="str">
        <f t="shared" si="12"/>
        <v xml:space="preserve"> </v>
      </c>
      <c r="AD19" s="9" t="str">
        <f t="shared" si="13"/>
        <v xml:space="preserve"> </v>
      </c>
      <c r="AE19" s="49" t="str">
        <f>IF(Table6220273233341718193051[[#This Row],[Non-Member]]="X"," ",IF(AD19=" "," ",IFERROR(VLOOKUP(AC19,Points!$A$2:$B$14,2,FALSE)," ")))</f>
        <v xml:space="preserve"> </v>
      </c>
      <c r="AF19" s="42"/>
      <c r="AG19" s="9" t="str">
        <f t="shared" si="14"/>
        <v xml:space="preserve"> </v>
      </c>
      <c r="AH19" s="9" t="str">
        <f t="shared" si="15"/>
        <v xml:space="preserve"> </v>
      </c>
      <c r="AI19" s="49" t="str">
        <f>IF(Table6220273233341718193051[[#This Row],[Non-Member]]="X"," ",IF(AH19=" "," ",IFERROR(VLOOKUP(AG19,Points!$A$2:$B$14,2,FALSE)," ")))</f>
        <v xml:space="preserve"> </v>
      </c>
      <c r="AJ19" s="9">
        <f>IF(Table6220273233341718193051[[#This Row],[Non-Member]]="X"," ",((IF(G19=" ",0,G19))+(IF(K19=" ",0,K19))+(IF(O19=" ",0,O19))+(IF(S19=" ",0,S19))+(IF(W19=" ",0,W19))+(IF(AA19=" ",0,AA19))+(IF(AE19=" ",0,AE19))+(IF(AI19=" ",0,AI19))))</f>
        <v>0</v>
      </c>
      <c r="AK19" s="52" t="str">
        <f t="shared" si="16"/>
        <v xml:space="preserve"> </v>
      </c>
      <c r="AL19" s="22" t="str">
        <f t="shared" si="17"/>
        <v xml:space="preserve"> </v>
      </c>
    </row>
    <row r="20" spans="2:38" x14ac:dyDescent="0.25">
      <c r="B20" s="26"/>
      <c r="C20" s="10"/>
      <c r="D20" s="42"/>
      <c r="E20" s="9" t="str">
        <f t="shared" si="0"/>
        <v xml:space="preserve"> </v>
      </c>
      <c r="F20" s="9" t="str">
        <f t="shared" si="1"/>
        <v xml:space="preserve"> </v>
      </c>
      <c r="G20" s="49" t="str">
        <f>IF(Table6220273233341718193051[[#This Row],[Non-Member]]="X"," ",IF(F20=" "," ",IFERROR(VLOOKUP(E20,Points!$A$2:$B$14,2,FALSE)," ")))</f>
        <v xml:space="preserve"> </v>
      </c>
      <c r="H20" s="42"/>
      <c r="I20" s="9" t="str">
        <f t="shared" si="18"/>
        <v xml:space="preserve"> </v>
      </c>
      <c r="J20" s="9" t="str">
        <f t="shared" si="19"/>
        <v xml:space="preserve"> </v>
      </c>
      <c r="K20" s="49" t="str">
        <f>IF(Table6220273233341718193051[[#This Row],[Non-Member]]="X"," ",IF(J20=" "," ",IFERROR(VLOOKUP(I20,Points!$A$2:$B$14,2,FALSE)," ")))</f>
        <v xml:space="preserve"> </v>
      </c>
      <c r="L20" s="42"/>
      <c r="M20" s="9" t="str">
        <f t="shared" si="4"/>
        <v xml:space="preserve"> </v>
      </c>
      <c r="N20" s="9" t="str">
        <f t="shared" si="5"/>
        <v xml:space="preserve"> </v>
      </c>
      <c r="O20" s="49" t="str">
        <f>IF(Table6220273233341718193051[[#This Row],[Non-Member]]="X"," ",IF(N20=" "," ",IFERROR(VLOOKUP(M20,Points!$A$2:$B$14,2,FALSE)," ")))</f>
        <v xml:space="preserve"> </v>
      </c>
      <c r="P20" s="42"/>
      <c r="Q20" s="9" t="str">
        <f t="shared" si="6"/>
        <v xml:space="preserve"> </v>
      </c>
      <c r="R20" s="9" t="str">
        <f t="shared" si="7"/>
        <v xml:space="preserve"> </v>
      </c>
      <c r="S20" s="49" t="str">
        <f>IF(Table6220273233341718193051[[#This Row],[Non-Member]]="X"," ",IF(R20=" "," ",IFERROR(VLOOKUP(Q20,Points!$A$2:$B$14,2,FALSE)," ")))</f>
        <v xml:space="preserve"> </v>
      </c>
      <c r="T20" s="42"/>
      <c r="U20" s="9" t="str">
        <f t="shared" si="8"/>
        <v xml:space="preserve"> </v>
      </c>
      <c r="V20" s="9" t="str">
        <f t="shared" si="9"/>
        <v xml:space="preserve"> </v>
      </c>
      <c r="W20" s="49" t="str">
        <f>IF(Table6220273233341718193051[[#This Row],[Non-Member]]="X"," ",IF(V20=" "," ",IFERROR(VLOOKUP(U20,Points!$A$2:$B$14,2,FALSE)," ")))</f>
        <v xml:space="preserve"> </v>
      </c>
      <c r="X20" s="42"/>
      <c r="Y20" s="9" t="str">
        <f t="shared" si="10"/>
        <v xml:space="preserve"> </v>
      </c>
      <c r="Z20" s="9" t="str">
        <f t="shared" si="11"/>
        <v xml:space="preserve"> </v>
      </c>
      <c r="AA20" s="49" t="str">
        <f>IF(Table6220273233341718193051[[#This Row],[Non-Member]]="X"," ",IF(Z20=" "," ",IFERROR(VLOOKUP(Y20,Points!$A$2:$B$14,2,FALSE)," ")))</f>
        <v xml:space="preserve"> </v>
      </c>
      <c r="AB20" s="42"/>
      <c r="AC20" s="9" t="str">
        <f t="shared" si="12"/>
        <v xml:space="preserve"> </v>
      </c>
      <c r="AD20" s="9" t="str">
        <f t="shared" si="13"/>
        <v xml:space="preserve"> </v>
      </c>
      <c r="AE20" s="49" t="str">
        <f>IF(Table6220273233341718193051[[#This Row],[Non-Member]]="X"," ",IF(AD20=" "," ",IFERROR(VLOOKUP(AC20,Points!$A$2:$B$14,2,FALSE)," ")))</f>
        <v xml:space="preserve"> </v>
      </c>
      <c r="AF20" s="42"/>
      <c r="AG20" s="9" t="str">
        <f t="shared" si="14"/>
        <v xml:space="preserve"> </v>
      </c>
      <c r="AH20" s="9" t="str">
        <f t="shared" si="15"/>
        <v xml:space="preserve"> </v>
      </c>
      <c r="AI20" s="49" t="str">
        <f>IF(Table6220273233341718193051[[#This Row],[Non-Member]]="X"," ",IF(AH20=" "," ",IFERROR(VLOOKUP(AG20,Points!$A$2:$B$14,2,FALSE)," ")))</f>
        <v xml:space="preserve"> </v>
      </c>
      <c r="AJ20" s="9">
        <f>IF(Table6220273233341718193051[[#This Row],[Non-Member]]="X"," ",((IF(G20=" ",0,G20))+(IF(K20=" ",0,K20))+(IF(O20=" ",0,O20))+(IF(S20=" ",0,S20))+(IF(W20=" ",0,W20))+(IF(AA20=" ",0,AA20))+(IF(AE20=" ",0,AE20))+(IF(AI20=" ",0,AI20))))</f>
        <v>0</v>
      </c>
      <c r="AK20" s="52" t="str">
        <f t="shared" si="16"/>
        <v xml:space="preserve"> </v>
      </c>
      <c r="AL20" s="22" t="str">
        <f t="shared" si="17"/>
        <v xml:space="preserve"> </v>
      </c>
    </row>
    <row r="21" spans="2:38" x14ac:dyDescent="0.25">
      <c r="B21" s="26"/>
      <c r="C21" s="10"/>
      <c r="D21" s="42"/>
      <c r="E21" s="9" t="str">
        <f t="shared" si="0"/>
        <v xml:space="preserve"> </v>
      </c>
      <c r="F21" s="9" t="str">
        <f t="shared" si="1"/>
        <v xml:space="preserve"> </v>
      </c>
      <c r="G21" s="49" t="str">
        <f>IF(Table6220273233341718193051[[#This Row],[Non-Member]]="X"," ",IF(F21=" "," ",IFERROR(VLOOKUP(E21,Points!$A$2:$B$14,2,FALSE)," ")))</f>
        <v xml:space="preserve"> </v>
      </c>
      <c r="H21" s="42"/>
      <c r="I21" s="9" t="str">
        <f t="shared" si="18"/>
        <v xml:space="preserve"> </v>
      </c>
      <c r="J21" s="9" t="str">
        <f t="shared" si="19"/>
        <v xml:space="preserve"> </v>
      </c>
      <c r="K21" s="49" t="str">
        <f>IF(Table6220273233341718193051[[#This Row],[Non-Member]]="X"," ",IF(J21=" "," ",IFERROR(VLOOKUP(I21,Points!$A$2:$B$14,2,FALSE)," ")))</f>
        <v xml:space="preserve"> </v>
      </c>
      <c r="L21" s="42"/>
      <c r="M21" s="9" t="str">
        <f t="shared" si="4"/>
        <v xml:space="preserve"> </v>
      </c>
      <c r="N21" s="9" t="str">
        <f t="shared" si="5"/>
        <v xml:space="preserve"> </v>
      </c>
      <c r="O21" s="49" t="str">
        <f>IF(Table6220273233341718193051[[#This Row],[Non-Member]]="X"," ",IF(N21=" "," ",IFERROR(VLOOKUP(M21,Points!$A$2:$B$14,2,FALSE)," ")))</f>
        <v xml:space="preserve"> </v>
      </c>
      <c r="P21" s="42"/>
      <c r="Q21" s="9" t="str">
        <f t="shared" si="6"/>
        <v xml:space="preserve"> </v>
      </c>
      <c r="R21" s="9" t="str">
        <f t="shared" si="7"/>
        <v xml:space="preserve"> </v>
      </c>
      <c r="S21" s="49" t="str">
        <f>IF(Table6220273233341718193051[[#This Row],[Non-Member]]="X"," ",IF(R21=" "," ",IFERROR(VLOOKUP(Q21,Points!$A$2:$B$14,2,FALSE)," ")))</f>
        <v xml:space="preserve"> </v>
      </c>
      <c r="T21" s="42"/>
      <c r="U21" s="9" t="str">
        <f t="shared" si="8"/>
        <v xml:space="preserve"> </v>
      </c>
      <c r="V21" s="9" t="str">
        <f t="shared" si="9"/>
        <v xml:space="preserve"> </v>
      </c>
      <c r="W21" s="49" t="str">
        <f>IF(Table6220273233341718193051[[#This Row],[Non-Member]]="X"," ",IF(V21=" "," ",IFERROR(VLOOKUP(U21,Points!$A$2:$B$14,2,FALSE)," ")))</f>
        <v xml:space="preserve"> </v>
      </c>
      <c r="X21" s="42"/>
      <c r="Y21" s="9" t="str">
        <f t="shared" si="10"/>
        <v xml:space="preserve"> </v>
      </c>
      <c r="Z21" s="9" t="str">
        <f t="shared" si="11"/>
        <v xml:space="preserve"> </v>
      </c>
      <c r="AA21" s="49" t="str">
        <f>IF(Table6220273233341718193051[[#This Row],[Non-Member]]="X"," ",IF(Z21=" "," ",IFERROR(VLOOKUP(Y21,Points!$A$2:$B$14,2,FALSE)," ")))</f>
        <v xml:space="preserve"> </v>
      </c>
      <c r="AB21" s="42"/>
      <c r="AC21" s="9" t="str">
        <f t="shared" si="12"/>
        <v xml:space="preserve"> </v>
      </c>
      <c r="AD21" s="9" t="str">
        <f t="shared" si="13"/>
        <v xml:space="preserve"> </v>
      </c>
      <c r="AE21" s="49" t="str">
        <f>IF(Table6220273233341718193051[[#This Row],[Non-Member]]="X"," ",IF(AD21=" "," ",IFERROR(VLOOKUP(AC21,Points!$A$2:$B$14,2,FALSE)," ")))</f>
        <v xml:space="preserve"> </v>
      </c>
      <c r="AF21" s="42"/>
      <c r="AG21" s="9" t="str">
        <f t="shared" si="14"/>
        <v xml:space="preserve"> </v>
      </c>
      <c r="AH21" s="9" t="str">
        <f t="shared" si="15"/>
        <v xml:space="preserve"> </v>
      </c>
      <c r="AI21" s="49" t="str">
        <f>IF(Table6220273233341718193051[[#This Row],[Non-Member]]="X"," ",IF(AH21=" "," ",IFERROR(VLOOKUP(AG21,Points!$A$2:$B$14,2,FALSE)," ")))</f>
        <v xml:space="preserve"> </v>
      </c>
      <c r="AJ21" s="9">
        <f>IF(Table6220273233341718193051[[#This Row],[Non-Member]]="X"," ",((IF(G21=" ",0,G21))+(IF(K21=" ",0,K21))+(IF(O21=" ",0,O21))+(IF(S21=" ",0,S21))+(IF(W21=" ",0,W21))+(IF(AA21=" ",0,AA21))+(IF(AE21=" ",0,AE21))+(IF(AI21=" ",0,AI21))))</f>
        <v>0</v>
      </c>
      <c r="AK21" s="52" t="str">
        <f t="shared" si="16"/>
        <v xml:space="preserve"> </v>
      </c>
      <c r="AL21" s="22" t="str">
        <f t="shared" si="17"/>
        <v xml:space="preserve"> </v>
      </c>
    </row>
    <row r="22" spans="2:38" x14ac:dyDescent="0.25">
      <c r="B22" s="26"/>
      <c r="C22" s="10"/>
      <c r="D22" s="42"/>
      <c r="E22" s="9" t="str">
        <f t="shared" si="0"/>
        <v xml:space="preserve"> </v>
      </c>
      <c r="F22" s="9" t="str">
        <f t="shared" si="1"/>
        <v xml:space="preserve"> </v>
      </c>
      <c r="G22" s="49" t="str">
        <f>IF(Table6220273233341718193051[[#This Row],[Non-Member]]="X"," ",IF(F22=" "," ",IFERROR(VLOOKUP(E22,Points!$A$2:$B$14,2,FALSE)," ")))</f>
        <v xml:space="preserve"> </v>
      </c>
      <c r="H22" s="42"/>
      <c r="I22" s="9" t="str">
        <f t="shared" si="18"/>
        <v xml:space="preserve"> </v>
      </c>
      <c r="J22" s="9" t="str">
        <f t="shared" si="19"/>
        <v xml:space="preserve"> </v>
      </c>
      <c r="K22" s="49" t="str">
        <f>IF(Table6220273233341718193051[[#This Row],[Non-Member]]="X"," ",IF(J22=" "," ",IFERROR(VLOOKUP(I22,Points!$A$2:$B$14,2,FALSE)," ")))</f>
        <v xml:space="preserve"> </v>
      </c>
      <c r="L22" s="42"/>
      <c r="M22" s="9" t="str">
        <f t="shared" si="4"/>
        <v xml:space="preserve"> </v>
      </c>
      <c r="N22" s="9" t="str">
        <f t="shared" si="5"/>
        <v xml:space="preserve"> </v>
      </c>
      <c r="O22" s="49" t="str">
        <f>IF(Table6220273233341718193051[[#This Row],[Non-Member]]="X"," ",IF(N22=" "," ",IFERROR(VLOOKUP(M22,Points!$A$2:$B$14,2,FALSE)," ")))</f>
        <v xml:space="preserve"> </v>
      </c>
      <c r="P22" s="42"/>
      <c r="Q22" s="9" t="str">
        <f t="shared" si="6"/>
        <v xml:space="preserve"> </v>
      </c>
      <c r="R22" s="9" t="str">
        <f t="shared" si="7"/>
        <v xml:space="preserve"> </v>
      </c>
      <c r="S22" s="49" t="str">
        <f>IF(Table6220273233341718193051[[#This Row],[Non-Member]]="X"," ",IF(R22=" "," ",IFERROR(VLOOKUP(Q22,Points!$A$2:$B$14,2,FALSE)," ")))</f>
        <v xml:space="preserve"> </v>
      </c>
      <c r="T22" s="42"/>
      <c r="U22" s="9" t="str">
        <f t="shared" si="8"/>
        <v xml:space="preserve"> </v>
      </c>
      <c r="V22" s="9" t="str">
        <f t="shared" si="9"/>
        <v xml:space="preserve"> </v>
      </c>
      <c r="W22" s="49" t="str">
        <f>IF(Table6220273233341718193051[[#This Row],[Non-Member]]="X"," ",IF(V22=" "," ",IFERROR(VLOOKUP(U22,Points!$A$2:$B$14,2,FALSE)," ")))</f>
        <v xml:space="preserve"> </v>
      </c>
      <c r="X22" s="42"/>
      <c r="Y22" s="9" t="str">
        <f t="shared" si="10"/>
        <v xml:space="preserve"> </v>
      </c>
      <c r="Z22" s="9" t="str">
        <f t="shared" si="11"/>
        <v xml:space="preserve"> </v>
      </c>
      <c r="AA22" s="49" t="str">
        <f>IF(Table6220273233341718193051[[#This Row],[Non-Member]]="X"," ",IF(Z22=" "," ",IFERROR(VLOOKUP(Y22,Points!$A$2:$B$14,2,FALSE)," ")))</f>
        <v xml:space="preserve"> </v>
      </c>
      <c r="AB22" s="42"/>
      <c r="AC22" s="9" t="str">
        <f t="shared" si="12"/>
        <v xml:space="preserve"> </v>
      </c>
      <c r="AD22" s="9" t="str">
        <f t="shared" si="13"/>
        <v xml:space="preserve"> </v>
      </c>
      <c r="AE22" s="49" t="str">
        <f>IF(Table6220273233341718193051[[#This Row],[Non-Member]]="X"," ",IF(AD22=" "," ",IFERROR(VLOOKUP(AC22,Points!$A$2:$B$14,2,FALSE)," ")))</f>
        <v xml:space="preserve"> </v>
      </c>
      <c r="AF22" s="42"/>
      <c r="AG22" s="9" t="str">
        <f t="shared" si="14"/>
        <v xml:space="preserve"> </v>
      </c>
      <c r="AH22" s="9" t="str">
        <f t="shared" si="15"/>
        <v xml:space="preserve"> </v>
      </c>
      <c r="AI22" s="49" t="str">
        <f>IF(Table6220273233341718193051[[#This Row],[Non-Member]]="X"," ",IF(AH22=" "," ",IFERROR(VLOOKUP(AG22,Points!$A$2:$B$14,2,FALSE)," ")))</f>
        <v xml:space="preserve"> </v>
      </c>
      <c r="AJ22" s="9">
        <f>IF(Table6220273233341718193051[[#This Row],[Non-Member]]="X"," ",((IF(G22=" ",0,G22))+(IF(K22=" ",0,K22))+(IF(O22=" ",0,O22))+(IF(S22=" ",0,S22))+(IF(W22=" ",0,W22))+(IF(AA22=" ",0,AA22))+(IF(AE22=" ",0,AE22))+(IF(AI22=" ",0,AI22))))</f>
        <v>0</v>
      </c>
      <c r="AK22" s="52" t="str">
        <f t="shared" si="16"/>
        <v xml:space="preserve"> </v>
      </c>
      <c r="AL22" s="22" t="str">
        <f t="shared" si="17"/>
        <v xml:space="preserve"> </v>
      </c>
    </row>
    <row r="23" spans="2:38" x14ac:dyDescent="0.25">
      <c r="B23" s="26"/>
      <c r="C23" s="10"/>
      <c r="D23" s="42"/>
      <c r="E23" s="9" t="str">
        <f t="shared" si="0"/>
        <v xml:space="preserve"> </v>
      </c>
      <c r="F23" s="9" t="str">
        <f t="shared" si="1"/>
        <v xml:space="preserve"> </v>
      </c>
      <c r="G23" s="49" t="str">
        <f>IF(Table6220273233341718193051[[#This Row],[Non-Member]]="X"," ",IF(F23=" "," ",IFERROR(VLOOKUP(E23,Points!$A$2:$B$14,2,FALSE)," ")))</f>
        <v xml:space="preserve"> </v>
      </c>
      <c r="H23" s="42"/>
      <c r="I23" s="9" t="str">
        <f t="shared" si="18"/>
        <v xml:space="preserve"> </v>
      </c>
      <c r="J23" s="9" t="str">
        <f t="shared" si="19"/>
        <v xml:space="preserve"> </v>
      </c>
      <c r="K23" s="49" t="str">
        <f>IF(Table6220273233341718193051[[#This Row],[Non-Member]]="X"," ",IF(J23=" "," ",IFERROR(VLOOKUP(I23,Points!$A$2:$B$14,2,FALSE)," ")))</f>
        <v xml:space="preserve"> </v>
      </c>
      <c r="L23" s="42"/>
      <c r="M23" s="9" t="str">
        <f t="shared" si="4"/>
        <v xml:space="preserve"> </v>
      </c>
      <c r="N23" s="9" t="str">
        <f t="shared" si="5"/>
        <v xml:space="preserve"> </v>
      </c>
      <c r="O23" s="49" t="str">
        <f>IF(Table6220273233341718193051[[#This Row],[Non-Member]]="X"," ",IF(N23=" "," ",IFERROR(VLOOKUP(M23,Points!$A$2:$B$14,2,FALSE)," ")))</f>
        <v xml:space="preserve"> </v>
      </c>
      <c r="P23" s="42"/>
      <c r="Q23" s="9" t="str">
        <f t="shared" si="6"/>
        <v xml:space="preserve"> </v>
      </c>
      <c r="R23" s="9" t="str">
        <f t="shared" si="7"/>
        <v xml:space="preserve"> </v>
      </c>
      <c r="S23" s="49" t="str">
        <f>IF(Table6220273233341718193051[[#This Row],[Non-Member]]="X"," ",IF(R23=" "," ",IFERROR(VLOOKUP(Q23,Points!$A$2:$B$14,2,FALSE)," ")))</f>
        <v xml:space="preserve"> </v>
      </c>
      <c r="T23" s="42"/>
      <c r="U23" s="9" t="str">
        <f t="shared" si="8"/>
        <v xml:space="preserve"> </v>
      </c>
      <c r="V23" s="9" t="str">
        <f t="shared" si="9"/>
        <v xml:space="preserve"> </v>
      </c>
      <c r="W23" s="49" t="str">
        <f>IF(Table6220273233341718193051[[#This Row],[Non-Member]]="X"," ",IF(V23=" "," ",IFERROR(VLOOKUP(U23,Points!$A$2:$B$14,2,FALSE)," ")))</f>
        <v xml:space="preserve"> </v>
      </c>
      <c r="X23" s="42"/>
      <c r="Y23" s="9" t="str">
        <f t="shared" si="10"/>
        <v xml:space="preserve"> </v>
      </c>
      <c r="Z23" s="9" t="str">
        <f t="shared" si="11"/>
        <v xml:space="preserve"> </v>
      </c>
      <c r="AA23" s="49" t="str">
        <f>IF(Table6220273233341718193051[[#This Row],[Non-Member]]="X"," ",IF(Z23=" "," ",IFERROR(VLOOKUP(Y23,Points!$A$2:$B$14,2,FALSE)," ")))</f>
        <v xml:space="preserve"> </v>
      </c>
      <c r="AB23" s="42"/>
      <c r="AC23" s="9" t="str">
        <f t="shared" si="12"/>
        <v xml:space="preserve"> </v>
      </c>
      <c r="AD23" s="9" t="str">
        <f t="shared" si="13"/>
        <v xml:space="preserve"> </v>
      </c>
      <c r="AE23" s="49" t="str">
        <f>IF(Table6220273233341718193051[[#This Row],[Non-Member]]="X"," ",IF(AD23=" "," ",IFERROR(VLOOKUP(AC23,Points!$A$2:$B$14,2,FALSE)," ")))</f>
        <v xml:space="preserve"> </v>
      </c>
      <c r="AF23" s="42"/>
      <c r="AG23" s="9" t="str">
        <f t="shared" si="14"/>
        <v xml:space="preserve"> </v>
      </c>
      <c r="AH23" s="9" t="str">
        <f t="shared" si="15"/>
        <v xml:space="preserve"> </v>
      </c>
      <c r="AI23" s="49" t="str">
        <f>IF(Table6220273233341718193051[[#This Row],[Non-Member]]="X"," ",IF(AH23=" "," ",IFERROR(VLOOKUP(AG23,Points!$A$2:$B$14,2,FALSE)," ")))</f>
        <v xml:space="preserve"> </v>
      </c>
      <c r="AJ23" s="9">
        <f>IF(Table6220273233341718193051[[#This Row],[Non-Member]]="X"," ",((IF(G23=" ",0,G23))+(IF(K23=" ",0,K23))+(IF(O23=" ",0,O23))+(IF(S23=" ",0,S23))+(IF(W23=" ",0,W23))+(IF(AA23=" ",0,AA23))+(IF(AE23=" ",0,AE23))+(IF(AI23=" ",0,AI23))))</f>
        <v>0</v>
      </c>
      <c r="AK23" s="52" t="str">
        <f t="shared" si="16"/>
        <v xml:space="preserve"> </v>
      </c>
      <c r="AL23" s="22" t="str">
        <f t="shared" si="17"/>
        <v xml:space="preserve"> </v>
      </c>
    </row>
    <row r="24" spans="2:38" ht="14.4" thickBot="1" x14ac:dyDescent="0.3">
      <c r="B24" s="27"/>
      <c r="C24" s="15"/>
      <c r="D24" s="43"/>
      <c r="E24" s="14" t="str">
        <f t="shared" si="0"/>
        <v xml:space="preserve"> </v>
      </c>
      <c r="F24" s="14" t="str">
        <f t="shared" si="1"/>
        <v xml:space="preserve"> </v>
      </c>
      <c r="G24" s="50" t="str">
        <f>IF(Table6220273233341718193051[[#This Row],[Non-Member]]="X"," ",IF(F24=" "," ",IFERROR(VLOOKUP(E24,Points!$A$2:$B$14,2,FALSE)," ")))</f>
        <v xml:space="preserve"> </v>
      </c>
      <c r="H24" s="43"/>
      <c r="I24" s="14" t="str">
        <f t="shared" si="18"/>
        <v xml:space="preserve"> </v>
      </c>
      <c r="J24" s="14" t="str">
        <f t="shared" si="19"/>
        <v xml:space="preserve"> </v>
      </c>
      <c r="K24" s="50" t="str">
        <f>IF(Table6220273233341718193051[[#This Row],[Non-Member]]="X"," ",IF(J24=" "," ",IFERROR(VLOOKUP(I24,Points!$A$2:$B$14,2,FALSE)," ")))</f>
        <v xml:space="preserve"> </v>
      </c>
      <c r="L24" s="43"/>
      <c r="M24" s="14" t="str">
        <f t="shared" si="4"/>
        <v xml:space="preserve"> </v>
      </c>
      <c r="N24" s="14" t="str">
        <f t="shared" si="5"/>
        <v xml:space="preserve"> </v>
      </c>
      <c r="O24" s="50" t="str">
        <f>IF(Table6220273233341718193051[[#This Row],[Non-Member]]="X"," ",IF(N24=" "," ",IFERROR(VLOOKUP(M24,Points!$A$2:$B$14,2,FALSE)," ")))</f>
        <v xml:space="preserve"> </v>
      </c>
      <c r="P24" s="43"/>
      <c r="Q24" s="14" t="str">
        <f t="shared" si="6"/>
        <v xml:space="preserve"> </v>
      </c>
      <c r="R24" s="14" t="str">
        <f t="shared" si="7"/>
        <v xml:space="preserve"> </v>
      </c>
      <c r="S24" s="50" t="str">
        <f>IF(Table6220273233341718193051[[#This Row],[Non-Member]]="X"," ",IF(R24=" "," ",IFERROR(VLOOKUP(Q24,Points!$A$2:$B$14,2,FALSE)," ")))</f>
        <v xml:space="preserve"> </v>
      </c>
      <c r="T24" s="43"/>
      <c r="U24" s="14" t="str">
        <f t="shared" si="8"/>
        <v xml:space="preserve"> </v>
      </c>
      <c r="V24" s="14" t="str">
        <f t="shared" si="9"/>
        <v xml:space="preserve"> </v>
      </c>
      <c r="W24" s="50" t="str">
        <f>IF(Table6220273233341718193051[[#This Row],[Non-Member]]="X"," ",IF(V24=" "," ",IFERROR(VLOOKUP(U24,Points!$A$2:$B$14,2,FALSE)," ")))</f>
        <v xml:space="preserve"> </v>
      </c>
      <c r="X24" s="43"/>
      <c r="Y24" s="14" t="str">
        <f t="shared" si="10"/>
        <v xml:space="preserve"> </v>
      </c>
      <c r="Z24" s="14" t="str">
        <f t="shared" si="11"/>
        <v xml:space="preserve"> </v>
      </c>
      <c r="AA24" s="50" t="str">
        <f>IF(Table6220273233341718193051[[#This Row],[Non-Member]]="X"," ",IF(Z24=" "," ",IFERROR(VLOOKUP(Y24,Points!$A$2:$B$14,2,FALSE)," ")))</f>
        <v xml:space="preserve"> </v>
      </c>
      <c r="AB24" s="43"/>
      <c r="AC24" s="14" t="str">
        <f t="shared" si="12"/>
        <v xml:space="preserve"> </v>
      </c>
      <c r="AD24" s="14" t="str">
        <f t="shared" si="13"/>
        <v xml:space="preserve"> </v>
      </c>
      <c r="AE24" s="50" t="str">
        <f>IF(Table6220273233341718193051[[#This Row],[Non-Member]]="X"," ",IF(AD24=" "," ",IFERROR(VLOOKUP(AC24,Points!$A$2:$B$14,2,FALSE)," ")))</f>
        <v xml:space="preserve"> </v>
      </c>
      <c r="AF24" s="43"/>
      <c r="AG24" s="14" t="str">
        <f t="shared" si="14"/>
        <v xml:space="preserve"> </v>
      </c>
      <c r="AH24" s="14" t="str">
        <f t="shared" si="15"/>
        <v xml:space="preserve"> </v>
      </c>
      <c r="AI24" s="50" t="str">
        <f>IF(Table6220273233341718193051[[#This Row],[Non-Member]]="X"," ",IF(AH24=" "," ",IFERROR(VLOOKUP(AG24,Points!$A$2:$B$14,2,FALSE)," ")))</f>
        <v xml:space="preserve"> </v>
      </c>
      <c r="AJ24" s="9">
        <f>IF(Table6220273233341718193051[[#This Row],[Non-Member]]="X"," ",((IF(G24=" ",0,G24))+(IF(K24=" ",0,K24))+(IF(O24=" ",0,O24))+(IF(S24=" ",0,S24))+(IF(W24=" ",0,W24))+(IF(AA24=" ",0,AA24))+(IF(AE24=" ",0,AE24))+(IF(AI24=" ",0,AI24))))</f>
        <v>0</v>
      </c>
      <c r="AK24" s="53" t="str">
        <f t="shared" si="16"/>
        <v xml:space="preserve"> </v>
      </c>
      <c r="AL24" s="22" t="str">
        <f t="shared" si="17"/>
        <v xml:space="preserve"> </v>
      </c>
    </row>
    <row r="25" spans="2:38" x14ac:dyDescent="0.25">
      <c r="AG25" s="20"/>
    </row>
    <row r="27" spans="2:38" x14ac:dyDescent="0.25">
      <c r="F27" s="20"/>
    </row>
    <row r="28" spans="2:38" x14ac:dyDescent="0.25">
      <c r="F28" s="20"/>
    </row>
    <row r="29" spans="2:38" x14ac:dyDescent="0.25">
      <c r="H29" s="38"/>
    </row>
  </sheetData>
  <mergeCells count="10">
    <mergeCell ref="X2:AA2"/>
    <mergeCell ref="AB2:AE2"/>
    <mergeCell ref="AF2:AI2"/>
    <mergeCell ref="AK2:AL2"/>
    <mergeCell ref="B2:C2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Points</vt:lpstr>
      <vt:lpstr>SR G-Barrels</vt:lpstr>
      <vt:lpstr>SR G-Poles</vt:lpstr>
      <vt:lpstr>SR G-Goats</vt:lpstr>
      <vt:lpstr>SR G-Breakaway</vt:lpstr>
      <vt:lpstr>SR G-AA</vt:lpstr>
      <vt:lpstr>SR-Team Roping-Results</vt:lpstr>
      <vt:lpstr>SR-Team Roping-Header</vt:lpstr>
      <vt:lpstr>SR-Team Roping-Header (2)</vt:lpstr>
      <vt:lpstr>SR-Team Roping-Heeler (2)</vt:lpstr>
      <vt:lpstr>SR-Team Roping-Heeler</vt:lpstr>
      <vt:lpstr>SR B-Calf Roping</vt:lpstr>
      <vt:lpstr>SR B-Steer Wrestling</vt:lpstr>
      <vt:lpstr>SR B-Chute Dogging</vt:lpstr>
      <vt:lpstr>SR B-AA</vt:lpstr>
      <vt:lpstr>JR G-Barrels</vt:lpstr>
      <vt:lpstr>JR G-Poles</vt:lpstr>
      <vt:lpstr>JR G-Goats</vt:lpstr>
      <vt:lpstr>JR G-Breakaway</vt:lpstr>
      <vt:lpstr>JR G-AA</vt:lpstr>
      <vt:lpstr>JR-Team Roping-Results</vt:lpstr>
      <vt:lpstr>JR-Team Roping-Header</vt:lpstr>
      <vt:lpstr>JR-Team Roping-Header (2)</vt:lpstr>
      <vt:lpstr>JR-Team Roping-Heeler</vt:lpstr>
      <vt:lpstr>JR-Team Roping-Heeler (2)</vt:lpstr>
      <vt:lpstr>JR B-Steer Riding</vt:lpstr>
      <vt:lpstr>JR B-Goats</vt:lpstr>
      <vt:lpstr>JR B-Calf Tying</vt:lpstr>
      <vt:lpstr>JR B-Breakaway</vt:lpstr>
      <vt:lpstr>JR B-AA</vt:lpstr>
      <vt:lpstr>PW G-Barrels</vt:lpstr>
      <vt:lpstr>PW G-Poles</vt:lpstr>
      <vt:lpstr>PW G-Goats</vt:lpstr>
      <vt:lpstr>PW G-Breakaway</vt:lpstr>
      <vt:lpstr>PW G-AA</vt:lpstr>
      <vt:lpstr>PW B-Calf Riding</vt:lpstr>
      <vt:lpstr>PW B-Goats</vt:lpstr>
      <vt:lpstr>PW B-Flags</vt:lpstr>
      <vt:lpstr>PW B-Breakaway</vt:lpstr>
      <vt:lpstr>PW B-Steer Daubing</vt:lpstr>
      <vt:lpstr>PW B-AA</vt:lpstr>
      <vt:lpstr>MM G-Dummy Roping</vt:lpstr>
      <vt:lpstr>MM G-Barrels</vt:lpstr>
      <vt:lpstr>MM G-Figure 8</vt:lpstr>
      <vt:lpstr>MM G-Goats</vt:lpstr>
      <vt:lpstr>MM G-AA</vt:lpstr>
      <vt:lpstr>MM B-Dummy Roping</vt:lpstr>
      <vt:lpstr>MM B-Goats</vt:lpstr>
      <vt:lpstr>MM B-Flags</vt:lpstr>
      <vt:lpstr>MM B-Figure 8</vt:lpstr>
      <vt:lpstr>MM B-AA</vt:lpstr>
      <vt:lpstr>Rookie-G</vt:lpstr>
      <vt:lpstr>Rookie-B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 Seal</dc:creator>
  <cp:lastModifiedBy>Boone</cp:lastModifiedBy>
  <cp:lastPrinted>2018-08-21T19:21:05Z</cp:lastPrinted>
  <dcterms:created xsi:type="dcterms:W3CDTF">2018-08-14T20:33:23Z</dcterms:created>
  <dcterms:modified xsi:type="dcterms:W3CDTF">2019-08-28T23:28:22Z</dcterms:modified>
</cp:coreProperties>
</file>